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2.xml" ContentType="application/vnd.openxmlformats-officedocument.spreadsheetml.pivotTable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3.xml" ContentType="application/vnd.openxmlformats-officedocument.spreadsheetml.pivotTable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45A5E6CC-C34F-4CB7-9E2B-27185548C691}" xr6:coauthVersionLast="47" xr6:coauthVersionMax="47" xr10:uidLastSave="{00000000-0000-0000-0000-000000000000}"/>
  <bookViews>
    <workbookView xWindow="28680" yWindow="-120" windowWidth="29040" windowHeight="15720" tabRatio="945" firstSheet="4" activeTab="7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Landbrugsproduktivititet" sheetId="76" r:id="rId6"/>
    <sheet name="Græsprotein" sheetId="78" r:id="rId7"/>
    <sheet name="Fodersammensætning" sheetId="34" r:id="rId8"/>
    <sheet name="Skovbrug" sheetId="26" r:id="rId9"/>
    <sheet name="Skovbrug-alder" sheetId="72" state="hidden" r:id="rId10"/>
    <sheet name="Havbrug" sheetId="32" r:id="rId11"/>
    <sheet name="Adfærd" sheetId="6" r:id="rId12"/>
    <sheet name="Biogasanlæg" sheetId="39" r:id="rId13"/>
    <sheet name="Forbrug til andet" sheetId="8" r:id="rId14"/>
    <sheet name="Direkte input" sheetId="35" r:id="rId15"/>
    <sheet name="Forbrug af biomasse" sheetId="38" r:id="rId16"/>
    <sheet name="Restprodukter" sheetId="53" r:id="rId17"/>
    <sheet name="Resultater - Vestdanmark" sheetId="37" r:id="rId18"/>
    <sheet name="Resultater - Østdanmark" sheetId="58" r:id="rId19"/>
    <sheet name="Resultater - Danmark" sheetId="41" r:id="rId20"/>
    <sheet name="Resultat-Produktion &amp; forbrug" sheetId="66" r:id="rId21"/>
    <sheet name="Produktion &amp; forbrug" sheetId="74" r:id="rId22"/>
    <sheet name="CONCITO" sheetId="77" r:id="rId23"/>
    <sheet name="Kategorisering af kcal" sheetId="75" r:id="rId24"/>
    <sheet name="Landbrugsareal - resultat" sheetId="20" state="hidden" r:id="rId25"/>
    <sheet name="Pivot tabeller og data" sheetId="68" state="hidden" r:id="rId26"/>
    <sheet name="Resultat-Forbrug af biomasse" sheetId="56" state="hidden" r:id="rId27"/>
    <sheet name="Resultat-Import" sheetId="51" state="hidden" r:id="rId28"/>
    <sheet name="Resultat-Eksport" sheetId="71" state="hidden" r:id="rId29"/>
    <sheet name="Resultat-Potentiale til energi" sheetId="50" state="hidden" r:id="rId30"/>
    <sheet name="Resultat-Tørstof til energi" sheetId="67" state="hidden" r:id="rId31"/>
    <sheet name="CO2-pivot" sheetId="64" state="hidden" r:id="rId32"/>
    <sheet name="CO2-udledning" sheetId="63" r:id="rId33"/>
    <sheet name="Produktion afgrøder-pivot" sheetId="60" state="hidden" r:id="rId34"/>
    <sheet name="Produktion af afgrøder" sheetId="57" state="hidden" r:id="rId35"/>
    <sheet name="Produkt skovbrug" sheetId="62" state="hidden" r:id="rId36"/>
    <sheet name="Produkt havbrug" sheetId="61" state="hidden" r:id="rId37"/>
    <sheet name="Arealanvendelse - pivot" sheetId="23" state="hidden" r:id="rId38"/>
    <sheet name="Pivot chart - landbrug" sheetId="19" state="hidden" r:id="rId39"/>
    <sheet name="Arealanvendelsesresultater-big" sheetId="22" state="hidden" r:id="rId40"/>
    <sheet name="Landbrugsresultater - pivot" sheetId="18" state="hidden" r:id="rId41"/>
  </sheets>
  <externalReferences>
    <externalReference r:id="rId42"/>
  </externalReferences>
  <definedNames>
    <definedName name="_xlnm._FilterDatabase" localSheetId="14" hidden="1">'Direkte input'!$A$2:$I$230</definedName>
    <definedName name="_xlnm._FilterDatabase" localSheetId="2" hidden="1">Farvekoder!$A$1:$A$70</definedName>
    <definedName name="_xlnm._FilterDatabase" localSheetId="15" hidden="1">'Forbrug af biomasse'!$A$1:$G$415</definedName>
    <definedName name="_xlnm._FilterDatabase" localSheetId="21" hidden="1">'Produktion &amp; forbrug'!$A$3:$AA$147</definedName>
    <definedName name="_xlnm._FilterDatabase" localSheetId="19" hidden="1">'Resultater - Danmark'!$A$2:$O$497</definedName>
    <definedName name="_xlnm._FilterDatabase" localSheetId="17" hidden="1">'Resultater - Vestdanmark'!$A$2:$U$497</definedName>
    <definedName name="_xlnm._FilterDatabase" localSheetId="20" hidden="1">'Resultat-Produktion &amp; forbrug'!$A$3:$AA$291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723" r:id="rId43"/>
    <pivotCache cacheId="2728" r:id="rId44"/>
    <pivotCache cacheId="2733" r:id="rId45"/>
    <pivotCache cacheId="2738" r:id="rId46"/>
    <pivotCache cacheId="2744" r:id="rId47"/>
    <pivotCache cacheId="2749" r:id="rId48"/>
    <pivotCache cacheId="2754" r:id="rId49"/>
    <pivotCache cacheId="2759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0" i="17" l="1"/>
  <c r="E37" i="17"/>
  <c r="E38" i="17"/>
  <c r="E36" i="17"/>
  <c r="E45" i="17" l="1"/>
  <c r="E32" i="17"/>
  <c r="E39" i="17"/>
  <c r="E41" i="17"/>
  <c r="E42" i="17"/>
  <c r="I13" i="17"/>
  <c r="I12" i="17"/>
  <c r="I10" i="17" s="1"/>
  <c r="H12" i="17"/>
  <c r="H14" i="17" s="1"/>
  <c r="H11" i="17"/>
  <c r="H13" i="17" s="1"/>
  <c r="E44" i="17"/>
  <c r="C22" i="34"/>
  <c r="I14" i="17" l="1"/>
  <c r="G20" i="77"/>
  <c r="D37" i="77"/>
  <c r="D3" i="77"/>
  <c r="C6" i="75"/>
  <c r="E6" i="75"/>
  <c r="D5" i="78"/>
  <c r="E7" i="78"/>
  <c r="E22" i="34" s="1"/>
  <c r="D6" i="78"/>
  <c r="D4" i="78"/>
  <c r="D3" i="78"/>
  <c r="K10" i="76"/>
  <c r="C17" i="26"/>
  <c r="C14" i="26" s="1"/>
  <c r="D14" i="26"/>
  <c r="D7" i="78" l="1"/>
  <c r="D22" i="34" s="1"/>
  <c r="D6" i="75"/>
  <c r="E37" i="77"/>
  <c r="C37" i="77"/>
  <c r="E1" i="75"/>
  <c r="D1" i="75"/>
  <c r="C1" i="75"/>
  <c r="K6" i="76" l="1"/>
  <c r="G15" i="76" s="1"/>
  <c r="K5" i="76"/>
  <c r="G11" i="76" s="1"/>
  <c r="K4" i="76"/>
  <c r="G6" i="76" s="1"/>
  <c r="K3" i="76"/>
  <c r="E505" i="18" l="1"/>
  <c r="B505" i="18"/>
  <c r="E504" i="18"/>
  <c r="B504" i="18"/>
  <c r="E503" i="18"/>
  <c r="B503" i="18"/>
  <c r="E502" i="18"/>
  <c r="B502" i="18"/>
  <c r="E501" i="18"/>
  <c r="B501" i="18"/>
  <c r="E500" i="18"/>
  <c r="B500" i="18"/>
  <c r="E499" i="18"/>
  <c r="B499" i="18"/>
  <c r="E498" i="18"/>
  <c r="B498" i="18"/>
  <c r="E497" i="18"/>
  <c r="B497" i="18"/>
  <c r="E496" i="18"/>
  <c r="B496" i="18"/>
  <c r="E495" i="18"/>
  <c r="B495" i="18"/>
  <c r="E494" i="18"/>
  <c r="B494" i="18"/>
  <c r="E493" i="18"/>
  <c r="B493" i="18"/>
  <c r="E492" i="18"/>
  <c r="B492" i="18"/>
  <c r="E491" i="18"/>
  <c r="B491" i="18"/>
  <c r="E490" i="18"/>
  <c r="B490" i="18"/>
  <c r="E489" i="18"/>
  <c r="B489" i="18"/>
  <c r="E488" i="18"/>
  <c r="B488" i="18"/>
  <c r="E487" i="18"/>
  <c r="B487" i="18"/>
  <c r="E486" i="18"/>
  <c r="B486" i="18"/>
  <c r="E485" i="18"/>
  <c r="B485" i="18"/>
  <c r="E484" i="18"/>
  <c r="B484" i="18"/>
  <c r="E483" i="18"/>
  <c r="B483" i="18"/>
  <c r="E482" i="18"/>
  <c r="B482" i="18"/>
  <c r="E481" i="18"/>
  <c r="B481" i="18"/>
  <c r="E480" i="18"/>
  <c r="B480" i="18"/>
  <c r="E479" i="18"/>
  <c r="B479" i="18"/>
  <c r="E478" i="18"/>
  <c r="B478" i="18"/>
  <c r="E477" i="18"/>
  <c r="B477" i="18"/>
  <c r="E476" i="18"/>
  <c r="B476" i="18"/>
  <c r="E475" i="18"/>
  <c r="B475" i="18"/>
  <c r="E474" i="18"/>
  <c r="B474" i="18"/>
  <c r="E473" i="18"/>
  <c r="B473" i="18"/>
  <c r="E472" i="18"/>
  <c r="B472" i="18"/>
  <c r="E471" i="18"/>
  <c r="B471" i="18"/>
  <c r="E470" i="18"/>
  <c r="B470" i="18"/>
  <c r="E469" i="18"/>
  <c r="B469" i="18"/>
  <c r="E468" i="18"/>
  <c r="B468" i="18"/>
  <c r="E467" i="18"/>
  <c r="B467" i="18"/>
  <c r="E466" i="18"/>
  <c r="B466" i="18"/>
  <c r="E465" i="18"/>
  <c r="B465" i="18"/>
  <c r="E464" i="18"/>
  <c r="B464" i="18"/>
  <c r="E463" i="18"/>
  <c r="B463" i="18"/>
  <c r="E462" i="18"/>
  <c r="B462" i="18"/>
  <c r="E461" i="18"/>
  <c r="B461" i="18"/>
  <c r="E460" i="18"/>
  <c r="B460" i="18"/>
  <c r="E459" i="18"/>
  <c r="B459" i="18"/>
  <c r="E458" i="18"/>
  <c r="B458" i="18"/>
  <c r="E457" i="18"/>
  <c r="B457" i="18"/>
  <c r="E456" i="18"/>
  <c r="B456" i="18"/>
  <c r="E455" i="18"/>
  <c r="B455" i="18"/>
  <c r="E454" i="18"/>
  <c r="B454" i="18"/>
  <c r="E453" i="18"/>
  <c r="B453" i="18"/>
  <c r="E452" i="18"/>
  <c r="B452" i="18"/>
  <c r="E451" i="18"/>
  <c r="B451" i="18"/>
  <c r="E450" i="18"/>
  <c r="B450" i="18"/>
  <c r="E449" i="18"/>
  <c r="B449" i="18"/>
  <c r="E448" i="18"/>
  <c r="B448" i="18"/>
  <c r="E447" i="18"/>
  <c r="B447" i="18"/>
  <c r="E446" i="18"/>
  <c r="B446" i="18"/>
  <c r="E445" i="18"/>
  <c r="B445" i="18"/>
  <c r="E444" i="18"/>
  <c r="B444" i="18"/>
  <c r="E443" i="18"/>
  <c r="B443" i="18"/>
  <c r="E442" i="18"/>
  <c r="B442" i="18"/>
  <c r="E441" i="18"/>
  <c r="B441" i="18"/>
  <c r="E440" i="18"/>
  <c r="B440" i="18"/>
  <c r="E439" i="18"/>
  <c r="B439" i="18"/>
  <c r="E438" i="18"/>
  <c r="B438" i="18"/>
  <c r="E437" i="18"/>
  <c r="B437" i="18"/>
  <c r="E436" i="18"/>
  <c r="B436" i="18"/>
  <c r="E435" i="18"/>
  <c r="B435" i="18"/>
  <c r="E434" i="18"/>
  <c r="B434" i="18"/>
  <c r="E433" i="18"/>
  <c r="B433" i="18"/>
  <c r="E432" i="18"/>
  <c r="B432" i="18"/>
  <c r="E431" i="18"/>
  <c r="B431" i="18"/>
  <c r="E430" i="18"/>
  <c r="B430" i="18"/>
  <c r="E429" i="18"/>
  <c r="B429" i="18"/>
  <c r="E428" i="18"/>
  <c r="B428" i="18"/>
  <c r="E427" i="18"/>
  <c r="B427" i="18"/>
  <c r="E426" i="18"/>
  <c r="B426" i="18"/>
  <c r="E425" i="18"/>
  <c r="B425" i="18"/>
  <c r="E424" i="18"/>
  <c r="B424" i="18"/>
  <c r="E423" i="18"/>
  <c r="B423" i="18"/>
  <c r="E422" i="18"/>
  <c r="B422" i="18"/>
  <c r="E421" i="18"/>
  <c r="B421" i="18"/>
  <c r="E420" i="18"/>
  <c r="B420" i="18"/>
  <c r="E419" i="18"/>
  <c r="B419" i="18"/>
  <c r="E418" i="18"/>
  <c r="B418" i="18"/>
  <c r="E417" i="18"/>
  <c r="B417" i="18"/>
  <c r="E416" i="18"/>
  <c r="B416" i="18"/>
  <c r="E415" i="18"/>
  <c r="B415" i="18"/>
  <c r="E414" i="18"/>
  <c r="B414" i="18"/>
  <c r="E413" i="18"/>
  <c r="B413" i="18"/>
  <c r="E412" i="18"/>
  <c r="B412" i="18"/>
  <c r="E411" i="18"/>
  <c r="B411" i="18"/>
  <c r="E410" i="18"/>
  <c r="B410" i="18"/>
  <c r="E409" i="18"/>
  <c r="B409" i="18"/>
  <c r="E408" i="18"/>
  <c r="B408" i="18"/>
  <c r="E407" i="18"/>
  <c r="B407" i="18"/>
  <c r="E406" i="18"/>
  <c r="B406" i="18"/>
  <c r="E405" i="18"/>
  <c r="B405" i="18"/>
  <c r="E404" i="18"/>
  <c r="B404" i="18"/>
  <c r="E403" i="18"/>
  <c r="B403" i="18"/>
  <c r="E402" i="18"/>
  <c r="B402" i="18"/>
  <c r="E401" i="18"/>
  <c r="B401" i="18"/>
  <c r="E400" i="18"/>
  <c r="B400" i="18"/>
  <c r="E399" i="18"/>
  <c r="B399" i="18"/>
  <c r="E398" i="18"/>
  <c r="B398" i="18"/>
  <c r="E397" i="18"/>
  <c r="B397" i="18"/>
  <c r="E396" i="18"/>
  <c r="B396" i="18"/>
  <c r="E395" i="18"/>
  <c r="B395" i="18"/>
  <c r="E394" i="18"/>
  <c r="B394" i="18"/>
  <c r="E393" i="18"/>
  <c r="B393" i="18"/>
  <c r="E392" i="18"/>
  <c r="B392" i="18"/>
  <c r="E391" i="18"/>
  <c r="B391" i="18"/>
  <c r="E390" i="18"/>
  <c r="B390" i="18"/>
  <c r="E389" i="18"/>
  <c r="B389" i="18"/>
  <c r="E388" i="18"/>
  <c r="B388" i="18"/>
  <c r="E387" i="18"/>
  <c r="B387" i="18"/>
  <c r="E386" i="18"/>
  <c r="B386" i="18"/>
  <c r="E385" i="18"/>
  <c r="B385" i="18"/>
  <c r="E384" i="18"/>
  <c r="B384" i="18"/>
  <c r="E383" i="18"/>
  <c r="B383" i="18"/>
  <c r="E382" i="18"/>
  <c r="B382" i="18"/>
  <c r="E381" i="18"/>
  <c r="B381" i="18"/>
  <c r="E380" i="18"/>
  <c r="B380" i="18"/>
  <c r="E379" i="18"/>
  <c r="B379" i="18"/>
  <c r="E378" i="18"/>
  <c r="B378" i="18"/>
  <c r="E377" i="18"/>
  <c r="B377" i="18"/>
  <c r="E376" i="18"/>
  <c r="B376" i="18"/>
  <c r="E375" i="18"/>
  <c r="B375" i="18"/>
  <c r="E374" i="18"/>
  <c r="B374" i="18"/>
  <c r="E373" i="18"/>
  <c r="B373" i="18"/>
  <c r="E372" i="18"/>
  <c r="B372" i="18"/>
  <c r="E371" i="18"/>
  <c r="B371" i="18"/>
  <c r="E370" i="18"/>
  <c r="B370" i="18"/>
  <c r="E369" i="18"/>
  <c r="B369" i="18"/>
  <c r="E368" i="18"/>
  <c r="B368" i="18"/>
  <c r="E367" i="18"/>
  <c r="B367" i="18"/>
  <c r="E366" i="18"/>
  <c r="B366" i="18"/>
  <c r="E365" i="18"/>
  <c r="B365" i="18"/>
  <c r="E364" i="18"/>
  <c r="B364" i="18"/>
  <c r="E363" i="18"/>
  <c r="B363" i="18"/>
  <c r="E362" i="18"/>
  <c r="B362" i="18"/>
  <c r="E361" i="18"/>
  <c r="B361" i="18"/>
  <c r="E360" i="18"/>
  <c r="B360" i="18"/>
  <c r="E359" i="18"/>
  <c r="B359" i="18"/>
  <c r="E358" i="18"/>
  <c r="B358" i="18"/>
  <c r="E357" i="18"/>
  <c r="B357" i="18"/>
  <c r="E356" i="18"/>
  <c r="B356" i="18"/>
  <c r="E355" i="18"/>
  <c r="B355" i="18"/>
  <c r="E354" i="18"/>
  <c r="B354" i="18"/>
  <c r="E353" i="18"/>
  <c r="B353" i="18"/>
  <c r="E352" i="18"/>
  <c r="B352" i="18"/>
  <c r="E351" i="18"/>
  <c r="B351" i="18"/>
  <c r="E350" i="18"/>
  <c r="B350" i="18"/>
  <c r="E349" i="18"/>
  <c r="B349" i="18"/>
  <c r="E348" i="18"/>
  <c r="B348" i="18"/>
  <c r="E347" i="18"/>
  <c r="B347" i="18"/>
  <c r="E346" i="18"/>
  <c r="B346" i="18"/>
  <c r="E345" i="18"/>
  <c r="B345" i="18"/>
  <c r="E344" i="18"/>
  <c r="B344" i="18"/>
  <c r="E343" i="18"/>
  <c r="B343" i="18"/>
  <c r="E342" i="18"/>
  <c r="B342" i="18"/>
  <c r="E341" i="18"/>
  <c r="B341" i="18"/>
  <c r="E340" i="18"/>
  <c r="B340" i="18"/>
  <c r="E339" i="18"/>
  <c r="B339" i="18"/>
  <c r="E338" i="18"/>
  <c r="B338" i="18"/>
  <c r="E337" i="18"/>
  <c r="B337" i="18"/>
  <c r="E336" i="18"/>
  <c r="B336" i="18"/>
  <c r="E335" i="18"/>
  <c r="B335" i="18"/>
  <c r="E334" i="18"/>
  <c r="B334" i="18"/>
  <c r="E333" i="18"/>
  <c r="B333" i="18"/>
  <c r="E332" i="18"/>
  <c r="B332" i="18"/>
  <c r="E331" i="18"/>
  <c r="B331" i="18"/>
  <c r="E330" i="18"/>
  <c r="B330" i="18"/>
  <c r="E329" i="18"/>
  <c r="B329" i="18"/>
  <c r="E328" i="18"/>
  <c r="B328" i="18"/>
  <c r="E327" i="18"/>
  <c r="B327" i="18"/>
  <c r="E326" i="18"/>
  <c r="B326" i="18"/>
  <c r="E325" i="18"/>
  <c r="B325" i="18"/>
  <c r="E324" i="18"/>
  <c r="B324" i="18"/>
  <c r="E323" i="18"/>
  <c r="B323" i="18"/>
  <c r="E322" i="18"/>
  <c r="B322" i="18"/>
  <c r="E321" i="18"/>
  <c r="B321" i="18"/>
  <c r="E320" i="18"/>
  <c r="B320" i="18"/>
  <c r="E319" i="18"/>
  <c r="B319" i="18"/>
  <c r="E318" i="18"/>
  <c r="B318" i="18"/>
  <c r="E317" i="18"/>
  <c r="B317" i="18"/>
  <c r="E316" i="18"/>
  <c r="B316" i="18"/>
  <c r="E315" i="18"/>
  <c r="B315" i="18"/>
  <c r="E314" i="18"/>
  <c r="B314" i="18"/>
  <c r="E313" i="18"/>
  <c r="B313" i="18"/>
  <c r="E312" i="18"/>
  <c r="B312" i="18"/>
  <c r="E311" i="18"/>
  <c r="B311" i="18"/>
  <c r="E310" i="18"/>
  <c r="B310" i="18"/>
  <c r="E309" i="18"/>
  <c r="B309" i="18"/>
  <c r="E308" i="18"/>
  <c r="B308" i="18"/>
  <c r="E307" i="18"/>
  <c r="B307" i="18"/>
  <c r="E306" i="18"/>
  <c r="B306" i="18"/>
  <c r="E305" i="18"/>
  <c r="B305" i="18"/>
  <c r="E304" i="18"/>
  <c r="B304" i="18"/>
  <c r="E303" i="18"/>
  <c r="B303" i="18"/>
  <c r="E302" i="18"/>
  <c r="B302" i="18"/>
  <c r="E301" i="18"/>
  <c r="B301" i="18"/>
  <c r="E300" i="18"/>
  <c r="B300" i="18"/>
  <c r="E299" i="18"/>
  <c r="B299" i="18"/>
  <c r="E298" i="18"/>
  <c r="B298" i="18"/>
  <c r="E297" i="18"/>
  <c r="B297" i="18"/>
  <c r="E296" i="18"/>
  <c r="B296" i="18"/>
  <c r="E295" i="18"/>
  <c r="B295" i="18"/>
  <c r="E294" i="18"/>
  <c r="B294" i="18"/>
  <c r="E293" i="18"/>
  <c r="B293" i="18"/>
  <c r="E292" i="18"/>
  <c r="B292" i="18"/>
  <c r="E291" i="18"/>
  <c r="B291" i="18"/>
  <c r="E290" i="18"/>
  <c r="B290" i="18"/>
  <c r="E289" i="18"/>
  <c r="B289" i="18"/>
  <c r="E288" i="18"/>
  <c r="B288" i="18"/>
  <c r="E287" i="18"/>
  <c r="B287" i="18"/>
  <c r="E286" i="18"/>
  <c r="B286" i="18"/>
  <c r="E285" i="18"/>
  <c r="B285" i="18"/>
  <c r="E284" i="18"/>
  <c r="B284" i="18"/>
  <c r="E283" i="18"/>
  <c r="B283" i="18"/>
  <c r="E282" i="18"/>
  <c r="B282" i="18"/>
  <c r="E281" i="18"/>
  <c r="B281" i="18"/>
  <c r="E280" i="18"/>
  <c r="B280" i="18"/>
  <c r="E279" i="18"/>
  <c r="B279" i="18"/>
  <c r="E278" i="18"/>
  <c r="B278" i="18"/>
  <c r="E277" i="18"/>
  <c r="B277" i="18"/>
  <c r="E276" i="18"/>
  <c r="B276" i="18"/>
  <c r="E275" i="18"/>
  <c r="B275" i="18"/>
  <c r="E274" i="18"/>
  <c r="B274" i="18"/>
  <c r="E273" i="18"/>
  <c r="B273" i="18"/>
  <c r="E272" i="18"/>
  <c r="B272" i="18"/>
  <c r="E271" i="18"/>
  <c r="B271" i="18"/>
  <c r="E270" i="18"/>
  <c r="B270" i="18"/>
  <c r="E269" i="18"/>
  <c r="B269" i="18"/>
  <c r="E268" i="18"/>
  <c r="B268" i="18"/>
  <c r="E267" i="18"/>
  <c r="B267" i="18"/>
  <c r="E266" i="18"/>
  <c r="B266" i="18"/>
  <c r="E265" i="18"/>
  <c r="B265" i="18"/>
  <c r="E264" i="18"/>
  <c r="B264" i="18"/>
  <c r="E263" i="18"/>
  <c r="B263" i="18"/>
  <c r="E262" i="18"/>
  <c r="B262" i="18"/>
  <c r="E261" i="18"/>
  <c r="B261" i="18"/>
  <c r="E260" i="18"/>
  <c r="B260" i="18"/>
  <c r="E259" i="18"/>
  <c r="B259" i="18"/>
  <c r="E258" i="18"/>
  <c r="B258" i="18"/>
  <c r="E257" i="18"/>
  <c r="B257" i="18"/>
  <c r="E256" i="18"/>
  <c r="B256" i="18"/>
  <c r="E255" i="18"/>
  <c r="B255" i="18"/>
  <c r="E254" i="18"/>
  <c r="B254" i="18"/>
  <c r="E253" i="18"/>
  <c r="B253" i="18"/>
  <c r="E252" i="18"/>
  <c r="B252" i="18"/>
  <c r="E251" i="18"/>
  <c r="B251" i="18"/>
  <c r="E250" i="18"/>
  <c r="B250" i="18"/>
  <c r="E249" i="18"/>
  <c r="B249" i="18"/>
  <c r="E248" i="18"/>
  <c r="B248" i="18"/>
  <c r="E247" i="18"/>
  <c r="B247" i="18"/>
  <c r="E246" i="18"/>
  <c r="B246" i="18"/>
  <c r="E245" i="18"/>
  <c r="B245" i="18"/>
  <c r="E244" i="18"/>
  <c r="B244" i="18"/>
  <c r="E243" i="18"/>
  <c r="B243" i="18"/>
  <c r="E242" i="18"/>
  <c r="B242" i="18"/>
  <c r="E241" i="18"/>
  <c r="B241" i="18"/>
  <c r="E240" i="18"/>
  <c r="B240" i="18"/>
  <c r="E239" i="18"/>
  <c r="B239" i="18"/>
  <c r="E238" i="18"/>
  <c r="B238" i="18"/>
  <c r="E237" i="18"/>
  <c r="B237" i="18"/>
  <c r="E236" i="18"/>
  <c r="B236" i="18"/>
  <c r="E235" i="18"/>
  <c r="B235" i="18"/>
  <c r="E234" i="18"/>
  <c r="B234" i="18"/>
  <c r="E233" i="18"/>
  <c r="B233" i="18"/>
  <c r="E232" i="18"/>
  <c r="B232" i="18"/>
  <c r="E231" i="18"/>
  <c r="B231" i="18"/>
  <c r="E230" i="18"/>
  <c r="B230" i="18"/>
  <c r="E229" i="18"/>
  <c r="B229" i="18"/>
  <c r="E228" i="18"/>
  <c r="B228" i="18"/>
  <c r="E227" i="18"/>
  <c r="B227" i="18"/>
  <c r="E226" i="18"/>
  <c r="B226" i="18"/>
  <c r="E225" i="18"/>
  <c r="B225" i="18"/>
  <c r="E224" i="18"/>
  <c r="B224" i="18"/>
  <c r="E223" i="18"/>
  <c r="B223" i="18"/>
  <c r="E222" i="18"/>
  <c r="B222" i="18"/>
  <c r="E221" i="18"/>
  <c r="B221" i="18"/>
  <c r="E220" i="18"/>
  <c r="B220" i="18"/>
  <c r="E219" i="18"/>
  <c r="B219" i="18"/>
  <c r="E218" i="18"/>
  <c r="B218" i="18"/>
  <c r="E217" i="18"/>
  <c r="B217" i="18"/>
  <c r="E216" i="18"/>
  <c r="B216" i="18"/>
  <c r="E215" i="18"/>
  <c r="B215" i="18"/>
  <c r="E214" i="18"/>
  <c r="B214" i="18"/>
  <c r="E213" i="18"/>
  <c r="B213" i="18"/>
  <c r="E212" i="18"/>
  <c r="B212" i="18"/>
  <c r="E211" i="18"/>
  <c r="B211" i="18"/>
  <c r="E210" i="18"/>
  <c r="B210" i="18"/>
  <c r="E209" i="18"/>
  <c r="B209" i="18"/>
  <c r="E208" i="18"/>
  <c r="B208" i="18"/>
  <c r="E207" i="18"/>
  <c r="B207" i="18"/>
  <c r="E206" i="18"/>
  <c r="B206" i="18"/>
  <c r="E205" i="18"/>
  <c r="B205" i="18"/>
  <c r="E204" i="18"/>
  <c r="B204" i="18"/>
  <c r="E203" i="18"/>
  <c r="B203" i="18"/>
  <c r="E202" i="18"/>
  <c r="B202" i="18"/>
  <c r="E201" i="18"/>
  <c r="B201" i="18"/>
  <c r="E200" i="18"/>
  <c r="B200" i="18"/>
  <c r="E199" i="18"/>
  <c r="B199" i="18"/>
  <c r="E198" i="18"/>
  <c r="B198" i="18"/>
  <c r="E197" i="18"/>
  <c r="B197" i="18"/>
  <c r="E196" i="18"/>
  <c r="B196" i="18"/>
  <c r="E195" i="18"/>
  <c r="B195" i="18"/>
  <c r="E194" i="18"/>
  <c r="B194" i="18"/>
  <c r="E193" i="18"/>
  <c r="B193" i="18"/>
  <c r="E192" i="18"/>
  <c r="B192" i="18"/>
  <c r="E191" i="18"/>
  <c r="B191" i="18"/>
  <c r="E190" i="18"/>
  <c r="B190" i="18"/>
  <c r="E189" i="18"/>
  <c r="B189" i="18"/>
  <c r="E188" i="18"/>
  <c r="B188" i="18"/>
  <c r="E187" i="18"/>
  <c r="B187" i="18"/>
  <c r="E186" i="18"/>
  <c r="B186" i="18"/>
  <c r="E185" i="18"/>
  <c r="B185" i="18"/>
  <c r="E184" i="18"/>
  <c r="B184" i="18"/>
  <c r="E183" i="18"/>
  <c r="B183" i="18"/>
  <c r="E182" i="18"/>
  <c r="B182" i="18"/>
  <c r="E181" i="18"/>
  <c r="B181" i="18"/>
  <c r="E180" i="18"/>
  <c r="B180" i="18"/>
  <c r="E179" i="18"/>
  <c r="B179" i="18"/>
  <c r="E178" i="18"/>
  <c r="B178" i="18"/>
  <c r="E177" i="18"/>
  <c r="B177" i="18"/>
  <c r="E176" i="18"/>
  <c r="B176" i="18"/>
  <c r="E175" i="18"/>
  <c r="B175" i="18"/>
  <c r="E174" i="18"/>
  <c r="B174" i="18"/>
  <c r="E173" i="18"/>
  <c r="B173" i="18"/>
  <c r="E172" i="18"/>
  <c r="B172" i="18"/>
  <c r="E171" i="18"/>
  <c r="B171" i="18"/>
  <c r="E170" i="18"/>
  <c r="B170" i="18"/>
  <c r="E169" i="18"/>
  <c r="B169" i="18"/>
  <c r="E168" i="18"/>
  <c r="B168" i="18"/>
  <c r="E167" i="18"/>
  <c r="B167" i="18"/>
  <c r="E166" i="18"/>
  <c r="B166" i="18"/>
  <c r="E165" i="18"/>
  <c r="B165" i="18"/>
  <c r="E164" i="18"/>
  <c r="B164" i="18"/>
  <c r="E163" i="18"/>
  <c r="B163" i="18"/>
  <c r="E162" i="18"/>
  <c r="B162" i="18"/>
  <c r="E161" i="18"/>
  <c r="B161" i="18"/>
  <c r="E160" i="18"/>
  <c r="B160" i="18"/>
  <c r="E159" i="18"/>
  <c r="B159" i="18"/>
  <c r="E158" i="18"/>
  <c r="B158" i="18"/>
  <c r="E157" i="18"/>
  <c r="B157" i="18"/>
  <c r="E156" i="18"/>
  <c r="B156" i="18"/>
  <c r="E155" i="18"/>
  <c r="B155" i="18"/>
  <c r="E154" i="18"/>
  <c r="B154" i="18"/>
  <c r="E153" i="18"/>
  <c r="B153" i="18"/>
  <c r="E152" i="18"/>
  <c r="B152" i="18"/>
  <c r="E151" i="18"/>
  <c r="B151" i="18"/>
  <c r="E150" i="18"/>
  <c r="B150" i="18"/>
  <c r="E149" i="18"/>
  <c r="B149" i="18"/>
  <c r="E148" i="18"/>
  <c r="B148" i="18"/>
  <c r="E147" i="18"/>
  <c r="B147" i="18"/>
  <c r="E146" i="18"/>
  <c r="B146" i="18"/>
  <c r="E145" i="18"/>
  <c r="B145" i="18"/>
  <c r="E144" i="18"/>
  <c r="B144" i="18"/>
  <c r="E143" i="18"/>
  <c r="B143" i="18"/>
  <c r="E142" i="18"/>
  <c r="B142" i="18"/>
  <c r="E141" i="18"/>
  <c r="B141" i="18"/>
  <c r="E140" i="18"/>
  <c r="B140" i="18"/>
  <c r="E139" i="18"/>
  <c r="B139" i="18"/>
  <c r="E138" i="18"/>
  <c r="B138" i="18"/>
  <c r="E137" i="18"/>
  <c r="B137" i="18"/>
  <c r="E136" i="18"/>
  <c r="B136" i="18"/>
  <c r="E135" i="18"/>
  <c r="B135" i="18"/>
  <c r="E134" i="18"/>
  <c r="B134" i="18"/>
  <c r="E133" i="18"/>
  <c r="B133" i="18"/>
  <c r="E132" i="18"/>
  <c r="B132" i="18"/>
  <c r="E131" i="18"/>
  <c r="B131" i="18"/>
  <c r="E130" i="18"/>
  <c r="B130" i="18"/>
  <c r="E129" i="18"/>
  <c r="B129" i="18"/>
  <c r="E128" i="18"/>
  <c r="B128" i="18"/>
  <c r="E127" i="18"/>
  <c r="B127" i="18"/>
  <c r="E126" i="18"/>
  <c r="B126" i="18"/>
  <c r="E125" i="18"/>
  <c r="B125" i="18"/>
  <c r="E124" i="18"/>
  <c r="B124" i="18"/>
  <c r="E123" i="18"/>
  <c r="B123" i="18"/>
  <c r="E122" i="18"/>
  <c r="B122" i="18"/>
  <c r="E121" i="18"/>
  <c r="B121" i="18"/>
  <c r="E120" i="18"/>
  <c r="B120" i="18"/>
  <c r="E119" i="18"/>
  <c r="B119" i="18"/>
  <c r="E118" i="18"/>
  <c r="B118" i="18"/>
  <c r="E117" i="18"/>
  <c r="B117" i="18"/>
  <c r="E116" i="18"/>
  <c r="B116" i="18"/>
  <c r="E115" i="18"/>
  <c r="B115" i="18"/>
  <c r="E114" i="18"/>
  <c r="B114" i="18"/>
  <c r="E113" i="18"/>
  <c r="B113" i="18"/>
  <c r="E112" i="18"/>
  <c r="B112" i="18"/>
  <c r="E111" i="18"/>
  <c r="B111" i="18"/>
  <c r="E110" i="18"/>
  <c r="B110" i="18"/>
  <c r="E109" i="18"/>
  <c r="B109" i="18"/>
  <c r="E108" i="18"/>
  <c r="B108" i="18"/>
  <c r="E107" i="18"/>
  <c r="B107" i="18"/>
  <c r="E106" i="18"/>
  <c r="B106" i="18"/>
  <c r="E105" i="18"/>
  <c r="B105" i="18"/>
  <c r="E104" i="18"/>
  <c r="B104" i="18"/>
  <c r="E103" i="18"/>
  <c r="B103" i="18"/>
  <c r="E102" i="18"/>
  <c r="B102" i="18"/>
  <c r="E101" i="18"/>
  <c r="B101" i="18"/>
  <c r="E100" i="18"/>
  <c r="B100" i="18"/>
  <c r="E99" i="18"/>
  <c r="B99" i="18"/>
  <c r="E98" i="18"/>
  <c r="B98" i="18"/>
  <c r="E97" i="18"/>
  <c r="B97" i="18"/>
  <c r="E96" i="18"/>
  <c r="B96" i="18"/>
  <c r="E95" i="18"/>
  <c r="B95" i="18"/>
  <c r="E94" i="18"/>
  <c r="B94" i="18"/>
  <c r="E93" i="18"/>
  <c r="B93" i="18"/>
  <c r="E92" i="18"/>
  <c r="B92" i="18"/>
  <c r="E91" i="18"/>
  <c r="B91" i="18"/>
  <c r="E90" i="18"/>
  <c r="B90" i="18"/>
  <c r="E89" i="18"/>
  <c r="B89" i="18"/>
  <c r="E88" i="18"/>
  <c r="B88" i="18"/>
  <c r="E87" i="18"/>
  <c r="B87" i="18"/>
  <c r="E86" i="18"/>
  <c r="B86" i="18"/>
  <c r="E85" i="18"/>
  <c r="B85" i="18"/>
  <c r="E84" i="18"/>
  <c r="B84" i="18"/>
  <c r="E83" i="18"/>
  <c r="B83" i="18"/>
  <c r="E82" i="18"/>
  <c r="B82" i="18"/>
  <c r="E81" i="18"/>
  <c r="B81" i="18"/>
  <c r="E80" i="18"/>
  <c r="B80" i="18"/>
  <c r="E79" i="18"/>
  <c r="B79" i="18"/>
  <c r="E78" i="18"/>
  <c r="B78" i="18"/>
  <c r="E77" i="18"/>
  <c r="B77" i="18"/>
  <c r="E76" i="18"/>
  <c r="B76" i="18"/>
  <c r="E75" i="18"/>
  <c r="B75" i="18"/>
  <c r="E74" i="18"/>
  <c r="B74" i="18"/>
  <c r="E73" i="18"/>
  <c r="B73" i="18"/>
  <c r="E72" i="18"/>
  <c r="B72" i="18"/>
  <c r="E71" i="18"/>
  <c r="B71" i="18"/>
  <c r="E70" i="18"/>
  <c r="B70" i="18"/>
  <c r="E69" i="18"/>
  <c r="B69" i="18"/>
  <c r="E68" i="18"/>
  <c r="B68" i="18"/>
  <c r="E67" i="18"/>
  <c r="B67" i="18"/>
  <c r="E66" i="18"/>
  <c r="B66" i="18"/>
  <c r="E65" i="18"/>
  <c r="B65" i="18"/>
  <c r="E64" i="18"/>
  <c r="B64" i="18"/>
  <c r="E63" i="18"/>
  <c r="B63" i="18"/>
  <c r="E62" i="18"/>
  <c r="B62" i="18"/>
  <c r="E61" i="18"/>
  <c r="B61" i="18"/>
  <c r="E60" i="18"/>
  <c r="B60" i="18"/>
  <c r="E59" i="18"/>
  <c r="B59" i="18"/>
  <c r="E58" i="18"/>
  <c r="B58" i="18"/>
  <c r="E57" i="18"/>
  <c r="B57" i="18"/>
  <c r="E56" i="18"/>
  <c r="B56" i="18"/>
  <c r="E55" i="18"/>
  <c r="B55" i="18"/>
  <c r="E54" i="18"/>
  <c r="B54" i="18"/>
  <c r="E53" i="18"/>
  <c r="B53" i="18"/>
  <c r="E52" i="18"/>
  <c r="B52" i="18"/>
  <c r="E51" i="18"/>
  <c r="B51" i="18"/>
  <c r="E50" i="18"/>
  <c r="B50" i="18"/>
  <c r="E49" i="18"/>
  <c r="B49" i="18"/>
  <c r="E48" i="18"/>
  <c r="B48" i="18"/>
  <c r="E47" i="18"/>
  <c r="B47" i="18"/>
  <c r="E46" i="18"/>
  <c r="B46" i="18"/>
  <c r="E45" i="18"/>
  <c r="B45" i="18"/>
  <c r="E44" i="18"/>
  <c r="B44" i="18"/>
  <c r="E43" i="18"/>
  <c r="B43" i="18"/>
  <c r="E42" i="18"/>
  <c r="B42" i="18"/>
  <c r="E41" i="18"/>
  <c r="B41" i="18"/>
  <c r="E40" i="18"/>
  <c r="B40" i="18"/>
  <c r="E39" i="18"/>
  <c r="B39" i="18"/>
  <c r="E38" i="18"/>
  <c r="B38" i="18"/>
  <c r="E37" i="18"/>
  <c r="B37" i="18"/>
  <c r="E36" i="18"/>
  <c r="B36" i="18"/>
  <c r="E35" i="18"/>
  <c r="B35" i="18"/>
  <c r="E34" i="18"/>
  <c r="B34" i="18"/>
  <c r="E33" i="18"/>
  <c r="B33" i="18"/>
  <c r="E32" i="18"/>
  <c r="B32" i="18"/>
  <c r="E31" i="18"/>
  <c r="B31" i="18"/>
  <c r="E30" i="18"/>
  <c r="B30" i="18"/>
  <c r="E29" i="18"/>
  <c r="B29" i="18"/>
  <c r="E28" i="18"/>
  <c r="B28" i="18"/>
  <c r="E27" i="18"/>
  <c r="B27" i="18"/>
  <c r="E26" i="18"/>
  <c r="B26" i="18"/>
  <c r="E25" i="18"/>
  <c r="B25" i="18"/>
  <c r="E24" i="18"/>
  <c r="B24" i="18"/>
  <c r="E23" i="18"/>
  <c r="B23" i="18"/>
  <c r="E22" i="18"/>
  <c r="B22" i="18"/>
  <c r="E21" i="18"/>
  <c r="B21" i="18"/>
  <c r="E20" i="18"/>
  <c r="B20" i="18"/>
  <c r="E19" i="18"/>
  <c r="B19" i="18"/>
  <c r="E18" i="18"/>
  <c r="B18" i="18"/>
  <c r="E17" i="18"/>
  <c r="B17" i="18"/>
  <c r="E16" i="18"/>
  <c r="B16" i="18"/>
  <c r="E15" i="18"/>
  <c r="B15" i="18"/>
  <c r="E14" i="18"/>
  <c r="B14" i="18"/>
  <c r="E13" i="18"/>
  <c r="B13" i="18"/>
  <c r="E12" i="18"/>
  <c r="B12" i="18"/>
  <c r="E11" i="18"/>
  <c r="B11" i="18"/>
  <c r="E10" i="18"/>
  <c r="B10" i="18"/>
  <c r="E9" i="18"/>
  <c r="B9" i="18"/>
  <c r="E8" i="18"/>
  <c r="B8" i="18"/>
  <c r="E7" i="18"/>
  <c r="B7" i="18"/>
  <c r="E6" i="18"/>
  <c r="B6" i="18"/>
  <c r="E5" i="18"/>
  <c r="B5" i="18"/>
  <c r="E4" i="18"/>
  <c r="B4" i="18"/>
  <c r="E3" i="18"/>
  <c r="B3" i="18"/>
  <c r="E2" i="18"/>
  <c r="B2" i="18"/>
  <c r="D91" i="22"/>
  <c r="B91" i="22"/>
  <c r="D90" i="22"/>
  <c r="B90" i="22"/>
  <c r="D89" i="22"/>
  <c r="B89" i="22"/>
  <c r="D88" i="22"/>
  <c r="B88" i="22"/>
  <c r="D87" i="22"/>
  <c r="B87" i="22"/>
  <c r="D86" i="22"/>
  <c r="B86" i="22"/>
  <c r="D85" i="22"/>
  <c r="B85" i="22"/>
  <c r="D84" i="22"/>
  <c r="B84" i="22"/>
  <c r="D83" i="22"/>
  <c r="B83" i="22"/>
  <c r="D82" i="22"/>
  <c r="B82" i="22"/>
  <c r="D81" i="22"/>
  <c r="B81" i="22"/>
  <c r="D80" i="22"/>
  <c r="B80" i="22"/>
  <c r="D79" i="22"/>
  <c r="B79" i="22"/>
  <c r="D78" i="22"/>
  <c r="B78" i="22"/>
  <c r="D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E61" i="22"/>
  <c r="D61" i="22"/>
  <c r="C61" i="22"/>
  <c r="B61" i="22"/>
  <c r="D60" i="22"/>
  <c r="C60" i="22"/>
  <c r="B60" i="22"/>
  <c r="E59" i="22"/>
  <c r="D59" i="22"/>
  <c r="C59" i="22"/>
  <c r="B59" i="22"/>
  <c r="D58" i="22"/>
  <c r="C58" i="22"/>
  <c r="B58" i="22"/>
  <c r="E57" i="22"/>
  <c r="D57" i="22"/>
  <c r="C57" i="22"/>
  <c r="B57" i="22"/>
  <c r="E56" i="22"/>
  <c r="D56" i="22"/>
  <c r="C56" i="22"/>
  <c r="B56" i="22"/>
  <c r="D55" i="22"/>
  <c r="C55" i="22"/>
  <c r="B55" i="22"/>
  <c r="E54" i="22"/>
  <c r="D54" i="22"/>
  <c r="C54" i="22"/>
  <c r="B54" i="22"/>
  <c r="D53" i="22"/>
  <c r="C53" i="22"/>
  <c r="B53" i="22"/>
  <c r="E52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B46" i="22"/>
  <c r="D45" i="22"/>
  <c r="B45" i="22"/>
  <c r="D44" i="22"/>
  <c r="B44" i="22"/>
  <c r="D43" i="22"/>
  <c r="B43" i="22"/>
  <c r="D42" i="22"/>
  <c r="B42" i="22"/>
  <c r="D41" i="22"/>
  <c r="B41" i="22"/>
  <c r="D40" i="22"/>
  <c r="B40" i="22"/>
  <c r="D39" i="22"/>
  <c r="B39" i="22"/>
  <c r="D38" i="22"/>
  <c r="B38" i="22"/>
  <c r="D37" i="22"/>
  <c r="B37" i="22"/>
  <c r="D36" i="22"/>
  <c r="B36" i="22"/>
  <c r="D35" i="22"/>
  <c r="B35" i="22"/>
  <c r="D34" i="22"/>
  <c r="B34" i="22"/>
  <c r="D33" i="22"/>
  <c r="B33" i="22"/>
  <c r="D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E16" i="22"/>
  <c r="D16" i="22"/>
  <c r="C16" i="22"/>
  <c r="B16" i="22"/>
  <c r="D15" i="22"/>
  <c r="C15" i="22"/>
  <c r="B15" i="22"/>
  <c r="E14" i="22"/>
  <c r="D14" i="22"/>
  <c r="C14" i="22"/>
  <c r="B14" i="22"/>
  <c r="D13" i="22"/>
  <c r="C13" i="22"/>
  <c r="B13" i="22"/>
  <c r="E12" i="22"/>
  <c r="D12" i="22"/>
  <c r="C12" i="22"/>
  <c r="B12" i="22"/>
  <c r="E11" i="22"/>
  <c r="D11" i="22"/>
  <c r="C11" i="22"/>
  <c r="B11" i="22"/>
  <c r="D10" i="22"/>
  <c r="C10" i="22"/>
  <c r="B10" i="22"/>
  <c r="E9" i="22"/>
  <c r="D9" i="22"/>
  <c r="C9" i="22"/>
  <c r="B9" i="22"/>
  <c r="D8" i="22"/>
  <c r="C8" i="22"/>
  <c r="B8" i="22"/>
  <c r="E7" i="22"/>
  <c r="D7" i="22"/>
  <c r="C7" i="22"/>
  <c r="B7" i="22"/>
  <c r="D6" i="22"/>
  <c r="C6" i="22"/>
  <c r="B6" i="22"/>
  <c r="D5" i="22"/>
  <c r="C5" i="22"/>
  <c r="B5" i="22"/>
  <c r="D4" i="22"/>
  <c r="C4" i="22"/>
  <c r="B4" i="22"/>
  <c r="D3" i="22"/>
  <c r="C3" i="22"/>
  <c r="B3" i="22"/>
  <c r="D2" i="22"/>
  <c r="C2" i="22"/>
  <c r="B2" i="22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5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50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7" i="57"/>
  <c r="C36" i="57"/>
  <c r="C35" i="57"/>
  <c r="C34" i="57"/>
  <c r="C33" i="57"/>
  <c r="C32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8" i="57"/>
  <c r="C7" i="57"/>
  <c r="C6" i="57"/>
  <c r="C5" i="57"/>
  <c r="C4" i="57"/>
  <c r="C3" i="57"/>
  <c r="C2" i="57"/>
  <c r="I61" i="63"/>
  <c r="H61" i="63"/>
  <c r="G61" i="63"/>
  <c r="F61" i="63"/>
  <c r="E61" i="63"/>
  <c r="D61" i="63"/>
  <c r="B61" i="63"/>
  <c r="I60" i="63"/>
  <c r="H60" i="63"/>
  <c r="G60" i="63"/>
  <c r="F60" i="63"/>
  <c r="E60" i="63"/>
  <c r="D60" i="63"/>
  <c r="B60" i="63"/>
  <c r="E59" i="63"/>
  <c r="B59" i="63"/>
  <c r="I58" i="63"/>
  <c r="H58" i="63"/>
  <c r="G58" i="63"/>
  <c r="F58" i="63"/>
  <c r="E58" i="63"/>
  <c r="D58" i="63"/>
  <c r="B58" i="63"/>
  <c r="I57" i="63"/>
  <c r="H57" i="63"/>
  <c r="G57" i="63"/>
  <c r="F57" i="63"/>
  <c r="E57" i="63"/>
  <c r="D57" i="63"/>
  <c r="B57" i="63"/>
  <c r="I56" i="63"/>
  <c r="H56" i="63"/>
  <c r="G56" i="63"/>
  <c r="E56" i="63"/>
  <c r="D56" i="63"/>
  <c r="B56" i="63"/>
  <c r="I55" i="63"/>
  <c r="H55" i="63"/>
  <c r="G55" i="63"/>
  <c r="E55" i="63"/>
  <c r="D55" i="63"/>
  <c r="B55" i="63"/>
  <c r="I54" i="63"/>
  <c r="H54" i="63"/>
  <c r="G54" i="63"/>
  <c r="E54" i="63"/>
  <c r="D54" i="63"/>
  <c r="B54" i="63"/>
  <c r="I53" i="63"/>
  <c r="H53" i="63"/>
  <c r="G53" i="63"/>
  <c r="F53" i="63"/>
  <c r="E53" i="63"/>
  <c r="D53" i="63"/>
  <c r="B53" i="63"/>
  <c r="I52" i="63"/>
  <c r="H52" i="63"/>
  <c r="G52" i="63"/>
  <c r="F52" i="63"/>
  <c r="E52" i="63"/>
  <c r="D52" i="63"/>
  <c r="B52" i="63"/>
  <c r="I51" i="63"/>
  <c r="H51" i="63"/>
  <c r="G51" i="63"/>
  <c r="F51" i="63"/>
  <c r="E51" i="63"/>
  <c r="D51" i="63"/>
  <c r="B51" i="63"/>
  <c r="I50" i="63"/>
  <c r="H50" i="63"/>
  <c r="G50" i="63"/>
  <c r="F50" i="63"/>
  <c r="E50" i="63"/>
  <c r="D50" i="63"/>
  <c r="B50" i="63"/>
  <c r="E49" i="63"/>
  <c r="B49" i="63"/>
  <c r="I48" i="63"/>
  <c r="H48" i="63"/>
  <c r="G48" i="63"/>
  <c r="F48" i="63"/>
  <c r="E48" i="63"/>
  <c r="D48" i="63"/>
  <c r="B48" i="63"/>
  <c r="I47" i="63"/>
  <c r="H47" i="63"/>
  <c r="G47" i="63"/>
  <c r="F47" i="63"/>
  <c r="E47" i="63"/>
  <c r="D47" i="63"/>
  <c r="B47" i="63"/>
  <c r="I46" i="63"/>
  <c r="H46" i="63"/>
  <c r="G46" i="63"/>
  <c r="E46" i="63"/>
  <c r="D46" i="63"/>
  <c r="B46" i="63"/>
  <c r="I45" i="63"/>
  <c r="H45" i="63"/>
  <c r="G45" i="63"/>
  <c r="E45" i="63"/>
  <c r="D45" i="63"/>
  <c r="B45" i="63"/>
  <c r="I44" i="63"/>
  <c r="H44" i="63"/>
  <c r="G44" i="63"/>
  <c r="E44" i="63"/>
  <c r="D44" i="63"/>
  <c r="B44" i="63"/>
  <c r="I43" i="63"/>
  <c r="H43" i="63"/>
  <c r="G43" i="63"/>
  <c r="F43" i="63"/>
  <c r="E43" i="63"/>
  <c r="D43" i="63"/>
  <c r="B43" i="63"/>
  <c r="I42" i="63"/>
  <c r="H42" i="63"/>
  <c r="G42" i="63"/>
  <c r="F42" i="63"/>
  <c r="E42" i="63"/>
  <c r="D42" i="63"/>
  <c r="B42" i="63"/>
  <c r="I41" i="63"/>
  <c r="H41" i="63"/>
  <c r="G41" i="63"/>
  <c r="F41" i="63"/>
  <c r="E41" i="63"/>
  <c r="D41" i="63"/>
  <c r="B41" i="63"/>
  <c r="I40" i="63"/>
  <c r="H40" i="63"/>
  <c r="G40" i="63"/>
  <c r="F40" i="63"/>
  <c r="E40" i="63"/>
  <c r="D40" i="63"/>
  <c r="B40" i="63"/>
  <c r="E39" i="63"/>
  <c r="B39" i="63"/>
  <c r="I38" i="63"/>
  <c r="H38" i="63"/>
  <c r="G38" i="63"/>
  <c r="F38" i="63"/>
  <c r="E38" i="63"/>
  <c r="D38" i="63"/>
  <c r="B38" i="63"/>
  <c r="I37" i="63"/>
  <c r="H37" i="63"/>
  <c r="G37" i="63"/>
  <c r="F37" i="63"/>
  <c r="E37" i="63"/>
  <c r="D37" i="63"/>
  <c r="B37" i="63"/>
  <c r="I36" i="63"/>
  <c r="H36" i="63"/>
  <c r="G36" i="63"/>
  <c r="E36" i="63"/>
  <c r="D36" i="63"/>
  <c r="B36" i="63"/>
  <c r="I35" i="63"/>
  <c r="H35" i="63"/>
  <c r="G35" i="63"/>
  <c r="E35" i="63"/>
  <c r="D35" i="63"/>
  <c r="B35" i="63"/>
  <c r="I34" i="63"/>
  <c r="H34" i="63"/>
  <c r="G34" i="63"/>
  <c r="E34" i="63"/>
  <c r="D34" i="63"/>
  <c r="B34" i="63"/>
  <c r="I33" i="63"/>
  <c r="H33" i="63"/>
  <c r="G33" i="63"/>
  <c r="F33" i="63"/>
  <c r="E33" i="63"/>
  <c r="D33" i="63"/>
  <c r="B33" i="63"/>
  <c r="I32" i="63"/>
  <c r="H32" i="63"/>
  <c r="G32" i="63"/>
  <c r="F32" i="63"/>
  <c r="E32" i="63"/>
  <c r="D32" i="63"/>
  <c r="B32" i="63"/>
  <c r="I31" i="63"/>
  <c r="H31" i="63"/>
  <c r="G31" i="63"/>
  <c r="F31" i="63"/>
  <c r="E31" i="63"/>
  <c r="D31" i="63"/>
  <c r="B31" i="63"/>
  <c r="I30" i="63"/>
  <c r="H30" i="63"/>
  <c r="G30" i="63"/>
  <c r="F30" i="63"/>
  <c r="E30" i="63"/>
  <c r="D30" i="63"/>
  <c r="B30" i="63"/>
  <c r="E29" i="63"/>
  <c r="B29" i="63"/>
  <c r="I28" i="63"/>
  <c r="H28" i="63"/>
  <c r="G28" i="63"/>
  <c r="F28" i="63"/>
  <c r="E28" i="63"/>
  <c r="D28" i="63"/>
  <c r="B28" i="63"/>
  <c r="I27" i="63"/>
  <c r="H27" i="63"/>
  <c r="G27" i="63"/>
  <c r="F27" i="63"/>
  <c r="E27" i="63"/>
  <c r="D27" i="63"/>
  <c r="B27" i="63"/>
  <c r="I26" i="63"/>
  <c r="H26" i="63"/>
  <c r="G26" i="63"/>
  <c r="E26" i="63"/>
  <c r="D26" i="63"/>
  <c r="B26" i="63"/>
  <c r="I25" i="63"/>
  <c r="H25" i="63"/>
  <c r="G25" i="63"/>
  <c r="E25" i="63"/>
  <c r="D25" i="63"/>
  <c r="B25" i="63"/>
  <c r="I24" i="63"/>
  <c r="H24" i="63"/>
  <c r="G24" i="63"/>
  <c r="E24" i="63"/>
  <c r="D24" i="63"/>
  <c r="B24" i="63"/>
  <c r="I23" i="63"/>
  <c r="H23" i="63"/>
  <c r="G23" i="63"/>
  <c r="F23" i="63"/>
  <c r="E23" i="63"/>
  <c r="D23" i="63"/>
  <c r="B23" i="63"/>
  <c r="I22" i="63"/>
  <c r="H22" i="63"/>
  <c r="G22" i="63"/>
  <c r="F22" i="63"/>
  <c r="E22" i="63"/>
  <c r="D22" i="63"/>
  <c r="B22" i="63"/>
  <c r="I21" i="63"/>
  <c r="H21" i="63"/>
  <c r="G21" i="63"/>
  <c r="F21" i="63"/>
  <c r="E21" i="63"/>
  <c r="D21" i="63"/>
  <c r="B21" i="63"/>
  <c r="I20" i="63"/>
  <c r="H20" i="63"/>
  <c r="G20" i="63"/>
  <c r="F20" i="63"/>
  <c r="E20" i="63"/>
  <c r="D20" i="63"/>
  <c r="B20" i="63"/>
  <c r="E19" i="63"/>
  <c r="B19" i="63"/>
  <c r="I18" i="63"/>
  <c r="H18" i="63"/>
  <c r="G18" i="63"/>
  <c r="F18" i="63"/>
  <c r="E18" i="63"/>
  <c r="D18" i="63"/>
  <c r="B18" i="63"/>
  <c r="I17" i="63"/>
  <c r="H17" i="63"/>
  <c r="G17" i="63"/>
  <c r="F17" i="63"/>
  <c r="E17" i="63"/>
  <c r="D17" i="63"/>
  <c r="B17" i="63"/>
  <c r="I16" i="63"/>
  <c r="H16" i="63"/>
  <c r="G16" i="63"/>
  <c r="E16" i="63"/>
  <c r="D16" i="63"/>
  <c r="B16" i="63"/>
  <c r="I15" i="63"/>
  <c r="H15" i="63"/>
  <c r="G15" i="63"/>
  <c r="E15" i="63"/>
  <c r="D15" i="63"/>
  <c r="B15" i="63"/>
  <c r="I14" i="63"/>
  <c r="H14" i="63"/>
  <c r="G14" i="63"/>
  <c r="E14" i="63"/>
  <c r="D14" i="63"/>
  <c r="B14" i="63"/>
  <c r="I13" i="63"/>
  <c r="H13" i="63"/>
  <c r="G13" i="63"/>
  <c r="F13" i="63"/>
  <c r="E13" i="63"/>
  <c r="D13" i="63"/>
  <c r="B13" i="63"/>
  <c r="I12" i="63"/>
  <c r="H12" i="63"/>
  <c r="G12" i="63"/>
  <c r="F12" i="63"/>
  <c r="E12" i="63"/>
  <c r="D12" i="63"/>
  <c r="B12" i="63"/>
  <c r="B11" i="63"/>
  <c r="B10" i="63"/>
  <c r="B9" i="63"/>
  <c r="B8" i="63"/>
  <c r="B7" i="63"/>
  <c r="F6" i="63"/>
  <c r="B6" i="63"/>
  <c r="F5" i="63"/>
  <c r="B5" i="63"/>
  <c r="F4" i="63"/>
  <c r="B4" i="63"/>
  <c r="B3" i="63"/>
  <c r="B2" i="63"/>
  <c r="F53" i="20"/>
  <c r="C53" i="20" s="1"/>
  <c r="P22" i="18" s="1"/>
  <c r="F52" i="20"/>
  <c r="P30" i="18" s="1"/>
  <c r="F51" i="20"/>
  <c r="P29" i="18" s="1"/>
  <c r="H50" i="20"/>
  <c r="G50" i="20"/>
  <c r="F50" i="20"/>
  <c r="E50" i="20"/>
  <c r="D50" i="20"/>
  <c r="C50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C31" i="20"/>
  <c r="F26" i="20"/>
  <c r="F25" i="20"/>
  <c r="C25" i="20" s="1"/>
  <c r="F24" i="20"/>
  <c r="H23" i="20"/>
  <c r="G23" i="20"/>
  <c r="F23" i="20"/>
  <c r="E23" i="20"/>
  <c r="D23" i="20"/>
  <c r="C23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C5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C4" i="20"/>
  <c r="Z2" i="20"/>
  <c r="Y2" i="20"/>
  <c r="X2" i="20"/>
  <c r="H20" i="77"/>
  <c r="F20" i="77"/>
  <c r="E20" i="77"/>
  <c r="C20" i="77"/>
  <c r="E3" i="77"/>
  <c r="C3" i="77"/>
  <c r="F147" i="74"/>
  <c r="E147" i="74"/>
  <c r="B147" i="74"/>
  <c r="F146" i="74"/>
  <c r="E146" i="74"/>
  <c r="B146" i="74"/>
  <c r="F145" i="74"/>
  <c r="E145" i="74"/>
  <c r="B145" i="74"/>
  <c r="F144" i="74"/>
  <c r="E144" i="74"/>
  <c r="B144" i="74"/>
  <c r="F143" i="74"/>
  <c r="E143" i="74"/>
  <c r="B143" i="74"/>
  <c r="F142" i="74"/>
  <c r="E142" i="74"/>
  <c r="B142" i="74"/>
  <c r="F141" i="74"/>
  <c r="E141" i="74"/>
  <c r="B141" i="74"/>
  <c r="F140" i="74"/>
  <c r="E140" i="74"/>
  <c r="B140" i="74"/>
  <c r="F139" i="74"/>
  <c r="E139" i="74"/>
  <c r="B139" i="74"/>
  <c r="F138" i="74"/>
  <c r="E138" i="74"/>
  <c r="B138" i="74"/>
  <c r="F137" i="74"/>
  <c r="E137" i="74"/>
  <c r="B137" i="74"/>
  <c r="F136" i="74"/>
  <c r="E136" i="74"/>
  <c r="B136" i="74"/>
  <c r="F135" i="74"/>
  <c r="E135" i="74"/>
  <c r="B135" i="74"/>
  <c r="F134" i="74"/>
  <c r="E134" i="74"/>
  <c r="B134" i="74"/>
  <c r="F133" i="74"/>
  <c r="E133" i="74"/>
  <c r="B133" i="74"/>
  <c r="F132" i="74"/>
  <c r="E132" i="74"/>
  <c r="B132" i="74"/>
  <c r="F131" i="74"/>
  <c r="E131" i="74"/>
  <c r="B131" i="74"/>
  <c r="F130" i="74"/>
  <c r="E130" i="74"/>
  <c r="B130" i="74"/>
  <c r="F129" i="74"/>
  <c r="E129" i="74"/>
  <c r="B129" i="74"/>
  <c r="F128" i="74"/>
  <c r="E128" i="74"/>
  <c r="B128" i="74"/>
  <c r="F127" i="74"/>
  <c r="E127" i="74"/>
  <c r="B127" i="74"/>
  <c r="F126" i="74"/>
  <c r="E126" i="74"/>
  <c r="B126" i="74"/>
  <c r="F125" i="74"/>
  <c r="E125" i="74"/>
  <c r="B125" i="74"/>
  <c r="F124" i="74"/>
  <c r="E124" i="74"/>
  <c r="B124" i="74"/>
  <c r="F123" i="74"/>
  <c r="E123" i="74"/>
  <c r="B123" i="74"/>
  <c r="F122" i="74"/>
  <c r="E122" i="74"/>
  <c r="B122" i="74"/>
  <c r="F121" i="74"/>
  <c r="E121" i="74"/>
  <c r="B121" i="74"/>
  <c r="F120" i="74"/>
  <c r="E120" i="74"/>
  <c r="B120" i="74"/>
  <c r="F119" i="74"/>
  <c r="E119" i="74"/>
  <c r="B119" i="74"/>
  <c r="F118" i="74"/>
  <c r="E118" i="74"/>
  <c r="B118" i="74"/>
  <c r="F117" i="74"/>
  <c r="E117" i="74"/>
  <c r="B117" i="74"/>
  <c r="F116" i="74"/>
  <c r="E116" i="74"/>
  <c r="B116" i="74"/>
  <c r="F115" i="74"/>
  <c r="E115" i="74"/>
  <c r="B115" i="74"/>
  <c r="F114" i="74"/>
  <c r="E114" i="74"/>
  <c r="B114" i="74"/>
  <c r="F113" i="74"/>
  <c r="E113" i="74"/>
  <c r="B113" i="74"/>
  <c r="F112" i="74"/>
  <c r="E112" i="74"/>
  <c r="B112" i="74"/>
  <c r="F111" i="74"/>
  <c r="E111" i="74"/>
  <c r="B111" i="74"/>
  <c r="F110" i="74"/>
  <c r="E110" i="74"/>
  <c r="B110" i="74"/>
  <c r="F109" i="74"/>
  <c r="E109" i="74"/>
  <c r="B109" i="74"/>
  <c r="F108" i="74"/>
  <c r="E108" i="74"/>
  <c r="B108" i="74"/>
  <c r="F107" i="74"/>
  <c r="E107" i="74"/>
  <c r="B107" i="74"/>
  <c r="F106" i="74"/>
  <c r="E106" i="74"/>
  <c r="B106" i="74"/>
  <c r="F105" i="74"/>
  <c r="E105" i="74"/>
  <c r="B105" i="74"/>
  <c r="F104" i="74"/>
  <c r="E104" i="74"/>
  <c r="B104" i="74"/>
  <c r="F103" i="74"/>
  <c r="E103" i="74"/>
  <c r="B103" i="74"/>
  <c r="F102" i="74"/>
  <c r="E102" i="74"/>
  <c r="B102" i="74"/>
  <c r="F101" i="74"/>
  <c r="E101" i="74"/>
  <c r="B101" i="74"/>
  <c r="F100" i="74"/>
  <c r="B100" i="74"/>
  <c r="F99" i="74"/>
  <c r="E99" i="74"/>
  <c r="B99" i="74"/>
  <c r="A99" i="74"/>
  <c r="C99" i="74" s="1"/>
  <c r="F98" i="74"/>
  <c r="E98" i="74"/>
  <c r="B98" i="74"/>
  <c r="A98" i="74"/>
  <c r="C98" i="74" s="1"/>
  <c r="F97" i="74"/>
  <c r="E97" i="74"/>
  <c r="B97" i="74"/>
  <c r="A97" i="74"/>
  <c r="C97" i="74" s="1"/>
  <c r="F96" i="74"/>
  <c r="E96" i="74"/>
  <c r="B96" i="74"/>
  <c r="A96" i="74"/>
  <c r="C96" i="74" s="1"/>
  <c r="F95" i="74"/>
  <c r="E95" i="74"/>
  <c r="B95" i="74"/>
  <c r="A95" i="74"/>
  <c r="A143" i="74" s="1"/>
  <c r="C143" i="74" s="1"/>
  <c r="F94" i="74"/>
  <c r="E94" i="74"/>
  <c r="B94" i="74"/>
  <c r="A94" i="74"/>
  <c r="A142" i="74" s="1"/>
  <c r="C142" i="74" s="1"/>
  <c r="F93" i="74"/>
  <c r="E93" i="74"/>
  <c r="B93" i="74"/>
  <c r="A93" i="74"/>
  <c r="C93" i="74" s="1"/>
  <c r="F92" i="74"/>
  <c r="E92" i="74"/>
  <c r="B92" i="74"/>
  <c r="A92" i="74"/>
  <c r="A140" i="74" s="1"/>
  <c r="C140" i="74" s="1"/>
  <c r="F91" i="74"/>
  <c r="E91" i="74"/>
  <c r="B91" i="74"/>
  <c r="A91" i="74"/>
  <c r="A139" i="74" s="1"/>
  <c r="C139" i="74" s="1"/>
  <c r="F90" i="74"/>
  <c r="E90" i="74"/>
  <c r="B90" i="74"/>
  <c r="A90" i="74"/>
  <c r="A138" i="74" s="1"/>
  <c r="C138" i="74" s="1"/>
  <c r="F89" i="74"/>
  <c r="E89" i="74"/>
  <c r="B89" i="74"/>
  <c r="A89" i="74"/>
  <c r="C89" i="74" s="1"/>
  <c r="F88" i="74"/>
  <c r="E88" i="74"/>
  <c r="B88" i="74"/>
  <c r="A88" i="74"/>
  <c r="A136" i="74" s="1"/>
  <c r="C136" i="74" s="1"/>
  <c r="F87" i="74"/>
  <c r="E87" i="74"/>
  <c r="B87" i="74"/>
  <c r="A87" i="74"/>
  <c r="C87" i="74" s="1"/>
  <c r="F86" i="74"/>
  <c r="E86" i="74"/>
  <c r="B86" i="74"/>
  <c r="A86" i="74"/>
  <c r="C86" i="74" s="1"/>
  <c r="F85" i="74"/>
  <c r="E85" i="74"/>
  <c r="B85" i="74"/>
  <c r="A85" i="74"/>
  <c r="C85" i="74" s="1"/>
  <c r="F84" i="74"/>
  <c r="E84" i="74"/>
  <c r="B84" i="74"/>
  <c r="A84" i="74"/>
  <c r="C84" i="74" s="1"/>
  <c r="F83" i="74"/>
  <c r="E83" i="74"/>
  <c r="B83" i="74"/>
  <c r="A83" i="74"/>
  <c r="A131" i="74" s="1"/>
  <c r="C131" i="74" s="1"/>
  <c r="F82" i="74"/>
  <c r="E82" i="74"/>
  <c r="C82" i="74"/>
  <c r="B82" i="74"/>
  <c r="A82" i="74"/>
  <c r="A130" i="74" s="1"/>
  <c r="C130" i="74" s="1"/>
  <c r="F81" i="74"/>
  <c r="E81" i="74"/>
  <c r="B81" i="74"/>
  <c r="A81" i="74"/>
  <c r="C81" i="74" s="1"/>
  <c r="F80" i="74"/>
  <c r="E80" i="74"/>
  <c r="B80" i="74"/>
  <c r="A80" i="74"/>
  <c r="A128" i="74" s="1"/>
  <c r="C128" i="74" s="1"/>
  <c r="F79" i="74"/>
  <c r="E79" i="74"/>
  <c r="B79" i="74"/>
  <c r="A79" i="74"/>
  <c r="A127" i="74" s="1"/>
  <c r="C127" i="74" s="1"/>
  <c r="F78" i="74"/>
  <c r="E78" i="74"/>
  <c r="B78" i="74"/>
  <c r="A78" i="74"/>
  <c r="A126" i="74" s="1"/>
  <c r="C126" i="74" s="1"/>
  <c r="F77" i="74"/>
  <c r="E77" i="74"/>
  <c r="B77" i="74"/>
  <c r="A77" i="74"/>
  <c r="C77" i="74" s="1"/>
  <c r="F76" i="74"/>
  <c r="E76" i="74"/>
  <c r="B76" i="74"/>
  <c r="A76" i="74"/>
  <c r="A124" i="74" s="1"/>
  <c r="C124" i="74" s="1"/>
  <c r="F75" i="74"/>
  <c r="E75" i="74"/>
  <c r="B75" i="74"/>
  <c r="A75" i="74"/>
  <c r="C75" i="74" s="1"/>
  <c r="F74" i="74"/>
  <c r="E74" i="74"/>
  <c r="B74" i="74"/>
  <c r="A74" i="74"/>
  <c r="C74" i="74" s="1"/>
  <c r="F73" i="74"/>
  <c r="E73" i="74"/>
  <c r="B73" i="74"/>
  <c r="A73" i="74"/>
  <c r="C73" i="74" s="1"/>
  <c r="F72" i="74"/>
  <c r="E72" i="74"/>
  <c r="B72" i="74"/>
  <c r="A72" i="74"/>
  <c r="C72" i="74" s="1"/>
  <c r="F71" i="74"/>
  <c r="E71" i="74"/>
  <c r="B71" i="74"/>
  <c r="A71" i="74"/>
  <c r="A119" i="74" s="1"/>
  <c r="C119" i="74" s="1"/>
  <c r="F70" i="74"/>
  <c r="E70" i="74"/>
  <c r="B70" i="74"/>
  <c r="A70" i="74"/>
  <c r="A118" i="74" s="1"/>
  <c r="C118" i="74" s="1"/>
  <c r="F69" i="74"/>
  <c r="E69" i="74"/>
  <c r="B69" i="74"/>
  <c r="A69" i="74"/>
  <c r="C69" i="74" s="1"/>
  <c r="F68" i="74"/>
  <c r="E68" i="74"/>
  <c r="B68" i="74"/>
  <c r="A68" i="74"/>
  <c r="A116" i="74" s="1"/>
  <c r="C116" i="74" s="1"/>
  <c r="F67" i="74"/>
  <c r="E67" i="74"/>
  <c r="B67" i="74"/>
  <c r="A67" i="74"/>
  <c r="A115" i="74" s="1"/>
  <c r="C115" i="74" s="1"/>
  <c r="F66" i="74"/>
  <c r="E66" i="74"/>
  <c r="B66" i="74"/>
  <c r="A66" i="74"/>
  <c r="A114" i="74" s="1"/>
  <c r="C114" i="74" s="1"/>
  <c r="F65" i="74"/>
  <c r="E65" i="74"/>
  <c r="B65" i="74"/>
  <c r="A65" i="74"/>
  <c r="C65" i="74" s="1"/>
  <c r="F64" i="74"/>
  <c r="E64" i="74"/>
  <c r="B64" i="74"/>
  <c r="A64" i="74"/>
  <c r="A112" i="74" s="1"/>
  <c r="C112" i="74" s="1"/>
  <c r="F63" i="74"/>
  <c r="E63" i="74"/>
  <c r="B63" i="74"/>
  <c r="A63" i="74"/>
  <c r="C63" i="74" s="1"/>
  <c r="F62" i="74"/>
  <c r="E62" i="74"/>
  <c r="B62" i="74"/>
  <c r="A62" i="74"/>
  <c r="C62" i="74" s="1"/>
  <c r="F61" i="74"/>
  <c r="E61" i="74"/>
  <c r="B61" i="74"/>
  <c r="A61" i="74"/>
  <c r="C61" i="74" s="1"/>
  <c r="F60" i="74"/>
  <c r="E60" i="74"/>
  <c r="B60" i="74"/>
  <c r="A60" i="74"/>
  <c r="C60" i="74" s="1"/>
  <c r="F59" i="74"/>
  <c r="E59" i="74"/>
  <c r="B59" i="74"/>
  <c r="A59" i="74"/>
  <c r="A107" i="74" s="1"/>
  <c r="C107" i="74" s="1"/>
  <c r="F58" i="74"/>
  <c r="E58" i="74"/>
  <c r="B58" i="74"/>
  <c r="A58" i="74"/>
  <c r="A106" i="74" s="1"/>
  <c r="C106" i="74" s="1"/>
  <c r="F57" i="74"/>
  <c r="E57" i="74"/>
  <c r="B57" i="74"/>
  <c r="A57" i="74"/>
  <c r="C57" i="74" s="1"/>
  <c r="F56" i="74"/>
  <c r="E56" i="74"/>
  <c r="C56" i="74"/>
  <c r="B56" i="74"/>
  <c r="A56" i="74"/>
  <c r="A104" i="74" s="1"/>
  <c r="C104" i="74" s="1"/>
  <c r="F55" i="74"/>
  <c r="E55" i="74"/>
  <c r="B55" i="74"/>
  <c r="A55" i="74"/>
  <c r="S55" i="74" s="1"/>
  <c r="F54" i="74"/>
  <c r="E54" i="74"/>
  <c r="B54" i="74"/>
  <c r="A54" i="74"/>
  <c r="C54" i="74" s="1"/>
  <c r="F53" i="74"/>
  <c r="E53" i="74"/>
  <c r="B53" i="74"/>
  <c r="A53" i="74"/>
  <c r="C53" i="74" s="1"/>
  <c r="F52" i="74"/>
  <c r="E52" i="74"/>
  <c r="E100" i="74" s="1"/>
  <c r="B52" i="74"/>
  <c r="A52" i="74"/>
  <c r="A100" i="74" s="1"/>
  <c r="C100" i="74" s="1"/>
  <c r="F51" i="74"/>
  <c r="C51" i="74"/>
  <c r="F50" i="74"/>
  <c r="C50" i="74"/>
  <c r="F49" i="74"/>
  <c r="C49" i="74"/>
  <c r="F48" i="74"/>
  <c r="C48" i="74"/>
  <c r="F47" i="74"/>
  <c r="C47" i="74"/>
  <c r="F46" i="74"/>
  <c r="C46" i="74"/>
  <c r="F45" i="74"/>
  <c r="C45" i="74"/>
  <c r="F44" i="74"/>
  <c r="C44" i="74"/>
  <c r="F43" i="74"/>
  <c r="C43" i="74"/>
  <c r="F42" i="74"/>
  <c r="C42" i="74"/>
  <c r="F41" i="74"/>
  <c r="C41" i="74"/>
  <c r="F40" i="74"/>
  <c r="C40" i="74"/>
  <c r="F39" i="74"/>
  <c r="C39" i="74"/>
  <c r="F38" i="74"/>
  <c r="C38" i="74"/>
  <c r="F37" i="74"/>
  <c r="C37" i="74"/>
  <c r="F36" i="74"/>
  <c r="C36" i="74"/>
  <c r="F35" i="74"/>
  <c r="C35" i="74"/>
  <c r="F34" i="74"/>
  <c r="C34" i="74"/>
  <c r="F33" i="74"/>
  <c r="C33" i="74"/>
  <c r="F32" i="74"/>
  <c r="C32" i="74"/>
  <c r="F31" i="74"/>
  <c r="C31" i="74"/>
  <c r="F30" i="74"/>
  <c r="C30" i="74"/>
  <c r="F29" i="74"/>
  <c r="C29" i="74"/>
  <c r="F28" i="74"/>
  <c r="C28" i="74"/>
  <c r="F27" i="74"/>
  <c r="C27" i="74"/>
  <c r="F26" i="74"/>
  <c r="C26" i="74"/>
  <c r="F25" i="74"/>
  <c r="C25" i="74"/>
  <c r="F24" i="74"/>
  <c r="C24" i="74"/>
  <c r="F23" i="74"/>
  <c r="C23" i="74"/>
  <c r="F22" i="74"/>
  <c r="C22" i="74"/>
  <c r="F21" i="74"/>
  <c r="C21" i="74"/>
  <c r="F20" i="74"/>
  <c r="C20" i="74"/>
  <c r="F19" i="74"/>
  <c r="C19" i="74"/>
  <c r="F18" i="74"/>
  <c r="C18" i="74"/>
  <c r="F17" i="74"/>
  <c r="C17" i="74"/>
  <c r="F16" i="74"/>
  <c r="C16" i="74"/>
  <c r="F15" i="74"/>
  <c r="C15" i="74"/>
  <c r="F14" i="74"/>
  <c r="C14" i="74"/>
  <c r="F13" i="74"/>
  <c r="C13" i="74"/>
  <c r="F12" i="74"/>
  <c r="C12" i="74"/>
  <c r="F11" i="74"/>
  <c r="C11" i="74"/>
  <c r="F10" i="74"/>
  <c r="C10" i="74"/>
  <c r="F9" i="74"/>
  <c r="C9" i="74"/>
  <c r="F8" i="74"/>
  <c r="C8" i="74"/>
  <c r="S7" i="74"/>
  <c r="F7" i="74"/>
  <c r="C7" i="74"/>
  <c r="F6" i="74"/>
  <c r="C6" i="74"/>
  <c r="F5" i="74"/>
  <c r="C5" i="74"/>
  <c r="F4" i="74"/>
  <c r="C4" i="74"/>
  <c r="AB3" i="74"/>
  <c r="E291" i="66"/>
  <c r="E290" i="66"/>
  <c r="E289" i="66"/>
  <c r="E288" i="66"/>
  <c r="E287" i="66"/>
  <c r="E286" i="66"/>
  <c r="E285" i="66"/>
  <c r="E284" i="66"/>
  <c r="E283" i="66"/>
  <c r="E282" i="66"/>
  <c r="E281" i="66"/>
  <c r="E280" i="66"/>
  <c r="E279" i="66"/>
  <c r="E278" i="66"/>
  <c r="E277" i="66"/>
  <c r="E276" i="66"/>
  <c r="E275" i="66"/>
  <c r="E274" i="66"/>
  <c r="E273" i="66"/>
  <c r="E272" i="66"/>
  <c r="E271" i="66"/>
  <c r="E270" i="66"/>
  <c r="E269" i="66"/>
  <c r="E268" i="66"/>
  <c r="E267" i="66"/>
  <c r="E266" i="66"/>
  <c r="E265" i="66"/>
  <c r="E264" i="66"/>
  <c r="E263" i="66"/>
  <c r="E262" i="66"/>
  <c r="E261" i="66"/>
  <c r="E260" i="66"/>
  <c r="E259" i="66"/>
  <c r="E258" i="66"/>
  <c r="E257" i="66"/>
  <c r="E256" i="66"/>
  <c r="E255" i="66"/>
  <c r="E254" i="66"/>
  <c r="E253" i="66"/>
  <c r="E252" i="66"/>
  <c r="E251" i="66"/>
  <c r="E250" i="66"/>
  <c r="E249" i="66"/>
  <c r="E248" i="66"/>
  <c r="E247" i="66"/>
  <c r="E246" i="66"/>
  <c r="E245" i="66"/>
  <c r="E244" i="66"/>
  <c r="E243" i="66"/>
  <c r="B243" i="66"/>
  <c r="B291" i="66" s="1"/>
  <c r="A243" i="66"/>
  <c r="A291" i="66" s="1"/>
  <c r="I291" i="66" s="1"/>
  <c r="E242" i="66"/>
  <c r="B242" i="66"/>
  <c r="B290" i="66" s="1"/>
  <c r="A242" i="66"/>
  <c r="I242" i="66" s="1"/>
  <c r="E241" i="66"/>
  <c r="B241" i="66"/>
  <c r="B289" i="66" s="1"/>
  <c r="A241" i="66"/>
  <c r="A289" i="66" s="1"/>
  <c r="I289" i="66" s="1"/>
  <c r="E240" i="66"/>
  <c r="B240" i="66"/>
  <c r="B288" i="66" s="1"/>
  <c r="A240" i="66"/>
  <c r="A288" i="66" s="1"/>
  <c r="I288" i="66" s="1"/>
  <c r="E239" i="66"/>
  <c r="B239" i="66"/>
  <c r="B287" i="66" s="1"/>
  <c r="A239" i="66"/>
  <c r="I239" i="66" s="1"/>
  <c r="E238" i="66"/>
  <c r="B238" i="66"/>
  <c r="B286" i="66" s="1"/>
  <c r="A238" i="66"/>
  <c r="I238" i="66" s="1"/>
  <c r="E237" i="66"/>
  <c r="B237" i="66"/>
  <c r="B285" i="66" s="1"/>
  <c r="A237" i="66"/>
  <c r="I237" i="66" s="1"/>
  <c r="I236" i="66"/>
  <c r="E236" i="66"/>
  <c r="B236" i="66"/>
  <c r="B284" i="66" s="1"/>
  <c r="A236" i="66"/>
  <c r="A284" i="66" s="1"/>
  <c r="I284" i="66" s="1"/>
  <c r="E235" i="66"/>
  <c r="B235" i="66"/>
  <c r="B283" i="66" s="1"/>
  <c r="A235" i="66"/>
  <c r="I235" i="66" s="1"/>
  <c r="I234" i="66"/>
  <c r="E234" i="66"/>
  <c r="B234" i="66"/>
  <c r="B282" i="66" s="1"/>
  <c r="A234" i="66"/>
  <c r="A282" i="66" s="1"/>
  <c r="I282" i="66" s="1"/>
  <c r="E233" i="66"/>
  <c r="B233" i="66"/>
  <c r="B281" i="66" s="1"/>
  <c r="A233" i="66"/>
  <c r="A281" i="66" s="1"/>
  <c r="I281" i="66" s="1"/>
  <c r="E232" i="66"/>
  <c r="B232" i="66"/>
  <c r="B280" i="66" s="1"/>
  <c r="A232" i="66"/>
  <c r="A280" i="66" s="1"/>
  <c r="I280" i="66" s="1"/>
  <c r="I231" i="66"/>
  <c r="E231" i="66"/>
  <c r="B231" i="66"/>
  <c r="B279" i="66" s="1"/>
  <c r="A231" i="66"/>
  <c r="A279" i="66" s="1"/>
  <c r="I279" i="66" s="1"/>
  <c r="E230" i="66"/>
  <c r="B230" i="66"/>
  <c r="B278" i="66" s="1"/>
  <c r="A230" i="66"/>
  <c r="I230" i="66" s="1"/>
  <c r="E229" i="66"/>
  <c r="B229" i="66"/>
  <c r="B277" i="66" s="1"/>
  <c r="A229" i="66"/>
  <c r="A277" i="66" s="1"/>
  <c r="I277" i="66" s="1"/>
  <c r="E228" i="66"/>
  <c r="B228" i="66"/>
  <c r="B276" i="66" s="1"/>
  <c r="A228" i="66"/>
  <c r="I228" i="66" s="1"/>
  <c r="E227" i="66"/>
  <c r="B227" i="66"/>
  <c r="B275" i="66" s="1"/>
  <c r="A227" i="66"/>
  <c r="I227" i="66" s="1"/>
  <c r="E226" i="66"/>
  <c r="B226" i="66"/>
  <c r="B274" i="66" s="1"/>
  <c r="A226" i="66"/>
  <c r="I226" i="66" s="1"/>
  <c r="E225" i="66"/>
  <c r="B225" i="66"/>
  <c r="B273" i="66" s="1"/>
  <c r="A225" i="66"/>
  <c r="I225" i="66" s="1"/>
  <c r="I224" i="66"/>
  <c r="E224" i="66"/>
  <c r="B224" i="66"/>
  <c r="B272" i="66" s="1"/>
  <c r="A224" i="66"/>
  <c r="A272" i="66" s="1"/>
  <c r="I272" i="66" s="1"/>
  <c r="E223" i="66"/>
  <c r="B223" i="66"/>
  <c r="B271" i="66" s="1"/>
  <c r="A223" i="66"/>
  <c r="I223" i="66" s="1"/>
  <c r="E222" i="66"/>
  <c r="B222" i="66"/>
  <c r="B270" i="66" s="1"/>
  <c r="A222" i="66"/>
  <c r="A270" i="66" s="1"/>
  <c r="I270" i="66" s="1"/>
  <c r="E221" i="66"/>
  <c r="B221" i="66"/>
  <c r="B269" i="66" s="1"/>
  <c r="A221" i="66"/>
  <c r="A269" i="66" s="1"/>
  <c r="I269" i="66" s="1"/>
  <c r="E220" i="66"/>
  <c r="B220" i="66"/>
  <c r="B268" i="66" s="1"/>
  <c r="A220" i="66"/>
  <c r="A268" i="66" s="1"/>
  <c r="I268" i="66" s="1"/>
  <c r="E219" i="66"/>
  <c r="B219" i="66"/>
  <c r="B267" i="66" s="1"/>
  <c r="A219" i="66"/>
  <c r="A267" i="66" s="1"/>
  <c r="I267" i="66" s="1"/>
  <c r="E218" i="66"/>
  <c r="B218" i="66"/>
  <c r="B266" i="66" s="1"/>
  <c r="A218" i="66"/>
  <c r="I218" i="66" s="1"/>
  <c r="E217" i="66"/>
  <c r="B217" i="66"/>
  <c r="B265" i="66" s="1"/>
  <c r="A217" i="66"/>
  <c r="A265" i="66" s="1"/>
  <c r="I265" i="66" s="1"/>
  <c r="E216" i="66"/>
  <c r="B216" i="66"/>
  <c r="B264" i="66" s="1"/>
  <c r="A216" i="66"/>
  <c r="I216" i="66" s="1"/>
  <c r="E215" i="66"/>
  <c r="B215" i="66"/>
  <c r="B263" i="66" s="1"/>
  <c r="A215" i="66"/>
  <c r="I215" i="66" s="1"/>
  <c r="E214" i="66"/>
  <c r="B214" i="66"/>
  <c r="B262" i="66" s="1"/>
  <c r="A214" i="66"/>
  <c r="I214" i="66" s="1"/>
  <c r="E213" i="66"/>
  <c r="B213" i="66"/>
  <c r="B261" i="66" s="1"/>
  <c r="A213" i="66"/>
  <c r="I213" i="66" s="1"/>
  <c r="E212" i="66"/>
  <c r="B212" i="66"/>
  <c r="B260" i="66" s="1"/>
  <c r="A212" i="66"/>
  <c r="A260" i="66" s="1"/>
  <c r="E211" i="66"/>
  <c r="B211" i="66"/>
  <c r="B259" i="66" s="1"/>
  <c r="A211" i="66"/>
  <c r="I211" i="66" s="1"/>
  <c r="E210" i="66"/>
  <c r="B210" i="66"/>
  <c r="B258" i="66" s="1"/>
  <c r="A210" i="66"/>
  <c r="I210" i="66" s="1"/>
  <c r="E209" i="66"/>
  <c r="B209" i="66"/>
  <c r="B257" i="66" s="1"/>
  <c r="A209" i="66"/>
  <c r="I209" i="66" s="1"/>
  <c r="E208" i="66"/>
  <c r="B208" i="66"/>
  <c r="B256" i="66" s="1"/>
  <c r="A208" i="66"/>
  <c r="I208" i="66" s="1"/>
  <c r="E207" i="66"/>
  <c r="B207" i="66"/>
  <c r="B255" i="66" s="1"/>
  <c r="A207" i="66"/>
  <c r="A255" i="66" s="1"/>
  <c r="I255" i="66" s="1"/>
  <c r="E206" i="66"/>
  <c r="B206" i="66"/>
  <c r="B254" i="66" s="1"/>
  <c r="A206" i="66"/>
  <c r="I206" i="66" s="1"/>
  <c r="E205" i="66"/>
  <c r="B205" i="66"/>
  <c r="B253" i="66" s="1"/>
  <c r="A205" i="66"/>
  <c r="A253" i="66" s="1"/>
  <c r="I253" i="66" s="1"/>
  <c r="E204" i="66"/>
  <c r="B204" i="66"/>
  <c r="B252" i="66" s="1"/>
  <c r="A204" i="66"/>
  <c r="A252" i="66" s="1"/>
  <c r="I252" i="66" s="1"/>
  <c r="E203" i="66"/>
  <c r="B203" i="66"/>
  <c r="B251" i="66" s="1"/>
  <c r="A203" i="66"/>
  <c r="A251" i="66" s="1"/>
  <c r="I251" i="66" s="1"/>
  <c r="E202" i="66"/>
  <c r="B202" i="66"/>
  <c r="B250" i="66" s="1"/>
  <c r="A202" i="66"/>
  <c r="A250" i="66" s="1"/>
  <c r="I250" i="66" s="1"/>
  <c r="E201" i="66"/>
  <c r="B201" i="66"/>
  <c r="B249" i="66" s="1"/>
  <c r="A201" i="66"/>
  <c r="I201" i="66" s="1"/>
  <c r="E200" i="66"/>
  <c r="B200" i="66"/>
  <c r="B248" i="66" s="1"/>
  <c r="A200" i="66"/>
  <c r="A248" i="66" s="1"/>
  <c r="I248" i="66" s="1"/>
  <c r="E199" i="66"/>
  <c r="B199" i="66"/>
  <c r="B247" i="66" s="1"/>
  <c r="A199" i="66"/>
  <c r="S199" i="66" s="1"/>
  <c r="I198" i="66"/>
  <c r="E198" i="66"/>
  <c r="B198" i="66"/>
  <c r="B246" i="66" s="1"/>
  <c r="A198" i="66"/>
  <c r="A246" i="66" s="1"/>
  <c r="I246" i="66" s="1"/>
  <c r="I197" i="66"/>
  <c r="E197" i="66"/>
  <c r="B197" i="66"/>
  <c r="B245" i="66" s="1"/>
  <c r="A197" i="66"/>
  <c r="A245" i="66" s="1"/>
  <c r="I245" i="66" s="1"/>
  <c r="E196" i="66"/>
  <c r="B196" i="66"/>
  <c r="B244" i="66" s="1"/>
  <c r="A196" i="66"/>
  <c r="A244" i="66" s="1"/>
  <c r="I244" i="66" s="1"/>
  <c r="I195" i="66"/>
  <c r="E195" i="66"/>
  <c r="I194" i="66"/>
  <c r="E194" i="66"/>
  <c r="I193" i="66"/>
  <c r="E193" i="66"/>
  <c r="I192" i="66"/>
  <c r="E192" i="66"/>
  <c r="I191" i="66"/>
  <c r="E191" i="66"/>
  <c r="I190" i="66"/>
  <c r="E190" i="66"/>
  <c r="I189" i="66"/>
  <c r="E189" i="66"/>
  <c r="I188" i="66"/>
  <c r="E188" i="66"/>
  <c r="I187" i="66"/>
  <c r="E187" i="66"/>
  <c r="I186" i="66"/>
  <c r="E186" i="66"/>
  <c r="I185" i="66"/>
  <c r="E185" i="66"/>
  <c r="I184" i="66"/>
  <c r="E184" i="66"/>
  <c r="I183" i="66"/>
  <c r="E183" i="66"/>
  <c r="I182" i="66"/>
  <c r="E182" i="66"/>
  <c r="I181" i="66"/>
  <c r="E181" i="66"/>
  <c r="I180" i="66"/>
  <c r="E180" i="66"/>
  <c r="I179" i="66"/>
  <c r="E179" i="66"/>
  <c r="I178" i="66"/>
  <c r="E178" i="66"/>
  <c r="I177" i="66"/>
  <c r="E177" i="66"/>
  <c r="I176" i="66"/>
  <c r="E176" i="66"/>
  <c r="I175" i="66"/>
  <c r="E175" i="66"/>
  <c r="I174" i="66"/>
  <c r="E174" i="66"/>
  <c r="I173" i="66"/>
  <c r="E173" i="66"/>
  <c r="I172" i="66"/>
  <c r="E172" i="66"/>
  <c r="I171" i="66"/>
  <c r="E171" i="66"/>
  <c r="I170" i="66"/>
  <c r="E170" i="66"/>
  <c r="I169" i="66"/>
  <c r="E169" i="66"/>
  <c r="I168" i="66"/>
  <c r="E168" i="66"/>
  <c r="I167" i="66"/>
  <c r="E167" i="66"/>
  <c r="I166" i="66"/>
  <c r="E166" i="66"/>
  <c r="I165" i="66"/>
  <c r="E165" i="66"/>
  <c r="E164" i="66"/>
  <c r="I163" i="66"/>
  <c r="E163" i="66"/>
  <c r="I162" i="66"/>
  <c r="E162" i="66"/>
  <c r="I161" i="66"/>
  <c r="E161" i="66"/>
  <c r="I160" i="66"/>
  <c r="E160" i="66"/>
  <c r="I159" i="66"/>
  <c r="E159" i="66"/>
  <c r="I158" i="66"/>
  <c r="E158" i="66"/>
  <c r="I157" i="66"/>
  <c r="E157" i="66"/>
  <c r="I156" i="66"/>
  <c r="E156" i="66"/>
  <c r="I155" i="66"/>
  <c r="E155" i="66"/>
  <c r="I154" i="66"/>
  <c r="E154" i="66"/>
  <c r="I153" i="66"/>
  <c r="E153" i="66"/>
  <c r="I152" i="66"/>
  <c r="E152" i="66"/>
  <c r="S151" i="66"/>
  <c r="I151" i="66"/>
  <c r="E151" i="66"/>
  <c r="I150" i="66"/>
  <c r="E150" i="66"/>
  <c r="I149" i="66"/>
  <c r="E149" i="66"/>
  <c r="I148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E116" i="66"/>
  <c r="E115" i="66"/>
  <c r="E114" i="66"/>
  <c r="E113" i="66"/>
  <c r="E112" i="66"/>
  <c r="E111" i="66"/>
  <c r="E110" i="66"/>
  <c r="E109" i="66"/>
  <c r="E108" i="66"/>
  <c r="E107" i="66"/>
  <c r="E106" i="66"/>
  <c r="E105" i="66"/>
  <c r="E104" i="66"/>
  <c r="E103" i="66"/>
  <c r="E102" i="66"/>
  <c r="E101" i="66"/>
  <c r="E100" i="66"/>
  <c r="I99" i="66"/>
  <c r="E99" i="66"/>
  <c r="D99" i="66"/>
  <c r="D147" i="66" s="1"/>
  <c r="D195" i="66" s="1"/>
  <c r="D243" i="66" s="1"/>
  <c r="D291" i="66" s="1"/>
  <c r="B99" i="66"/>
  <c r="B147" i="66" s="1"/>
  <c r="A99" i="66"/>
  <c r="A147" i="66" s="1"/>
  <c r="I147" i="66" s="1"/>
  <c r="E98" i="66"/>
  <c r="D98" i="66"/>
  <c r="D146" i="66" s="1"/>
  <c r="D194" i="66" s="1"/>
  <c r="D242" i="66" s="1"/>
  <c r="D290" i="66" s="1"/>
  <c r="B98" i="66"/>
  <c r="B146" i="66" s="1"/>
  <c r="A98" i="66"/>
  <c r="I98" i="66" s="1"/>
  <c r="E97" i="66"/>
  <c r="D97" i="66"/>
  <c r="D145" i="66" s="1"/>
  <c r="D193" i="66" s="1"/>
  <c r="D241" i="66" s="1"/>
  <c r="D289" i="66" s="1"/>
  <c r="B97" i="66"/>
  <c r="B145" i="66" s="1"/>
  <c r="A97" i="66"/>
  <c r="A145" i="66" s="1"/>
  <c r="I145" i="66" s="1"/>
  <c r="E96" i="66"/>
  <c r="D96" i="66"/>
  <c r="D144" i="66" s="1"/>
  <c r="D192" i="66" s="1"/>
  <c r="D240" i="66" s="1"/>
  <c r="D288" i="66" s="1"/>
  <c r="B96" i="66"/>
  <c r="B144" i="66" s="1"/>
  <c r="A96" i="66"/>
  <c r="I96" i="66" s="1"/>
  <c r="E95" i="66"/>
  <c r="D95" i="66"/>
  <c r="D143" i="66" s="1"/>
  <c r="D191" i="66" s="1"/>
  <c r="D239" i="66" s="1"/>
  <c r="D287" i="66" s="1"/>
  <c r="B95" i="66"/>
  <c r="B143" i="66" s="1"/>
  <c r="A95" i="66"/>
  <c r="I95" i="66" s="1"/>
  <c r="E94" i="66"/>
  <c r="D94" i="66"/>
  <c r="D142" i="66" s="1"/>
  <c r="D190" i="66" s="1"/>
  <c r="D238" i="66" s="1"/>
  <c r="D286" i="66" s="1"/>
  <c r="B94" i="66"/>
  <c r="B142" i="66" s="1"/>
  <c r="A94" i="66"/>
  <c r="I94" i="66" s="1"/>
  <c r="E93" i="66"/>
  <c r="D93" i="66"/>
  <c r="D141" i="66" s="1"/>
  <c r="D189" i="66" s="1"/>
  <c r="D237" i="66" s="1"/>
  <c r="D285" i="66" s="1"/>
  <c r="B93" i="66"/>
  <c r="B141" i="66" s="1"/>
  <c r="A93" i="66"/>
  <c r="I93" i="66" s="1"/>
  <c r="E92" i="66"/>
  <c r="D92" i="66"/>
  <c r="D140" i="66" s="1"/>
  <c r="D188" i="66" s="1"/>
  <c r="D236" i="66" s="1"/>
  <c r="D284" i="66" s="1"/>
  <c r="B92" i="66"/>
  <c r="B140" i="66" s="1"/>
  <c r="A92" i="66"/>
  <c r="A140" i="66" s="1"/>
  <c r="I140" i="66" s="1"/>
  <c r="E91" i="66"/>
  <c r="D91" i="66"/>
  <c r="D139" i="66" s="1"/>
  <c r="D187" i="66" s="1"/>
  <c r="D235" i="66" s="1"/>
  <c r="D283" i="66" s="1"/>
  <c r="B91" i="66"/>
  <c r="B139" i="66" s="1"/>
  <c r="A91" i="66"/>
  <c r="I91" i="66" s="1"/>
  <c r="I90" i="66"/>
  <c r="E90" i="66"/>
  <c r="D90" i="66"/>
  <c r="D138" i="66" s="1"/>
  <c r="D186" i="66" s="1"/>
  <c r="D234" i="66" s="1"/>
  <c r="D282" i="66" s="1"/>
  <c r="B90" i="66"/>
  <c r="B138" i="66" s="1"/>
  <c r="A90" i="66"/>
  <c r="A138" i="66" s="1"/>
  <c r="I138" i="66" s="1"/>
  <c r="E89" i="66"/>
  <c r="D89" i="66"/>
  <c r="D137" i="66" s="1"/>
  <c r="D185" i="66" s="1"/>
  <c r="D233" i="66" s="1"/>
  <c r="D281" i="66" s="1"/>
  <c r="B89" i="66"/>
  <c r="B137" i="66" s="1"/>
  <c r="A89" i="66"/>
  <c r="A137" i="66" s="1"/>
  <c r="I137" i="66" s="1"/>
  <c r="I88" i="66"/>
  <c r="E88" i="66"/>
  <c r="D88" i="66"/>
  <c r="D136" i="66" s="1"/>
  <c r="D184" i="66" s="1"/>
  <c r="D232" i="66" s="1"/>
  <c r="D280" i="66" s="1"/>
  <c r="B88" i="66"/>
  <c r="B136" i="66" s="1"/>
  <c r="A88" i="66"/>
  <c r="A136" i="66" s="1"/>
  <c r="I136" i="66" s="1"/>
  <c r="E87" i="66"/>
  <c r="D87" i="66"/>
  <c r="D135" i="66" s="1"/>
  <c r="D183" i="66" s="1"/>
  <c r="D231" i="66" s="1"/>
  <c r="D279" i="66" s="1"/>
  <c r="B87" i="66"/>
  <c r="B135" i="66" s="1"/>
  <c r="A87" i="66"/>
  <c r="A135" i="66" s="1"/>
  <c r="I135" i="66" s="1"/>
  <c r="E86" i="66"/>
  <c r="D86" i="66"/>
  <c r="D134" i="66" s="1"/>
  <c r="D182" i="66" s="1"/>
  <c r="D230" i="66" s="1"/>
  <c r="D278" i="66" s="1"/>
  <c r="B86" i="66"/>
  <c r="B134" i="66" s="1"/>
  <c r="A86" i="66"/>
  <c r="I86" i="66" s="1"/>
  <c r="E85" i="66"/>
  <c r="D85" i="66"/>
  <c r="D133" i="66" s="1"/>
  <c r="D181" i="66" s="1"/>
  <c r="D229" i="66" s="1"/>
  <c r="D277" i="66" s="1"/>
  <c r="B85" i="66"/>
  <c r="B133" i="66" s="1"/>
  <c r="A85" i="66"/>
  <c r="A133" i="66" s="1"/>
  <c r="I133" i="66" s="1"/>
  <c r="E84" i="66"/>
  <c r="D84" i="66"/>
  <c r="D132" i="66" s="1"/>
  <c r="D180" i="66" s="1"/>
  <c r="D228" i="66" s="1"/>
  <c r="D276" i="66" s="1"/>
  <c r="B84" i="66"/>
  <c r="B132" i="66" s="1"/>
  <c r="A84" i="66"/>
  <c r="A132" i="66" s="1"/>
  <c r="I132" i="66" s="1"/>
  <c r="E83" i="66"/>
  <c r="D83" i="66"/>
  <c r="D131" i="66" s="1"/>
  <c r="D179" i="66" s="1"/>
  <c r="D227" i="66" s="1"/>
  <c r="D275" i="66" s="1"/>
  <c r="B83" i="66"/>
  <c r="B131" i="66" s="1"/>
  <c r="A83" i="66"/>
  <c r="I83" i="66" s="1"/>
  <c r="E82" i="66"/>
  <c r="D82" i="66"/>
  <c r="D130" i="66" s="1"/>
  <c r="D178" i="66" s="1"/>
  <c r="D226" i="66" s="1"/>
  <c r="D274" i="66" s="1"/>
  <c r="B82" i="66"/>
  <c r="B130" i="66" s="1"/>
  <c r="A82" i="66"/>
  <c r="I82" i="66" s="1"/>
  <c r="E81" i="66"/>
  <c r="D81" i="66"/>
  <c r="D129" i="66" s="1"/>
  <c r="D177" i="66" s="1"/>
  <c r="D225" i="66" s="1"/>
  <c r="D273" i="66" s="1"/>
  <c r="B81" i="66"/>
  <c r="B129" i="66" s="1"/>
  <c r="A81" i="66"/>
  <c r="I81" i="66" s="1"/>
  <c r="E80" i="66"/>
  <c r="D80" i="66"/>
  <c r="D128" i="66" s="1"/>
  <c r="D176" i="66" s="1"/>
  <c r="D224" i="66" s="1"/>
  <c r="D272" i="66" s="1"/>
  <c r="B80" i="66"/>
  <c r="B128" i="66" s="1"/>
  <c r="A80" i="66"/>
  <c r="A128" i="66" s="1"/>
  <c r="I128" i="66" s="1"/>
  <c r="E79" i="66"/>
  <c r="D79" i="66"/>
  <c r="D127" i="66" s="1"/>
  <c r="D175" i="66" s="1"/>
  <c r="D223" i="66" s="1"/>
  <c r="D271" i="66" s="1"/>
  <c r="B79" i="66"/>
  <c r="B127" i="66" s="1"/>
  <c r="A79" i="66"/>
  <c r="I79" i="66" s="1"/>
  <c r="E78" i="66"/>
  <c r="D78" i="66"/>
  <c r="D126" i="66" s="1"/>
  <c r="D174" i="66" s="1"/>
  <c r="D222" i="66" s="1"/>
  <c r="D270" i="66" s="1"/>
  <c r="B78" i="66"/>
  <c r="B126" i="66" s="1"/>
  <c r="A78" i="66"/>
  <c r="A126" i="66" s="1"/>
  <c r="I126" i="66" s="1"/>
  <c r="I77" i="66"/>
  <c r="E77" i="66"/>
  <c r="D77" i="66"/>
  <c r="D125" i="66" s="1"/>
  <c r="D173" i="66" s="1"/>
  <c r="D221" i="66" s="1"/>
  <c r="D269" i="66" s="1"/>
  <c r="B77" i="66"/>
  <c r="B125" i="66" s="1"/>
  <c r="A77" i="66"/>
  <c r="A125" i="66" s="1"/>
  <c r="I125" i="66" s="1"/>
  <c r="E76" i="66"/>
  <c r="D76" i="66"/>
  <c r="D124" i="66" s="1"/>
  <c r="D172" i="66" s="1"/>
  <c r="D220" i="66" s="1"/>
  <c r="D268" i="66" s="1"/>
  <c r="B76" i="66"/>
  <c r="B124" i="66" s="1"/>
  <c r="A76" i="66"/>
  <c r="A124" i="66" s="1"/>
  <c r="I124" i="66" s="1"/>
  <c r="E75" i="66"/>
  <c r="D75" i="66"/>
  <c r="D123" i="66" s="1"/>
  <c r="D171" i="66" s="1"/>
  <c r="D219" i="66" s="1"/>
  <c r="D267" i="66" s="1"/>
  <c r="B75" i="66"/>
  <c r="B123" i="66" s="1"/>
  <c r="A75" i="66"/>
  <c r="A123" i="66" s="1"/>
  <c r="I123" i="66" s="1"/>
  <c r="E74" i="66"/>
  <c r="D74" i="66"/>
  <c r="D122" i="66" s="1"/>
  <c r="D170" i="66" s="1"/>
  <c r="D218" i="66" s="1"/>
  <c r="D266" i="66" s="1"/>
  <c r="B74" i="66"/>
  <c r="B122" i="66" s="1"/>
  <c r="A74" i="66"/>
  <c r="I74" i="66" s="1"/>
  <c r="E73" i="66"/>
  <c r="D73" i="66"/>
  <c r="D121" i="66" s="1"/>
  <c r="D169" i="66" s="1"/>
  <c r="D217" i="66" s="1"/>
  <c r="D265" i="66" s="1"/>
  <c r="B73" i="66"/>
  <c r="B121" i="66" s="1"/>
  <c r="A73" i="66"/>
  <c r="A121" i="66" s="1"/>
  <c r="I121" i="66" s="1"/>
  <c r="E72" i="66"/>
  <c r="D72" i="66"/>
  <c r="D120" i="66" s="1"/>
  <c r="D168" i="66" s="1"/>
  <c r="D216" i="66" s="1"/>
  <c r="D264" i="66" s="1"/>
  <c r="B72" i="66"/>
  <c r="B120" i="66" s="1"/>
  <c r="A72" i="66"/>
  <c r="A120" i="66" s="1"/>
  <c r="I120" i="66" s="1"/>
  <c r="E71" i="66"/>
  <c r="D71" i="66"/>
  <c r="D119" i="66" s="1"/>
  <c r="D167" i="66" s="1"/>
  <c r="D215" i="66" s="1"/>
  <c r="D263" i="66" s="1"/>
  <c r="B71" i="66"/>
  <c r="B119" i="66" s="1"/>
  <c r="A71" i="66"/>
  <c r="I71" i="66" s="1"/>
  <c r="E70" i="66"/>
  <c r="D70" i="66"/>
  <c r="D118" i="66" s="1"/>
  <c r="D166" i="66" s="1"/>
  <c r="D214" i="66" s="1"/>
  <c r="D262" i="66" s="1"/>
  <c r="B70" i="66"/>
  <c r="B118" i="66" s="1"/>
  <c r="A70" i="66"/>
  <c r="I70" i="66" s="1"/>
  <c r="E69" i="66"/>
  <c r="D69" i="66"/>
  <c r="D117" i="66" s="1"/>
  <c r="D165" i="66" s="1"/>
  <c r="D213" i="66" s="1"/>
  <c r="D261" i="66" s="1"/>
  <c r="B69" i="66"/>
  <c r="B117" i="66" s="1"/>
  <c r="A69" i="66"/>
  <c r="I69" i="66" s="1"/>
  <c r="E68" i="66"/>
  <c r="D68" i="66"/>
  <c r="D116" i="66" s="1"/>
  <c r="D164" i="66" s="1"/>
  <c r="D212" i="66" s="1"/>
  <c r="D260" i="66" s="1"/>
  <c r="B68" i="66"/>
  <c r="B116" i="66" s="1"/>
  <c r="A68" i="66"/>
  <c r="A116" i="66" s="1"/>
  <c r="E67" i="66"/>
  <c r="D67" i="66"/>
  <c r="D115" i="66" s="1"/>
  <c r="D163" i="66" s="1"/>
  <c r="D211" i="66" s="1"/>
  <c r="D259" i="66" s="1"/>
  <c r="B67" i="66"/>
  <c r="B115" i="66" s="1"/>
  <c r="A67" i="66"/>
  <c r="I67" i="66" s="1"/>
  <c r="E66" i="66"/>
  <c r="D66" i="66"/>
  <c r="D114" i="66" s="1"/>
  <c r="D162" i="66" s="1"/>
  <c r="D210" i="66" s="1"/>
  <c r="D258" i="66" s="1"/>
  <c r="B66" i="66"/>
  <c r="B114" i="66" s="1"/>
  <c r="A66" i="66"/>
  <c r="I66" i="66" s="1"/>
  <c r="E65" i="66"/>
  <c r="D65" i="66"/>
  <c r="D113" i="66" s="1"/>
  <c r="D161" i="66" s="1"/>
  <c r="D209" i="66" s="1"/>
  <c r="D257" i="66" s="1"/>
  <c r="B65" i="66"/>
  <c r="B113" i="66" s="1"/>
  <c r="A65" i="66"/>
  <c r="I65" i="66" s="1"/>
  <c r="E64" i="66"/>
  <c r="D64" i="66"/>
  <c r="D112" i="66" s="1"/>
  <c r="D160" i="66" s="1"/>
  <c r="D208" i="66" s="1"/>
  <c r="D256" i="66" s="1"/>
  <c r="B64" i="66"/>
  <c r="B112" i="66" s="1"/>
  <c r="A64" i="66"/>
  <c r="I64" i="66" s="1"/>
  <c r="I63" i="66"/>
  <c r="E63" i="66"/>
  <c r="D63" i="66"/>
  <c r="D111" i="66" s="1"/>
  <c r="D159" i="66" s="1"/>
  <c r="D207" i="66" s="1"/>
  <c r="D255" i="66" s="1"/>
  <c r="B63" i="66"/>
  <c r="B111" i="66" s="1"/>
  <c r="A63" i="66"/>
  <c r="A111" i="66" s="1"/>
  <c r="I111" i="66" s="1"/>
  <c r="E62" i="66"/>
  <c r="D62" i="66"/>
  <c r="D110" i="66" s="1"/>
  <c r="D158" i="66" s="1"/>
  <c r="D206" i="66" s="1"/>
  <c r="D254" i="66" s="1"/>
  <c r="B62" i="66"/>
  <c r="B110" i="66" s="1"/>
  <c r="A62" i="66"/>
  <c r="I62" i="66" s="1"/>
  <c r="E61" i="66"/>
  <c r="D61" i="66"/>
  <c r="D109" i="66" s="1"/>
  <c r="D157" i="66" s="1"/>
  <c r="D205" i="66" s="1"/>
  <c r="D253" i="66" s="1"/>
  <c r="B61" i="66"/>
  <c r="B109" i="66" s="1"/>
  <c r="A61" i="66"/>
  <c r="A109" i="66" s="1"/>
  <c r="I109" i="66" s="1"/>
  <c r="E60" i="66"/>
  <c r="D60" i="66"/>
  <c r="D108" i="66" s="1"/>
  <c r="D156" i="66" s="1"/>
  <c r="D204" i="66" s="1"/>
  <c r="D252" i="66" s="1"/>
  <c r="B60" i="66"/>
  <c r="B108" i="66" s="1"/>
  <c r="A60" i="66"/>
  <c r="A108" i="66" s="1"/>
  <c r="I108" i="66" s="1"/>
  <c r="E59" i="66"/>
  <c r="D59" i="66"/>
  <c r="D107" i="66" s="1"/>
  <c r="D155" i="66" s="1"/>
  <c r="D203" i="66" s="1"/>
  <c r="D251" i="66" s="1"/>
  <c r="B59" i="66"/>
  <c r="B107" i="66" s="1"/>
  <c r="A59" i="66"/>
  <c r="A107" i="66" s="1"/>
  <c r="I107" i="66" s="1"/>
  <c r="I58" i="66"/>
  <c r="E58" i="66"/>
  <c r="D58" i="66"/>
  <c r="D106" i="66" s="1"/>
  <c r="D154" i="66" s="1"/>
  <c r="D202" i="66" s="1"/>
  <c r="D250" i="66" s="1"/>
  <c r="B58" i="66"/>
  <c r="B106" i="66" s="1"/>
  <c r="A58" i="66"/>
  <c r="A106" i="66" s="1"/>
  <c r="I106" i="66" s="1"/>
  <c r="E57" i="66"/>
  <c r="D57" i="66"/>
  <c r="D105" i="66" s="1"/>
  <c r="D153" i="66" s="1"/>
  <c r="D201" i="66" s="1"/>
  <c r="D249" i="66" s="1"/>
  <c r="B57" i="66"/>
  <c r="B105" i="66" s="1"/>
  <c r="A57" i="66"/>
  <c r="I57" i="66" s="1"/>
  <c r="E56" i="66"/>
  <c r="D56" i="66"/>
  <c r="D104" i="66" s="1"/>
  <c r="D152" i="66" s="1"/>
  <c r="D200" i="66" s="1"/>
  <c r="D248" i="66" s="1"/>
  <c r="B56" i="66"/>
  <c r="B104" i="66" s="1"/>
  <c r="A56" i="66"/>
  <c r="A104" i="66" s="1"/>
  <c r="I104" i="66" s="1"/>
  <c r="E55" i="66"/>
  <c r="D55" i="66"/>
  <c r="D103" i="66" s="1"/>
  <c r="D151" i="66" s="1"/>
  <c r="D199" i="66" s="1"/>
  <c r="D247" i="66" s="1"/>
  <c r="B55" i="66"/>
  <c r="B103" i="66" s="1"/>
  <c r="A55" i="66"/>
  <c r="S55" i="66" s="1"/>
  <c r="I54" i="66"/>
  <c r="E54" i="66"/>
  <c r="D54" i="66"/>
  <c r="D102" i="66" s="1"/>
  <c r="D150" i="66" s="1"/>
  <c r="D198" i="66" s="1"/>
  <c r="D246" i="66" s="1"/>
  <c r="B54" i="66"/>
  <c r="B102" i="66" s="1"/>
  <c r="A54" i="66"/>
  <c r="A102" i="66" s="1"/>
  <c r="I102" i="66" s="1"/>
  <c r="I53" i="66"/>
  <c r="E53" i="66"/>
  <c r="D53" i="66"/>
  <c r="D101" i="66" s="1"/>
  <c r="D149" i="66" s="1"/>
  <c r="D197" i="66" s="1"/>
  <c r="D245" i="66" s="1"/>
  <c r="B53" i="66"/>
  <c r="B101" i="66" s="1"/>
  <c r="A53" i="66"/>
  <c r="A101" i="66" s="1"/>
  <c r="I101" i="66" s="1"/>
  <c r="E52" i="66"/>
  <c r="D52" i="66"/>
  <c r="D100" i="66" s="1"/>
  <c r="D148" i="66" s="1"/>
  <c r="D196" i="66" s="1"/>
  <c r="D244" i="66" s="1"/>
  <c r="B52" i="66"/>
  <c r="B100" i="66" s="1"/>
  <c r="A52" i="66"/>
  <c r="A100" i="66" s="1"/>
  <c r="I100" i="66" s="1"/>
  <c r="I51" i="66"/>
  <c r="E51" i="66"/>
  <c r="I50" i="66"/>
  <c r="E50" i="66"/>
  <c r="I49" i="66"/>
  <c r="E49" i="66"/>
  <c r="I48" i="66"/>
  <c r="E48" i="66"/>
  <c r="I47" i="66"/>
  <c r="E47" i="66"/>
  <c r="I46" i="66"/>
  <c r="E46" i="66"/>
  <c r="I45" i="66"/>
  <c r="E45" i="66"/>
  <c r="I44" i="66"/>
  <c r="E44" i="66"/>
  <c r="I43" i="66"/>
  <c r="E43" i="66"/>
  <c r="I42" i="66"/>
  <c r="E42" i="66"/>
  <c r="I41" i="66"/>
  <c r="E41" i="66"/>
  <c r="I40" i="66"/>
  <c r="E40" i="66"/>
  <c r="I39" i="66"/>
  <c r="E39" i="66"/>
  <c r="I38" i="66"/>
  <c r="E38" i="66"/>
  <c r="I37" i="66"/>
  <c r="E37" i="66"/>
  <c r="I36" i="66"/>
  <c r="E36" i="66"/>
  <c r="I35" i="66"/>
  <c r="E35" i="66"/>
  <c r="I34" i="66"/>
  <c r="E34" i="66"/>
  <c r="I33" i="66"/>
  <c r="E33" i="66"/>
  <c r="I32" i="66"/>
  <c r="E32" i="66"/>
  <c r="I31" i="66"/>
  <c r="E31" i="66"/>
  <c r="I30" i="66"/>
  <c r="E30" i="66"/>
  <c r="I29" i="66"/>
  <c r="E29" i="66"/>
  <c r="I28" i="66"/>
  <c r="E28" i="66"/>
  <c r="I27" i="66"/>
  <c r="E27" i="66"/>
  <c r="I26" i="66"/>
  <c r="E26" i="66"/>
  <c r="I25" i="66"/>
  <c r="E25" i="66"/>
  <c r="I24" i="66"/>
  <c r="E24" i="66"/>
  <c r="I23" i="66"/>
  <c r="E23" i="66"/>
  <c r="I22" i="66"/>
  <c r="E22" i="66"/>
  <c r="I21" i="66"/>
  <c r="E21" i="66"/>
  <c r="E20" i="66"/>
  <c r="I19" i="66"/>
  <c r="E19" i="66"/>
  <c r="I18" i="66"/>
  <c r="E18" i="66"/>
  <c r="I17" i="66"/>
  <c r="E17" i="66"/>
  <c r="I16" i="66"/>
  <c r="E16" i="66"/>
  <c r="I15" i="66"/>
  <c r="E15" i="66"/>
  <c r="I14" i="66"/>
  <c r="E14" i="66"/>
  <c r="I13" i="66"/>
  <c r="E13" i="66"/>
  <c r="I12" i="66"/>
  <c r="E12" i="66"/>
  <c r="I11" i="66"/>
  <c r="E11" i="66"/>
  <c r="I10" i="66"/>
  <c r="E10" i="66"/>
  <c r="I9" i="66"/>
  <c r="E9" i="66"/>
  <c r="I8" i="66"/>
  <c r="E8" i="66"/>
  <c r="S7" i="66"/>
  <c r="I7" i="66"/>
  <c r="E7" i="66"/>
  <c r="I6" i="66"/>
  <c r="E6" i="66"/>
  <c r="I5" i="66"/>
  <c r="E5" i="66"/>
  <c r="I4" i="66"/>
  <c r="E4" i="66"/>
  <c r="K2" i="41"/>
  <c r="R1" i="41"/>
  <c r="K1" i="41"/>
  <c r="J1" i="41"/>
  <c r="I1" i="41"/>
  <c r="G1" i="41"/>
  <c r="F1" i="41"/>
  <c r="E1" i="41"/>
  <c r="D1" i="41"/>
  <c r="C1" i="41"/>
  <c r="B1" i="41"/>
  <c r="G497" i="58"/>
  <c r="F497" i="58"/>
  <c r="E497" i="58"/>
  <c r="D497" i="58"/>
  <c r="C497" i="58"/>
  <c r="B497" i="58"/>
  <c r="A497" i="58"/>
  <c r="G496" i="58"/>
  <c r="F496" i="58"/>
  <c r="E496" i="58"/>
  <c r="D496" i="58"/>
  <c r="C496" i="58"/>
  <c r="B496" i="58"/>
  <c r="A496" i="58"/>
  <c r="G495" i="58"/>
  <c r="F495" i="58"/>
  <c r="E495" i="58"/>
  <c r="D495" i="58"/>
  <c r="C495" i="58"/>
  <c r="B495" i="58"/>
  <c r="A495" i="58"/>
  <c r="G494" i="58"/>
  <c r="F494" i="58"/>
  <c r="E494" i="58"/>
  <c r="D494" i="58"/>
  <c r="C494" i="58"/>
  <c r="B494" i="58"/>
  <c r="A494" i="58"/>
  <c r="G493" i="58"/>
  <c r="F493" i="58"/>
  <c r="E493" i="58"/>
  <c r="D493" i="58"/>
  <c r="C493" i="58"/>
  <c r="B493" i="58"/>
  <c r="A493" i="58"/>
  <c r="G492" i="58"/>
  <c r="F492" i="58"/>
  <c r="E492" i="58"/>
  <c r="D492" i="58"/>
  <c r="C492" i="58"/>
  <c r="B492" i="58"/>
  <c r="A492" i="58"/>
  <c r="G491" i="58"/>
  <c r="F491" i="58"/>
  <c r="E491" i="58"/>
  <c r="D491" i="58"/>
  <c r="C491" i="58"/>
  <c r="B491" i="58"/>
  <c r="A491" i="58"/>
  <c r="G490" i="58"/>
  <c r="F490" i="58"/>
  <c r="E490" i="58"/>
  <c r="D490" i="58"/>
  <c r="C490" i="58"/>
  <c r="B490" i="58"/>
  <c r="A490" i="58"/>
  <c r="G489" i="58"/>
  <c r="F489" i="58"/>
  <c r="E489" i="58"/>
  <c r="D489" i="58"/>
  <c r="C489" i="58"/>
  <c r="B489" i="58"/>
  <c r="A489" i="58"/>
  <c r="G488" i="58"/>
  <c r="F488" i="58"/>
  <c r="E488" i="58"/>
  <c r="D488" i="58"/>
  <c r="C488" i="58"/>
  <c r="B488" i="58"/>
  <c r="A488" i="58"/>
  <c r="G487" i="58"/>
  <c r="F487" i="58"/>
  <c r="E487" i="58"/>
  <c r="D487" i="58"/>
  <c r="C487" i="58"/>
  <c r="B487" i="58"/>
  <c r="A487" i="58"/>
  <c r="G486" i="58"/>
  <c r="F486" i="58"/>
  <c r="E486" i="58"/>
  <c r="D486" i="58"/>
  <c r="C486" i="58"/>
  <c r="B486" i="58"/>
  <c r="A486" i="58"/>
  <c r="G485" i="58"/>
  <c r="F485" i="58"/>
  <c r="E485" i="58"/>
  <c r="D485" i="58"/>
  <c r="C485" i="58"/>
  <c r="B485" i="58"/>
  <c r="A485" i="58"/>
  <c r="G484" i="58"/>
  <c r="F484" i="58"/>
  <c r="E484" i="58"/>
  <c r="D484" i="58"/>
  <c r="C484" i="58"/>
  <c r="B484" i="58"/>
  <c r="A484" i="58"/>
  <c r="G483" i="58"/>
  <c r="F483" i="58"/>
  <c r="E483" i="58"/>
  <c r="D483" i="58"/>
  <c r="C483" i="58"/>
  <c r="B483" i="58"/>
  <c r="A483" i="58"/>
  <c r="G482" i="58"/>
  <c r="F482" i="58"/>
  <c r="E482" i="58"/>
  <c r="D482" i="58"/>
  <c r="C482" i="58"/>
  <c r="B482" i="58"/>
  <c r="A482" i="58"/>
  <c r="G481" i="58"/>
  <c r="F481" i="58"/>
  <c r="E481" i="58"/>
  <c r="D481" i="58"/>
  <c r="C481" i="58"/>
  <c r="B481" i="58"/>
  <c r="A481" i="58"/>
  <c r="G480" i="58"/>
  <c r="F480" i="58"/>
  <c r="E480" i="58"/>
  <c r="D480" i="58"/>
  <c r="C480" i="58"/>
  <c r="B480" i="58"/>
  <c r="A480" i="58"/>
  <c r="G479" i="58"/>
  <c r="F479" i="58"/>
  <c r="E479" i="58"/>
  <c r="D479" i="58"/>
  <c r="C479" i="58"/>
  <c r="B479" i="58"/>
  <c r="A479" i="58"/>
  <c r="G478" i="58"/>
  <c r="F478" i="58"/>
  <c r="E478" i="58"/>
  <c r="D478" i="58"/>
  <c r="C478" i="58"/>
  <c r="B478" i="58"/>
  <c r="A478" i="58"/>
  <c r="G477" i="58"/>
  <c r="F477" i="58"/>
  <c r="E477" i="58"/>
  <c r="D477" i="58"/>
  <c r="C477" i="58"/>
  <c r="B477" i="58"/>
  <c r="A477" i="58"/>
  <c r="G476" i="58"/>
  <c r="F476" i="58"/>
  <c r="E476" i="58"/>
  <c r="D476" i="58"/>
  <c r="C476" i="58"/>
  <c r="B476" i="58"/>
  <c r="A476" i="58"/>
  <c r="G475" i="58"/>
  <c r="F475" i="58"/>
  <c r="E475" i="58"/>
  <c r="D475" i="58"/>
  <c r="C475" i="58"/>
  <c r="B475" i="58"/>
  <c r="A475" i="58"/>
  <c r="G474" i="58"/>
  <c r="F474" i="58"/>
  <c r="E474" i="58"/>
  <c r="D474" i="58"/>
  <c r="C474" i="58"/>
  <c r="B474" i="58"/>
  <c r="A474" i="58"/>
  <c r="G473" i="58"/>
  <c r="F473" i="58"/>
  <c r="E473" i="58"/>
  <c r="D473" i="58"/>
  <c r="C473" i="58"/>
  <c r="B473" i="58"/>
  <c r="A473" i="58"/>
  <c r="G472" i="58"/>
  <c r="F472" i="58"/>
  <c r="E472" i="58"/>
  <c r="D472" i="58"/>
  <c r="C472" i="58"/>
  <c r="B472" i="58"/>
  <c r="A472" i="58"/>
  <c r="G471" i="58"/>
  <c r="F471" i="58"/>
  <c r="E471" i="58"/>
  <c r="D471" i="58"/>
  <c r="C471" i="58"/>
  <c r="B471" i="58"/>
  <c r="A471" i="58"/>
  <c r="G470" i="58"/>
  <c r="F470" i="58"/>
  <c r="E470" i="58"/>
  <c r="D470" i="58"/>
  <c r="C470" i="58"/>
  <c r="B470" i="58"/>
  <c r="A470" i="58"/>
  <c r="G469" i="58"/>
  <c r="F469" i="58"/>
  <c r="E469" i="58"/>
  <c r="D469" i="58"/>
  <c r="C469" i="58"/>
  <c r="B469" i="58"/>
  <c r="A469" i="58"/>
  <c r="G468" i="58"/>
  <c r="F468" i="58"/>
  <c r="E468" i="58"/>
  <c r="D468" i="58"/>
  <c r="C468" i="58"/>
  <c r="B468" i="58"/>
  <c r="A468" i="58"/>
  <c r="G467" i="58"/>
  <c r="F467" i="58"/>
  <c r="E467" i="58"/>
  <c r="D467" i="58"/>
  <c r="C467" i="58"/>
  <c r="B467" i="58"/>
  <c r="A467" i="58"/>
  <c r="G466" i="58"/>
  <c r="F466" i="58"/>
  <c r="E466" i="58"/>
  <c r="D466" i="58"/>
  <c r="C466" i="58"/>
  <c r="B466" i="58"/>
  <c r="A466" i="58"/>
  <c r="G465" i="58"/>
  <c r="F465" i="58"/>
  <c r="E465" i="58"/>
  <c r="D465" i="58"/>
  <c r="C465" i="58"/>
  <c r="B465" i="58"/>
  <c r="A465" i="58"/>
  <c r="G464" i="58"/>
  <c r="F464" i="58"/>
  <c r="E464" i="58"/>
  <c r="D464" i="58"/>
  <c r="C464" i="58"/>
  <c r="B464" i="58"/>
  <c r="A464" i="58"/>
  <c r="G463" i="58"/>
  <c r="F463" i="58"/>
  <c r="E463" i="58"/>
  <c r="D463" i="58"/>
  <c r="C463" i="58"/>
  <c r="B463" i="58"/>
  <c r="A463" i="58"/>
  <c r="G462" i="58"/>
  <c r="F462" i="58"/>
  <c r="E462" i="58"/>
  <c r="D462" i="58"/>
  <c r="C462" i="58"/>
  <c r="B462" i="58"/>
  <c r="A462" i="58"/>
  <c r="G461" i="58"/>
  <c r="F461" i="58"/>
  <c r="E461" i="58"/>
  <c r="D461" i="58"/>
  <c r="C461" i="58"/>
  <c r="B461" i="58"/>
  <c r="A461" i="58"/>
  <c r="G460" i="58"/>
  <c r="F460" i="58"/>
  <c r="E460" i="58"/>
  <c r="D460" i="58"/>
  <c r="C460" i="58"/>
  <c r="B460" i="58"/>
  <c r="A460" i="58"/>
  <c r="G459" i="58"/>
  <c r="F459" i="58"/>
  <c r="E459" i="58"/>
  <c r="D459" i="58"/>
  <c r="C459" i="58"/>
  <c r="B459" i="58"/>
  <c r="A459" i="58"/>
  <c r="G458" i="58"/>
  <c r="F458" i="58"/>
  <c r="E458" i="58"/>
  <c r="D458" i="58"/>
  <c r="C458" i="58"/>
  <c r="B458" i="58"/>
  <c r="A458" i="58"/>
  <c r="G457" i="58"/>
  <c r="F457" i="58"/>
  <c r="E457" i="58"/>
  <c r="D457" i="58"/>
  <c r="C457" i="58"/>
  <c r="B457" i="58"/>
  <c r="A457" i="58"/>
  <c r="G456" i="58"/>
  <c r="F456" i="58"/>
  <c r="E456" i="58"/>
  <c r="D456" i="58"/>
  <c r="C456" i="58"/>
  <c r="B456" i="58"/>
  <c r="A456" i="58"/>
  <c r="G455" i="58"/>
  <c r="F455" i="58"/>
  <c r="E455" i="58"/>
  <c r="D455" i="58"/>
  <c r="C455" i="58"/>
  <c r="B455" i="58"/>
  <c r="A455" i="58"/>
  <c r="G454" i="58"/>
  <c r="F454" i="58"/>
  <c r="E454" i="58"/>
  <c r="D454" i="58"/>
  <c r="C454" i="58"/>
  <c r="B454" i="58"/>
  <c r="A454" i="58"/>
  <c r="G453" i="58"/>
  <c r="F453" i="58"/>
  <c r="E453" i="58"/>
  <c r="D453" i="58"/>
  <c r="C453" i="58"/>
  <c r="B453" i="58"/>
  <c r="A453" i="58"/>
  <c r="G452" i="58"/>
  <c r="F452" i="58"/>
  <c r="E452" i="58"/>
  <c r="D452" i="58"/>
  <c r="C452" i="58"/>
  <c r="B452" i="58"/>
  <c r="A452" i="58"/>
  <c r="G451" i="58"/>
  <c r="F451" i="58"/>
  <c r="E451" i="58"/>
  <c r="D451" i="58"/>
  <c r="C451" i="58"/>
  <c r="B451" i="58"/>
  <c r="A451" i="58"/>
  <c r="G450" i="58"/>
  <c r="F450" i="58"/>
  <c r="E450" i="58"/>
  <c r="D450" i="58"/>
  <c r="C450" i="58"/>
  <c r="B450" i="58"/>
  <c r="A450" i="58"/>
  <c r="G449" i="58"/>
  <c r="F449" i="58"/>
  <c r="E449" i="58"/>
  <c r="D449" i="58"/>
  <c r="C449" i="58"/>
  <c r="B449" i="58"/>
  <c r="A449" i="58"/>
  <c r="G448" i="58"/>
  <c r="F448" i="58"/>
  <c r="E448" i="58"/>
  <c r="D448" i="58"/>
  <c r="C448" i="58"/>
  <c r="B448" i="58"/>
  <c r="A448" i="58"/>
  <c r="G447" i="58"/>
  <c r="F447" i="58"/>
  <c r="E447" i="58"/>
  <c r="D447" i="58"/>
  <c r="C447" i="58"/>
  <c r="B447" i="58"/>
  <c r="A447" i="58"/>
  <c r="G446" i="58"/>
  <c r="F446" i="58"/>
  <c r="E446" i="58"/>
  <c r="D446" i="58"/>
  <c r="C446" i="58"/>
  <c r="B446" i="58"/>
  <c r="A446" i="58"/>
  <c r="G445" i="58"/>
  <c r="F445" i="58"/>
  <c r="E445" i="58"/>
  <c r="D445" i="58"/>
  <c r="C445" i="58"/>
  <c r="B445" i="58"/>
  <c r="A445" i="58"/>
  <c r="G444" i="58"/>
  <c r="F444" i="58"/>
  <c r="E444" i="58"/>
  <c r="D444" i="58"/>
  <c r="C444" i="58"/>
  <c r="B444" i="58"/>
  <c r="A444" i="58"/>
  <c r="G443" i="58"/>
  <c r="F443" i="58"/>
  <c r="E443" i="58"/>
  <c r="D443" i="58"/>
  <c r="C443" i="58"/>
  <c r="B443" i="58"/>
  <c r="A443" i="58"/>
  <c r="G442" i="58"/>
  <c r="F442" i="58"/>
  <c r="E442" i="58"/>
  <c r="D442" i="58"/>
  <c r="C442" i="58"/>
  <c r="B442" i="58"/>
  <c r="A442" i="58"/>
  <c r="G441" i="58"/>
  <c r="F441" i="58"/>
  <c r="E441" i="58"/>
  <c r="D441" i="58"/>
  <c r="C441" i="58"/>
  <c r="B441" i="58"/>
  <c r="A441" i="58"/>
  <c r="G440" i="58"/>
  <c r="F440" i="58"/>
  <c r="E440" i="58"/>
  <c r="D440" i="58"/>
  <c r="C440" i="58"/>
  <c r="B440" i="58"/>
  <c r="A440" i="58"/>
  <c r="G439" i="58"/>
  <c r="F439" i="58"/>
  <c r="E439" i="58"/>
  <c r="D439" i="58"/>
  <c r="C439" i="58"/>
  <c r="B439" i="58"/>
  <c r="A439" i="58"/>
  <c r="G438" i="58"/>
  <c r="F438" i="58"/>
  <c r="E438" i="58"/>
  <c r="D438" i="58"/>
  <c r="C438" i="58"/>
  <c r="B438" i="58"/>
  <c r="A438" i="58"/>
  <c r="G437" i="58"/>
  <c r="F437" i="58"/>
  <c r="E437" i="58"/>
  <c r="D437" i="58"/>
  <c r="C437" i="58"/>
  <c r="B437" i="58"/>
  <c r="A437" i="58"/>
  <c r="G436" i="58"/>
  <c r="F436" i="58"/>
  <c r="E436" i="58"/>
  <c r="D436" i="58"/>
  <c r="C436" i="58"/>
  <c r="B436" i="58"/>
  <c r="A436" i="58"/>
  <c r="G435" i="58"/>
  <c r="F435" i="58"/>
  <c r="E435" i="58"/>
  <c r="D435" i="58"/>
  <c r="C435" i="58"/>
  <c r="B435" i="58"/>
  <c r="A435" i="58"/>
  <c r="G434" i="58"/>
  <c r="F434" i="58"/>
  <c r="E434" i="58"/>
  <c r="D434" i="58"/>
  <c r="C434" i="58"/>
  <c r="B434" i="58"/>
  <c r="A434" i="58"/>
  <c r="G433" i="58"/>
  <c r="F433" i="58"/>
  <c r="E433" i="58"/>
  <c r="D433" i="58"/>
  <c r="C433" i="58"/>
  <c r="B433" i="58"/>
  <c r="A433" i="58"/>
  <c r="G432" i="58"/>
  <c r="F432" i="58"/>
  <c r="E432" i="58"/>
  <c r="D432" i="58"/>
  <c r="C432" i="58"/>
  <c r="B432" i="58"/>
  <c r="A432" i="58"/>
  <c r="G431" i="58"/>
  <c r="F431" i="58"/>
  <c r="E431" i="58"/>
  <c r="D431" i="58"/>
  <c r="C431" i="58"/>
  <c r="B431" i="58"/>
  <c r="A431" i="58"/>
  <c r="G430" i="58"/>
  <c r="F430" i="58"/>
  <c r="E430" i="58"/>
  <c r="D430" i="58"/>
  <c r="C430" i="58"/>
  <c r="B430" i="58"/>
  <c r="A430" i="58"/>
  <c r="G429" i="58"/>
  <c r="F429" i="58"/>
  <c r="E429" i="58"/>
  <c r="D429" i="58"/>
  <c r="C429" i="58"/>
  <c r="B429" i="58"/>
  <c r="A429" i="58"/>
  <c r="G428" i="58"/>
  <c r="F428" i="58"/>
  <c r="E428" i="58"/>
  <c r="D428" i="58"/>
  <c r="C428" i="58"/>
  <c r="B428" i="58"/>
  <c r="A428" i="58"/>
  <c r="G427" i="58"/>
  <c r="F427" i="58"/>
  <c r="E427" i="58"/>
  <c r="D427" i="58"/>
  <c r="C427" i="58"/>
  <c r="B427" i="58"/>
  <c r="A427" i="58"/>
  <c r="G426" i="58"/>
  <c r="F426" i="58"/>
  <c r="E426" i="58"/>
  <c r="D426" i="58"/>
  <c r="C426" i="58"/>
  <c r="B426" i="58"/>
  <c r="A426" i="58"/>
  <c r="G425" i="58"/>
  <c r="F425" i="58"/>
  <c r="E425" i="58"/>
  <c r="D425" i="58"/>
  <c r="C425" i="58"/>
  <c r="B425" i="58"/>
  <c r="A425" i="58"/>
  <c r="G424" i="58"/>
  <c r="F424" i="58"/>
  <c r="E424" i="58"/>
  <c r="D424" i="58"/>
  <c r="C424" i="58"/>
  <c r="B424" i="58"/>
  <c r="A424" i="58"/>
  <c r="G423" i="58"/>
  <c r="F423" i="58"/>
  <c r="E423" i="58"/>
  <c r="D423" i="58"/>
  <c r="C423" i="58"/>
  <c r="B423" i="58"/>
  <c r="A423" i="58"/>
  <c r="G422" i="58"/>
  <c r="F422" i="58"/>
  <c r="E422" i="58"/>
  <c r="D422" i="58"/>
  <c r="C422" i="58"/>
  <c r="B422" i="58"/>
  <c r="A422" i="58"/>
  <c r="G421" i="58"/>
  <c r="F421" i="58"/>
  <c r="E421" i="58"/>
  <c r="D421" i="58"/>
  <c r="C421" i="58"/>
  <c r="B421" i="58"/>
  <c r="A421" i="58"/>
  <c r="G420" i="58"/>
  <c r="F420" i="58"/>
  <c r="E420" i="58"/>
  <c r="D420" i="58"/>
  <c r="C420" i="58"/>
  <c r="B420" i="58"/>
  <c r="A420" i="58"/>
  <c r="G419" i="58"/>
  <c r="F419" i="58"/>
  <c r="E419" i="58"/>
  <c r="D419" i="58"/>
  <c r="C419" i="58"/>
  <c r="B419" i="58"/>
  <c r="A419" i="58"/>
  <c r="G418" i="58"/>
  <c r="F418" i="58"/>
  <c r="E418" i="58"/>
  <c r="D418" i="58"/>
  <c r="C418" i="58"/>
  <c r="B418" i="58"/>
  <c r="A418" i="58"/>
  <c r="G417" i="58"/>
  <c r="F417" i="58"/>
  <c r="E417" i="58"/>
  <c r="D417" i="58"/>
  <c r="C417" i="58"/>
  <c r="B417" i="58"/>
  <c r="A417" i="58"/>
  <c r="G416" i="58"/>
  <c r="F416" i="58"/>
  <c r="E416" i="58"/>
  <c r="D416" i="58"/>
  <c r="C416" i="58"/>
  <c r="B416" i="58"/>
  <c r="A416" i="58"/>
  <c r="G415" i="58"/>
  <c r="F415" i="58"/>
  <c r="E415" i="58"/>
  <c r="D415" i="58"/>
  <c r="C415" i="58"/>
  <c r="B415" i="58"/>
  <c r="A415" i="58"/>
  <c r="G414" i="58"/>
  <c r="F414" i="58"/>
  <c r="E414" i="58"/>
  <c r="D414" i="58"/>
  <c r="C414" i="58"/>
  <c r="B414" i="58"/>
  <c r="A414" i="58"/>
  <c r="G413" i="58"/>
  <c r="F413" i="58"/>
  <c r="E413" i="58"/>
  <c r="D413" i="58"/>
  <c r="C413" i="58"/>
  <c r="B413" i="58"/>
  <c r="A413" i="58"/>
  <c r="G412" i="58"/>
  <c r="F412" i="58"/>
  <c r="E412" i="58"/>
  <c r="D412" i="58"/>
  <c r="C412" i="58"/>
  <c r="B412" i="58"/>
  <c r="A412" i="58"/>
  <c r="G411" i="58"/>
  <c r="F411" i="58"/>
  <c r="E411" i="58"/>
  <c r="D411" i="58"/>
  <c r="C411" i="58"/>
  <c r="B411" i="58"/>
  <c r="A411" i="58"/>
  <c r="G410" i="58"/>
  <c r="F410" i="58"/>
  <c r="E410" i="58"/>
  <c r="D410" i="58"/>
  <c r="C410" i="58"/>
  <c r="B410" i="58"/>
  <c r="A410" i="58"/>
  <c r="G409" i="58"/>
  <c r="F409" i="58"/>
  <c r="E409" i="58"/>
  <c r="D409" i="58"/>
  <c r="C409" i="58"/>
  <c r="B409" i="58"/>
  <c r="A409" i="58"/>
  <c r="G408" i="58"/>
  <c r="F408" i="58"/>
  <c r="E408" i="58"/>
  <c r="D408" i="58"/>
  <c r="C408" i="58"/>
  <c r="B408" i="58"/>
  <c r="A408" i="58"/>
  <c r="G407" i="58"/>
  <c r="F407" i="58"/>
  <c r="E407" i="58"/>
  <c r="D407" i="58"/>
  <c r="C407" i="58"/>
  <c r="B407" i="58"/>
  <c r="A407" i="58"/>
  <c r="G406" i="58"/>
  <c r="F406" i="58"/>
  <c r="E406" i="58"/>
  <c r="D406" i="58"/>
  <c r="C406" i="58"/>
  <c r="B406" i="58"/>
  <c r="A406" i="58"/>
  <c r="G405" i="58"/>
  <c r="F405" i="58"/>
  <c r="E405" i="58"/>
  <c r="D405" i="58"/>
  <c r="C405" i="58"/>
  <c r="B405" i="58"/>
  <c r="A405" i="58"/>
  <c r="G404" i="58"/>
  <c r="F404" i="58"/>
  <c r="E404" i="58"/>
  <c r="D404" i="58"/>
  <c r="C404" i="58"/>
  <c r="B404" i="58"/>
  <c r="A404" i="58"/>
  <c r="G403" i="58"/>
  <c r="F403" i="58"/>
  <c r="E403" i="58"/>
  <c r="D403" i="58"/>
  <c r="C403" i="58"/>
  <c r="B403" i="58"/>
  <c r="A403" i="58"/>
  <c r="G402" i="58"/>
  <c r="F402" i="58"/>
  <c r="E402" i="58"/>
  <c r="D402" i="58"/>
  <c r="C402" i="58"/>
  <c r="B402" i="58"/>
  <c r="A402" i="58"/>
  <c r="G401" i="58"/>
  <c r="F401" i="58"/>
  <c r="E401" i="58"/>
  <c r="D401" i="58"/>
  <c r="C401" i="58"/>
  <c r="B401" i="58"/>
  <c r="A401" i="58"/>
  <c r="G400" i="58"/>
  <c r="F400" i="58"/>
  <c r="E400" i="58"/>
  <c r="D400" i="58"/>
  <c r="C400" i="58"/>
  <c r="B400" i="58"/>
  <c r="A400" i="58"/>
  <c r="G399" i="58"/>
  <c r="F399" i="58"/>
  <c r="E399" i="58"/>
  <c r="D399" i="58"/>
  <c r="C399" i="58"/>
  <c r="B399" i="58"/>
  <c r="A399" i="58"/>
  <c r="G398" i="58"/>
  <c r="F398" i="58"/>
  <c r="E398" i="58"/>
  <c r="D398" i="58"/>
  <c r="C398" i="58"/>
  <c r="B398" i="58"/>
  <c r="A398" i="58"/>
  <c r="G397" i="58"/>
  <c r="F397" i="58"/>
  <c r="E397" i="58"/>
  <c r="D397" i="58"/>
  <c r="C397" i="58"/>
  <c r="B397" i="58"/>
  <c r="A397" i="58"/>
  <c r="G396" i="58"/>
  <c r="F396" i="58"/>
  <c r="E396" i="58"/>
  <c r="D396" i="58"/>
  <c r="C396" i="58"/>
  <c r="B396" i="58"/>
  <c r="A396" i="58"/>
  <c r="G395" i="58"/>
  <c r="F395" i="58"/>
  <c r="E395" i="58"/>
  <c r="D395" i="58"/>
  <c r="C395" i="58"/>
  <c r="B395" i="58"/>
  <c r="A395" i="58"/>
  <c r="G394" i="58"/>
  <c r="F394" i="58"/>
  <c r="E394" i="58"/>
  <c r="D394" i="58"/>
  <c r="C394" i="58"/>
  <c r="B394" i="58"/>
  <c r="A394" i="58"/>
  <c r="G393" i="58"/>
  <c r="F393" i="58"/>
  <c r="E393" i="58"/>
  <c r="D393" i="58"/>
  <c r="C393" i="58"/>
  <c r="B393" i="58"/>
  <c r="A393" i="58"/>
  <c r="G392" i="58"/>
  <c r="F392" i="58"/>
  <c r="E392" i="58"/>
  <c r="D392" i="58"/>
  <c r="C392" i="58"/>
  <c r="B392" i="58"/>
  <c r="A392" i="58"/>
  <c r="G391" i="58"/>
  <c r="F391" i="58"/>
  <c r="E391" i="58"/>
  <c r="D391" i="58"/>
  <c r="C391" i="58"/>
  <c r="B391" i="58"/>
  <c r="A391" i="58"/>
  <c r="G390" i="58"/>
  <c r="F390" i="58"/>
  <c r="E390" i="58"/>
  <c r="D390" i="58"/>
  <c r="C390" i="58"/>
  <c r="B390" i="58"/>
  <c r="A390" i="58"/>
  <c r="G389" i="58"/>
  <c r="F389" i="58"/>
  <c r="E389" i="58"/>
  <c r="D389" i="58"/>
  <c r="C389" i="58"/>
  <c r="B389" i="58"/>
  <c r="A389" i="58"/>
  <c r="G388" i="58"/>
  <c r="F388" i="58"/>
  <c r="E388" i="58"/>
  <c r="D388" i="58"/>
  <c r="C388" i="58"/>
  <c r="B388" i="58"/>
  <c r="A388" i="58"/>
  <c r="G387" i="58"/>
  <c r="F387" i="58"/>
  <c r="E387" i="58"/>
  <c r="D387" i="58"/>
  <c r="C387" i="58"/>
  <c r="B387" i="58"/>
  <c r="A387" i="58"/>
  <c r="G386" i="58"/>
  <c r="F386" i="58"/>
  <c r="E386" i="58"/>
  <c r="D386" i="58"/>
  <c r="C386" i="58"/>
  <c r="B386" i="58"/>
  <c r="A386" i="58"/>
  <c r="G385" i="58"/>
  <c r="F385" i="58"/>
  <c r="E385" i="58"/>
  <c r="D385" i="58"/>
  <c r="C385" i="58"/>
  <c r="B385" i="58"/>
  <c r="A385" i="58"/>
  <c r="G384" i="58"/>
  <c r="F384" i="58"/>
  <c r="E384" i="58"/>
  <c r="D384" i="58"/>
  <c r="C384" i="58"/>
  <c r="B384" i="58"/>
  <c r="A384" i="58"/>
  <c r="G383" i="58"/>
  <c r="F383" i="58"/>
  <c r="E383" i="58"/>
  <c r="D383" i="58"/>
  <c r="C383" i="58"/>
  <c r="B383" i="58"/>
  <c r="A383" i="58"/>
  <c r="G382" i="58"/>
  <c r="F382" i="58"/>
  <c r="E382" i="58"/>
  <c r="D382" i="58"/>
  <c r="C382" i="58"/>
  <c r="B382" i="58"/>
  <c r="A382" i="58"/>
  <c r="G381" i="58"/>
  <c r="F381" i="58"/>
  <c r="E381" i="58"/>
  <c r="D381" i="58"/>
  <c r="C381" i="58"/>
  <c r="B381" i="58"/>
  <c r="A381" i="58"/>
  <c r="G380" i="58"/>
  <c r="F380" i="58"/>
  <c r="E380" i="58"/>
  <c r="D380" i="58"/>
  <c r="C380" i="58"/>
  <c r="B380" i="58"/>
  <c r="A380" i="58"/>
  <c r="G379" i="58"/>
  <c r="F379" i="58"/>
  <c r="E379" i="58"/>
  <c r="D379" i="58"/>
  <c r="C379" i="58"/>
  <c r="B379" i="58"/>
  <c r="A379" i="58"/>
  <c r="G378" i="58"/>
  <c r="F378" i="58"/>
  <c r="E378" i="58"/>
  <c r="D378" i="58"/>
  <c r="C378" i="58"/>
  <c r="B378" i="58"/>
  <c r="A378" i="58"/>
  <c r="G377" i="58"/>
  <c r="F377" i="58"/>
  <c r="E377" i="58"/>
  <c r="D377" i="58"/>
  <c r="C377" i="58"/>
  <c r="B377" i="58"/>
  <c r="A377" i="58"/>
  <c r="G376" i="58"/>
  <c r="F376" i="58"/>
  <c r="E376" i="58"/>
  <c r="D376" i="58"/>
  <c r="C376" i="58"/>
  <c r="B376" i="58"/>
  <c r="A376" i="58"/>
  <c r="G375" i="58"/>
  <c r="F375" i="58"/>
  <c r="E375" i="58"/>
  <c r="D375" i="58"/>
  <c r="C375" i="58"/>
  <c r="B375" i="58"/>
  <c r="A375" i="58"/>
  <c r="G374" i="58"/>
  <c r="F374" i="58"/>
  <c r="E374" i="58"/>
  <c r="D374" i="58"/>
  <c r="C374" i="58"/>
  <c r="B374" i="58"/>
  <c r="A374" i="58"/>
  <c r="G373" i="58"/>
  <c r="F373" i="58"/>
  <c r="E373" i="58"/>
  <c r="D373" i="58"/>
  <c r="C373" i="58"/>
  <c r="B373" i="58"/>
  <c r="A373" i="58"/>
  <c r="G372" i="58"/>
  <c r="F372" i="58"/>
  <c r="E372" i="58"/>
  <c r="D372" i="58"/>
  <c r="C372" i="58"/>
  <c r="B372" i="58"/>
  <c r="A372" i="58"/>
  <c r="G371" i="58"/>
  <c r="F371" i="58"/>
  <c r="E371" i="58"/>
  <c r="D371" i="58"/>
  <c r="C371" i="58"/>
  <c r="B371" i="58"/>
  <c r="A371" i="58"/>
  <c r="G370" i="58"/>
  <c r="F370" i="58"/>
  <c r="E370" i="58"/>
  <c r="D370" i="58"/>
  <c r="C370" i="58"/>
  <c r="B370" i="58"/>
  <c r="A370" i="58"/>
  <c r="G369" i="58"/>
  <c r="F369" i="58"/>
  <c r="E369" i="58"/>
  <c r="D369" i="58"/>
  <c r="C369" i="58"/>
  <c r="B369" i="58"/>
  <c r="A369" i="58"/>
  <c r="G368" i="58"/>
  <c r="F368" i="58"/>
  <c r="E368" i="58"/>
  <c r="D368" i="58"/>
  <c r="C368" i="58"/>
  <c r="B368" i="58"/>
  <c r="A368" i="58"/>
  <c r="G367" i="58"/>
  <c r="F367" i="58"/>
  <c r="E367" i="58"/>
  <c r="D367" i="58"/>
  <c r="C367" i="58"/>
  <c r="B367" i="58"/>
  <c r="A367" i="58"/>
  <c r="G366" i="58"/>
  <c r="F366" i="58"/>
  <c r="E366" i="58"/>
  <c r="D366" i="58"/>
  <c r="C366" i="58"/>
  <c r="B366" i="58"/>
  <c r="A366" i="58"/>
  <c r="G365" i="58"/>
  <c r="F365" i="58"/>
  <c r="E365" i="58"/>
  <c r="D365" i="58"/>
  <c r="C365" i="58"/>
  <c r="B365" i="58"/>
  <c r="A365" i="58"/>
  <c r="G364" i="58"/>
  <c r="F364" i="58"/>
  <c r="E364" i="58"/>
  <c r="D364" i="58"/>
  <c r="C364" i="58"/>
  <c r="B364" i="58"/>
  <c r="A364" i="58"/>
  <c r="G363" i="58"/>
  <c r="F363" i="58"/>
  <c r="E363" i="58"/>
  <c r="D363" i="58"/>
  <c r="C363" i="58"/>
  <c r="B363" i="58"/>
  <c r="A363" i="58"/>
  <c r="G362" i="58"/>
  <c r="F362" i="58"/>
  <c r="E362" i="58"/>
  <c r="D362" i="58"/>
  <c r="C362" i="58"/>
  <c r="B362" i="58"/>
  <c r="A362" i="58"/>
  <c r="G361" i="58"/>
  <c r="F361" i="58"/>
  <c r="E361" i="58"/>
  <c r="D361" i="58"/>
  <c r="C361" i="58"/>
  <c r="B361" i="58"/>
  <c r="A361" i="58"/>
  <c r="G360" i="58"/>
  <c r="F360" i="58"/>
  <c r="E360" i="58"/>
  <c r="D360" i="58"/>
  <c r="C360" i="58"/>
  <c r="B360" i="58"/>
  <c r="A360" i="58"/>
  <c r="G359" i="58"/>
  <c r="F359" i="58"/>
  <c r="E359" i="58"/>
  <c r="D359" i="58"/>
  <c r="C359" i="58"/>
  <c r="B359" i="58"/>
  <c r="A359" i="58"/>
  <c r="G358" i="58"/>
  <c r="F358" i="58"/>
  <c r="E358" i="58"/>
  <c r="D358" i="58"/>
  <c r="C358" i="58"/>
  <c r="B358" i="58"/>
  <c r="A358" i="58"/>
  <c r="G357" i="58"/>
  <c r="F357" i="58"/>
  <c r="E357" i="58"/>
  <c r="D357" i="58"/>
  <c r="C357" i="58"/>
  <c r="B357" i="58"/>
  <c r="A357" i="58"/>
  <c r="G356" i="58"/>
  <c r="F356" i="58"/>
  <c r="E356" i="58"/>
  <c r="D356" i="58"/>
  <c r="C356" i="58"/>
  <c r="B356" i="58"/>
  <c r="A356" i="58"/>
  <c r="G355" i="58"/>
  <c r="F355" i="58"/>
  <c r="E355" i="58"/>
  <c r="D355" i="58"/>
  <c r="C355" i="58"/>
  <c r="B355" i="58"/>
  <c r="A355" i="58"/>
  <c r="G354" i="58"/>
  <c r="F354" i="58"/>
  <c r="E354" i="58"/>
  <c r="D354" i="58"/>
  <c r="C354" i="58"/>
  <c r="B354" i="58"/>
  <c r="A354" i="58"/>
  <c r="G353" i="58"/>
  <c r="F353" i="58"/>
  <c r="E353" i="58"/>
  <c r="D353" i="58"/>
  <c r="C353" i="58"/>
  <c r="B353" i="58"/>
  <c r="A353" i="58"/>
  <c r="G352" i="58"/>
  <c r="F352" i="58"/>
  <c r="E352" i="58"/>
  <c r="D352" i="58"/>
  <c r="C352" i="58"/>
  <c r="B352" i="58"/>
  <c r="A352" i="58"/>
  <c r="G351" i="58"/>
  <c r="F351" i="58"/>
  <c r="E351" i="58"/>
  <c r="D351" i="58"/>
  <c r="C351" i="58"/>
  <c r="B351" i="58"/>
  <c r="A351" i="58"/>
  <c r="G350" i="58"/>
  <c r="F350" i="58"/>
  <c r="E350" i="58"/>
  <c r="D350" i="58"/>
  <c r="C350" i="58"/>
  <c r="B350" i="58"/>
  <c r="A350" i="58"/>
  <c r="G349" i="58"/>
  <c r="F349" i="58"/>
  <c r="E349" i="58"/>
  <c r="D349" i="58"/>
  <c r="C349" i="58"/>
  <c r="B349" i="58"/>
  <c r="A349" i="58"/>
  <c r="G348" i="58"/>
  <c r="F348" i="58"/>
  <c r="E348" i="58"/>
  <c r="D348" i="58"/>
  <c r="C348" i="58"/>
  <c r="B348" i="58"/>
  <c r="A348" i="58"/>
  <c r="G347" i="58"/>
  <c r="F347" i="58"/>
  <c r="E347" i="58"/>
  <c r="D347" i="58"/>
  <c r="C347" i="58"/>
  <c r="B347" i="58"/>
  <c r="A347" i="58"/>
  <c r="G346" i="58"/>
  <c r="F346" i="58"/>
  <c r="E346" i="58"/>
  <c r="D346" i="58"/>
  <c r="C346" i="58"/>
  <c r="B346" i="58"/>
  <c r="A346" i="58"/>
  <c r="G345" i="58"/>
  <c r="F345" i="58"/>
  <c r="E345" i="58"/>
  <c r="D345" i="58"/>
  <c r="C345" i="58"/>
  <c r="B345" i="58"/>
  <c r="A345" i="58"/>
  <c r="G344" i="58"/>
  <c r="F344" i="58"/>
  <c r="E344" i="58"/>
  <c r="D344" i="58"/>
  <c r="C344" i="58"/>
  <c r="B344" i="58"/>
  <c r="A344" i="58"/>
  <c r="G343" i="58"/>
  <c r="F343" i="58"/>
  <c r="E343" i="58"/>
  <c r="D343" i="58"/>
  <c r="C343" i="58"/>
  <c r="B343" i="58"/>
  <c r="A343" i="58"/>
  <c r="G342" i="58"/>
  <c r="F342" i="58"/>
  <c r="E342" i="58"/>
  <c r="D342" i="58"/>
  <c r="C342" i="58"/>
  <c r="B342" i="58"/>
  <c r="A342" i="58"/>
  <c r="G341" i="58"/>
  <c r="F341" i="58"/>
  <c r="E341" i="58"/>
  <c r="D341" i="58"/>
  <c r="C341" i="58"/>
  <c r="B341" i="58"/>
  <c r="A341" i="58"/>
  <c r="G340" i="58"/>
  <c r="F340" i="58"/>
  <c r="E340" i="58"/>
  <c r="D340" i="58"/>
  <c r="C340" i="58"/>
  <c r="B340" i="58"/>
  <c r="A340" i="58"/>
  <c r="G339" i="58"/>
  <c r="F339" i="58"/>
  <c r="E339" i="58"/>
  <c r="D339" i="58"/>
  <c r="C339" i="58"/>
  <c r="B339" i="58"/>
  <c r="A339" i="58"/>
  <c r="G338" i="58"/>
  <c r="F338" i="58"/>
  <c r="E338" i="58"/>
  <c r="D338" i="58"/>
  <c r="C338" i="58"/>
  <c r="B338" i="58"/>
  <c r="A338" i="58"/>
  <c r="G337" i="58"/>
  <c r="F337" i="58"/>
  <c r="E337" i="58"/>
  <c r="D337" i="58"/>
  <c r="C337" i="58"/>
  <c r="B337" i="58"/>
  <c r="A337" i="58"/>
  <c r="G336" i="58"/>
  <c r="F336" i="58"/>
  <c r="E336" i="58"/>
  <c r="D336" i="58"/>
  <c r="C336" i="58"/>
  <c r="B336" i="58"/>
  <c r="A336" i="58"/>
  <c r="G335" i="58"/>
  <c r="F335" i="58"/>
  <c r="E335" i="58"/>
  <c r="D335" i="58"/>
  <c r="C335" i="58"/>
  <c r="B335" i="58"/>
  <c r="A335" i="58"/>
  <c r="G334" i="58"/>
  <c r="F334" i="58"/>
  <c r="E334" i="58"/>
  <c r="D334" i="58"/>
  <c r="C334" i="58"/>
  <c r="B334" i="58"/>
  <c r="A334" i="58"/>
  <c r="G333" i="58"/>
  <c r="F333" i="58"/>
  <c r="E333" i="58"/>
  <c r="D333" i="58"/>
  <c r="C333" i="58"/>
  <c r="B333" i="58"/>
  <c r="A333" i="58"/>
  <c r="G332" i="58"/>
  <c r="F332" i="58"/>
  <c r="E332" i="58"/>
  <c r="D332" i="58"/>
  <c r="C332" i="58"/>
  <c r="B332" i="58"/>
  <c r="A332" i="58"/>
  <c r="G331" i="58"/>
  <c r="F331" i="58"/>
  <c r="E331" i="58"/>
  <c r="D331" i="58"/>
  <c r="C331" i="58"/>
  <c r="B331" i="58"/>
  <c r="A331" i="58"/>
  <c r="G330" i="58"/>
  <c r="F330" i="58"/>
  <c r="E330" i="58"/>
  <c r="D330" i="58"/>
  <c r="C330" i="58"/>
  <c r="B330" i="58"/>
  <c r="A330" i="58"/>
  <c r="G329" i="58"/>
  <c r="F329" i="58"/>
  <c r="E329" i="58"/>
  <c r="D329" i="58"/>
  <c r="C329" i="58"/>
  <c r="B329" i="58"/>
  <c r="A329" i="58"/>
  <c r="G328" i="58"/>
  <c r="F328" i="58"/>
  <c r="E328" i="58"/>
  <c r="D328" i="58"/>
  <c r="C328" i="58"/>
  <c r="B328" i="58"/>
  <c r="A328" i="58"/>
  <c r="G327" i="58"/>
  <c r="F327" i="58"/>
  <c r="E327" i="58"/>
  <c r="D327" i="58"/>
  <c r="C327" i="58"/>
  <c r="B327" i="58"/>
  <c r="A327" i="58"/>
  <c r="G326" i="58"/>
  <c r="F326" i="58"/>
  <c r="E326" i="58"/>
  <c r="D326" i="58"/>
  <c r="C326" i="58"/>
  <c r="B326" i="58"/>
  <c r="A326" i="58"/>
  <c r="G325" i="58"/>
  <c r="F325" i="58"/>
  <c r="E325" i="58"/>
  <c r="D325" i="58"/>
  <c r="C325" i="58"/>
  <c r="B325" i="58"/>
  <c r="A325" i="58"/>
  <c r="G324" i="58"/>
  <c r="F324" i="58"/>
  <c r="E324" i="58"/>
  <c r="D324" i="58"/>
  <c r="C324" i="58"/>
  <c r="B324" i="58"/>
  <c r="A324" i="58"/>
  <c r="G323" i="58"/>
  <c r="F323" i="58"/>
  <c r="E323" i="58"/>
  <c r="D323" i="58"/>
  <c r="C323" i="58"/>
  <c r="B323" i="58"/>
  <c r="A323" i="58"/>
  <c r="G322" i="58"/>
  <c r="F322" i="58"/>
  <c r="E322" i="58"/>
  <c r="D322" i="58"/>
  <c r="C322" i="58"/>
  <c r="B322" i="58"/>
  <c r="A322" i="58"/>
  <c r="G321" i="58"/>
  <c r="F321" i="58"/>
  <c r="E321" i="58"/>
  <c r="D321" i="58"/>
  <c r="C321" i="58"/>
  <c r="B321" i="58"/>
  <c r="A321" i="58"/>
  <c r="G320" i="58"/>
  <c r="F320" i="58"/>
  <c r="E320" i="58"/>
  <c r="D320" i="58"/>
  <c r="C320" i="58"/>
  <c r="B320" i="58"/>
  <c r="A320" i="58"/>
  <c r="G319" i="58"/>
  <c r="F319" i="58"/>
  <c r="E319" i="58"/>
  <c r="D319" i="58"/>
  <c r="C319" i="58"/>
  <c r="B319" i="58"/>
  <c r="A319" i="58"/>
  <c r="G318" i="58"/>
  <c r="F318" i="58"/>
  <c r="E318" i="58"/>
  <c r="D318" i="58"/>
  <c r="C318" i="58"/>
  <c r="B318" i="58"/>
  <c r="A318" i="58"/>
  <c r="G317" i="58"/>
  <c r="F317" i="58"/>
  <c r="E317" i="58"/>
  <c r="D317" i="58"/>
  <c r="C317" i="58"/>
  <c r="B317" i="58"/>
  <c r="A317" i="58"/>
  <c r="G316" i="58"/>
  <c r="F316" i="58"/>
  <c r="E316" i="58"/>
  <c r="D316" i="58"/>
  <c r="C316" i="58"/>
  <c r="B316" i="58"/>
  <c r="A316" i="58"/>
  <c r="G315" i="58"/>
  <c r="F315" i="58"/>
  <c r="E315" i="58"/>
  <c r="D315" i="58"/>
  <c r="C315" i="58"/>
  <c r="B315" i="58"/>
  <c r="A315" i="58"/>
  <c r="G314" i="58"/>
  <c r="F314" i="58"/>
  <c r="E314" i="58"/>
  <c r="D314" i="58"/>
  <c r="C314" i="58"/>
  <c r="B314" i="58"/>
  <c r="A314" i="58"/>
  <c r="G313" i="58"/>
  <c r="F313" i="58"/>
  <c r="E313" i="58"/>
  <c r="D313" i="58"/>
  <c r="C313" i="58"/>
  <c r="B313" i="58"/>
  <c r="A313" i="58"/>
  <c r="G312" i="58"/>
  <c r="F312" i="58"/>
  <c r="E312" i="58"/>
  <c r="D312" i="58"/>
  <c r="C312" i="58"/>
  <c r="B312" i="58"/>
  <c r="A312" i="58"/>
  <c r="G311" i="58"/>
  <c r="F311" i="58"/>
  <c r="E311" i="58"/>
  <c r="D311" i="58"/>
  <c r="C311" i="58"/>
  <c r="B311" i="58"/>
  <c r="A311" i="58"/>
  <c r="G310" i="58"/>
  <c r="F310" i="58"/>
  <c r="E310" i="58"/>
  <c r="D310" i="58"/>
  <c r="C310" i="58"/>
  <c r="B310" i="58"/>
  <c r="A310" i="58"/>
  <c r="G309" i="58"/>
  <c r="F309" i="58"/>
  <c r="E309" i="58"/>
  <c r="D309" i="58"/>
  <c r="C309" i="58"/>
  <c r="B309" i="58"/>
  <c r="A309" i="58"/>
  <c r="G308" i="58"/>
  <c r="F308" i="58"/>
  <c r="E308" i="58"/>
  <c r="D308" i="58"/>
  <c r="C308" i="58"/>
  <c r="B308" i="58"/>
  <c r="A308" i="58"/>
  <c r="G307" i="58"/>
  <c r="F307" i="58"/>
  <c r="E307" i="58"/>
  <c r="D307" i="58"/>
  <c r="C307" i="58"/>
  <c r="B307" i="58"/>
  <c r="A307" i="58"/>
  <c r="G306" i="58"/>
  <c r="F306" i="58"/>
  <c r="E306" i="58"/>
  <c r="D306" i="58"/>
  <c r="C306" i="58"/>
  <c r="B306" i="58"/>
  <c r="A306" i="58"/>
  <c r="G305" i="58"/>
  <c r="F305" i="58"/>
  <c r="E305" i="58"/>
  <c r="D305" i="58"/>
  <c r="C305" i="58"/>
  <c r="B305" i="58"/>
  <c r="A305" i="58"/>
  <c r="G304" i="58"/>
  <c r="F304" i="58"/>
  <c r="E304" i="58"/>
  <c r="D304" i="58"/>
  <c r="C304" i="58"/>
  <c r="B304" i="58"/>
  <c r="A304" i="58"/>
  <c r="G303" i="58"/>
  <c r="F303" i="58"/>
  <c r="E303" i="58"/>
  <c r="D303" i="58"/>
  <c r="C303" i="58"/>
  <c r="B303" i="58"/>
  <c r="A303" i="58"/>
  <c r="G302" i="58"/>
  <c r="F302" i="58"/>
  <c r="E302" i="58"/>
  <c r="D302" i="58"/>
  <c r="C302" i="58"/>
  <c r="B302" i="58"/>
  <c r="A302" i="58"/>
  <c r="G301" i="58"/>
  <c r="F301" i="58"/>
  <c r="E301" i="58"/>
  <c r="D301" i="58"/>
  <c r="C301" i="58"/>
  <c r="B301" i="58"/>
  <c r="A301" i="58"/>
  <c r="G300" i="58"/>
  <c r="F300" i="58"/>
  <c r="E300" i="58"/>
  <c r="D300" i="58"/>
  <c r="C300" i="58"/>
  <c r="B300" i="58"/>
  <c r="A300" i="58"/>
  <c r="G299" i="58"/>
  <c r="F299" i="58"/>
  <c r="E299" i="58"/>
  <c r="D299" i="58"/>
  <c r="C299" i="58"/>
  <c r="B299" i="58"/>
  <c r="A299" i="58"/>
  <c r="G298" i="58"/>
  <c r="F298" i="58"/>
  <c r="E298" i="58"/>
  <c r="D298" i="58"/>
  <c r="C298" i="58"/>
  <c r="B298" i="58"/>
  <c r="A298" i="58"/>
  <c r="G297" i="58"/>
  <c r="F297" i="58"/>
  <c r="E297" i="58"/>
  <c r="D297" i="58"/>
  <c r="C297" i="58"/>
  <c r="B297" i="58"/>
  <c r="A297" i="58"/>
  <c r="G296" i="58"/>
  <c r="F296" i="58"/>
  <c r="E296" i="58"/>
  <c r="D296" i="58"/>
  <c r="C296" i="58"/>
  <c r="B296" i="58"/>
  <c r="A296" i="58"/>
  <c r="G295" i="58"/>
  <c r="F295" i="58"/>
  <c r="E295" i="58"/>
  <c r="D295" i="58"/>
  <c r="C295" i="58"/>
  <c r="B295" i="58"/>
  <c r="A295" i="58"/>
  <c r="G294" i="58"/>
  <c r="F294" i="58"/>
  <c r="E294" i="58"/>
  <c r="D294" i="58"/>
  <c r="C294" i="58"/>
  <c r="B294" i="58"/>
  <c r="A294" i="58"/>
  <c r="G293" i="58"/>
  <c r="F293" i="58"/>
  <c r="E293" i="58"/>
  <c r="D293" i="58"/>
  <c r="C293" i="58"/>
  <c r="B293" i="58"/>
  <c r="A293" i="58"/>
  <c r="G292" i="58"/>
  <c r="F292" i="58"/>
  <c r="E292" i="58"/>
  <c r="D292" i="58"/>
  <c r="C292" i="58"/>
  <c r="B292" i="58"/>
  <c r="A292" i="58"/>
  <c r="G291" i="58"/>
  <c r="F291" i="58"/>
  <c r="E291" i="58"/>
  <c r="D291" i="58"/>
  <c r="C291" i="58"/>
  <c r="B291" i="58"/>
  <c r="A291" i="58"/>
  <c r="G290" i="58"/>
  <c r="F290" i="58"/>
  <c r="E290" i="58"/>
  <c r="D290" i="58"/>
  <c r="C290" i="58"/>
  <c r="B290" i="58"/>
  <c r="A290" i="58"/>
  <c r="G289" i="58"/>
  <c r="F289" i="58"/>
  <c r="E289" i="58"/>
  <c r="D289" i="58"/>
  <c r="C289" i="58"/>
  <c r="B289" i="58"/>
  <c r="A289" i="58"/>
  <c r="G288" i="58"/>
  <c r="F288" i="58"/>
  <c r="E288" i="58"/>
  <c r="D288" i="58"/>
  <c r="C288" i="58"/>
  <c r="B288" i="58"/>
  <c r="A288" i="58"/>
  <c r="G287" i="58"/>
  <c r="F287" i="58"/>
  <c r="E287" i="58"/>
  <c r="D287" i="58"/>
  <c r="C287" i="58"/>
  <c r="B287" i="58"/>
  <c r="A287" i="58"/>
  <c r="G286" i="58"/>
  <c r="F286" i="58"/>
  <c r="E286" i="58"/>
  <c r="D286" i="58"/>
  <c r="C286" i="58"/>
  <c r="B286" i="58"/>
  <c r="A286" i="58"/>
  <c r="G285" i="58"/>
  <c r="F285" i="58"/>
  <c r="E285" i="58"/>
  <c r="D285" i="58"/>
  <c r="C285" i="58"/>
  <c r="B285" i="58"/>
  <c r="A285" i="58"/>
  <c r="G284" i="58"/>
  <c r="F284" i="58"/>
  <c r="E284" i="58"/>
  <c r="D284" i="58"/>
  <c r="C284" i="58"/>
  <c r="B284" i="58"/>
  <c r="A284" i="58"/>
  <c r="G283" i="58"/>
  <c r="F283" i="58"/>
  <c r="E283" i="58"/>
  <c r="D283" i="58"/>
  <c r="C283" i="58"/>
  <c r="B283" i="58"/>
  <c r="A283" i="58"/>
  <c r="G282" i="58"/>
  <c r="F282" i="58"/>
  <c r="E282" i="58"/>
  <c r="D282" i="58"/>
  <c r="C282" i="58"/>
  <c r="B282" i="58"/>
  <c r="A282" i="58"/>
  <c r="G281" i="58"/>
  <c r="F281" i="58"/>
  <c r="E281" i="58"/>
  <c r="D281" i="58"/>
  <c r="C281" i="58"/>
  <c r="B281" i="58"/>
  <c r="A281" i="58"/>
  <c r="G280" i="58"/>
  <c r="F280" i="58"/>
  <c r="E280" i="58"/>
  <c r="D280" i="58"/>
  <c r="C280" i="58"/>
  <c r="B280" i="58"/>
  <c r="A280" i="58"/>
  <c r="G279" i="58"/>
  <c r="F279" i="58"/>
  <c r="E279" i="58"/>
  <c r="D279" i="58"/>
  <c r="C279" i="58"/>
  <c r="B279" i="58"/>
  <c r="A279" i="58"/>
  <c r="G278" i="58"/>
  <c r="F278" i="58"/>
  <c r="E278" i="58"/>
  <c r="D278" i="58"/>
  <c r="C278" i="58"/>
  <c r="B278" i="58"/>
  <c r="A278" i="58"/>
  <c r="G277" i="58"/>
  <c r="F277" i="58"/>
  <c r="E277" i="58"/>
  <c r="D277" i="58"/>
  <c r="C277" i="58"/>
  <c r="B277" i="58"/>
  <c r="A277" i="58"/>
  <c r="G276" i="58"/>
  <c r="F276" i="58"/>
  <c r="E276" i="58"/>
  <c r="D276" i="58"/>
  <c r="C276" i="58"/>
  <c r="B276" i="58"/>
  <c r="A276" i="58"/>
  <c r="G275" i="58"/>
  <c r="F275" i="58"/>
  <c r="E275" i="58"/>
  <c r="D275" i="58"/>
  <c r="C275" i="58"/>
  <c r="B275" i="58"/>
  <c r="A275" i="58"/>
  <c r="G274" i="58"/>
  <c r="F274" i="58"/>
  <c r="E274" i="58"/>
  <c r="D274" i="58"/>
  <c r="C274" i="58"/>
  <c r="B274" i="58"/>
  <c r="A274" i="58"/>
  <c r="G273" i="58"/>
  <c r="F273" i="58"/>
  <c r="E273" i="58"/>
  <c r="D273" i="58"/>
  <c r="C273" i="58"/>
  <c r="B273" i="58"/>
  <c r="A273" i="58"/>
  <c r="G272" i="58"/>
  <c r="F272" i="58"/>
  <c r="E272" i="58"/>
  <c r="D272" i="58"/>
  <c r="C272" i="58"/>
  <c r="B272" i="58"/>
  <c r="A272" i="58"/>
  <c r="G271" i="58"/>
  <c r="F271" i="58"/>
  <c r="E271" i="58"/>
  <c r="D271" i="58"/>
  <c r="C271" i="58"/>
  <c r="B271" i="58"/>
  <c r="A271" i="58"/>
  <c r="G270" i="58"/>
  <c r="F270" i="58"/>
  <c r="E270" i="58"/>
  <c r="D270" i="58"/>
  <c r="C270" i="58"/>
  <c r="B270" i="58"/>
  <c r="A270" i="58"/>
  <c r="G269" i="58"/>
  <c r="F269" i="58"/>
  <c r="E269" i="58"/>
  <c r="D269" i="58"/>
  <c r="C269" i="58"/>
  <c r="B269" i="58"/>
  <c r="A269" i="58"/>
  <c r="G268" i="58"/>
  <c r="F268" i="58"/>
  <c r="E268" i="58"/>
  <c r="D268" i="58"/>
  <c r="C268" i="58"/>
  <c r="B268" i="58"/>
  <c r="A268" i="58"/>
  <c r="G267" i="58"/>
  <c r="F267" i="58"/>
  <c r="E267" i="58"/>
  <c r="D267" i="58"/>
  <c r="C267" i="58"/>
  <c r="B267" i="58"/>
  <c r="A267" i="58"/>
  <c r="G266" i="58"/>
  <c r="F266" i="58"/>
  <c r="E266" i="58"/>
  <c r="D266" i="58"/>
  <c r="C266" i="58"/>
  <c r="B266" i="58"/>
  <c r="A266" i="58"/>
  <c r="G265" i="58"/>
  <c r="F265" i="58"/>
  <c r="E265" i="58"/>
  <c r="D265" i="58"/>
  <c r="C265" i="58"/>
  <c r="B265" i="58"/>
  <c r="A265" i="58"/>
  <c r="G264" i="58"/>
  <c r="F264" i="58"/>
  <c r="E264" i="58"/>
  <c r="D264" i="58"/>
  <c r="C264" i="58"/>
  <c r="B264" i="58"/>
  <c r="A264" i="58"/>
  <c r="G263" i="58"/>
  <c r="F263" i="58"/>
  <c r="E263" i="58"/>
  <c r="D263" i="58"/>
  <c r="C263" i="58"/>
  <c r="B263" i="58"/>
  <c r="A263" i="58"/>
  <c r="G262" i="58"/>
  <c r="F262" i="58"/>
  <c r="E262" i="58"/>
  <c r="D262" i="58"/>
  <c r="C262" i="58"/>
  <c r="B262" i="58"/>
  <c r="A262" i="58"/>
  <c r="G261" i="58"/>
  <c r="F261" i="58"/>
  <c r="E261" i="58"/>
  <c r="D261" i="58"/>
  <c r="C261" i="58"/>
  <c r="B261" i="58"/>
  <c r="A261" i="58"/>
  <c r="G260" i="58"/>
  <c r="F260" i="58"/>
  <c r="E260" i="58"/>
  <c r="D260" i="58"/>
  <c r="C260" i="58"/>
  <c r="B260" i="58"/>
  <c r="A260" i="58"/>
  <c r="G259" i="58"/>
  <c r="F259" i="58"/>
  <c r="E259" i="58"/>
  <c r="D259" i="58"/>
  <c r="C259" i="58"/>
  <c r="B259" i="58"/>
  <c r="A259" i="58"/>
  <c r="G258" i="58"/>
  <c r="F258" i="58"/>
  <c r="E258" i="58"/>
  <c r="D258" i="58"/>
  <c r="C258" i="58"/>
  <c r="B258" i="58"/>
  <c r="A258" i="58"/>
  <c r="G257" i="58"/>
  <c r="F257" i="58"/>
  <c r="E257" i="58"/>
  <c r="D257" i="58"/>
  <c r="C257" i="58"/>
  <c r="B257" i="58"/>
  <c r="A257" i="58"/>
  <c r="G256" i="58"/>
  <c r="F256" i="58"/>
  <c r="E256" i="58"/>
  <c r="D256" i="58"/>
  <c r="C256" i="58"/>
  <c r="B256" i="58"/>
  <c r="A256" i="58"/>
  <c r="G255" i="58"/>
  <c r="F255" i="58"/>
  <c r="E255" i="58"/>
  <c r="D255" i="58"/>
  <c r="C255" i="58"/>
  <c r="B255" i="58"/>
  <c r="A255" i="58"/>
  <c r="G254" i="58"/>
  <c r="F254" i="58"/>
  <c r="E254" i="58"/>
  <c r="D254" i="58"/>
  <c r="C254" i="58"/>
  <c r="B254" i="58"/>
  <c r="A254" i="58"/>
  <c r="G253" i="58"/>
  <c r="F253" i="58"/>
  <c r="E253" i="58"/>
  <c r="D253" i="58"/>
  <c r="C253" i="58"/>
  <c r="B253" i="58"/>
  <c r="A253" i="58"/>
  <c r="G252" i="58"/>
  <c r="F252" i="58"/>
  <c r="E252" i="58"/>
  <c r="D252" i="58"/>
  <c r="C252" i="58"/>
  <c r="B252" i="58"/>
  <c r="A252" i="58"/>
  <c r="G251" i="58"/>
  <c r="F251" i="58"/>
  <c r="E251" i="58"/>
  <c r="D251" i="58"/>
  <c r="C251" i="58"/>
  <c r="B251" i="58"/>
  <c r="A251" i="58"/>
  <c r="G250" i="58"/>
  <c r="F250" i="58"/>
  <c r="E250" i="58"/>
  <c r="D250" i="58"/>
  <c r="C250" i="58"/>
  <c r="B250" i="58"/>
  <c r="A250" i="58"/>
  <c r="G249" i="58"/>
  <c r="F249" i="58"/>
  <c r="E249" i="58"/>
  <c r="D249" i="58"/>
  <c r="C249" i="58"/>
  <c r="B249" i="58"/>
  <c r="A249" i="58"/>
  <c r="G248" i="58"/>
  <c r="F248" i="58"/>
  <c r="E248" i="58"/>
  <c r="D248" i="58"/>
  <c r="C248" i="58"/>
  <c r="B248" i="58"/>
  <c r="A248" i="58"/>
  <c r="G247" i="58"/>
  <c r="F247" i="58"/>
  <c r="E247" i="58"/>
  <c r="D247" i="58"/>
  <c r="C247" i="58"/>
  <c r="B247" i="58"/>
  <c r="A247" i="58"/>
  <c r="G246" i="58"/>
  <c r="F246" i="58"/>
  <c r="E246" i="58"/>
  <c r="D246" i="58"/>
  <c r="C246" i="58"/>
  <c r="B246" i="58"/>
  <c r="A246" i="58"/>
  <c r="G245" i="58"/>
  <c r="F245" i="58"/>
  <c r="E245" i="58"/>
  <c r="D245" i="58"/>
  <c r="C245" i="58"/>
  <c r="B245" i="58"/>
  <c r="A245" i="58"/>
  <c r="G244" i="58"/>
  <c r="F244" i="58"/>
  <c r="E244" i="58"/>
  <c r="D244" i="58"/>
  <c r="C244" i="58"/>
  <c r="B244" i="58"/>
  <c r="A244" i="58"/>
  <c r="G243" i="58"/>
  <c r="F243" i="58"/>
  <c r="E243" i="58"/>
  <c r="D243" i="58"/>
  <c r="C243" i="58"/>
  <c r="B243" i="58"/>
  <c r="A243" i="58"/>
  <c r="G242" i="58"/>
  <c r="F242" i="58"/>
  <c r="E242" i="58"/>
  <c r="D242" i="58"/>
  <c r="C242" i="58"/>
  <c r="B242" i="58"/>
  <c r="A242" i="58"/>
  <c r="G241" i="58"/>
  <c r="F241" i="58"/>
  <c r="E241" i="58"/>
  <c r="D241" i="58"/>
  <c r="C241" i="58"/>
  <c r="B241" i="58"/>
  <c r="A241" i="58"/>
  <c r="G240" i="58"/>
  <c r="F240" i="58"/>
  <c r="E240" i="58"/>
  <c r="D240" i="58"/>
  <c r="C240" i="58"/>
  <c r="B240" i="58"/>
  <c r="A240" i="58"/>
  <c r="G239" i="58"/>
  <c r="F239" i="58"/>
  <c r="E239" i="58"/>
  <c r="D239" i="58"/>
  <c r="C239" i="58"/>
  <c r="B239" i="58"/>
  <c r="A239" i="58"/>
  <c r="G238" i="58"/>
  <c r="F238" i="58"/>
  <c r="E238" i="58"/>
  <c r="D238" i="58"/>
  <c r="C238" i="58"/>
  <c r="B238" i="58"/>
  <c r="A238" i="58"/>
  <c r="G237" i="58"/>
  <c r="F237" i="58"/>
  <c r="E237" i="58"/>
  <c r="D237" i="58"/>
  <c r="C237" i="58"/>
  <c r="B237" i="58"/>
  <c r="A237" i="58"/>
  <c r="G236" i="58"/>
  <c r="F236" i="58"/>
  <c r="E236" i="58"/>
  <c r="D236" i="58"/>
  <c r="C236" i="58"/>
  <c r="B236" i="58"/>
  <c r="A236" i="58"/>
  <c r="G235" i="58"/>
  <c r="F235" i="58"/>
  <c r="E235" i="58"/>
  <c r="D235" i="58"/>
  <c r="C235" i="58"/>
  <c r="B235" i="58"/>
  <c r="A235" i="58"/>
  <c r="G234" i="58"/>
  <c r="F234" i="58"/>
  <c r="E234" i="58"/>
  <c r="D234" i="58"/>
  <c r="C234" i="58"/>
  <c r="B234" i="58"/>
  <c r="A234" i="58"/>
  <c r="G233" i="58"/>
  <c r="F233" i="58"/>
  <c r="E233" i="58"/>
  <c r="D233" i="58"/>
  <c r="C233" i="58"/>
  <c r="B233" i="58"/>
  <c r="A233" i="58"/>
  <c r="G232" i="58"/>
  <c r="F232" i="58"/>
  <c r="E232" i="58"/>
  <c r="D232" i="58"/>
  <c r="C232" i="58"/>
  <c r="B232" i="58"/>
  <c r="A232" i="58"/>
  <c r="G231" i="58"/>
  <c r="F231" i="58"/>
  <c r="E231" i="58"/>
  <c r="D231" i="58"/>
  <c r="C231" i="58"/>
  <c r="B231" i="58"/>
  <c r="A231" i="58"/>
  <c r="G230" i="58"/>
  <c r="F230" i="58"/>
  <c r="E230" i="58"/>
  <c r="D230" i="58"/>
  <c r="C230" i="58"/>
  <c r="B230" i="58"/>
  <c r="A230" i="58"/>
  <c r="G229" i="58"/>
  <c r="F229" i="58"/>
  <c r="E229" i="58"/>
  <c r="D229" i="58"/>
  <c r="C229" i="58"/>
  <c r="B229" i="58"/>
  <c r="A229" i="58"/>
  <c r="G228" i="58"/>
  <c r="F228" i="58"/>
  <c r="E228" i="58"/>
  <c r="D228" i="58"/>
  <c r="C228" i="58"/>
  <c r="B228" i="58"/>
  <c r="A228" i="58"/>
  <c r="G227" i="58"/>
  <c r="F227" i="58"/>
  <c r="E227" i="58"/>
  <c r="D227" i="58"/>
  <c r="C227" i="58"/>
  <c r="B227" i="58"/>
  <c r="A227" i="58"/>
  <c r="G226" i="58"/>
  <c r="F226" i="58"/>
  <c r="E226" i="58"/>
  <c r="D226" i="58"/>
  <c r="C226" i="58"/>
  <c r="B226" i="58"/>
  <c r="A226" i="58"/>
  <c r="G225" i="58"/>
  <c r="F225" i="58"/>
  <c r="E225" i="58"/>
  <c r="D225" i="58"/>
  <c r="C225" i="58"/>
  <c r="B225" i="58"/>
  <c r="A225" i="58"/>
  <c r="G224" i="58"/>
  <c r="F224" i="58"/>
  <c r="E224" i="58"/>
  <c r="D224" i="58"/>
  <c r="C224" i="58"/>
  <c r="B224" i="58"/>
  <c r="A224" i="58"/>
  <c r="G223" i="58"/>
  <c r="F223" i="58"/>
  <c r="E223" i="58"/>
  <c r="D223" i="58"/>
  <c r="C223" i="58"/>
  <c r="B223" i="58"/>
  <c r="A223" i="58"/>
  <c r="G222" i="58"/>
  <c r="F222" i="58"/>
  <c r="E222" i="58"/>
  <c r="D222" i="58"/>
  <c r="C222" i="58"/>
  <c r="B222" i="58"/>
  <c r="A222" i="58"/>
  <c r="G221" i="58"/>
  <c r="F221" i="58"/>
  <c r="E221" i="58"/>
  <c r="D221" i="58"/>
  <c r="C221" i="58"/>
  <c r="B221" i="58"/>
  <c r="A221" i="58"/>
  <c r="G220" i="58"/>
  <c r="F220" i="58"/>
  <c r="E220" i="58"/>
  <c r="D220" i="58"/>
  <c r="C220" i="58"/>
  <c r="B220" i="58"/>
  <c r="A220" i="58"/>
  <c r="G219" i="58"/>
  <c r="F219" i="58"/>
  <c r="E219" i="58"/>
  <c r="D219" i="58"/>
  <c r="C219" i="58"/>
  <c r="B219" i="58"/>
  <c r="A219" i="58"/>
  <c r="G218" i="58"/>
  <c r="F218" i="58"/>
  <c r="E218" i="58"/>
  <c r="D218" i="58"/>
  <c r="C218" i="58"/>
  <c r="B218" i="58"/>
  <c r="A218" i="58"/>
  <c r="G217" i="58"/>
  <c r="F217" i="58"/>
  <c r="E217" i="58"/>
  <c r="D217" i="58"/>
  <c r="C217" i="58"/>
  <c r="B217" i="58"/>
  <c r="A217" i="58"/>
  <c r="G216" i="58"/>
  <c r="F216" i="58"/>
  <c r="E216" i="58"/>
  <c r="D216" i="58"/>
  <c r="C216" i="58"/>
  <c r="B216" i="58"/>
  <c r="A216" i="58"/>
  <c r="G215" i="58"/>
  <c r="F215" i="58"/>
  <c r="E215" i="58"/>
  <c r="D215" i="58"/>
  <c r="C215" i="58"/>
  <c r="B215" i="58"/>
  <c r="A215" i="58"/>
  <c r="G214" i="58"/>
  <c r="F214" i="58"/>
  <c r="E214" i="58"/>
  <c r="D214" i="58"/>
  <c r="C214" i="58"/>
  <c r="B214" i="58"/>
  <c r="A214" i="58"/>
  <c r="G213" i="58"/>
  <c r="F213" i="58"/>
  <c r="E213" i="58"/>
  <c r="D213" i="58"/>
  <c r="C213" i="58"/>
  <c r="B213" i="58"/>
  <c r="A213" i="58"/>
  <c r="G212" i="58"/>
  <c r="F212" i="58"/>
  <c r="E212" i="58"/>
  <c r="D212" i="58"/>
  <c r="C212" i="58"/>
  <c r="B212" i="58"/>
  <c r="A212" i="58"/>
  <c r="G211" i="58"/>
  <c r="F211" i="58"/>
  <c r="E211" i="58"/>
  <c r="D211" i="58"/>
  <c r="C211" i="58"/>
  <c r="B211" i="58"/>
  <c r="A211" i="58"/>
  <c r="G210" i="58"/>
  <c r="F210" i="58"/>
  <c r="E210" i="58"/>
  <c r="D210" i="58"/>
  <c r="C210" i="58"/>
  <c r="B210" i="58"/>
  <c r="A210" i="58"/>
  <c r="G209" i="58"/>
  <c r="F209" i="58"/>
  <c r="E209" i="58"/>
  <c r="D209" i="58"/>
  <c r="C209" i="58"/>
  <c r="B209" i="58"/>
  <c r="A209" i="58"/>
  <c r="G208" i="58"/>
  <c r="F208" i="58"/>
  <c r="E208" i="58"/>
  <c r="D208" i="58"/>
  <c r="C208" i="58"/>
  <c r="B208" i="58"/>
  <c r="A208" i="58"/>
  <c r="G207" i="58"/>
  <c r="F207" i="58"/>
  <c r="E207" i="58"/>
  <c r="D207" i="58"/>
  <c r="C207" i="58"/>
  <c r="B207" i="58"/>
  <c r="A207" i="58"/>
  <c r="G206" i="58"/>
  <c r="F206" i="58"/>
  <c r="E206" i="58"/>
  <c r="D206" i="58"/>
  <c r="C206" i="58"/>
  <c r="B206" i="58"/>
  <c r="A206" i="58"/>
  <c r="G205" i="58"/>
  <c r="F205" i="58"/>
  <c r="E205" i="58"/>
  <c r="D205" i="58"/>
  <c r="C205" i="58"/>
  <c r="B205" i="58"/>
  <c r="A205" i="58"/>
  <c r="G204" i="58"/>
  <c r="F204" i="58"/>
  <c r="E204" i="58"/>
  <c r="D204" i="58"/>
  <c r="C204" i="58"/>
  <c r="B204" i="58"/>
  <c r="A204" i="58"/>
  <c r="G203" i="58"/>
  <c r="F203" i="58"/>
  <c r="E203" i="58"/>
  <c r="D203" i="58"/>
  <c r="C203" i="58"/>
  <c r="B203" i="58"/>
  <c r="A203" i="58"/>
  <c r="G202" i="58"/>
  <c r="F202" i="58"/>
  <c r="E202" i="58"/>
  <c r="D202" i="58"/>
  <c r="C202" i="58"/>
  <c r="B202" i="58"/>
  <c r="A202" i="58"/>
  <c r="G201" i="58"/>
  <c r="F201" i="58"/>
  <c r="E201" i="58"/>
  <c r="D201" i="58"/>
  <c r="C201" i="58"/>
  <c r="B201" i="58"/>
  <c r="A201" i="58"/>
  <c r="G200" i="58"/>
  <c r="F200" i="58"/>
  <c r="E200" i="58"/>
  <c r="D200" i="58"/>
  <c r="C200" i="58"/>
  <c r="B200" i="58"/>
  <c r="A200" i="58"/>
  <c r="G199" i="58"/>
  <c r="F199" i="58"/>
  <c r="E199" i="58"/>
  <c r="D199" i="58"/>
  <c r="C199" i="58"/>
  <c r="B199" i="58"/>
  <c r="A199" i="58"/>
  <c r="G198" i="58"/>
  <c r="F198" i="58"/>
  <c r="E198" i="58"/>
  <c r="D198" i="58"/>
  <c r="C198" i="58"/>
  <c r="B198" i="58"/>
  <c r="A198" i="58"/>
  <c r="G197" i="58"/>
  <c r="F197" i="58"/>
  <c r="E197" i="58"/>
  <c r="D197" i="58"/>
  <c r="C197" i="58"/>
  <c r="B197" i="58"/>
  <c r="A197" i="58"/>
  <c r="G196" i="58"/>
  <c r="F196" i="58"/>
  <c r="E196" i="58"/>
  <c r="D196" i="58"/>
  <c r="C196" i="58"/>
  <c r="B196" i="58"/>
  <c r="A196" i="58"/>
  <c r="G195" i="58"/>
  <c r="F195" i="58"/>
  <c r="E195" i="58"/>
  <c r="D195" i="58"/>
  <c r="C195" i="58"/>
  <c r="B195" i="58"/>
  <c r="A195" i="58"/>
  <c r="G194" i="58"/>
  <c r="F194" i="58"/>
  <c r="E194" i="58"/>
  <c r="D194" i="58"/>
  <c r="C194" i="58"/>
  <c r="B194" i="58"/>
  <c r="A194" i="58"/>
  <c r="G193" i="58"/>
  <c r="F193" i="58"/>
  <c r="E193" i="58"/>
  <c r="D193" i="58"/>
  <c r="C193" i="58"/>
  <c r="B193" i="58"/>
  <c r="A193" i="58"/>
  <c r="G192" i="58"/>
  <c r="F192" i="58"/>
  <c r="E192" i="58"/>
  <c r="D192" i="58"/>
  <c r="C192" i="58"/>
  <c r="B192" i="58"/>
  <c r="A192" i="58"/>
  <c r="G191" i="58"/>
  <c r="F191" i="58"/>
  <c r="E191" i="58"/>
  <c r="D191" i="58"/>
  <c r="C191" i="58"/>
  <c r="B191" i="58"/>
  <c r="A191" i="58"/>
  <c r="G190" i="58"/>
  <c r="F190" i="58"/>
  <c r="E190" i="58"/>
  <c r="D190" i="58"/>
  <c r="C190" i="58"/>
  <c r="B190" i="58"/>
  <c r="A190" i="58"/>
  <c r="G189" i="58"/>
  <c r="F189" i="58"/>
  <c r="E189" i="58"/>
  <c r="D189" i="58"/>
  <c r="C189" i="58"/>
  <c r="B189" i="58"/>
  <c r="A189" i="58"/>
  <c r="G188" i="58"/>
  <c r="F188" i="58"/>
  <c r="E188" i="58"/>
  <c r="D188" i="58"/>
  <c r="C188" i="58"/>
  <c r="B188" i="58"/>
  <c r="A188" i="58"/>
  <c r="G187" i="58"/>
  <c r="F187" i="58"/>
  <c r="E187" i="58"/>
  <c r="D187" i="58"/>
  <c r="C187" i="58"/>
  <c r="B187" i="58"/>
  <c r="A187" i="58"/>
  <c r="G186" i="58"/>
  <c r="F186" i="58"/>
  <c r="E186" i="58"/>
  <c r="D186" i="58"/>
  <c r="C186" i="58"/>
  <c r="B186" i="58"/>
  <c r="A186" i="58"/>
  <c r="G185" i="58"/>
  <c r="F185" i="58"/>
  <c r="E185" i="58"/>
  <c r="D185" i="58"/>
  <c r="C185" i="58"/>
  <c r="B185" i="58"/>
  <c r="A185" i="58"/>
  <c r="G184" i="58"/>
  <c r="F184" i="58"/>
  <c r="E184" i="58"/>
  <c r="D184" i="58"/>
  <c r="C184" i="58"/>
  <c r="B184" i="58"/>
  <c r="A184" i="58"/>
  <c r="G183" i="58"/>
  <c r="F183" i="58"/>
  <c r="E183" i="58"/>
  <c r="D183" i="58"/>
  <c r="C183" i="58"/>
  <c r="B183" i="58"/>
  <c r="A183" i="58"/>
  <c r="G182" i="58"/>
  <c r="F182" i="58"/>
  <c r="E182" i="58"/>
  <c r="D182" i="58"/>
  <c r="C182" i="58"/>
  <c r="B182" i="58"/>
  <c r="A182" i="58"/>
  <c r="G181" i="58"/>
  <c r="F181" i="58"/>
  <c r="E181" i="58"/>
  <c r="D181" i="58"/>
  <c r="C181" i="58"/>
  <c r="B181" i="58"/>
  <c r="A181" i="58"/>
  <c r="G180" i="58"/>
  <c r="F180" i="58"/>
  <c r="E180" i="58"/>
  <c r="D180" i="58"/>
  <c r="C180" i="58"/>
  <c r="B180" i="58"/>
  <c r="A180" i="58"/>
  <c r="G179" i="58"/>
  <c r="F179" i="58"/>
  <c r="E179" i="58"/>
  <c r="D179" i="58"/>
  <c r="C179" i="58"/>
  <c r="B179" i="58"/>
  <c r="A179" i="58"/>
  <c r="G178" i="58"/>
  <c r="F178" i="58"/>
  <c r="E178" i="58"/>
  <c r="D178" i="58"/>
  <c r="C178" i="58"/>
  <c r="B178" i="58"/>
  <c r="A178" i="58"/>
  <c r="G177" i="58"/>
  <c r="F177" i="58"/>
  <c r="E177" i="58"/>
  <c r="D177" i="58"/>
  <c r="C177" i="58"/>
  <c r="B177" i="58"/>
  <c r="A177" i="58"/>
  <c r="G176" i="58"/>
  <c r="F176" i="58"/>
  <c r="E176" i="58"/>
  <c r="D176" i="58"/>
  <c r="C176" i="58"/>
  <c r="B176" i="58"/>
  <c r="A176" i="58"/>
  <c r="G175" i="58"/>
  <c r="F175" i="58"/>
  <c r="E175" i="58"/>
  <c r="D175" i="58"/>
  <c r="C175" i="58"/>
  <c r="B175" i="58"/>
  <c r="A175" i="58"/>
  <c r="G174" i="58"/>
  <c r="F174" i="58"/>
  <c r="E174" i="58"/>
  <c r="D174" i="58"/>
  <c r="C174" i="58"/>
  <c r="B174" i="58"/>
  <c r="A174" i="58"/>
  <c r="G173" i="58"/>
  <c r="F173" i="58"/>
  <c r="E173" i="58"/>
  <c r="D173" i="58"/>
  <c r="C173" i="58"/>
  <c r="B173" i="58"/>
  <c r="A173" i="58"/>
  <c r="G172" i="58"/>
  <c r="F172" i="58"/>
  <c r="E172" i="58"/>
  <c r="D172" i="58"/>
  <c r="C172" i="58"/>
  <c r="B172" i="58"/>
  <c r="A172" i="58"/>
  <c r="G171" i="58"/>
  <c r="F171" i="58"/>
  <c r="E171" i="58"/>
  <c r="D171" i="58"/>
  <c r="C171" i="58"/>
  <c r="B171" i="58"/>
  <c r="A171" i="58"/>
  <c r="G170" i="58"/>
  <c r="F170" i="58"/>
  <c r="E170" i="58"/>
  <c r="D170" i="58"/>
  <c r="C170" i="58"/>
  <c r="B170" i="58"/>
  <c r="A170" i="58"/>
  <c r="G169" i="58"/>
  <c r="F169" i="58"/>
  <c r="E169" i="58"/>
  <c r="D169" i="58"/>
  <c r="C169" i="58"/>
  <c r="B169" i="58"/>
  <c r="A169" i="58"/>
  <c r="G168" i="58"/>
  <c r="F168" i="58"/>
  <c r="E168" i="58"/>
  <c r="D168" i="58"/>
  <c r="C168" i="58"/>
  <c r="B168" i="58"/>
  <c r="A168" i="58"/>
  <c r="G167" i="58"/>
  <c r="F167" i="58"/>
  <c r="E167" i="58"/>
  <c r="D167" i="58"/>
  <c r="C167" i="58"/>
  <c r="B167" i="58"/>
  <c r="A167" i="58"/>
  <c r="G166" i="58"/>
  <c r="F166" i="58"/>
  <c r="E166" i="58"/>
  <c r="D166" i="58"/>
  <c r="C166" i="58"/>
  <c r="B166" i="58"/>
  <c r="A166" i="58"/>
  <c r="G165" i="58"/>
  <c r="F165" i="58"/>
  <c r="E165" i="58"/>
  <c r="D165" i="58"/>
  <c r="C165" i="58"/>
  <c r="B165" i="58"/>
  <c r="A165" i="58"/>
  <c r="G164" i="58"/>
  <c r="F164" i="58"/>
  <c r="E164" i="58"/>
  <c r="D164" i="58"/>
  <c r="C164" i="58"/>
  <c r="B164" i="58"/>
  <c r="A164" i="58"/>
  <c r="G163" i="58"/>
  <c r="F163" i="58"/>
  <c r="E163" i="58"/>
  <c r="D163" i="58"/>
  <c r="C163" i="58"/>
  <c r="B163" i="58"/>
  <c r="A163" i="58"/>
  <c r="G162" i="58"/>
  <c r="F162" i="58"/>
  <c r="E162" i="58"/>
  <c r="D162" i="58"/>
  <c r="C162" i="58"/>
  <c r="B162" i="58"/>
  <c r="A162" i="58"/>
  <c r="G161" i="58"/>
  <c r="F161" i="58"/>
  <c r="E161" i="58"/>
  <c r="D161" i="58"/>
  <c r="C161" i="58"/>
  <c r="B161" i="58"/>
  <c r="A161" i="58"/>
  <c r="G160" i="58"/>
  <c r="F160" i="58"/>
  <c r="E160" i="58"/>
  <c r="D160" i="58"/>
  <c r="C160" i="58"/>
  <c r="B160" i="58"/>
  <c r="A160" i="58"/>
  <c r="G159" i="58"/>
  <c r="F159" i="58"/>
  <c r="E159" i="58"/>
  <c r="D159" i="58"/>
  <c r="C159" i="58"/>
  <c r="B159" i="58"/>
  <c r="A159" i="58"/>
  <c r="G158" i="58"/>
  <c r="F158" i="58"/>
  <c r="E158" i="58"/>
  <c r="D158" i="58"/>
  <c r="C158" i="58"/>
  <c r="B158" i="58"/>
  <c r="A158" i="58"/>
  <c r="G157" i="58"/>
  <c r="F157" i="58"/>
  <c r="E157" i="58"/>
  <c r="D157" i="58"/>
  <c r="C157" i="58"/>
  <c r="B157" i="58"/>
  <c r="A157" i="58"/>
  <c r="G156" i="58"/>
  <c r="F156" i="58"/>
  <c r="E156" i="58"/>
  <c r="D156" i="58"/>
  <c r="C156" i="58"/>
  <c r="B156" i="58"/>
  <c r="A156" i="58"/>
  <c r="G155" i="58"/>
  <c r="F155" i="58"/>
  <c r="E155" i="58"/>
  <c r="D155" i="58"/>
  <c r="C155" i="58"/>
  <c r="B155" i="58"/>
  <c r="A155" i="58"/>
  <c r="G154" i="58"/>
  <c r="F154" i="58"/>
  <c r="E154" i="58"/>
  <c r="D154" i="58"/>
  <c r="C154" i="58"/>
  <c r="B154" i="58"/>
  <c r="A154" i="58"/>
  <c r="G153" i="58"/>
  <c r="F153" i="58"/>
  <c r="E153" i="58"/>
  <c r="D153" i="58"/>
  <c r="C153" i="58"/>
  <c r="B153" i="58"/>
  <c r="A153" i="58"/>
  <c r="G152" i="58"/>
  <c r="F152" i="58"/>
  <c r="E152" i="58"/>
  <c r="D152" i="58"/>
  <c r="C152" i="58"/>
  <c r="B152" i="58"/>
  <c r="A152" i="58"/>
  <c r="G151" i="58"/>
  <c r="F151" i="58"/>
  <c r="E151" i="58"/>
  <c r="D151" i="58"/>
  <c r="C151" i="58"/>
  <c r="B151" i="58"/>
  <c r="A151" i="58"/>
  <c r="G150" i="58"/>
  <c r="F150" i="58"/>
  <c r="E150" i="58"/>
  <c r="D150" i="58"/>
  <c r="C150" i="58"/>
  <c r="B150" i="58"/>
  <c r="A150" i="58"/>
  <c r="G149" i="58"/>
  <c r="F149" i="58"/>
  <c r="E149" i="58"/>
  <c r="D149" i="58"/>
  <c r="C149" i="58"/>
  <c r="B149" i="58"/>
  <c r="A149" i="58"/>
  <c r="G148" i="58"/>
  <c r="F148" i="58"/>
  <c r="E148" i="58"/>
  <c r="D148" i="58"/>
  <c r="C148" i="58"/>
  <c r="B148" i="58"/>
  <c r="A148" i="58"/>
  <c r="G147" i="58"/>
  <c r="F147" i="58"/>
  <c r="E147" i="58"/>
  <c r="D147" i="58"/>
  <c r="C147" i="58"/>
  <c r="B147" i="58"/>
  <c r="A147" i="58"/>
  <c r="G146" i="58"/>
  <c r="F146" i="58"/>
  <c r="E146" i="58"/>
  <c r="D146" i="58"/>
  <c r="C146" i="58"/>
  <c r="B146" i="58"/>
  <c r="A146" i="58"/>
  <c r="G145" i="58"/>
  <c r="F145" i="58"/>
  <c r="E145" i="58"/>
  <c r="D145" i="58"/>
  <c r="C145" i="58"/>
  <c r="B145" i="58"/>
  <c r="A145" i="58"/>
  <c r="G144" i="58"/>
  <c r="F144" i="58"/>
  <c r="E144" i="58"/>
  <c r="D144" i="58"/>
  <c r="C144" i="58"/>
  <c r="B144" i="58"/>
  <c r="A144" i="58"/>
  <c r="G143" i="58"/>
  <c r="F143" i="58"/>
  <c r="E143" i="58"/>
  <c r="D143" i="58"/>
  <c r="C143" i="58"/>
  <c r="B143" i="58"/>
  <c r="A143" i="58"/>
  <c r="G142" i="58"/>
  <c r="F142" i="58"/>
  <c r="E142" i="58"/>
  <c r="D142" i="58"/>
  <c r="C142" i="58"/>
  <c r="B142" i="58"/>
  <c r="A142" i="58"/>
  <c r="G141" i="58"/>
  <c r="F141" i="58"/>
  <c r="E141" i="58"/>
  <c r="D141" i="58"/>
  <c r="C141" i="58"/>
  <c r="B141" i="58"/>
  <c r="A141" i="58"/>
  <c r="G140" i="58"/>
  <c r="F140" i="58"/>
  <c r="E140" i="58"/>
  <c r="D140" i="58"/>
  <c r="C140" i="58"/>
  <c r="B140" i="58"/>
  <c r="A140" i="58"/>
  <c r="G139" i="58"/>
  <c r="F139" i="58"/>
  <c r="E139" i="58"/>
  <c r="D139" i="58"/>
  <c r="C139" i="58"/>
  <c r="B139" i="58"/>
  <c r="A139" i="58"/>
  <c r="G138" i="58"/>
  <c r="F138" i="58"/>
  <c r="E138" i="58"/>
  <c r="D138" i="58"/>
  <c r="C138" i="58"/>
  <c r="B138" i="58"/>
  <c r="A138" i="58"/>
  <c r="G137" i="58"/>
  <c r="F137" i="58"/>
  <c r="E137" i="58"/>
  <c r="D137" i="58"/>
  <c r="C137" i="58"/>
  <c r="B137" i="58"/>
  <c r="A137" i="58"/>
  <c r="G136" i="58"/>
  <c r="F136" i="58"/>
  <c r="E136" i="58"/>
  <c r="D136" i="58"/>
  <c r="C136" i="58"/>
  <c r="B136" i="58"/>
  <c r="A136" i="58"/>
  <c r="G135" i="58"/>
  <c r="F135" i="58"/>
  <c r="E135" i="58"/>
  <c r="D135" i="58"/>
  <c r="C135" i="58"/>
  <c r="B135" i="58"/>
  <c r="A135" i="58"/>
  <c r="G134" i="58"/>
  <c r="F134" i="58"/>
  <c r="E134" i="58"/>
  <c r="D134" i="58"/>
  <c r="C134" i="58"/>
  <c r="B134" i="58"/>
  <c r="A134" i="58"/>
  <c r="G133" i="58"/>
  <c r="F133" i="58"/>
  <c r="E133" i="58"/>
  <c r="D133" i="58"/>
  <c r="C133" i="58"/>
  <c r="B133" i="58"/>
  <c r="A133" i="58"/>
  <c r="G132" i="58"/>
  <c r="F132" i="58"/>
  <c r="E132" i="58"/>
  <c r="D132" i="58"/>
  <c r="C132" i="58"/>
  <c r="B132" i="58"/>
  <c r="A132" i="58"/>
  <c r="G131" i="58"/>
  <c r="F131" i="58"/>
  <c r="E131" i="58"/>
  <c r="D131" i="58"/>
  <c r="C131" i="58"/>
  <c r="B131" i="58"/>
  <c r="A131" i="58"/>
  <c r="G130" i="58"/>
  <c r="F130" i="58"/>
  <c r="E130" i="58"/>
  <c r="D130" i="58"/>
  <c r="C130" i="58"/>
  <c r="B130" i="58"/>
  <c r="A130" i="58"/>
  <c r="G129" i="58"/>
  <c r="F129" i="58"/>
  <c r="E129" i="58"/>
  <c r="D129" i="58"/>
  <c r="C129" i="58"/>
  <c r="B129" i="58"/>
  <c r="A129" i="58"/>
  <c r="G128" i="58"/>
  <c r="F128" i="58"/>
  <c r="E128" i="58"/>
  <c r="D128" i="58"/>
  <c r="C128" i="58"/>
  <c r="B128" i="58"/>
  <c r="A128" i="58"/>
  <c r="G127" i="58"/>
  <c r="F127" i="58"/>
  <c r="E127" i="58"/>
  <c r="D127" i="58"/>
  <c r="C127" i="58"/>
  <c r="B127" i="58"/>
  <c r="A127" i="58"/>
  <c r="G126" i="58"/>
  <c r="F126" i="58"/>
  <c r="E126" i="58"/>
  <c r="D126" i="58"/>
  <c r="C126" i="58"/>
  <c r="B126" i="58"/>
  <c r="A126" i="58"/>
  <c r="G125" i="58"/>
  <c r="F125" i="58"/>
  <c r="E125" i="58"/>
  <c r="D125" i="58"/>
  <c r="C125" i="58"/>
  <c r="B125" i="58"/>
  <c r="A125" i="58"/>
  <c r="G124" i="58"/>
  <c r="F124" i="58"/>
  <c r="E124" i="58"/>
  <c r="D124" i="58"/>
  <c r="C124" i="58"/>
  <c r="B124" i="58"/>
  <c r="A124" i="58"/>
  <c r="G123" i="58"/>
  <c r="F123" i="58"/>
  <c r="E123" i="58"/>
  <c r="D123" i="58"/>
  <c r="C123" i="58"/>
  <c r="B123" i="58"/>
  <c r="A123" i="58"/>
  <c r="G122" i="58"/>
  <c r="F122" i="58"/>
  <c r="E122" i="58"/>
  <c r="D122" i="58"/>
  <c r="C122" i="58"/>
  <c r="B122" i="58"/>
  <c r="A122" i="58"/>
  <c r="G121" i="58"/>
  <c r="F121" i="58"/>
  <c r="E121" i="58"/>
  <c r="D121" i="58"/>
  <c r="C121" i="58"/>
  <c r="B121" i="58"/>
  <c r="A121" i="58"/>
  <c r="G120" i="58"/>
  <c r="F120" i="58"/>
  <c r="E120" i="58"/>
  <c r="D120" i="58"/>
  <c r="C120" i="58"/>
  <c r="B120" i="58"/>
  <c r="A120" i="58"/>
  <c r="G119" i="58"/>
  <c r="F119" i="58"/>
  <c r="E119" i="58"/>
  <c r="D119" i="58"/>
  <c r="C119" i="58"/>
  <c r="B119" i="58"/>
  <c r="A119" i="58"/>
  <c r="G118" i="58"/>
  <c r="F118" i="58"/>
  <c r="E118" i="58"/>
  <c r="D118" i="58"/>
  <c r="C118" i="58"/>
  <c r="B118" i="58"/>
  <c r="A118" i="58"/>
  <c r="G117" i="58"/>
  <c r="F117" i="58"/>
  <c r="E117" i="58"/>
  <c r="D117" i="58"/>
  <c r="C117" i="58"/>
  <c r="B117" i="58"/>
  <c r="A117" i="58"/>
  <c r="G116" i="58"/>
  <c r="F116" i="58"/>
  <c r="E116" i="58"/>
  <c r="D116" i="58"/>
  <c r="C116" i="58"/>
  <c r="B116" i="58"/>
  <c r="A116" i="58"/>
  <c r="G115" i="58"/>
  <c r="F115" i="58"/>
  <c r="E115" i="58"/>
  <c r="D115" i="58"/>
  <c r="C115" i="58"/>
  <c r="B115" i="58"/>
  <c r="A115" i="58"/>
  <c r="G114" i="58"/>
  <c r="F114" i="58"/>
  <c r="E114" i="58"/>
  <c r="D114" i="58"/>
  <c r="C114" i="58"/>
  <c r="B114" i="58"/>
  <c r="A114" i="58"/>
  <c r="G113" i="58"/>
  <c r="F113" i="58"/>
  <c r="E113" i="58"/>
  <c r="D113" i="58"/>
  <c r="C113" i="58"/>
  <c r="B113" i="58"/>
  <c r="A113" i="58"/>
  <c r="G112" i="58"/>
  <c r="F112" i="58"/>
  <c r="E112" i="58"/>
  <c r="D112" i="58"/>
  <c r="C112" i="58"/>
  <c r="B112" i="58"/>
  <c r="A112" i="58"/>
  <c r="G111" i="58"/>
  <c r="F111" i="58"/>
  <c r="E111" i="58"/>
  <c r="D111" i="58"/>
  <c r="C111" i="58"/>
  <c r="B111" i="58"/>
  <c r="A111" i="58"/>
  <c r="G110" i="58"/>
  <c r="F110" i="58"/>
  <c r="E110" i="58"/>
  <c r="D110" i="58"/>
  <c r="C110" i="58"/>
  <c r="B110" i="58"/>
  <c r="A110" i="58"/>
  <c r="G109" i="58"/>
  <c r="F109" i="58"/>
  <c r="E109" i="58"/>
  <c r="D109" i="58"/>
  <c r="C109" i="58"/>
  <c r="B109" i="58"/>
  <c r="A109" i="58"/>
  <c r="G108" i="58"/>
  <c r="F108" i="58"/>
  <c r="E108" i="58"/>
  <c r="D108" i="58"/>
  <c r="C108" i="58"/>
  <c r="B108" i="58"/>
  <c r="A108" i="58"/>
  <c r="G107" i="58"/>
  <c r="F107" i="58"/>
  <c r="E107" i="58"/>
  <c r="D107" i="58"/>
  <c r="C107" i="58"/>
  <c r="B107" i="58"/>
  <c r="A107" i="58"/>
  <c r="G106" i="58"/>
  <c r="F106" i="58"/>
  <c r="E106" i="58"/>
  <c r="D106" i="58"/>
  <c r="C106" i="58"/>
  <c r="B106" i="58"/>
  <c r="A106" i="58"/>
  <c r="G105" i="58"/>
  <c r="F105" i="58"/>
  <c r="E105" i="58"/>
  <c r="D105" i="58"/>
  <c r="C105" i="58"/>
  <c r="B105" i="58"/>
  <c r="A105" i="58"/>
  <c r="G104" i="58"/>
  <c r="F104" i="58"/>
  <c r="E104" i="58"/>
  <c r="D104" i="58"/>
  <c r="C104" i="58"/>
  <c r="B104" i="58"/>
  <c r="A104" i="58"/>
  <c r="G103" i="58"/>
  <c r="F103" i="58"/>
  <c r="E103" i="58"/>
  <c r="D103" i="58"/>
  <c r="C103" i="58"/>
  <c r="B103" i="58"/>
  <c r="A103" i="58"/>
  <c r="G102" i="58"/>
  <c r="F102" i="58"/>
  <c r="E102" i="58"/>
  <c r="D102" i="58"/>
  <c r="C102" i="58"/>
  <c r="B102" i="58"/>
  <c r="A102" i="58"/>
  <c r="G101" i="58"/>
  <c r="F101" i="58"/>
  <c r="E101" i="58"/>
  <c r="D101" i="58"/>
  <c r="C101" i="58"/>
  <c r="B101" i="58"/>
  <c r="A101" i="58"/>
  <c r="G100" i="58"/>
  <c r="F100" i="58"/>
  <c r="E100" i="58"/>
  <c r="D100" i="58"/>
  <c r="C100" i="58"/>
  <c r="B100" i="58"/>
  <c r="A100" i="58"/>
  <c r="G99" i="58"/>
  <c r="F99" i="58"/>
  <c r="E99" i="58"/>
  <c r="D99" i="58"/>
  <c r="C99" i="58"/>
  <c r="B99" i="58"/>
  <c r="A99" i="58"/>
  <c r="G98" i="58"/>
  <c r="F98" i="58"/>
  <c r="E98" i="58"/>
  <c r="D98" i="58"/>
  <c r="C98" i="58"/>
  <c r="B98" i="58"/>
  <c r="A98" i="58"/>
  <c r="G97" i="58"/>
  <c r="F97" i="58"/>
  <c r="E97" i="58"/>
  <c r="D97" i="58"/>
  <c r="C97" i="58"/>
  <c r="B97" i="58"/>
  <c r="A97" i="58"/>
  <c r="G96" i="58"/>
  <c r="F96" i="58"/>
  <c r="E96" i="58"/>
  <c r="D96" i="58"/>
  <c r="C96" i="58"/>
  <c r="B96" i="58"/>
  <c r="A96" i="58"/>
  <c r="G95" i="58"/>
  <c r="F95" i="58"/>
  <c r="E95" i="58"/>
  <c r="D95" i="58"/>
  <c r="C95" i="58"/>
  <c r="B95" i="58"/>
  <c r="A95" i="58"/>
  <c r="G94" i="58"/>
  <c r="F94" i="58"/>
  <c r="E94" i="58"/>
  <c r="D94" i="58"/>
  <c r="C94" i="58"/>
  <c r="B94" i="58"/>
  <c r="A94" i="58"/>
  <c r="G93" i="58"/>
  <c r="F93" i="58"/>
  <c r="E93" i="58"/>
  <c r="D93" i="58"/>
  <c r="C93" i="58"/>
  <c r="B93" i="58"/>
  <c r="A93" i="58"/>
  <c r="G92" i="58"/>
  <c r="F92" i="58"/>
  <c r="E92" i="58"/>
  <c r="D92" i="58"/>
  <c r="C92" i="58"/>
  <c r="B92" i="58"/>
  <c r="A92" i="58"/>
  <c r="G91" i="58"/>
  <c r="F91" i="58"/>
  <c r="E91" i="58"/>
  <c r="D91" i="58"/>
  <c r="C91" i="58"/>
  <c r="B91" i="58"/>
  <c r="A91" i="58"/>
  <c r="G90" i="58"/>
  <c r="F90" i="58"/>
  <c r="E90" i="58"/>
  <c r="D90" i="58"/>
  <c r="C90" i="58"/>
  <c r="B90" i="58"/>
  <c r="A90" i="58"/>
  <c r="G89" i="58"/>
  <c r="F89" i="58"/>
  <c r="E89" i="58"/>
  <c r="D89" i="58"/>
  <c r="C89" i="58"/>
  <c r="B89" i="58"/>
  <c r="A89" i="58"/>
  <c r="G88" i="58"/>
  <c r="F88" i="58"/>
  <c r="E88" i="58"/>
  <c r="D88" i="58"/>
  <c r="C88" i="58"/>
  <c r="B88" i="58"/>
  <c r="A88" i="58"/>
  <c r="G87" i="58"/>
  <c r="F87" i="58"/>
  <c r="E87" i="58"/>
  <c r="D87" i="58"/>
  <c r="C87" i="58"/>
  <c r="B87" i="58"/>
  <c r="A87" i="58"/>
  <c r="G86" i="58"/>
  <c r="F86" i="58"/>
  <c r="E86" i="58"/>
  <c r="D86" i="58"/>
  <c r="C86" i="58"/>
  <c r="B86" i="58"/>
  <c r="A86" i="58"/>
  <c r="G85" i="58"/>
  <c r="F85" i="58"/>
  <c r="E85" i="58"/>
  <c r="D85" i="58"/>
  <c r="C85" i="58"/>
  <c r="B85" i="58"/>
  <c r="A85" i="58"/>
  <c r="G84" i="58"/>
  <c r="F84" i="58"/>
  <c r="E84" i="58"/>
  <c r="D84" i="58"/>
  <c r="C84" i="58"/>
  <c r="B84" i="58"/>
  <c r="A84" i="58"/>
  <c r="G83" i="58"/>
  <c r="F83" i="58"/>
  <c r="E83" i="58"/>
  <c r="D83" i="58"/>
  <c r="C83" i="58"/>
  <c r="B83" i="58"/>
  <c r="A83" i="58"/>
  <c r="G82" i="58"/>
  <c r="F82" i="58"/>
  <c r="E82" i="58"/>
  <c r="D82" i="58"/>
  <c r="C82" i="58"/>
  <c r="B82" i="58"/>
  <c r="A82" i="58"/>
  <c r="G81" i="58"/>
  <c r="F81" i="58"/>
  <c r="E81" i="58"/>
  <c r="D81" i="58"/>
  <c r="C81" i="58"/>
  <c r="B81" i="58"/>
  <c r="A81" i="58"/>
  <c r="G80" i="58"/>
  <c r="F80" i="58"/>
  <c r="E80" i="58"/>
  <c r="D80" i="58"/>
  <c r="C80" i="58"/>
  <c r="B80" i="58"/>
  <c r="A80" i="58"/>
  <c r="G79" i="58"/>
  <c r="F79" i="58"/>
  <c r="E79" i="58"/>
  <c r="D79" i="58"/>
  <c r="C79" i="58"/>
  <c r="B79" i="58"/>
  <c r="A79" i="58"/>
  <c r="G78" i="58"/>
  <c r="F78" i="58"/>
  <c r="E78" i="58"/>
  <c r="D78" i="58"/>
  <c r="C78" i="58"/>
  <c r="B78" i="58"/>
  <c r="A78" i="58"/>
  <c r="G77" i="58"/>
  <c r="F77" i="58"/>
  <c r="E77" i="58"/>
  <c r="D77" i="58"/>
  <c r="C77" i="58"/>
  <c r="B77" i="58"/>
  <c r="A77" i="58"/>
  <c r="G76" i="58"/>
  <c r="F76" i="58"/>
  <c r="E76" i="58"/>
  <c r="D76" i="58"/>
  <c r="C76" i="58"/>
  <c r="B76" i="58"/>
  <c r="A76" i="58"/>
  <c r="G75" i="58"/>
  <c r="F75" i="58"/>
  <c r="E75" i="58"/>
  <c r="D75" i="58"/>
  <c r="C75" i="58"/>
  <c r="B75" i="58"/>
  <c r="A75" i="58"/>
  <c r="G74" i="58"/>
  <c r="F74" i="58"/>
  <c r="E74" i="58"/>
  <c r="D74" i="58"/>
  <c r="C74" i="58"/>
  <c r="B74" i="58"/>
  <c r="A74" i="58"/>
  <c r="G73" i="58"/>
  <c r="F73" i="58"/>
  <c r="E73" i="58"/>
  <c r="D73" i="58"/>
  <c r="C73" i="58"/>
  <c r="B73" i="58"/>
  <c r="A73" i="58"/>
  <c r="G72" i="58"/>
  <c r="F72" i="58"/>
  <c r="E72" i="58"/>
  <c r="D72" i="58"/>
  <c r="C72" i="58"/>
  <c r="B72" i="58"/>
  <c r="A72" i="58"/>
  <c r="G71" i="58"/>
  <c r="F71" i="58"/>
  <c r="E71" i="58"/>
  <c r="D71" i="58"/>
  <c r="C71" i="58"/>
  <c r="B71" i="58"/>
  <c r="A71" i="58"/>
  <c r="G70" i="58"/>
  <c r="F70" i="58"/>
  <c r="E70" i="58"/>
  <c r="D70" i="58"/>
  <c r="C70" i="58"/>
  <c r="B70" i="58"/>
  <c r="A70" i="58"/>
  <c r="G69" i="58"/>
  <c r="F69" i="58"/>
  <c r="E69" i="58"/>
  <c r="D69" i="58"/>
  <c r="C69" i="58"/>
  <c r="B69" i="58"/>
  <c r="A69" i="58"/>
  <c r="G68" i="58"/>
  <c r="F68" i="58"/>
  <c r="E68" i="58"/>
  <c r="D68" i="58"/>
  <c r="C68" i="58"/>
  <c r="B68" i="58"/>
  <c r="A68" i="58"/>
  <c r="G67" i="58"/>
  <c r="F67" i="58"/>
  <c r="E67" i="58"/>
  <c r="D67" i="58"/>
  <c r="C67" i="58"/>
  <c r="B67" i="58"/>
  <c r="A67" i="58"/>
  <c r="G66" i="58"/>
  <c r="F66" i="58"/>
  <c r="E66" i="58"/>
  <c r="D66" i="58"/>
  <c r="C66" i="58"/>
  <c r="B66" i="58"/>
  <c r="A66" i="58"/>
  <c r="G65" i="58"/>
  <c r="F65" i="58"/>
  <c r="E65" i="58"/>
  <c r="D65" i="58"/>
  <c r="C65" i="58"/>
  <c r="B65" i="58"/>
  <c r="A65" i="58"/>
  <c r="G64" i="58"/>
  <c r="F64" i="58"/>
  <c r="E64" i="58"/>
  <c r="D64" i="58"/>
  <c r="C64" i="58"/>
  <c r="B64" i="58"/>
  <c r="A64" i="58"/>
  <c r="G63" i="58"/>
  <c r="F63" i="58"/>
  <c r="E63" i="58"/>
  <c r="D63" i="58"/>
  <c r="C63" i="58"/>
  <c r="B63" i="58"/>
  <c r="A63" i="58"/>
  <c r="G62" i="58"/>
  <c r="F62" i="58"/>
  <c r="E62" i="58"/>
  <c r="D62" i="58"/>
  <c r="C62" i="58"/>
  <c r="B62" i="58"/>
  <c r="A62" i="58"/>
  <c r="G61" i="58"/>
  <c r="F61" i="58"/>
  <c r="E61" i="58"/>
  <c r="D61" i="58"/>
  <c r="C61" i="58"/>
  <c r="B61" i="58"/>
  <c r="A61" i="58"/>
  <c r="G60" i="58"/>
  <c r="F60" i="58"/>
  <c r="E60" i="58"/>
  <c r="D60" i="58"/>
  <c r="C60" i="58"/>
  <c r="B60" i="58"/>
  <c r="A60" i="58"/>
  <c r="G59" i="58"/>
  <c r="F59" i="58"/>
  <c r="E59" i="58"/>
  <c r="D59" i="58"/>
  <c r="C59" i="58"/>
  <c r="B59" i="58"/>
  <c r="A59" i="58"/>
  <c r="G58" i="58"/>
  <c r="F58" i="58"/>
  <c r="E58" i="58"/>
  <c r="D58" i="58"/>
  <c r="C58" i="58"/>
  <c r="B58" i="58"/>
  <c r="A58" i="58"/>
  <c r="G57" i="58"/>
  <c r="F57" i="58"/>
  <c r="E57" i="58"/>
  <c r="D57" i="58"/>
  <c r="C57" i="58"/>
  <c r="B57" i="58"/>
  <c r="A57" i="58"/>
  <c r="G56" i="58"/>
  <c r="F56" i="58"/>
  <c r="E56" i="58"/>
  <c r="D56" i="58"/>
  <c r="C56" i="58"/>
  <c r="B56" i="58"/>
  <c r="A56" i="58"/>
  <c r="G55" i="58"/>
  <c r="F55" i="58"/>
  <c r="E55" i="58"/>
  <c r="D55" i="58"/>
  <c r="C55" i="58"/>
  <c r="B55" i="58"/>
  <c r="A55" i="58"/>
  <c r="G54" i="58"/>
  <c r="F54" i="58"/>
  <c r="E54" i="58"/>
  <c r="D54" i="58"/>
  <c r="C54" i="58"/>
  <c r="B54" i="58"/>
  <c r="A54" i="58"/>
  <c r="G53" i="58"/>
  <c r="F53" i="58"/>
  <c r="E53" i="58"/>
  <c r="D53" i="58"/>
  <c r="C53" i="58"/>
  <c r="B53" i="58"/>
  <c r="A53" i="58"/>
  <c r="G52" i="58"/>
  <c r="F52" i="58"/>
  <c r="E52" i="58"/>
  <c r="D52" i="58"/>
  <c r="C52" i="58"/>
  <c r="B52" i="58"/>
  <c r="A52" i="58"/>
  <c r="G51" i="58"/>
  <c r="F51" i="58"/>
  <c r="E51" i="58"/>
  <c r="D51" i="58"/>
  <c r="C51" i="58"/>
  <c r="B51" i="58"/>
  <c r="A51" i="58"/>
  <c r="G50" i="58"/>
  <c r="F50" i="58"/>
  <c r="E50" i="58"/>
  <c r="D50" i="58"/>
  <c r="C50" i="58"/>
  <c r="B50" i="58"/>
  <c r="A50" i="58"/>
  <c r="G49" i="58"/>
  <c r="F49" i="58"/>
  <c r="E49" i="58"/>
  <c r="D49" i="58"/>
  <c r="C49" i="58"/>
  <c r="B49" i="58"/>
  <c r="A49" i="58"/>
  <c r="G48" i="58"/>
  <c r="F48" i="58"/>
  <c r="E48" i="58"/>
  <c r="D48" i="58"/>
  <c r="C48" i="58"/>
  <c r="B48" i="58"/>
  <c r="A48" i="58"/>
  <c r="G47" i="58"/>
  <c r="F47" i="58"/>
  <c r="E47" i="58"/>
  <c r="D47" i="58"/>
  <c r="C47" i="58"/>
  <c r="B47" i="58"/>
  <c r="A47" i="58"/>
  <c r="G46" i="58"/>
  <c r="F46" i="58"/>
  <c r="E46" i="58"/>
  <c r="D46" i="58"/>
  <c r="C46" i="58"/>
  <c r="B46" i="58"/>
  <c r="A46" i="58"/>
  <c r="G45" i="58"/>
  <c r="F45" i="58"/>
  <c r="E45" i="58"/>
  <c r="D45" i="58"/>
  <c r="C45" i="58"/>
  <c r="B45" i="58"/>
  <c r="A45" i="58"/>
  <c r="G44" i="58"/>
  <c r="F44" i="58"/>
  <c r="E44" i="58"/>
  <c r="D44" i="58"/>
  <c r="C44" i="58"/>
  <c r="B44" i="58"/>
  <c r="A44" i="58"/>
  <c r="G43" i="58"/>
  <c r="F43" i="58"/>
  <c r="E43" i="58"/>
  <c r="D43" i="58"/>
  <c r="C43" i="58"/>
  <c r="B43" i="58"/>
  <c r="A43" i="58"/>
  <c r="G42" i="58"/>
  <c r="F42" i="58"/>
  <c r="E42" i="58"/>
  <c r="D42" i="58"/>
  <c r="C42" i="58"/>
  <c r="B42" i="58"/>
  <c r="A42" i="58"/>
  <c r="G41" i="58"/>
  <c r="F41" i="58"/>
  <c r="E41" i="58"/>
  <c r="D41" i="58"/>
  <c r="C41" i="58"/>
  <c r="B41" i="58"/>
  <c r="A41" i="58"/>
  <c r="G40" i="58"/>
  <c r="F40" i="58"/>
  <c r="E40" i="58"/>
  <c r="D40" i="58"/>
  <c r="C40" i="58"/>
  <c r="B40" i="58"/>
  <c r="A40" i="58"/>
  <c r="G39" i="58"/>
  <c r="F39" i="58"/>
  <c r="E39" i="58"/>
  <c r="D39" i="58"/>
  <c r="C39" i="58"/>
  <c r="B39" i="58"/>
  <c r="A39" i="58"/>
  <c r="G38" i="58"/>
  <c r="F38" i="58"/>
  <c r="E38" i="58"/>
  <c r="D38" i="58"/>
  <c r="C38" i="58"/>
  <c r="B38" i="58"/>
  <c r="A38" i="58"/>
  <c r="G37" i="58"/>
  <c r="F37" i="58"/>
  <c r="E37" i="58"/>
  <c r="D37" i="58"/>
  <c r="C37" i="58"/>
  <c r="B37" i="58"/>
  <c r="A37" i="58"/>
  <c r="G36" i="58"/>
  <c r="F36" i="58"/>
  <c r="E36" i="58"/>
  <c r="D36" i="58"/>
  <c r="C36" i="58"/>
  <c r="B36" i="58"/>
  <c r="A36" i="58"/>
  <c r="G35" i="58"/>
  <c r="F35" i="58"/>
  <c r="E35" i="58"/>
  <c r="D35" i="58"/>
  <c r="C35" i="58"/>
  <c r="B35" i="58"/>
  <c r="A35" i="58"/>
  <c r="G34" i="58"/>
  <c r="F34" i="58"/>
  <c r="E34" i="58"/>
  <c r="D34" i="58"/>
  <c r="C34" i="58"/>
  <c r="B34" i="58"/>
  <c r="A34" i="58"/>
  <c r="G33" i="58"/>
  <c r="F33" i="58"/>
  <c r="E33" i="58"/>
  <c r="D33" i="58"/>
  <c r="C33" i="58"/>
  <c r="B33" i="58"/>
  <c r="A33" i="58"/>
  <c r="G32" i="58"/>
  <c r="F32" i="58"/>
  <c r="E32" i="58"/>
  <c r="D32" i="58"/>
  <c r="C32" i="58"/>
  <c r="B32" i="58"/>
  <c r="A32" i="58"/>
  <c r="G31" i="58"/>
  <c r="F31" i="58"/>
  <c r="E31" i="58"/>
  <c r="D31" i="58"/>
  <c r="C31" i="58"/>
  <c r="B31" i="58"/>
  <c r="A31" i="58"/>
  <c r="G30" i="58"/>
  <c r="F30" i="58"/>
  <c r="E30" i="58"/>
  <c r="D30" i="58"/>
  <c r="C30" i="58"/>
  <c r="B30" i="58"/>
  <c r="A30" i="58"/>
  <c r="G29" i="58"/>
  <c r="F29" i="58"/>
  <c r="E29" i="58"/>
  <c r="D29" i="58"/>
  <c r="C29" i="58"/>
  <c r="B29" i="58"/>
  <c r="A29" i="58"/>
  <c r="G28" i="58"/>
  <c r="F28" i="58"/>
  <c r="E28" i="58"/>
  <c r="D28" i="58"/>
  <c r="C28" i="58"/>
  <c r="B28" i="58"/>
  <c r="A28" i="58"/>
  <c r="G27" i="58"/>
  <c r="F27" i="58"/>
  <c r="E27" i="58"/>
  <c r="D27" i="58"/>
  <c r="C27" i="58"/>
  <c r="B27" i="58"/>
  <c r="A27" i="58"/>
  <c r="G26" i="58"/>
  <c r="F26" i="58"/>
  <c r="E26" i="58"/>
  <c r="D26" i="58"/>
  <c r="C26" i="58"/>
  <c r="B26" i="58"/>
  <c r="A26" i="58"/>
  <c r="G25" i="58"/>
  <c r="F25" i="58"/>
  <c r="E25" i="58"/>
  <c r="D25" i="58"/>
  <c r="C25" i="58"/>
  <c r="B25" i="58"/>
  <c r="A25" i="58"/>
  <c r="G24" i="58"/>
  <c r="F24" i="58"/>
  <c r="E24" i="58"/>
  <c r="D24" i="58"/>
  <c r="C24" i="58"/>
  <c r="B24" i="58"/>
  <c r="A24" i="58"/>
  <c r="G23" i="58"/>
  <c r="F23" i="58"/>
  <c r="E23" i="58"/>
  <c r="D23" i="58"/>
  <c r="C23" i="58"/>
  <c r="B23" i="58"/>
  <c r="A23" i="58"/>
  <c r="G22" i="58"/>
  <c r="F22" i="58"/>
  <c r="E22" i="58"/>
  <c r="D22" i="58"/>
  <c r="C22" i="58"/>
  <c r="B22" i="58"/>
  <c r="A22" i="58"/>
  <c r="G21" i="58"/>
  <c r="F21" i="58"/>
  <c r="E21" i="58"/>
  <c r="D21" i="58"/>
  <c r="C21" i="58"/>
  <c r="B21" i="58"/>
  <c r="A21" i="58"/>
  <c r="G20" i="58"/>
  <c r="F20" i="58"/>
  <c r="E20" i="58"/>
  <c r="D20" i="58"/>
  <c r="C20" i="58"/>
  <c r="B20" i="58"/>
  <c r="A20" i="58"/>
  <c r="G19" i="58"/>
  <c r="F19" i="58"/>
  <c r="E19" i="58"/>
  <c r="D19" i="58"/>
  <c r="C19" i="58"/>
  <c r="B19" i="58"/>
  <c r="A19" i="58"/>
  <c r="G18" i="58"/>
  <c r="F18" i="58"/>
  <c r="E18" i="58"/>
  <c r="D18" i="58"/>
  <c r="C18" i="58"/>
  <c r="B18" i="58"/>
  <c r="A18" i="58"/>
  <c r="G17" i="58"/>
  <c r="F17" i="58"/>
  <c r="E17" i="58"/>
  <c r="D17" i="58"/>
  <c r="C17" i="58"/>
  <c r="B17" i="58"/>
  <c r="A17" i="58"/>
  <c r="G16" i="58"/>
  <c r="F16" i="58"/>
  <c r="E16" i="58"/>
  <c r="D16" i="58"/>
  <c r="C16" i="58"/>
  <c r="B16" i="58"/>
  <c r="A16" i="58"/>
  <c r="G15" i="58"/>
  <c r="F15" i="58"/>
  <c r="E15" i="58"/>
  <c r="D15" i="58"/>
  <c r="C15" i="58"/>
  <c r="B15" i="58"/>
  <c r="A15" i="58"/>
  <c r="G14" i="58"/>
  <c r="F14" i="58"/>
  <c r="E14" i="58"/>
  <c r="D14" i="58"/>
  <c r="C14" i="58"/>
  <c r="B14" i="58"/>
  <c r="A14" i="58"/>
  <c r="G13" i="58"/>
  <c r="F13" i="58"/>
  <c r="E13" i="58"/>
  <c r="D13" i="58"/>
  <c r="C13" i="58"/>
  <c r="B13" i="58"/>
  <c r="A13" i="58"/>
  <c r="G12" i="58"/>
  <c r="F12" i="58"/>
  <c r="E12" i="58"/>
  <c r="D12" i="58"/>
  <c r="C12" i="58"/>
  <c r="B12" i="58"/>
  <c r="A12" i="58"/>
  <c r="G11" i="58"/>
  <c r="F11" i="58"/>
  <c r="E11" i="58"/>
  <c r="D11" i="58"/>
  <c r="C11" i="58"/>
  <c r="B11" i="58"/>
  <c r="A11" i="58"/>
  <c r="G10" i="58"/>
  <c r="F10" i="58"/>
  <c r="E10" i="58"/>
  <c r="D10" i="58"/>
  <c r="C10" i="58"/>
  <c r="B10" i="58"/>
  <c r="A10" i="58"/>
  <c r="G9" i="58"/>
  <c r="F9" i="58"/>
  <c r="E9" i="58"/>
  <c r="D9" i="58"/>
  <c r="C9" i="58"/>
  <c r="B9" i="58"/>
  <c r="A9" i="58"/>
  <c r="G8" i="58"/>
  <c r="F8" i="58"/>
  <c r="E8" i="58"/>
  <c r="D8" i="58"/>
  <c r="C8" i="58"/>
  <c r="B8" i="58"/>
  <c r="A8" i="58"/>
  <c r="G7" i="58"/>
  <c r="F7" i="58"/>
  <c r="E7" i="58"/>
  <c r="D7" i="58"/>
  <c r="C7" i="58"/>
  <c r="B7" i="58"/>
  <c r="A7" i="58"/>
  <c r="G6" i="58"/>
  <c r="F6" i="58"/>
  <c r="E6" i="58"/>
  <c r="D6" i="58"/>
  <c r="C6" i="58"/>
  <c r="B6" i="58"/>
  <c r="A6" i="58"/>
  <c r="G5" i="58"/>
  <c r="F5" i="58"/>
  <c r="E5" i="58"/>
  <c r="D5" i="58"/>
  <c r="C5" i="58"/>
  <c r="B5" i="58"/>
  <c r="A5" i="58"/>
  <c r="G4" i="58"/>
  <c r="F4" i="58"/>
  <c r="E4" i="58"/>
  <c r="D4" i="58"/>
  <c r="C4" i="58"/>
  <c r="B4" i="58"/>
  <c r="A4" i="58"/>
  <c r="G3" i="58"/>
  <c r="F3" i="58"/>
  <c r="E3" i="58"/>
  <c r="D3" i="58"/>
  <c r="C3" i="58"/>
  <c r="B3" i="58"/>
  <c r="A3" i="58"/>
  <c r="U2" i="58"/>
  <c r="K2" i="58"/>
  <c r="J2" i="58"/>
  <c r="I2" i="58"/>
  <c r="H2" i="58"/>
  <c r="G2" i="58"/>
  <c r="F2" i="58"/>
  <c r="E2" i="58"/>
  <c r="D2" i="58"/>
  <c r="C2" i="58"/>
  <c r="B2" i="58"/>
  <c r="A2" i="58"/>
  <c r="U1" i="58"/>
  <c r="K1" i="58"/>
  <c r="J1" i="58"/>
  <c r="I1" i="58"/>
  <c r="G1" i="58"/>
  <c r="F1" i="58"/>
  <c r="E1" i="58"/>
  <c r="D1" i="58"/>
  <c r="C1" i="58"/>
  <c r="B1" i="58"/>
  <c r="G497" i="37"/>
  <c r="G497" i="41" s="1"/>
  <c r="F497" i="37"/>
  <c r="F497" i="41" s="1"/>
  <c r="E497" i="37"/>
  <c r="E497" i="41" s="1"/>
  <c r="D497" i="37"/>
  <c r="D497" i="41" s="1"/>
  <c r="C497" i="37"/>
  <c r="C497" i="41" s="1"/>
  <c r="B497" i="37"/>
  <c r="B497" i="41" s="1"/>
  <c r="A497" i="37"/>
  <c r="A497" i="41" s="1"/>
  <c r="G496" i="37"/>
  <c r="G496" i="41" s="1"/>
  <c r="F496" i="37"/>
  <c r="F496" i="41" s="1"/>
  <c r="E496" i="37"/>
  <c r="E496" i="41" s="1"/>
  <c r="D496" i="37"/>
  <c r="D496" i="41" s="1"/>
  <c r="C496" i="37"/>
  <c r="C496" i="41" s="1"/>
  <c r="B496" i="37"/>
  <c r="B496" i="41" s="1"/>
  <c r="A496" i="37"/>
  <c r="A496" i="41" s="1"/>
  <c r="G495" i="37"/>
  <c r="G495" i="41" s="1"/>
  <c r="F495" i="37"/>
  <c r="F495" i="41" s="1"/>
  <c r="E495" i="37"/>
  <c r="E495" i="41" s="1"/>
  <c r="D495" i="37"/>
  <c r="D495" i="41" s="1"/>
  <c r="C495" i="37"/>
  <c r="C495" i="41" s="1"/>
  <c r="B495" i="37"/>
  <c r="B495" i="41" s="1"/>
  <c r="A495" i="37"/>
  <c r="A495" i="41" s="1"/>
  <c r="G494" i="37"/>
  <c r="G494" i="41" s="1"/>
  <c r="F494" i="37"/>
  <c r="F494" i="41" s="1"/>
  <c r="E494" i="37"/>
  <c r="E494" i="41" s="1"/>
  <c r="D494" i="37"/>
  <c r="D494" i="41" s="1"/>
  <c r="C494" i="37"/>
  <c r="C494" i="41" s="1"/>
  <c r="B494" i="37"/>
  <c r="B494" i="41" s="1"/>
  <c r="A494" i="37"/>
  <c r="G493" i="37"/>
  <c r="G493" i="41" s="1"/>
  <c r="F493" i="37"/>
  <c r="F493" i="41" s="1"/>
  <c r="E493" i="37"/>
  <c r="E493" i="41" s="1"/>
  <c r="D493" i="37"/>
  <c r="D493" i="41" s="1"/>
  <c r="C493" i="37"/>
  <c r="C493" i="41" s="1"/>
  <c r="B493" i="37"/>
  <c r="B493" i="41" s="1"/>
  <c r="A493" i="37"/>
  <c r="A493" i="41" s="1"/>
  <c r="G492" i="37"/>
  <c r="G492" i="41" s="1"/>
  <c r="F492" i="37"/>
  <c r="F492" i="41" s="1"/>
  <c r="E492" i="37"/>
  <c r="E492" i="41" s="1"/>
  <c r="D492" i="37"/>
  <c r="D492" i="41" s="1"/>
  <c r="C492" i="37"/>
  <c r="C492" i="41" s="1"/>
  <c r="B492" i="37"/>
  <c r="B492" i="41" s="1"/>
  <c r="A492" i="37"/>
  <c r="A492" i="41" s="1"/>
  <c r="G491" i="37"/>
  <c r="G491" i="41" s="1"/>
  <c r="F491" i="37"/>
  <c r="F491" i="41" s="1"/>
  <c r="E491" i="37"/>
  <c r="E491" i="41" s="1"/>
  <c r="D491" i="37"/>
  <c r="D491" i="41" s="1"/>
  <c r="C491" i="37"/>
  <c r="C491" i="41" s="1"/>
  <c r="B491" i="37"/>
  <c r="B491" i="41" s="1"/>
  <c r="A491" i="37"/>
  <c r="A491" i="41" s="1"/>
  <c r="G490" i="37"/>
  <c r="G490" i="41" s="1"/>
  <c r="F490" i="37"/>
  <c r="F490" i="41" s="1"/>
  <c r="E490" i="37"/>
  <c r="E490" i="41" s="1"/>
  <c r="D490" i="37"/>
  <c r="D490" i="41" s="1"/>
  <c r="C490" i="37"/>
  <c r="C490" i="41" s="1"/>
  <c r="B490" i="37"/>
  <c r="B490" i="41" s="1"/>
  <c r="A490" i="37"/>
  <c r="A490" i="41" s="1"/>
  <c r="G489" i="37"/>
  <c r="G489" i="41" s="1"/>
  <c r="F489" i="37"/>
  <c r="F489" i="41" s="1"/>
  <c r="E489" i="37"/>
  <c r="E489" i="41" s="1"/>
  <c r="D489" i="37"/>
  <c r="D489" i="41" s="1"/>
  <c r="C489" i="37"/>
  <c r="C489" i="41" s="1"/>
  <c r="B489" i="37"/>
  <c r="B489" i="41" s="1"/>
  <c r="A489" i="37"/>
  <c r="A489" i="41" s="1"/>
  <c r="G488" i="37"/>
  <c r="G488" i="41" s="1"/>
  <c r="F488" i="37"/>
  <c r="F488" i="41" s="1"/>
  <c r="E488" i="37"/>
  <c r="E488" i="41" s="1"/>
  <c r="D488" i="37"/>
  <c r="D488" i="41" s="1"/>
  <c r="C488" i="37"/>
  <c r="C488" i="41" s="1"/>
  <c r="B488" i="37"/>
  <c r="B488" i="41" s="1"/>
  <c r="A488" i="37"/>
  <c r="A488" i="41" s="1"/>
  <c r="G487" i="37"/>
  <c r="G487" i="41" s="1"/>
  <c r="F487" i="37"/>
  <c r="F487" i="41" s="1"/>
  <c r="E487" i="37"/>
  <c r="E487" i="41" s="1"/>
  <c r="D487" i="37"/>
  <c r="D487" i="41" s="1"/>
  <c r="C487" i="37"/>
  <c r="C487" i="41" s="1"/>
  <c r="B487" i="37"/>
  <c r="B487" i="41" s="1"/>
  <c r="A487" i="37"/>
  <c r="A487" i="41" s="1"/>
  <c r="G486" i="37"/>
  <c r="G486" i="41" s="1"/>
  <c r="F486" i="37"/>
  <c r="F486" i="41" s="1"/>
  <c r="E486" i="37"/>
  <c r="E486" i="41" s="1"/>
  <c r="D486" i="37"/>
  <c r="D486" i="41" s="1"/>
  <c r="C486" i="37"/>
  <c r="C486" i="41" s="1"/>
  <c r="B486" i="37"/>
  <c r="B486" i="41" s="1"/>
  <c r="A486" i="37"/>
  <c r="A486" i="41" s="1"/>
  <c r="G485" i="37"/>
  <c r="G485" i="41" s="1"/>
  <c r="F485" i="37"/>
  <c r="F485" i="41" s="1"/>
  <c r="E485" i="37"/>
  <c r="E485" i="41" s="1"/>
  <c r="D485" i="37"/>
  <c r="D485" i="41" s="1"/>
  <c r="C485" i="37"/>
  <c r="C485" i="41" s="1"/>
  <c r="B485" i="37"/>
  <c r="B485" i="41" s="1"/>
  <c r="A485" i="37"/>
  <c r="A485" i="41" s="1"/>
  <c r="G484" i="37"/>
  <c r="G484" i="41" s="1"/>
  <c r="F484" i="37"/>
  <c r="F484" i="41" s="1"/>
  <c r="E484" i="37"/>
  <c r="E484" i="41" s="1"/>
  <c r="D484" i="37"/>
  <c r="D484" i="41" s="1"/>
  <c r="C484" i="37"/>
  <c r="C484" i="41" s="1"/>
  <c r="B484" i="37"/>
  <c r="B484" i="41" s="1"/>
  <c r="A484" i="37"/>
  <c r="A484" i="41" s="1"/>
  <c r="G483" i="37"/>
  <c r="G483" i="41" s="1"/>
  <c r="F483" i="37"/>
  <c r="F483" i="41" s="1"/>
  <c r="E483" i="37"/>
  <c r="E483" i="41" s="1"/>
  <c r="D483" i="37"/>
  <c r="D483" i="41" s="1"/>
  <c r="C483" i="37"/>
  <c r="C483" i="41" s="1"/>
  <c r="B483" i="37"/>
  <c r="B483" i="41" s="1"/>
  <c r="A483" i="37"/>
  <c r="A483" i="41" s="1"/>
  <c r="G482" i="37"/>
  <c r="G482" i="41" s="1"/>
  <c r="F482" i="37"/>
  <c r="F482" i="41" s="1"/>
  <c r="E482" i="37"/>
  <c r="E482" i="41" s="1"/>
  <c r="D482" i="37"/>
  <c r="D482" i="41" s="1"/>
  <c r="C482" i="37"/>
  <c r="C482" i="41" s="1"/>
  <c r="B482" i="37"/>
  <c r="B482" i="41" s="1"/>
  <c r="A482" i="37"/>
  <c r="A482" i="41" s="1"/>
  <c r="G481" i="37"/>
  <c r="G481" i="41" s="1"/>
  <c r="F481" i="37"/>
  <c r="F481" i="41" s="1"/>
  <c r="E481" i="37"/>
  <c r="E481" i="41" s="1"/>
  <c r="D481" i="37"/>
  <c r="D481" i="41" s="1"/>
  <c r="C481" i="37"/>
  <c r="C481" i="41" s="1"/>
  <c r="B481" i="37"/>
  <c r="B481" i="41" s="1"/>
  <c r="A481" i="37"/>
  <c r="A481" i="41" s="1"/>
  <c r="G480" i="37"/>
  <c r="G480" i="41" s="1"/>
  <c r="F480" i="37"/>
  <c r="F480" i="41" s="1"/>
  <c r="E480" i="37"/>
  <c r="E480" i="41" s="1"/>
  <c r="D480" i="37"/>
  <c r="D480" i="41" s="1"/>
  <c r="C480" i="37"/>
  <c r="C480" i="41" s="1"/>
  <c r="B480" i="37"/>
  <c r="B480" i="41" s="1"/>
  <c r="A480" i="37"/>
  <c r="A480" i="41" s="1"/>
  <c r="G479" i="37"/>
  <c r="G479" i="41" s="1"/>
  <c r="F479" i="37"/>
  <c r="F479" i="41" s="1"/>
  <c r="E479" i="37"/>
  <c r="E479" i="41" s="1"/>
  <c r="D479" i="37"/>
  <c r="D479" i="41" s="1"/>
  <c r="C479" i="37"/>
  <c r="C479" i="41" s="1"/>
  <c r="B479" i="37"/>
  <c r="B479" i="41" s="1"/>
  <c r="A479" i="37"/>
  <c r="A479" i="41" s="1"/>
  <c r="G478" i="37"/>
  <c r="G478" i="41" s="1"/>
  <c r="F478" i="37"/>
  <c r="F478" i="41" s="1"/>
  <c r="E478" i="37"/>
  <c r="E478" i="41" s="1"/>
  <c r="D478" i="37"/>
  <c r="D478" i="41" s="1"/>
  <c r="C478" i="37"/>
  <c r="C478" i="41" s="1"/>
  <c r="B478" i="37"/>
  <c r="B478" i="41" s="1"/>
  <c r="A478" i="37"/>
  <c r="A478" i="41" s="1"/>
  <c r="G477" i="37"/>
  <c r="G477" i="41" s="1"/>
  <c r="F477" i="37"/>
  <c r="F477" i="41" s="1"/>
  <c r="E477" i="37"/>
  <c r="E477" i="41" s="1"/>
  <c r="D477" i="37"/>
  <c r="D477" i="41" s="1"/>
  <c r="C477" i="37"/>
  <c r="C477" i="41" s="1"/>
  <c r="B477" i="37"/>
  <c r="B477" i="41" s="1"/>
  <c r="A477" i="37"/>
  <c r="A477" i="41" s="1"/>
  <c r="G476" i="37"/>
  <c r="G476" i="41" s="1"/>
  <c r="F476" i="37"/>
  <c r="F476" i="41" s="1"/>
  <c r="E476" i="37"/>
  <c r="E476" i="41" s="1"/>
  <c r="D476" i="37"/>
  <c r="D476" i="41" s="1"/>
  <c r="C476" i="37"/>
  <c r="C476" i="41" s="1"/>
  <c r="B476" i="37"/>
  <c r="B476" i="41" s="1"/>
  <c r="A476" i="37"/>
  <c r="A476" i="41" s="1"/>
  <c r="G475" i="37"/>
  <c r="G475" i="41" s="1"/>
  <c r="F475" i="37"/>
  <c r="F475" i="41" s="1"/>
  <c r="E475" i="37"/>
  <c r="E475" i="41" s="1"/>
  <c r="D475" i="37"/>
  <c r="D475" i="41" s="1"/>
  <c r="C475" i="37"/>
  <c r="C475" i="41" s="1"/>
  <c r="B475" i="37"/>
  <c r="B475" i="41" s="1"/>
  <c r="A475" i="37"/>
  <c r="A475" i="41" s="1"/>
  <c r="G474" i="37"/>
  <c r="G474" i="41" s="1"/>
  <c r="F474" i="37"/>
  <c r="F474" i="41" s="1"/>
  <c r="E474" i="37"/>
  <c r="E474" i="41" s="1"/>
  <c r="D474" i="37"/>
  <c r="D474" i="41" s="1"/>
  <c r="C474" i="37"/>
  <c r="C474" i="41" s="1"/>
  <c r="B474" i="37"/>
  <c r="B474" i="41" s="1"/>
  <c r="A474" i="37"/>
  <c r="A474" i="41" s="1"/>
  <c r="G473" i="37"/>
  <c r="G473" i="41" s="1"/>
  <c r="F473" i="37"/>
  <c r="F473" i="41" s="1"/>
  <c r="E473" i="37"/>
  <c r="E473" i="41" s="1"/>
  <c r="D473" i="37"/>
  <c r="D473" i="41" s="1"/>
  <c r="C473" i="37"/>
  <c r="C473" i="41" s="1"/>
  <c r="B473" i="37"/>
  <c r="B473" i="41" s="1"/>
  <c r="A473" i="37"/>
  <c r="A473" i="41" s="1"/>
  <c r="G472" i="37"/>
  <c r="G472" i="41" s="1"/>
  <c r="F472" i="37"/>
  <c r="F472" i="41" s="1"/>
  <c r="E472" i="37"/>
  <c r="E472" i="41" s="1"/>
  <c r="D472" i="37"/>
  <c r="D472" i="41" s="1"/>
  <c r="C472" i="37"/>
  <c r="C472" i="41" s="1"/>
  <c r="B472" i="37"/>
  <c r="B472" i="41" s="1"/>
  <c r="A472" i="37"/>
  <c r="A472" i="41" s="1"/>
  <c r="G471" i="37"/>
  <c r="G471" i="41" s="1"/>
  <c r="F471" i="37"/>
  <c r="F471" i="41" s="1"/>
  <c r="E471" i="37"/>
  <c r="E471" i="41" s="1"/>
  <c r="D471" i="37"/>
  <c r="D471" i="41" s="1"/>
  <c r="C471" i="37"/>
  <c r="C471" i="41" s="1"/>
  <c r="B471" i="37"/>
  <c r="B471" i="41" s="1"/>
  <c r="A471" i="37"/>
  <c r="A471" i="41" s="1"/>
  <c r="G470" i="37"/>
  <c r="G470" i="41" s="1"/>
  <c r="F470" i="37"/>
  <c r="F470" i="41" s="1"/>
  <c r="E470" i="37"/>
  <c r="E470" i="41" s="1"/>
  <c r="D470" i="37"/>
  <c r="D470" i="41" s="1"/>
  <c r="C470" i="37"/>
  <c r="C470" i="41" s="1"/>
  <c r="B470" i="37"/>
  <c r="B470" i="41" s="1"/>
  <c r="A470" i="37"/>
  <c r="A470" i="41" s="1"/>
  <c r="G469" i="37"/>
  <c r="G469" i="41" s="1"/>
  <c r="F469" i="37"/>
  <c r="F469" i="41" s="1"/>
  <c r="E469" i="37"/>
  <c r="E469" i="41" s="1"/>
  <c r="D469" i="37"/>
  <c r="D469" i="41" s="1"/>
  <c r="C469" i="37"/>
  <c r="C469" i="41" s="1"/>
  <c r="B469" i="37"/>
  <c r="B469" i="41" s="1"/>
  <c r="A469" i="37"/>
  <c r="A469" i="41" s="1"/>
  <c r="G468" i="37"/>
  <c r="G468" i="41" s="1"/>
  <c r="F468" i="37"/>
  <c r="F468" i="41" s="1"/>
  <c r="E468" i="37"/>
  <c r="E468" i="41" s="1"/>
  <c r="D468" i="37"/>
  <c r="D468" i="41" s="1"/>
  <c r="C468" i="37"/>
  <c r="C468" i="41" s="1"/>
  <c r="B468" i="37"/>
  <c r="B468" i="41" s="1"/>
  <c r="A468" i="37"/>
  <c r="A468" i="41" s="1"/>
  <c r="G467" i="37"/>
  <c r="G467" i="41" s="1"/>
  <c r="F467" i="37"/>
  <c r="F467" i="41" s="1"/>
  <c r="E467" i="37"/>
  <c r="E467" i="41" s="1"/>
  <c r="D467" i="37"/>
  <c r="D467" i="41" s="1"/>
  <c r="C467" i="37"/>
  <c r="C467" i="41" s="1"/>
  <c r="B467" i="37"/>
  <c r="B467" i="41" s="1"/>
  <c r="A467" i="37"/>
  <c r="A467" i="41" s="1"/>
  <c r="G466" i="37"/>
  <c r="G466" i="41" s="1"/>
  <c r="F466" i="37"/>
  <c r="F466" i="41" s="1"/>
  <c r="E466" i="37"/>
  <c r="E466" i="41" s="1"/>
  <c r="D466" i="37"/>
  <c r="D466" i="41" s="1"/>
  <c r="C466" i="37"/>
  <c r="C466" i="41" s="1"/>
  <c r="B466" i="37"/>
  <c r="B466" i="41" s="1"/>
  <c r="A466" i="37"/>
  <c r="A466" i="41" s="1"/>
  <c r="G465" i="37"/>
  <c r="G465" i="41" s="1"/>
  <c r="F465" i="37"/>
  <c r="F465" i="41" s="1"/>
  <c r="E465" i="37"/>
  <c r="E465" i="41" s="1"/>
  <c r="D465" i="37"/>
  <c r="D465" i="41" s="1"/>
  <c r="C465" i="37"/>
  <c r="C465" i="41" s="1"/>
  <c r="B465" i="37"/>
  <c r="B465" i="41" s="1"/>
  <c r="A465" i="37"/>
  <c r="A465" i="41" s="1"/>
  <c r="G464" i="37"/>
  <c r="G464" i="41" s="1"/>
  <c r="F464" i="37"/>
  <c r="F464" i="41" s="1"/>
  <c r="E464" i="37"/>
  <c r="E464" i="41" s="1"/>
  <c r="D464" i="37"/>
  <c r="D464" i="41" s="1"/>
  <c r="C464" i="37"/>
  <c r="C464" i="41" s="1"/>
  <c r="B464" i="37"/>
  <c r="B464" i="41" s="1"/>
  <c r="A464" i="37"/>
  <c r="A464" i="41" s="1"/>
  <c r="G463" i="37"/>
  <c r="G463" i="41" s="1"/>
  <c r="F463" i="37"/>
  <c r="F463" i="41" s="1"/>
  <c r="E463" i="37"/>
  <c r="E463" i="41" s="1"/>
  <c r="D463" i="37"/>
  <c r="D463" i="41" s="1"/>
  <c r="C463" i="37"/>
  <c r="C463" i="41" s="1"/>
  <c r="B463" i="37"/>
  <c r="B463" i="41" s="1"/>
  <c r="A463" i="37"/>
  <c r="A463" i="41" s="1"/>
  <c r="G462" i="37"/>
  <c r="G462" i="41" s="1"/>
  <c r="F462" i="37"/>
  <c r="F462" i="41" s="1"/>
  <c r="E462" i="37"/>
  <c r="E462" i="41" s="1"/>
  <c r="D462" i="37"/>
  <c r="D462" i="41" s="1"/>
  <c r="C462" i="37"/>
  <c r="C462" i="41" s="1"/>
  <c r="B462" i="37"/>
  <c r="B462" i="41" s="1"/>
  <c r="A462" i="37"/>
  <c r="A462" i="41" s="1"/>
  <c r="G461" i="37"/>
  <c r="G461" i="41" s="1"/>
  <c r="F461" i="37"/>
  <c r="F461" i="41" s="1"/>
  <c r="E461" i="37"/>
  <c r="E461" i="41" s="1"/>
  <c r="D461" i="37"/>
  <c r="D461" i="41" s="1"/>
  <c r="C461" i="37"/>
  <c r="C461" i="41" s="1"/>
  <c r="B461" i="37"/>
  <c r="B461" i="41" s="1"/>
  <c r="A461" i="37"/>
  <c r="A461" i="41" s="1"/>
  <c r="G460" i="37"/>
  <c r="G460" i="41" s="1"/>
  <c r="F460" i="37"/>
  <c r="F460" i="41" s="1"/>
  <c r="E460" i="37"/>
  <c r="E460" i="41" s="1"/>
  <c r="D460" i="37"/>
  <c r="D460" i="41" s="1"/>
  <c r="C460" i="37"/>
  <c r="C460" i="41" s="1"/>
  <c r="B460" i="37"/>
  <c r="B460" i="41" s="1"/>
  <c r="A460" i="37"/>
  <c r="A460" i="41" s="1"/>
  <c r="G459" i="37"/>
  <c r="G459" i="41" s="1"/>
  <c r="F459" i="37"/>
  <c r="F459" i="41" s="1"/>
  <c r="E459" i="37"/>
  <c r="E459" i="41" s="1"/>
  <c r="D459" i="37"/>
  <c r="D459" i="41" s="1"/>
  <c r="C459" i="37"/>
  <c r="C459" i="41" s="1"/>
  <c r="B459" i="37"/>
  <c r="B459" i="41" s="1"/>
  <c r="A459" i="37"/>
  <c r="A459" i="41" s="1"/>
  <c r="G458" i="37"/>
  <c r="G458" i="41" s="1"/>
  <c r="F458" i="37"/>
  <c r="F458" i="41" s="1"/>
  <c r="E458" i="37"/>
  <c r="E458" i="41" s="1"/>
  <c r="D458" i="37"/>
  <c r="D458" i="41" s="1"/>
  <c r="C458" i="37"/>
  <c r="C458" i="41" s="1"/>
  <c r="B458" i="37"/>
  <c r="B458" i="41" s="1"/>
  <c r="A458" i="37"/>
  <c r="A458" i="41" s="1"/>
  <c r="G457" i="37"/>
  <c r="G457" i="41" s="1"/>
  <c r="F457" i="37"/>
  <c r="F457" i="41" s="1"/>
  <c r="E457" i="37"/>
  <c r="E457" i="41" s="1"/>
  <c r="D457" i="37"/>
  <c r="D457" i="41" s="1"/>
  <c r="C457" i="37"/>
  <c r="C457" i="41" s="1"/>
  <c r="B457" i="37"/>
  <c r="B457" i="41" s="1"/>
  <c r="A457" i="37"/>
  <c r="A457" i="41" s="1"/>
  <c r="G456" i="37"/>
  <c r="G456" i="41" s="1"/>
  <c r="F456" i="37"/>
  <c r="F456" i="41" s="1"/>
  <c r="E456" i="37"/>
  <c r="E456" i="41" s="1"/>
  <c r="D456" i="37"/>
  <c r="D456" i="41" s="1"/>
  <c r="C456" i="37"/>
  <c r="C456" i="41" s="1"/>
  <c r="B456" i="37"/>
  <c r="B456" i="41" s="1"/>
  <c r="A456" i="37"/>
  <c r="A456" i="41" s="1"/>
  <c r="G455" i="37"/>
  <c r="G455" i="41" s="1"/>
  <c r="F455" i="37"/>
  <c r="F455" i="41" s="1"/>
  <c r="E455" i="37"/>
  <c r="E455" i="41" s="1"/>
  <c r="D455" i="37"/>
  <c r="D455" i="41" s="1"/>
  <c r="C455" i="37"/>
  <c r="C455" i="41" s="1"/>
  <c r="B455" i="37"/>
  <c r="B455" i="41" s="1"/>
  <c r="A455" i="37"/>
  <c r="A455" i="41" s="1"/>
  <c r="G454" i="37"/>
  <c r="G454" i="41" s="1"/>
  <c r="F454" i="37"/>
  <c r="F454" i="41" s="1"/>
  <c r="E454" i="37"/>
  <c r="E454" i="41" s="1"/>
  <c r="D454" i="37"/>
  <c r="D454" i="41" s="1"/>
  <c r="C454" i="37"/>
  <c r="C454" i="41" s="1"/>
  <c r="B454" i="37"/>
  <c r="B454" i="41" s="1"/>
  <c r="A454" i="37"/>
  <c r="A454" i="41" s="1"/>
  <c r="G453" i="37"/>
  <c r="G453" i="41" s="1"/>
  <c r="F453" i="37"/>
  <c r="F453" i="41" s="1"/>
  <c r="E453" i="37"/>
  <c r="E453" i="41" s="1"/>
  <c r="D453" i="37"/>
  <c r="D453" i="41" s="1"/>
  <c r="C453" i="37"/>
  <c r="C453" i="41" s="1"/>
  <c r="B453" i="37"/>
  <c r="B453" i="41" s="1"/>
  <c r="A453" i="37"/>
  <c r="A453" i="41" s="1"/>
  <c r="G452" i="37"/>
  <c r="G452" i="41" s="1"/>
  <c r="F452" i="37"/>
  <c r="F452" i="41" s="1"/>
  <c r="E452" i="37"/>
  <c r="E452" i="41" s="1"/>
  <c r="D452" i="37"/>
  <c r="D452" i="41" s="1"/>
  <c r="C452" i="37"/>
  <c r="C452" i="41" s="1"/>
  <c r="B452" i="37"/>
  <c r="B452" i="41" s="1"/>
  <c r="A452" i="37"/>
  <c r="A452" i="41" s="1"/>
  <c r="G451" i="37"/>
  <c r="G451" i="41" s="1"/>
  <c r="F451" i="37"/>
  <c r="F451" i="41" s="1"/>
  <c r="E451" i="37"/>
  <c r="E451" i="41" s="1"/>
  <c r="D451" i="37"/>
  <c r="D451" i="41" s="1"/>
  <c r="C451" i="37"/>
  <c r="C451" i="41" s="1"/>
  <c r="B451" i="37"/>
  <c r="B451" i="41" s="1"/>
  <c r="A451" i="37"/>
  <c r="A451" i="41" s="1"/>
  <c r="G450" i="37"/>
  <c r="G450" i="41" s="1"/>
  <c r="F450" i="37"/>
  <c r="F450" i="41" s="1"/>
  <c r="E450" i="37"/>
  <c r="E450" i="41" s="1"/>
  <c r="D450" i="37"/>
  <c r="D450" i="41" s="1"/>
  <c r="C450" i="37"/>
  <c r="C450" i="41" s="1"/>
  <c r="B450" i="37"/>
  <c r="B450" i="41" s="1"/>
  <c r="A450" i="37"/>
  <c r="A450" i="41" s="1"/>
  <c r="G449" i="37"/>
  <c r="G449" i="41" s="1"/>
  <c r="F449" i="37"/>
  <c r="F449" i="41" s="1"/>
  <c r="E449" i="37"/>
  <c r="E449" i="41" s="1"/>
  <c r="D449" i="37"/>
  <c r="D449" i="41" s="1"/>
  <c r="C449" i="37"/>
  <c r="C449" i="41" s="1"/>
  <c r="B449" i="37"/>
  <c r="B449" i="41" s="1"/>
  <c r="A449" i="37"/>
  <c r="A449" i="41" s="1"/>
  <c r="G448" i="37"/>
  <c r="G448" i="41" s="1"/>
  <c r="F448" i="37"/>
  <c r="F448" i="41" s="1"/>
  <c r="E448" i="37"/>
  <c r="E448" i="41" s="1"/>
  <c r="D448" i="37"/>
  <c r="D448" i="41" s="1"/>
  <c r="C448" i="37"/>
  <c r="C448" i="41" s="1"/>
  <c r="B448" i="37"/>
  <c r="B448" i="41" s="1"/>
  <c r="A448" i="37"/>
  <c r="A448" i="41" s="1"/>
  <c r="G447" i="37"/>
  <c r="G447" i="41" s="1"/>
  <c r="F447" i="37"/>
  <c r="F447" i="41" s="1"/>
  <c r="E447" i="37"/>
  <c r="E447" i="41" s="1"/>
  <c r="D447" i="37"/>
  <c r="D447" i="41" s="1"/>
  <c r="C447" i="37"/>
  <c r="C447" i="41" s="1"/>
  <c r="B447" i="37"/>
  <c r="B447" i="41" s="1"/>
  <c r="A447" i="37"/>
  <c r="A447" i="41" s="1"/>
  <c r="G446" i="37"/>
  <c r="G446" i="41" s="1"/>
  <c r="F446" i="37"/>
  <c r="F446" i="41" s="1"/>
  <c r="E446" i="37"/>
  <c r="E446" i="41" s="1"/>
  <c r="D446" i="37"/>
  <c r="D446" i="41" s="1"/>
  <c r="C446" i="37"/>
  <c r="C446" i="41" s="1"/>
  <c r="B446" i="37"/>
  <c r="B446" i="41" s="1"/>
  <c r="A446" i="37"/>
  <c r="A446" i="41" s="1"/>
  <c r="G445" i="37"/>
  <c r="G445" i="41" s="1"/>
  <c r="F445" i="37"/>
  <c r="F445" i="41" s="1"/>
  <c r="E445" i="37"/>
  <c r="E445" i="41" s="1"/>
  <c r="D445" i="37"/>
  <c r="D445" i="41" s="1"/>
  <c r="C445" i="37"/>
  <c r="C445" i="41" s="1"/>
  <c r="B445" i="37"/>
  <c r="B445" i="41" s="1"/>
  <c r="A445" i="37"/>
  <c r="A445" i="41" s="1"/>
  <c r="G444" i="37"/>
  <c r="G444" i="41" s="1"/>
  <c r="F444" i="37"/>
  <c r="F444" i="41" s="1"/>
  <c r="E444" i="37"/>
  <c r="E444" i="41" s="1"/>
  <c r="D444" i="37"/>
  <c r="D444" i="41" s="1"/>
  <c r="C444" i="37"/>
  <c r="C444" i="41" s="1"/>
  <c r="B444" i="37"/>
  <c r="B444" i="41" s="1"/>
  <c r="A444" i="37"/>
  <c r="A444" i="41" s="1"/>
  <c r="G443" i="37"/>
  <c r="G443" i="41" s="1"/>
  <c r="F443" i="37"/>
  <c r="F443" i="41" s="1"/>
  <c r="E443" i="37"/>
  <c r="E443" i="41" s="1"/>
  <c r="D443" i="37"/>
  <c r="D443" i="41" s="1"/>
  <c r="C443" i="37"/>
  <c r="C443" i="41" s="1"/>
  <c r="B443" i="37"/>
  <c r="B443" i="41" s="1"/>
  <c r="A443" i="37"/>
  <c r="A443" i="41" s="1"/>
  <c r="G442" i="37"/>
  <c r="G442" i="41" s="1"/>
  <c r="F442" i="37"/>
  <c r="F442" i="41" s="1"/>
  <c r="E442" i="37"/>
  <c r="E442" i="41" s="1"/>
  <c r="D442" i="37"/>
  <c r="D442" i="41" s="1"/>
  <c r="C442" i="37"/>
  <c r="C442" i="41" s="1"/>
  <c r="B442" i="37"/>
  <c r="B442" i="41" s="1"/>
  <c r="A442" i="37"/>
  <c r="A442" i="41" s="1"/>
  <c r="G441" i="37"/>
  <c r="G441" i="41" s="1"/>
  <c r="F441" i="37"/>
  <c r="F441" i="41" s="1"/>
  <c r="E441" i="37"/>
  <c r="E441" i="41" s="1"/>
  <c r="D441" i="37"/>
  <c r="D441" i="41" s="1"/>
  <c r="C441" i="37"/>
  <c r="C441" i="41" s="1"/>
  <c r="B441" i="37"/>
  <c r="B441" i="41" s="1"/>
  <c r="A441" i="37"/>
  <c r="A441" i="41" s="1"/>
  <c r="G440" i="37"/>
  <c r="G440" i="41" s="1"/>
  <c r="F440" i="37"/>
  <c r="F440" i="41" s="1"/>
  <c r="E440" i="37"/>
  <c r="E440" i="41" s="1"/>
  <c r="D440" i="37"/>
  <c r="D440" i="41" s="1"/>
  <c r="C440" i="37"/>
  <c r="C440" i="41" s="1"/>
  <c r="B440" i="37"/>
  <c r="B440" i="41" s="1"/>
  <c r="A440" i="37"/>
  <c r="A440" i="41" s="1"/>
  <c r="G439" i="37"/>
  <c r="G439" i="41" s="1"/>
  <c r="F439" i="37"/>
  <c r="F439" i="41" s="1"/>
  <c r="E439" i="37"/>
  <c r="E439" i="41" s="1"/>
  <c r="D439" i="37"/>
  <c r="D439" i="41" s="1"/>
  <c r="C439" i="37"/>
  <c r="C439" i="41" s="1"/>
  <c r="B439" i="37"/>
  <c r="B439" i="41" s="1"/>
  <c r="A439" i="37"/>
  <c r="A439" i="41" s="1"/>
  <c r="G438" i="37"/>
  <c r="G438" i="41" s="1"/>
  <c r="F438" i="37"/>
  <c r="F438" i="41" s="1"/>
  <c r="E438" i="37"/>
  <c r="E438" i="41" s="1"/>
  <c r="D438" i="37"/>
  <c r="D438" i="41" s="1"/>
  <c r="C438" i="37"/>
  <c r="C438" i="41" s="1"/>
  <c r="B438" i="37"/>
  <c r="B438" i="41" s="1"/>
  <c r="A438" i="37"/>
  <c r="A438" i="41" s="1"/>
  <c r="G437" i="37"/>
  <c r="G437" i="41" s="1"/>
  <c r="F437" i="37"/>
  <c r="F437" i="41" s="1"/>
  <c r="E437" i="37"/>
  <c r="E437" i="41" s="1"/>
  <c r="D437" i="37"/>
  <c r="C437" i="37"/>
  <c r="C437" i="41" s="1"/>
  <c r="B437" i="37"/>
  <c r="B437" i="41" s="1"/>
  <c r="A437" i="37"/>
  <c r="A437" i="41" s="1"/>
  <c r="G436" i="37"/>
  <c r="G436" i="41" s="1"/>
  <c r="F436" i="37"/>
  <c r="F436" i="41" s="1"/>
  <c r="E436" i="37"/>
  <c r="E436" i="41" s="1"/>
  <c r="D436" i="37"/>
  <c r="D436" i="41" s="1"/>
  <c r="C436" i="37"/>
  <c r="C436" i="41" s="1"/>
  <c r="B436" i="37"/>
  <c r="B436" i="41" s="1"/>
  <c r="A436" i="37"/>
  <c r="G435" i="37"/>
  <c r="G435" i="41" s="1"/>
  <c r="F435" i="37"/>
  <c r="F435" i="41" s="1"/>
  <c r="E435" i="37"/>
  <c r="E435" i="41" s="1"/>
  <c r="D435" i="37"/>
  <c r="D435" i="41" s="1"/>
  <c r="C435" i="37"/>
  <c r="C435" i="41" s="1"/>
  <c r="B435" i="37"/>
  <c r="B435" i="41" s="1"/>
  <c r="A435" i="37"/>
  <c r="A435" i="41" s="1"/>
  <c r="G434" i="37"/>
  <c r="G434" i="41" s="1"/>
  <c r="F434" i="37"/>
  <c r="F434" i="41" s="1"/>
  <c r="E434" i="37"/>
  <c r="E434" i="41" s="1"/>
  <c r="D434" i="37"/>
  <c r="D434" i="41" s="1"/>
  <c r="C434" i="37"/>
  <c r="C434" i="41" s="1"/>
  <c r="B434" i="37"/>
  <c r="B434" i="41" s="1"/>
  <c r="A434" i="37"/>
  <c r="A434" i="41" s="1"/>
  <c r="G433" i="37"/>
  <c r="G433" i="41" s="1"/>
  <c r="F433" i="37"/>
  <c r="F433" i="41" s="1"/>
  <c r="E433" i="37"/>
  <c r="E433" i="41" s="1"/>
  <c r="D433" i="37"/>
  <c r="D433" i="41" s="1"/>
  <c r="C433" i="37"/>
  <c r="C433" i="41" s="1"/>
  <c r="B433" i="37"/>
  <c r="B433" i="41" s="1"/>
  <c r="A433" i="37"/>
  <c r="A433" i="41" s="1"/>
  <c r="G432" i="37"/>
  <c r="G432" i="41" s="1"/>
  <c r="F432" i="37"/>
  <c r="F432" i="41" s="1"/>
  <c r="E432" i="37"/>
  <c r="E432" i="41" s="1"/>
  <c r="D432" i="37"/>
  <c r="D432" i="41" s="1"/>
  <c r="C432" i="37"/>
  <c r="C432" i="41" s="1"/>
  <c r="B432" i="37"/>
  <c r="B432" i="41" s="1"/>
  <c r="A432" i="37"/>
  <c r="A432" i="41" s="1"/>
  <c r="G431" i="37"/>
  <c r="G431" i="41" s="1"/>
  <c r="F431" i="37"/>
  <c r="F431" i="41" s="1"/>
  <c r="E431" i="37"/>
  <c r="E431" i="41" s="1"/>
  <c r="D431" i="37"/>
  <c r="C431" i="37"/>
  <c r="C431" i="41" s="1"/>
  <c r="B431" i="37"/>
  <c r="B431" i="41" s="1"/>
  <c r="A431" i="37"/>
  <c r="A431" i="41" s="1"/>
  <c r="G430" i="37"/>
  <c r="G430" i="41" s="1"/>
  <c r="F430" i="37"/>
  <c r="F430" i="41" s="1"/>
  <c r="E430" i="37"/>
  <c r="E430" i="41" s="1"/>
  <c r="D430" i="37"/>
  <c r="D430" i="41" s="1"/>
  <c r="C430" i="37"/>
  <c r="C430" i="41" s="1"/>
  <c r="B430" i="37"/>
  <c r="B430" i="41" s="1"/>
  <c r="A430" i="37"/>
  <c r="G429" i="37"/>
  <c r="G429" i="41" s="1"/>
  <c r="F429" i="37"/>
  <c r="F429" i="41" s="1"/>
  <c r="E429" i="37"/>
  <c r="E429" i="41" s="1"/>
  <c r="D429" i="37"/>
  <c r="D429" i="41" s="1"/>
  <c r="C429" i="37"/>
  <c r="C429" i="41" s="1"/>
  <c r="B429" i="37"/>
  <c r="B429" i="41" s="1"/>
  <c r="A429" i="37"/>
  <c r="G428" i="37"/>
  <c r="G428" i="41" s="1"/>
  <c r="F428" i="37"/>
  <c r="F428" i="41" s="1"/>
  <c r="E428" i="37"/>
  <c r="E428" i="41" s="1"/>
  <c r="D428" i="37"/>
  <c r="D428" i="41" s="1"/>
  <c r="C428" i="37"/>
  <c r="C428" i="41" s="1"/>
  <c r="B428" i="37"/>
  <c r="B428" i="41" s="1"/>
  <c r="A428" i="37"/>
  <c r="A428" i="41" s="1"/>
  <c r="G427" i="37"/>
  <c r="G427" i="41" s="1"/>
  <c r="F427" i="37"/>
  <c r="F427" i="41" s="1"/>
  <c r="E427" i="37"/>
  <c r="E427" i="41" s="1"/>
  <c r="D427" i="37"/>
  <c r="D427" i="41" s="1"/>
  <c r="C427" i="37"/>
  <c r="C427" i="41" s="1"/>
  <c r="B427" i="37"/>
  <c r="B427" i="41" s="1"/>
  <c r="A427" i="37"/>
  <c r="A427" i="41" s="1"/>
  <c r="G426" i="37"/>
  <c r="G426" i="41" s="1"/>
  <c r="F426" i="37"/>
  <c r="F426" i="41" s="1"/>
  <c r="E426" i="37"/>
  <c r="E426" i="41" s="1"/>
  <c r="D426" i="37"/>
  <c r="D426" i="41" s="1"/>
  <c r="C426" i="37"/>
  <c r="C426" i="41" s="1"/>
  <c r="B426" i="37"/>
  <c r="B426" i="41" s="1"/>
  <c r="A426" i="37"/>
  <c r="A426" i="41" s="1"/>
  <c r="G425" i="37"/>
  <c r="G425" i="41" s="1"/>
  <c r="F425" i="37"/>
  <c r="F425" i="41" s="1"/>
  <c r="E425" i="37"/>
  <c r="E425" i="41" s="1"/>
  <c r="D425" i="37"/>
  <c r="D425" i="41" s="1"/>
  <c r="C425" i="37"/>
  <c r="C425" i="41" s="1"/>
  <c r="B425" i="37"/>
  <c r="B425" i="41" s="1"/>
  <c r="A425" i="37"/>
  <c r="A425" i="41" s="1"/>
  <c r="G424" i="37"/>
  <c r="G424" i="41" s="1"/>
  <c r="F424" i="37"/>
  <c r="F424" i="41" s="1"/>
  <c r="E424" i="37"/>
  <c r="E424" i="41" s="1"/>
  <c r="D424" i="37"/>
  <c r="D424" i="41" s="1"/>
  <c r="C424" i="37"/>
  <c r="C424" i="41" s="1"/>
  <c r="B424" i="37"/>
  <c r="B424" i="41" s="1"/>
  <c r="A424" i="37"/>
  <c r="A424" i="41" s="1"/>
  <c r="G423" i="37"/>
  <c r="G423" i="41" s="1"/>
  <c r="F423" i="37"/>
  <c r="F423" i="41" s="1"/>
  <c r="E423" i="37"/>
  <c r="E423" i="41" s="1"/>
  <c r="D423" i="37"/>
  <c r="D423" i="41" s="1"/>
  <c r="C423" i="37"/>
  <c r="C423" i="41" s="1"/>
  <c r="B423" i="37"/>
  <c r="B423" i="41" s="1"/>
  <c r="A423" i="37"/>
  <c r="A423" i="41" s="1"/>
  <c r="G422" i="37"/>
  <c r="G422" i="41" s="1"/>
  <c r="F422" i="37"/>
  <c r="F422" i="41" s="1"/>
  <c r="E422" i="37"/>
  <c r="E422" i="41" s="1"/>
  <c r="D422" i="37"/>
  <c r="D422" i="41" s="1"/>
  <c r="C422" i="37"/>
  <c r="C422" i="41" s="1"/>
  <c r="B422" i="37"/>
  <c r="B422" i="41" s="1"/>
  <c r="A422" i="37"/>
  <c r="A422" i="41" s="1"/>
  <c r="G421" i="37"/>
  <c r="G421" i="41" s="1"/>
  <c r="F421" i="37"/>
  <c r="F421" i="41" s="1"/>
  <c r="E421" i="37"/>
  <c r="E421" i="41" s="1"/>
  <c r="D421" i="37"/>
  <c r="D421" i="41" s="1"/>
  <c r="C421" i="37"/>
  <c r="C421" i="41" s="1"/>
  <c r="B421" i="37"/>
  <c r="B421" i="41" s="1"/>
  <c r="A421" i="37"/>
  <c r="A421" i="41" s="1"/>
  <c r="G420" i="37"/>
  <c r="G420" i="41" s="1"/>
  <c r="F420" i="37"/>
  <c r="F420" i="41" s="1"/>
  <c r="E420" i="37"/>
  <c r="E420" i="41" s="1"/>
  <c r="D420" i="37"/>
  <c r="D420" i="41" s="1"/>
  <c r="C420" i="37"/>
  <c r="C420" i="41" s="1"/>
  <c r="B420" i="37"/>
  <c r="B420" i="41" s="1"/>
  <c r="A420" i="37"/>
  <c r="A420" i="41" s="1"/>
  <c r="G419" i="37"/>
  <c r="G419" i="41" s="1"/>
  <c r="F419" i="37"/>
  <c r="F419" i="41" s="1"/>
  <c r="E419" i="37"/>
  <c r="E419" i="41" s="1"/>
  <c r="D419" i="37"/>
  <c r="D419" i="41" s="1"/>
  <c r="C419" i="37"/>
  <c r="C419" i="41" s="1"/>
  <c r="B419" i="37"/>
  <c r="B419" i="41" s="1"/>
  <c r="A419" i="37"/>
  <c r="A419" i="41" s="1"/>
  <c r="G418" i="37"/>
  <c r="G418" i="41" s="1"/>
  <c r="F418" i="37"/>
  <c r="F418" i="41" s="1"/>
  <c r="E418" i="37"/>
  <c r="E418" i="41" s="1"/>
  <c r="D418" i="37"/>
  <c r="D418" i="41" s="1"/>
  <c r="C418" i="37"/>
  <c r="C418" i="41" s="1"/>
  <c r="B418" i="37"/>
  <c r="B418" i="41" s="1"/>
  <c r="A418" i="37"/>
  <c r="A418" i="41" s="1"/>
  <c r="G417" i="37"/>
  <c r="G417" i="41" s="1"/>
  <c r="F417" i="37"/>
  <c r="F417" i="41" s="1"/>
  <c r="E417" i="37"/>
  <c r="E417" i="41" s="1"/>
  <c r="D417" i="37"/>
  <c r="D417" i="41" s="1"/>
  <c r="C417" i="37"/>
  <c r="C417" i="41" s="1"/>
  <c r="B417" i="37"/>
  <c r="B417" i="41" s="1"/>
  <c r="A417" i="37"/>
  <c r="A417" i="41" s="1"/>
  <c r="G416" i="37"/>
  <c r="G416" i="41" s="1"/>
  <c r="F416" i="37"/>
  <c r="F416" i="41" s="1"/>
  <c r="E416" i="37"/>
  <c r="E416" i="41" s="1"/>
  <c r="D416" i="37"/>
  <c r="D416" i="41" s="1"/>
  <c r="C416" i="37"/>
  <c r="C416" i="41" s="1"/>
  <c r="B416" i="37"/>
  <c r="B416" i="41" s="1"/>
  <c r="A416" i="37"/>
  <c r="A416" i="41" s="1"/>
  <c r="G415" i="37"/>
  <c r="G415" i="41" s="1"/>
  <c r="F415" i="37"/>
  <c r="F415" i="41" s="1"/>
  <c r="E415" i="37"/>
  <c r="E415" i="41" s="1"/>
  <c r="D415" i="37"/>
  <c r="D415" i="41" s="1"/>
  <c r="C415" i="37"/>
  <c r="C415" i="41" s="1"/>
  <c r="B415" i="37"/>
  <c r="B415" i="41" s="1"/>
  <c r="A415" i="37"/>
  <c r="A415" i="41" s="1"/>
  <c r="G414" i="37"/>
  <c r="G414" i="41" s="1"/>
  <c r="F414" i="37"/>
  <c r="F414" i="41" s="1"/>
  <c r="E414" i="37"/>
  <c r="E414" i="41" s="1"/>
  <c r="D414" i="37"/>
  <c r="D414" i="41" s="1"/>
  <c r="C414" i="37"/>
  <c r="C414" i="41" s="1"/>
  <c r="B414" i="37"/>
  <c r="B414" i="41" s="1"/>
  <c r="A414" i="37"/>
  <c r="A414" i="41" s="1"/>
  <c r="G413" i="37"/>
  <c r="G413" i="41" s="1"/>
  <c r="F413" i="37"/>
  <c r="F413" i="41" s="1"/>
  <c r="E413" i="37"/>
  <c r="E413" i="41" s="1"/>
  <c r="D413" i="37"/>
  <c r="D413" i="41" s="1"/>
  <c r="C413" i="37"/>
  <c r="C413" i="41" s="1"/>
  <c r="B413" i="37"/>
  <c r="B413" i="41" s="1"/>
  <c r="A413" i="37"/>
  <c r="A413" i="41" s="1"/>
  <c r="G412" i="37"/>
  <c r="G412" i="41" s="1"/>
  <c r="F412" i="37"/>
  <c r="F412" i="41" s="1"/>
  <c r="E412" i="37"/>
  <c r="E412" i="41" s="1"/>
  <c r="D412" i="37"/>
  <c r="D412" i="41" s="1"/>
  <c r="C412" i="37"/>
  <c r="C412" i="41" s="1"/>
  <c r="B412" i="37"/>
  <c r="B412" i="41" s="1"/>
  <c r="A412" i="37"/>
  <c r="A412" i="41" s="1"/>
  <c r="G411" i="37"/>
  <c r="G411" i="41" s="1"/>
  <c r="F411" i="37"/>
  <c r="F411" i="41" s="1"/>
  <c r="E411" i="37"/>
  <c r="E411" i="41" s="1"/>
  <c r="D411" i="37"/>
  <c r="D411" i="41" s="1"/>
  <c r="C411" i="37"/>
  <c r="C411" i="41" s="1"/>
  <c r="B411" i="37"/>
  <c r="B411" i="41" s="1"/>
  <c r="A411" i="37"/>
  <c r="A411" i="41" s="1"/>
  <c r="G410" i="37"/>
  <c r="G410" i="41" s="1"/>
  <c r="F410" i="37"/>
  <c r="F410" i="41" s="1"/>
  <c r="E410" i="37"/>
  <c r="E410" i="41" s="1"/>
  <c r="D410" i="37"/>
  <c r="D410" i="41" s="1"/>
  <c r="C410" i="37"/>
  <c r="C410" i="41" s="1"/>
  <c r="B410" i="37"/>
  <c r="B410" i="41" s="1"/>
  <c r="A410" i="37"/>
  <c r="A410" i="41" s="1"/>
  <c r="G409" i="37"/>
  <c r="G409" i="41" s="1"/>
  <c r="F409" i="37"/>
  <c r="F409" i="41" s="1"/>
  <c r="E409" i="37"/>
  <c r="E409" i="41" s="1"/>
  <c r="D409" i="37"/>
  <c r="D409" i="41" s="1"/>
  <c r="C409" i="37"/>
  <c r="C409" i="41" s="1"/>
  <c r="B409" i="37"/>
  <c r="B409" i="41" s="1"/>
  <c r="A409" i="37"/>
  <c r="A409" i="41" s="1"/>
  <c r="G408" i="37"/>
  <c r="G408" i="41" s="1"/>
  <c r="F408" i="37"/>
  <c r="F408" i="41" s="1"/>
  <c r="E408" i="37"/>
  <c r="E408" i="41" s="1"/>
  <c r="D408" i="37"/>
  <c r="D408" i="41" s="1"/>
  <c r="C408" i="37"/>
  <c r="C408" i="41" s="1"/>
  <c r="B408" i="37"/>
  <c r="B408" i="41" s="1"/>
  <c r="A408" i="37"/>
  <c r="A408" i="41" s="1"/>
  <c r="G407" i="37"/>
  <c r="G407" i="41" s="1"/>
  <c r="F407" i="37"/>
  <c r="F407" i="41" s="1"/>
  <c r="E407" i="37"/>
  <c r="E407" i="41" s="1"/>
  <c r="D407" i="37"/>
  <c r="D407" i="41" s="1"/>
  <c r="C407" i="37"/>
  <c r="C407" i="41" s="1"/>
  <c r="B407" i="37"/>
  <c r="B407" i="41" s="1"/>
  <c r="A407" i="37"/>
  <c r="A407" i="41" s="1"/>
  <c r="G406" i="37"/>
  <c r="G406" i="41" s="1"/>
  <c r="F406" i="37"/>
  <c r="F406" i="41" s="1"/>
  <c r="E406" i="37"/>
  <c r="E406" i="41" s="1"/>
  <c r="D406" i="37"/>
  <c r="D406" i="41" s="1"/>
  <c r="C406" i="37"/>
  <c r="C406" i="41" s="1"/>
  <c r="B406" i="37"/>
  <c r="B406" i="41" s="1"/>
  <c r="A406" i="37"/>
  <c r="A406" i="41" s="1"/>
  <c r="G405" i="37"/>
  <c r="G405" i="41" s="1"/>
  <c r="F405" i="37"/>
  <c r="F405" i="41" s="1"/>
  <c r="E405" i="37"/>
  <c r="E405" i="41" s="1"/>
  <c r="D405" i="37"/>
  <c r="D405" i="41" s="1"/>
  <c r="C405" i="37"/>
  <c r="C405" i="41" s="1"/>
  <c r="B405" i="37"/>
  <c r="B405" i="41" s="1"/>
  <c r="A405" i="37"/>
  <c r="A405" i="41" s="1"/>
  <c r="G404" i="37"/>
  <c r="G404" i="41" s="1"/>
  <c r="F404" i="37"/>
  <c r="F404" i="41" s="1"/>
  <c r="E404" i="37"/>
  <c r="E404" i="41" s="1"/>
  <c r="D404" i="37"/>
  <c r="D404" i="41" s="1"/>
  <c r="C404" i="37"/>
  <c r="C404" i="41" s="1"/>
  <c r="B404" i="37"/>
  <c r="B404" i="41" s="1"/>
  <c r="A404" i="37"/>
  <c r="A404" i="41" s="1"/>
  <c r="G403" i="37"/>
  <c r="G403" i="41" s="1"/>
  <c r="F403" i="37"/>
  <c r="F403" i="41" s="1"/>
  <c r="E403" i="37"/>
  <c r="E403" i="41" s="1"/>
  <c r="D403" i="37"/>
  <c r="D403" i="41" s="1"/>
  <c r="C403" i="37"/>
  <c r="C403" i="41" s="1"/>
  <c r="B403" i="37"/>
  <c r="B403" i="41" s="1"/>
  <c r="A403" i="37"/>
  <c r="A403" i="41" s="1"/>
  <c r="G402" i="37"/>
  <c r="G402" i="41" s="1"/>
  <c r="F402" i="37"/>
  <c r="F402" i="41" s="1"/>
  <c r="E402" i="37"/>
  <c r="E402" i="41" s="1"/>
  <c r="D402" i="37"/>
  <c r="D402" i="41" s="1"/>
  <c r="C402" i="37"/>
  <c r="C402" i="41" s="1"/>
  <c r="B402" i="37"/>
  <c r="B402" i="41" s="1"/>
  <c r="A402" i="37"/>
  <c r="A402" i="41" s="1"/>
  <c r="G401" i="37"/>
  <c r="G401" i="41" s="1"/>
  <c r="F401" i="37"/>
  <c r="F401" i="41" s="1"/>
  <c r="E401" i="37"/>
  <c r="E401" i="41" s="1"/>
  <c r="D401" i="37"/>
  <c r="D401" i="41" s="1"/>
  <c r="C401" i="37"/>
  <c r="C401" i="41" s="1"/>
  <c r="B401" i="37"/>
  <c r="B401" i="41" s="1"/>
  <c r="A401" i="37"/>
  <c r="A401" i="41" s="1"/>
  <c r="G400" i="37"/>
  <c r="G400" i="41" s="1"/>
  <c r="F400" i="37"/>
  <c r="F400" i="41" s="1"/>
  <c r="E400" i="37"/>
  <c r="E400" i="41" s="1"/>
  <c r="D400" i="37"/>
  <c r="D400" i="41" s="1"/>
  <c r="C400" i="37"/>
  <c r="C400" i="41" s="1"/>
  <c r="B400" i="37"/>
  <c r="B400" i="41" s="1"/>
  <c r="A400" i="37"/>
  <c r="A400" i="41" s="1"/>
  <c r="G399" i="37"/>
  <c r="G399" i="41" s="1"/>
  <c r="F399" i="37"/>
  <c r="F399" i="41" s="1"/>
  <c r="E399" i="37"/>
  <c r="E399" i="41" s="1"/>
  <c r="D399" i="37"/>
  <c r="D399" i="41" s="1"/>
  <c r="C399" i="37"/>
  <c r="C399" i="41" s="1"/>
  <c r="B399" i="37"/>
  <c r="B399" i="41" s="1"/>
  <c r="A399" i="37"/>
  <c r="A399" i="41" s="1"/>
  <c r="G398" i="37"/>
  <c r="G398" i="41" s="1"/>
  <c r="F398" i="37"/>
  <c r="F398" i="41" s="1"/>
  <c r="E398" i="37"/>
  <c r="E398" i="41" s="1"/>
  <c r="D398" i="37"/>
  <c r="D398" i="41" s="1"/>
  <c r="C398" i="37"/>
  <c r="C398" i="41" s="1"/>
  <c r="B398" i="37"/>
  <c r="B398" i="41" s="1"/>
  <c r="A398" i="37"/>
  <c r="A398" i="41" s="1"/>
  <c r="G397" i="37"/>
  <c r="G397" i="41" s="1"/>
  <c r="F397" i="37"/>
  <c r="F397" i="41" s="1"/>
  <c r="E397" i="37"/>
  <c r="E397" i="41" s="1"/>
  <c r="D397" i="37"/>
  <c r="D397" i="41" s="1"/>
  <c r="C397" i="37"/>
  <c r="C397" i="41" s="1"/>
  <c r="B397" i="37"/>
  <c r="B397" i="41" s="1"/>
  <c r="A397" i="37"/>
  <c r="A397" i="41" s="1"/>
  <c r="G396" i="37"/>
  <c r="G396" i="41" s="1"/>
  <c r="F396" i="37"/>
  <c r="F396" i="41" s="1"/>
  <c r="E396" i="37"/>
  <c r="E396" i="41" s="1"/>
  <c r="D396" i="37"/>
  <c r="D396" i="41" s="1"/>
  <c r="C396" i="37"/>
  <c r="C396" i="41" s="1"/>
  <c r="B396" i="37"/>
  <c r="B396" i="41" s="1"/>
  <c r="A396" i="37"/>
  <c r="A396" i="41" s="1"/>
  <c r="G395" i="37"/>
  <c r="G395" i="41" s="1"/>
  <c r="F395" i="37"/>
  <c r="F395" i="41" s="1"/>
  <c r="E395" i="37"/>
  <c r="E395" i="41" s="1"/>
  <c r="D395" i="37"/>
  <c r="D395" i="41" s="1"/>
  <c r="C395" i="37"/>
  <c r="C395" i="41" s="1"/>
  <c r="B395" i="37"/>
  <c r="B395" i="41" s="1"/>
  <c r="A395" i="37"/>
  <c r="A395" i="41" s="1"/>
  <c r="G394" i="37"/>
  <c r="G394" i="41" s="1"/>
  <c r="F394" i="37"/>
  <c r="F394" i="41" s="1"/>
  <c r="E394" i="37"/>
  <c r="E394" i="41" s="1"/>
  <c r="D394" i="37"/>
  <c r="D394" i="41" s="1"/>
  <c r="C394" i="37"/>
  <c r="C394" i="41" s="1"/>
  <c r="B394" i="37"/>
  <c r="B394" i="41" s="1"/>
  <c r="A394" i="37"/>
  <c r="A394" i="41" s="1"/>
  <c r="G393" i="37"/>
  <c r="G393" i="41" s="1"/>
  <c r="F393" i="37"/>
  <c r="F393" i="41" s="1"/>
  <c r="E393" i="37"/>
  <c r="E393" i="41" s="1"/>
  <c r="D393" i="37"/>
  <c r="D393" i="41" s="1"/>
  <c r="C393" i="37"/>
  <c r="C393" i="41" s="1"/>
  <c r="B393" i="37"/>
  <c r="B393" i="41" s="1"/>
  <c r="A393" i="37"/>
  <c r="A393" i="41" s="1"/>
  <c r="G392" i="37"/>
  <c r="G392" i="41" s="1"/>
  <c r="F392" i="37"/>
  <c r="F392" i="41" s="1"/>
  <c r="E392" i="37"/>
  <c r="E392" i="41" s="1"/>
  <c r="D392" i="37"/>
  <c r="D392" i="41" s="1"/>
  <c r="C392" i="37"/>
  <c r="C392" i="41" s="1"/>
  <c r="B392" i="37"/>
  <c r="B392" i="41" s="1"/>
  <c r="A392" i="37"/>
  <c r="A392" i="41" s="1"/>
  <c r="G391" i="37"/>
  <c r="G391" i="41" s="1"/>
  <c r="F391" i="37"/>
  <c r="F391" i="41" s="1"/>
  <c r="E391" i="37"/>
  <c r="E391" i="41" s="1"/>
  <c r="D391" i="37"/>
  <c r="D391" i="41" s="1"/>
  <c r="C391" i="37"/>
  <c r="C391" i="41" s="1"/>
  <c r="B391" i="37"/>
  <c r="B391" i="41" s="1"/>
  <c r="A391" i="37"/>
  <c r="A391" i="41" s="1"/>
  <c r="G390" i="37"/>
  <c r="G390" i="41" s="1"/>
  <c r="F390" i="37"/>
  <c r="F390" i="41" s="1"/>
  <c r="E390" i="37"/>
  <c r="E390" i="41" s="1"/>
  <c r="D390" i="37"/>
  <c r="D390" i="41" s="1"/>
  <c r="C390" i="37"/>
  <c r="C390" i="41" s="1"/>
  <c r="B390" i="37"/>
  <c r="B390" i="41" s="1"/>
  <c r="A390" i="37"/>
  <c r="A390" i="41" s="1"/>
  <c r="G389" i="37"/>
  <c r="G389" i="41" s="1"/>
  <c r="F389" i="37"/>
  <c r="F389" i="41" s="1"/>
  <c r="E389" i="37"/>
  <c r="E389" i="41" s="1"/>
  <c r="D389" i="37"/>
  <c r="D389" i="41" s="1"/>
  <c r="C389" i="37"/>
  <c r="C389" i="41" s="1"/>
  <c r="B389" i="37"/>
  <c r="B389" i="41" s="1"/>
  <c r="A389" i="37"/>
  <c r="A389" i="41" s="1"/>
  <c r="G388" i="37"/>
  <c r="G388" i="41" s="1"/>
  <c r="F388" i="37"/>
  <c r="F388" i="41" s="1"/>
  <c r="E388" i="37"/>
  <c r="E388" i="41" s="1"/>
  <c r="D388" i="37"/>
  <c r="D388" i="41" s="1"/>
  <c r="C388" i="37"/>
  <c r="C388" i="41" s="1"/>
  <c r="B388" i="37"/>
  <c r="B388" i="41" s="1"/>
  <c r="A388" i="37"/>
  <c r="A388" i="41" s="1"/>
  <c r="G387" i="37"/>
  <c r="G387" i="41" s="1"/>
  <c r="F387" i="37"/>
  <c r="F387" i="41" s="1"/>
  <c r="E387" i="37"/>
  <c r="E387" i="41" s="1"/>
  <c r="D387" i="37"/>
  <c r="D387" i="41" s="1"/>
  <c r="C387" i="37"/>
  <c r="C387" i="41" s="1"/>
  <c r="B387" i="37"/>
  <c r="B387" i="41" s="1"/>
  <c r="A387" i="37"/>
  <c r="A387" i="41" s="1"/>
  <c r="G386" i="37"/>
  <c r="G386" i="41" s="1"/>
  <c r="F386" i="37"/>
  <c r="F386" i="41" s="1"/>
  <c r="E386" i="37"/>
  <c r="E386" i="41" s="1"/>
  <c r="D386" i="37"/>
  <c r="D386" i="41" s="1"/>
  <c r="C386" i="37"/>
  <c r="C386" i="41" s="1"/>
  <c r="B386" i="37"/>
  <c r="B386" i="41" s="1"/>
  <c r="A386" i="37"/>
  <c r="A386" i="41" s="1"/>
  <c r="G385" i="37"/>
  <c r="G385" i="41" s="1"/>
  <c r="F385" i="37"/>
  <c r="F385" i="41" s="1"/>
  <c r="E385" i="37"/>
  <c r="E385" i="41" s="1"/>
  <c r="D385" i="37"/>
  <c r="D385" i="41" s="1"/>
  <c r="C385" i="37"/>
  <c r="C385" i="41" s="1"/>
  <c r="B385" i="37"/>
  <c r="B385" i="41" s="1"/>
  <c r="A385" i="37"/>
  <c r="A385" i="41" s="1"/>
  <c r="G384" i="37"/>
  <c r="G384" i="41" s="1"/>
  <c r="F384" i="37"/>
  <c r="F384" i="41" s="1"/>
  <c r="E384" i="37"/>
  <c r="E384" i="41" s="1"/>
  <c r="D384" i="37"/>
  <c r="D384" i="41" s="1"/>
  <c r="C384" i="37"/>
  <c r="C384" i="41" s="1"/>
  <c r="B384" i="37"/>
  <c r="B384" i="41" s="1"/>
  <c r="A384" i="37"/>
  <c r="A384" i="41" s="1"/>
  <c r="G383" i="37"/>
  <c r="G383" i="41" s="1"/>
  <c r="F383" i="37"/>
  <c r="F383" i="41" s="1"/>
  <c r="E383" i="37"/>
  <c r="E383" i="41" s="1"/>
  <c r="D383" i="37"/>
  <c r="D383" i="41" s="1"/>
  <c r="C383" i="37"/>
  <c r="C383" i="41" s="1"/>
  <c r="B383" i="37"/>
  <c r="B383" i="41" s="1"/>
  <c r="A383" i="37"/>
  <c r="A383" i="41" s="1"/>
  <c r="G382" i="37"/>
  <c r="G382" i="41" s="1"/>
  <c r="F382" i="37"/>
  <c r="F382" i="41" s="1"/>
  <c r="E382" i="37"/>
  <c r="E382" i="41" s="1"/>
  <c r="D382" i="37"/>
  <c r="D382" i="41" s="1"/>
  <c r="C382" i="37"/>
  <c r="C382" i="41" s="1"/>
  <c r="B382" i="37"/>
  <c r="B382" i="41" s="1"/>
  <c r="A382" i="37"/>
  <c r="A382" i="41" s="1"/>
  <c r="G381" i="37"/>
  <c r="G381" i="41" s="1"/>
  <c r="F381" i="37"/>
  <c r="F381" i="41" s="1"/>
  <c r="E381" i="37"/>
  <c r="E381" i="41" s="1"/>
  <c r="D381" i="37"/>
  <c r="D381" i="41" s="1"/>
  <c r="C381" i="37"/>
  <c r="C381" i="41" s="1"/>
  <c r="B381" i="37"/>
  <c r="B381" i="41" s="1"/>
  <c r="A381" i="37"/>
  <c r="A381" i="41" s="1"/>
  <c r="G380" i="37"/>
  <c r="G380" i="41" s="1"/>
  <c r="F380" i="37"/>
  <c r="F380" i="41" s="1"/>
  <c r="E380" i="37"/>
  <c r="E380" i="41" s="1"/>
  <c r="D380" i="37"/>
  <c r="D380" i="41" s="1"/>
  <c r="C380" i="37"/>
  <c r="C380" i="41" s="1"/>
  <c r="B380" i="37"/>
  <c r="B380" i="41" s="1"/>
  <c r="A380" i="37"/>
  <c r="A380" i="41" s="1"/>
  <c r="G379" i="37"/>
  <c r="G379" i="41" s="1"/>
  <c r="F379" i="37"/>
  <c r="F379" i="41" s="1"/>
  <c r="E379" i="37"/>
  <c r="E379" i="41" s="1"/>
  <c r="D379" i="37"/>
  <c r="D379" i="41" s="1"/>
  <c r="C379" i="37"/>
  <c r="C379" i="41" s="1"/>
  <c r="B379" i="37"/>
  <c r="B379" i="41" s="1"/>
  <c r="A379" i="37"/>
  <c r="A379" i="41" s="1"/>
  <c r="G378" i="37"/>
  <c r="G378" i="41" s="1"/>
  <c r="F378" i="37"/>
  <c r="F378" i="41" s="1"/>
  <c r="E378" i="37"/>
  <c r="E378" i="41" s="1"/>
  <c r="D378" i="37"/>
  <c r="D378" i="41" s="1"/>
  <c r="C378" i="37"/>
  <c r="C378" i="41" s="1"/>
  <c r="B378" i="37"/>
  <c r="B378" i="41" s="1"/>
  <c r="A378" i="37"/>
  <c r="A378" i="41" s="1"/>
  <c r="G377" i="37"/>
  <c r="G377" i="41" s="1"/>
  <c r="F377" i="37"/>
  <c r="F377" i="41" s="1"/>
  <c r="E377" i="37"/>
  <c r="E377" i="41" s="1"/>
  <c r="D377" i="37"/>
  <c r="D377" i="41" s="1"/>
  <c r="C377" i="37"/>
  <c r="C377" i="41" s="1"/>
  <c r="B377" i="37"/>
  <c r="B377" i="41" s="1"/>
  <c r="A377" i="37"/>
  <c r="A377" i="41" s="1"/>
  <c r="G376" i="37"/>
  <c r="G376" i="41" s="1"/>
  <c r="F376" i="37"/>
  <c r="F376" i="41" s="1"/>
  <c r="E376" i="37"/>
  <c r="E376" i="41" s="1"/>
  <c r="D376" i="37"/>
  <c r="D376" i="41" s="1"/>
  <c r="C376" i="37"/>
  <c r="C376" i="41" s="1"/>
  <c r="B376" i="37"/>
  <c r="B376" i="41" s="1"/>
  <c r="A376" i="37"/>
  <c r="A376" i="41" s="1"/>
  <c r="G375" i="37"/>
  <c r="G375" i="41" s="1"/>
  <c r="F375" i="37"/>
  <c r="F375" i="41" s="1"/>
  <c r="E375" i="37"/>
  <c r="E375" i="41" s="1"/>
  <c r="D375" i="37"/>
  <c r="D375" i="41" s="1"/>
  <c r="C375" i="37"/>
  <c r="C375" i="41" s="1"/>
  <c r="B375" i="37"/>
  <c r="B375" i="41" s="1"/>
  <c r="A375" i="37"/>
  <c r="A375" i="41" s="1"/>
  <c r="G374" i="37"/>
  <c r="G374" i="41" s="1"/>
  <c r="F374" i="37"/>
  <c r="F374" i="41" s="1"/>
  <c r="E374" i="37"/>
  <c r="E374" i="41" s="1"/>
  <c r="D374" i="37"/>
  <c r="D374" i="41" s="1"/>
  <c r="C374" i="37"/>
  <c r="C374" i="41" s="1"/>
  <c r="B374" i="37"/>
  <c r="B374" i="41" s="1"/>
  <c r="A374" i="37"/>
  <c r="A374" i="41" s="1"/>
  <c r="G373" i="37"/>
  <c r="G373" i="41" s="1"/>
  <c r="F373" i="37"/>
  <c r="F373" i="41" s="1"/>
  <c r="E373" i="37"/>
  <c r="E373" i="41" s="1"/>
  <c r="D373" i="37"/>
  <c r="D373" i="41" s="1"/>
  <c r="C373" i="37"/>
  <c r="C373" i="41" s="1"/>
  <c r="B373" i="37"/>
  <c r="B373" i="41" s="1"/>
  <c r="A373" i="37"/>
  <c r="A373" i="41" s="1"/>
  <c r="G372" i="37"/>
  <c r="G372" i="41" s="1"/>
  <c r="F372" i="37"/>
  <c r="F372" i="41" s="1"/>
  <c r="E372" i="37"/>
  <c r="E372" i="41" s="1"/>
  <c r="D372" i="37"/>
  <c r="D372" i="41" s="1"/>
  <c r="C372" i="37"/>
  <c r="C372" i="41" s="1"/>
  <c r="B372" i="37"/>
  <c r="B372" i="41" s="1"/>
  <c r="A372" i="37"/>
  <c r="A372" i="41" s="1"/>
  <c r="G371" i="37"/>
  <c r="G371" i="41" s="1"/>
  <c r="F371" i="37"/>
  <c r="F371" i="41" s="1"/>
  <c r="E371" i="37"/>
  <c r="E371" i="41" s="1"/>
  <c r="D371" i="37"/>
  <c r="D371" i="41" s="1"/>
  <c r="C371" i="37"/>
  <c r="C371" i="41" s="1"/>
  <c r="B371" i="37"/>
  <c r="B371" i="41" s="1"/>
  <c r="A371" i="37"/>
  <c r="A371" i="41" s="1"/>
  <c r="G370" i="37"/>
  <c r="G370" i="41" s="1"/>
  <c r="F370" i="37"/>
  <c r="F370" i="41" s="1"/>
  <c r="E370" i="37"/>
  <c r="E370" i="41" s="1"/>
  <c r="D370" i="37"/>
  <c r="D370" i="41" s="1"/>
  <c r="C370" i="37"/>
  <c r="C370" i="41" s="1"/>
  <c r="B370" i="37"/>
  <c r="B370" i="41" s="1"/>
  <c r="A370" i="37"/>
  <c r="A370" i="41" s="1"/>
  <c r="G369" i="37"/>
  <c r="G369" i="41" s="1"/>
  <c r="F369" i="37"/>
  <c r="F369" i="41" s="1"/>
  <c r="E369" i="37"/>
  <c r="E369" i="41" s="1"/>
  <c r="D369" i="37"/>
  <c r="D369" i="41" s="1"/>
  <c r="C369" i="37"/>
  <c r="C369" i="41" s="1"/>
  <c r="B369" i="37"/>
  <c r="B369" i="41" s="1"/>
  <c r="A369" i="37"/>
  <c r="A369" i="41" s="1"/>
  <c r="G368" i="37"/>
  <c r="G368" i="41" s="1"/>
  <c r="F368" i="37"/>
  <c r="F368" i="41" s="1"/>
  <c r="E368" i="37"/>
  <c r="E368" i="41" s="1"/>
  <c r="D368" i="37"/>
  <c r="D368" i="41" s="1"/>
  <c r="C368" i="37"/>
  <c r="C368" i="41" s="1"/>
  <c r="B368" i="37"/>
  <c r="B368" i="41" s="1"/>
  <c r="A368" i="37"/>
  <c r="A368" i="41" s="1"/>
  <c r="G367" i="37"/>
  <c r="G367" i="41" s="1"/>
  <c r="F367" i="37"/>
  <c r="F367" i="41" s="1"/>
  <c r="E367" i="37"/>
  <c r="E367" i="41" s="1"/>
  <c r="D367" i="37"/>
  <c r="D367" i="41" s="1"/>
  <c r="C367" i="37"/>
  <c r="C367" i="41" s="1"/>
  <c r="B367" i="37"/>
  <c r="B367" i="41" s="1"/>
  <c r="A367" i="37"/>
  <c r="A367" i="41" s="1"/>
  <c r="G366" i="37"/>
  <c r="G366" i="41" s="1"/>
  <c r="F366" i="37"/>
  <c r="F366" i="41" s="1"/>
  <c r="E366" i="37"/>
  <c r="E366" i="41" s="1"/>
  <c r="D366" i="37"/>
  <c r="D366" i="41" s="1"/>
  <c r="C366" i="37"/>
  <c r="C366" i="41" s="1"/>
  <c r="B366" i="37"/>
  <c r="B366" i="41" s="1"/>
  <c r="A366" i="37"/>
  <c r="A366" i="41" s="1"/>
  <c r="G365" i="37"/>
  <c r="G365" i="41" s="1"/>
  <c r="F365" i="37"/>
  <c r="F365" i="41" s="1"/>
  <c r="E365" i="37"/>
  <c r="E365" i="41" s="1"/>
  <c r="D365" i="37"/>
  <c r="D365" i="41" s="1"/>
  <c r="C365" i="37"/>
  <c r="C365" i="41" s="1"/>
  <c r="B365" i="37"/>
  <c r="B365" i="41" s="1"/>
  <c r="A365" i="37"/>
  <c r="A365" i="41" s="1"/>
  <c r="G364" i="37"/>
  <c r="G364" i="41" s="1"/>
  <c r="F364" i="37"/>
  <c r="F364" i="41" s="1"/>
  <c r="E364" i="37"/>
  <c r="E364" i="41" s="1"/>
  <c r="D364" i="37"/>
  <c r="D364" i="41" s="1"/>
  <c r="C364" i="37"/>
  <c r="C364" i="41" s="1"/>
  <c r="B364" i="37"/>
  <c r="B364" i="41" s="1"/>
  <c r="A364" i="37"/>
  <c r="A364" i="41" s="1"/>
  <c r="G363" i="37"/>
  <c r="G363" i="41" s="1"/>
  <c r="F363" i="37"/>
  <c r="F363" i="41" s="1"/>
  <c r="E363" i="37"/>
  <c r="E363" i="41" s="1"/>
  <c r="D363" i="37"/>
  <c r="D363" i="41" s="1"/>
  <c r="C363" i="37"/>
  <c r="C363" i="41" s="1"/>
  <c r="B363" i="37"/>
  <c r="B363" i="41" s="1"/>
  <c r="A363" i="37"/>
  <c r="A363" i="41" s="1"/>
  <c r="G362" i="37"/>
  <c r="G362" i="41" s="1"/>
  <c r="F362" i="37"/>
  <c r="F362" i="41" s="1"/>
  <c r="E362" i="37"/>
  <c r="E362" i="41" s="1"/>
  <c r="D362" i="37"/>
  <c r="D362" i="41" s="1"/>
  <c r="C362" i="37"/>
  <c r="C362" i="41" s="1"/>
  <c r="B362" i="37"/>
  <c r="B362" i="41" s="1"/>
  <c r="A362" i="37"/>
  <c r="A362" i="41" s="1"/>
  <c r="G361" i="37"/>
  <c r="G361" i="41" s="1"/>
  <c r="F361" i="37"/>
  <c r="F361" i="41" s="1"/>
  <c r="E361" i="37"/>
  <c r="E361" i="41" s="1"/>
  <c r="D361" i="37"/>
  <c r="D361" i="41" s="1"/>
  <c r="C361" i="37"/>
  <c r="C361" i="41" s="1"/>
  <c r="B361" i="37"/>
  <c r="B361" i="41" s="1"/>
  <c r="A361" i="37"/>
  <c r="A361" i="41" s="1"/>
  <c r="G360" i="37"/>
  <c r="G360" i="41" s="1"/>
  <c r="F360" i="37"/>
  <c r="F360" i="41" s="1"/>
  <c r="E360" i="37"/>
  <c r="E360" i="41" s="1"/>
  <c r="D360" i="37"/>
  <c r="D360" i="41" s="1"/>
  <c r="C360" i="37"/>
  <c r="C360" i="41" s="1"/>
  <c r="B360" i="37"/>
  <c r="B360" i="41" s="1"/>
  <c r="A360" i="37"/>
  <c r="A360" i="41" s="1"/>
  <c r="G359" i="37"/>
  <c r="G359" i="41" s="1"/>
  <c r="F359" i="37"/>
  <c r="F359" i="41" s="1"/>
  <c r="E359" i="37"/>
  <c r="E359" i="41" s="1"/>
  <c r="D359" i="37"/>
  <c r="D359" i="41" s="1"/>
  <c r="C359" i="37"/>
  <c r="C359" i="41" s="1"/>
  <c r="B359" i="37"/>
  <c r="B359" i="41" s="1"/>
  <c r="A359" i="37"/>
  <c r="A359" i="41" s="1"/>
  <c r="G358" i="37"/>
  <c r="G358" i="41" s="1"/>
  <c r="F358" i="37"/>
  <c r="F358" i="41" s="1"/>
  <c r="E358" i="37"/>
  <c r="E358" i="41" s="1"/>
  <c r="D358" i="37"/>
  <c r="D358" i="41" s="1"/>
  <c r="C358" i="37"/>
  <c r="C358" i="41" s="1"/>
  <c r="B358" i="37"/>
  <c r="B358" i="41" s="1"/>
  <c r="A358" i="37"/>
  <c r="A358" i="41" s="1"/>
  <c r="G357" i="37"/>
  <c r="G357" i="41" s="1"/>
  <c r="F357" i="37"/>
  <c r="F357" i="41" s="1"/>
  <c r="E357" i="37"/>
  <c r="E357" i="41" s="1"/>
  <c r="D357" i="37"/>
  <c r="D357" i="41" s="1"/>
  <c r="C357" i="37"/>
  <c r="C357" i="41" s="1"/>
  <c r="B357" i="37"/>
  <c r="B357" i="41" s="1"/>
  <c r="A357" i="37"/>
  <c r="A357" i="41" s="1"/>
  <c r="G356" i="37"/>
  <c r="G356" i="41" s="1"/>
  <c r="F356" i="37"/>
  <c r="F356" i="41" s="1"/>
  <c r="E356" i="37"/>
  <c r="E356" i="41" s="1"/>
  <c r="D356" i="37"/>
  <c r="D356" i="41" s="1"/>
  <c r="C356" i="37"/>
  <c r="C356" i="41" s="1"/>
  <c r="B356" i="37"/>
  <c r="B356" i="41" s="1"/>
  <c r="A356" i="37"/>
  <c r="A356" i="41" s="1"/>
  <c r="G355" i="37"/>
  <c r="G355" i="41" s="1"/>
  <c r="F355" i="37"/>
  <c r="F355" i="41" s="1"/>
  <c r="E355" i="37"/>
  <c r="E355" i="41" s="1"/>
  <c r="D355" i="37"/>
  <c r="D355" i="41" s="1"/>
  <c r="C355" i="37"/>
  <c r="C355" i="41" s="1"/>
  <c r="B355" i="37"/>
  <c r="B355" i="41" s="1"/>
  <c r="A355" i="37"/>
  <c r="A355" i="41" s="1"/>
  <c r="G354" i="37"/>
  <c r="G354" i="41" s="1"/>
  <c r="F354" i="37"/>
  <c r="F354" i="41" s="1"/>
  <c r="E354" i="37"/>
  <c r="E354" i="41" s="1"/>
  <c r="D354" i="37"/>
  <c r="D354" i="41" s="1"/>
  <c r="C354" i="37"/>
  <c r="C354" i="41" s="1"/>
  <c r="B354" i="37"/>
  <c r="B354" i="41" s="1"/>
  <c r="A354" i="37"/>
  <c r="A354" i="41" s="1"/>
  <c r="G353" i="37"/>
  <c r="G353" i="41" s="1"/>
  <c r="F353" i="37"/>
  <c r="F353" i="41" s="1"/>
  <c r="E353" i="37"/>
  <c r="E353" i="41" s="1"/>
  <c r="D353" i="37"/>
  <c r="D353" i="41" s="1"/>
  <c r="C353" i="37"/>
  <c r="C353" i="41" s="1"/>
  <c r="B353" i="37"/>
  <c r="B353" i="41" s="1"/>
  <c r="A353" i="37"/>
  <c r="A353" i="41" s="1"/>
  <c r="G352" i="37"/>
  <c r="G352" i="41" s="1"/>
  <c r="F352" i="37"/>
  <c r="F352" i="41" s="1"/>
  <c r="E352" i="37"/>
  <c r="E352" i="41" s="1"/>
  <c r="D352" i="37"/>
  <c r="D352" i="41" s="1"/>
  <c r="C352" i="37"/>
  <c r="C352" i="41" s="1"/>
  <c r="B352" i="37"/>
  <c r="B352" i="41" s="1"/>
  <c r="A352" i="37"/>
  <c r="A352" i="41" s="1"/>
  <c r="G351" i="37"/>
  <c r="G351" i="41" s="1"/>
  <c r="F351" i="37"/>
  <c r="F351" i="41" s="1"/>
  <c r="E351" i="37"/>
  <c r="E351" i="41" s="1"/>
  <c r="D351" i="37"/>
  <c r="D351" i="41" s="1"/>
  <c r="C351" i="37"/>
  <c r="C351" i="41" s="1"/>
  <c r="B351" i="37"/>
  <c r="B351" i="41" s="1"/>
  <c r="A351" i="37"/>
  <c r="A351" i="41" s="1"/>
  <c r="G350" i="37"/>
  <c r="G350" i="41" s="1"/>
  <c r="F350" i="37"/>
  <c r="F350" i="41" s="1"/>
  <c r="E350" i="37"/>
  <c r="E350" i="41" s="1"/>
  <c r="D350" i="37"/>
  <c r="D350" i="41" s="1"/>
  <c r="C350" i="37"/>
  <c r="C350" i="41" s="1"/>
  <c r="B350" i="37"/>
  <c r="B350" i="41" s="1"/>
  <c r="A350" i="37"/>
  <c r="A350" i="41" s="1"/>
  <c r="G349" i="37"/>
  <c r="G349" i="41" s="1"/>
  <c r="F349" i="37"/>
  <c r="F349" i="41" s="1"/>
  <c r="E349" i="37"/>
  <c r="E349" i="41" s="1"/>
  <c r="D349" i="37"/>
  <c r="D349" i="41" s="1"/>
  <c r="C349" i="37"/>
  <c r="C349" i="41" s="1"/>
  <c r="B349" i="37"/>
  <c r="B349" i="41" s="1"/>
  <c r="A349" i="37"/>
  <c r="A349" i="41" s="1"/>
  <c r="G348" i="37"/>
  <c r="G348" i="41" s="1"/>
  <c r="F348" i="37"/>
  <c r="F348" i="41" s="1"/>
  <c r="E348" i="37"/>
  <c r="E348" i="41" s="1"/>
  <c r="D348" i="37"/>
  <c r="D348" i="41" s="1"/>
  <c r="C348" i="37"/>
  <c r="C348" i="41" s="1"/>
  <c r="B348" i="37"/>
  <c r="B348" i="41" s="1"/>
  <c r="A348" i="37"/>
  <c r="A348" i="41" s="1"/>
  <c r="G347" i="37"/>
  <c r="G347" i="41" s="1"/>
  <c r="F347" i="37"/>
  <c r="F347" i="41" s="1"/>
  <c r="E347" i="37"/>
  <c r="E347" i="41" s="1"/>
  <c r="D347" i="37"/>
  <c r="D347" i="41" s="1"/>
  <c r="C347" i="37"/>
  <c r="C347" i="41" s="1"/>
  <c r="B347" i="37"/>
  <c r="B347" i="41" s="1"/>
  <c r="A347" i="37"/>
  <c r="A347" i="41" s="1"/>
  <c r="G346" i="37"/>
  <c r="G346" i="41" s="1"/>
  <c r="F346" i="37"/>
  <c r="F346" i="41" s="1"/>
  <c r="E346" i="37"/>
  <c r="E346" i="41" s="1"/>
  <c r="D346" i="37"/>
  <c r="D346" i="41" s="1"/>
  <c r="C346" i="37"/>
  <c r="C346" i="41" s="1"/>
  <c r="B346" i="37"/>
  <c r="B346" i="41" s="1"/>
  <c r="A346" i="37"/>
  <c r="A346" i="41" s="1"/>
  <c r="G345" i="37"/>
  <c r="G345" i="41" s="1"/>
  <c r="F345" i="37"/>
  <c r="F345" i="41" s="1"/>
  <c r="E345" i="37"/>
  <c r="E345" i="41" s="1"/>
  <c r="D345" i="37"/>
  <c r="D345" i="41" s="1"/>
  <c r="C345" i="37"/>
  <c r="C345" i="41" s="1"/>
  <c r="B345" i="37"/>
  <c r="B345" i="41" s="1"/>
  <c r="A345" i="37"/>
  <c r="A345" i="41" s="1"/>
  <c r="G344" i="37"/>
  <c r="G344" i="41" s="1"/>
  <c r="F344" i="37"/>
  <c r="F344" i="41" s="1"/>
  <c r="E344" i="37"/>
  <c r="E344" i="41" s="1"/>
  <c r="D344" i="37"/>
  <c r="D344" i="41" s="1"/>
  <c r="C344" i="37"/>
  <c r="C344" i="41" s="1"/>
  <c r="B344" i="37"/>
  <c r="B344" i="41" s="1"/>
  <c r="A344" i="37"/>
  <c r="A344" i="41" s="1"/>
  <c r="G343" i="37"/>
  <c r="G343" i="41" s="1"/>
  <c r="F343" i="37"/>
  <c r="F343" i="41" s="1"/>
  <c r="E343" i="37"/>
  <c r="E343" i="41" s="1"/>
  <c r="D343" i="37"/>
  <c r="D343" i="41" s="1"/>
  <c r="C343" i="37"/>
  <c r="C343" i="41" s="1"/>
  <c r="B343" i="37"/>
  <c r="B343" i="41" s="1"/>
  <c r="A343" i="37"/>
  <c r="A343" i="41" s="1"/>
  <c r="G342" i="37"/>
  <c r="G342" i="41" s="1"/>
  <c r="F342" i="37"/>
  <c r="F342" i="41" s="1"/>
  <c r="E342" i="37"/>
  <c r="E342" i="41" s="1"/>
  <c r="D342" i="37"/>
  <c r="D342" i="41" s="1"/>
  <c r="C342" i="37"/>
  <c r="C342" i="41" s="1"/>
  <c r="B342" i="37"/>
  <c r="B342" i="41" s="1"/>
  <c r="A342" i="37"/>
  <c r="A342" i="41" s="1"/>
  <c r="G341" i="37"/>
  <c r="G341" i="41" s="1"/>
  <c r="F341" i="37"/>
  <c r="F341" i="41" s="1"/>
  <c r="E341" i="37"/>
  <c r="E341" i="41" s="1"/>
  <c r="D341" i="37"/>
  <c r="D341" i="41" s="1"/>
  <c r="C341" i="37"/>
  <c r="C341" i="41" s="1"/>
  <c r="B341" i="37"/>
  <c r="B341" i="41" s="1"/>
  <c r="A341" i="37"/>
  <c r="A341" i="41" s="1"/>
  <c r="G340" i="37"/>
  <c r="G340" i="41" s="1"/>
  <c r="F340" i="37"/>
  <c r="F340" i="41" s="1"/>
  <c r="E340" i="37"/>
  <c r="E340" i="41" s="1"/>
  <c r="D340" i="37"/>
  <c r="D340" i="41" s="1"/>
  <c r="C340" i="37"/>
  <c r="C340" i="41" s="1"/>
  <c r="B340" i="37"/>
  <c r="B340" i="41" s="1"/>
  <c r="A340" i="37"/>
  <c r="A340" i="41" s="1"/>
  <c r="G339" i="37"/>
  <c r="G339" i="41" s="1"/>
  <c r="F339" i="37"/>
  <c r="F339" i="41" s="1"/>
  <c r="E339" i="37"/>
  <c r="E339" i="41" s="1"/>
  <c r="D339" i="37"/>
  <c r="D339" i="41" s="1"/>
  <c r="C339" i="37"/>
  <c r="C339" i="41" s="1"/>
  <c r="B339" i="37"/>
  <c r="B339" i="41" s="1"/>
  <c r="A339" i="37"/>
  <c r="A339" i="41" s="1"/>
  <c r="G338" i="37"/>
  <c r="G338" i="41" s="1"/>
  <c r="F338" i="37"/>
  <c r="F338" i="41" s="1"/>
  <c r="E338" i="37"/>
  <c r="E338" i="41" s="1"/>
  <c r="D338" i="37"/>
  <c r="D338" i="41" s="1"/>
  <c r="C338" i="37"/>
  <c r="C338" i="41" s="1"/>
  <c r="B338" i="37"/>
  <c r="B338" i="41" s="1"/>
  <c r="A338" i="37"/>
  <c r="A338" i="41" s="1"/>
  <c r="G337" i="37"/>
  <c r="G337" i="41" s="1"/>
  <c r="F337" i="37"/>
  <c r="F337" i="41" s="1"/>
  <c r="E337" i="37"/>
  <c r="E337" i="41" s="1"/>
  <c r="D337" i="37"/>
  <c r="D337" i="41" s="1"/>
  <c r="C337" i="37"/>
  <c r="C337" i="41" s="1"/>
  <c r="B337" i="37"/>
  <c r="B337" i="41" s="1"/>
  <c r="A337" i="37"/>
  <c r="A337" i="41" s="1"/>
  <c r="G336" i="37"/>
  <c r="G336" i="41" s="1"/>
  <c r="F336" i="37"/>
  <c r="F336" i="41" s="1"/>
  <c r="E336" i="37"/>
  <c r="E336" i="41" s="1"/>
  <c r="D336" i="37"/>
  <c r="D336" i="41" s="1"/>
  <c r="C336" i="37"/>
  <c r="C336" i="41" s="1"/>
  <c r="B336" i="37"/>
  <c r="B336" i="41" s="1"/>
  <c r="A336" i="37"/>
  <c r="A336" i="41" s="1"/>
  <c r="G335" i="37"/>
  <c r="G335" i="41" s="1"/>
  <c r="F335" i="37"/>
  <c r="F335" i="41" s="1"/>
  <c r="E335" i="37"/>
  <c r="E335" i="41" s="1"/>
  <c r="D335" i="37"/>
  <c r="D335" i="41" s="1"/>
  <c r="C335" i="37"/>
  <c r="C335" i="41" s="1"/>
  <c r="B335" i="37"/>
  <c r="B335" i="41" s="1"/>
  <c r="A335" i="37"/>
  <c r="A335" i="41" s="1"/>
  <c r="G334" i="37"/>
  <c r="G334" i="41" s="1"/>
  <c r="F334" i="37"/>
  <c r="F334" i="41" s="1"/>
  <c r="E334" i="37"/>
  <c r="E334" i="41" s="1"/>
  <c r="D334" i="37"/>
  <c r="D334" i="41" s="1"/>
  <c r="C334" i="37"/>
  <c r="C334" i="41" s="1"/>
  <c r="B334" i="37"/>
  <c r="B334" i="41" s="1"/>
  <c r="A334" i="37"/>
  <c r="A334" i="41" s="1"/>
  <c r="G333" i="37"/>
  <c r="G333" i="41" s="1"/>
  <c r="F333" i="37"/>
  <c r="F333" i="41" s="1"/>
  <c r="E333" i="37"/>
  <c r="E333" i="41" s="1"/>
  <c r="D333" i="37"/>
  <c r="D333" i="41" s="1"/>
  <c r="C333" i="37"/>
  <c r="C333" i="41" s="1"/>
  <c r="B333" i="37"/>
  <c r="B333" i="41" s="1"/>
  <c r="A333" i="37"/>
  <c r="A333" i="41" s="1"/>
  <c r="G332" i="37"/>
  <c r="G332" i="41" s="1"/>
  <c r="F332" i="37"/>
  <c r="F332" i="41" s="1"/>
  <c r="E332" i="37"/>
  <c r="E332" i="41" s="1"/>
  <c r="D332" i="37"/>
  <c r="D332" i="41" s="1"/>
  <c r="C332" i="37"/>
  <c r="C332" i="41" s="1"/>
  <c r="B332" i="37"/>
  <c r="B332" i="41" s="1"/>
  <c r="A332" i="37"/>
  <c r="A332" i="41" s="1"/>
  <c r="G331" i="37"/>
  <c r="G331" i="41" s="1"/>
  <c r="F331" i="37"/>
  <c r="F331" i="41" s="1"/>
  <c r="E331" i="37"/>
  <c r="E331" i="41" s="1"/>
  <c r="D331" i="37"/>
  <c r="D331" i="41" s="1"/>
  <c r="C331" i="37"/>
  <c r="C331" i="41" s="1"/>
  <c r="B331" i="37"/>
  <c r="B331" i="41" s="1"/>
  <c r="A331" i="37"/>
  <c r="A331" i="41" s="1"/>
  <c r="G330" i="37"/>
  <c r="G330" i="41" s="1"/>
  <c r="F330" i="37"/>
  <c r="F330" i="41" s="1"/>
  <c r="E330" i="37"/>
  <c r="E330" i="41" s="1"/>
  <c r="D330" i="37"/>
  <c r="D330" i="41" s="1"/>
  <c r="C330" i="37"/>
  <c r="C330" i="41" s="1"/>
  <c r="B330" i="37"/>
  <c r="B330" i="41" s="1"/>
  <c r="A330" i="37"/>
  <c r="A330" i="41" s="1"/>
  <c r="G329" i="37"/>
  <c r="G329" i="41" s="1"/>
  <c r="F329" i="37"/>
  <c r="F329" i="41" s="1"/>
  <c r="E329" i="37"/>
  <c r="E329" i="41" s="1"/>
  <c r="D329" i="37"/>
  <c r="D329" i="41" s="1"/>
  <c r="C329" i="37"/>
  <c r="C329" i="41" s="1"/>
  <c r="B329" i="37"/>
  <c r="B329" i="41" s="1"/>
  <c r="A329" i="37"/>
  <c r="A329" i="41" s="1"/>
  <c r="G328" i="37"/>
  <c r="G328" i="41" s="1"/>
  <c r="F328" i="37"/>
  <c r="F328" i="41" s="1"/>
  <c r="E328" i="37"/>
  <c r="E328" i="41" s="1"/>
  <c r="D328" i="37"/>
  <c r="D328" i="41" s="1"/>
  <c r="C328" i="37"/>
  <c r="C328" i="41" s="1"/>
  <c r="B328" i="37"/>
  <c r="B328" i="41" s="1"/>
  <c r="A328" i="37"/>
  <c r="A328" i="41" s="1"/>
  <c r="G327" i="37"/>
  <c r="G327" i="41" s="1"/>
  <c r="F327" i="37"/>
  <c r="F327" i="41" s="1"/>
  <c r="E327" i="37"/>
  <c r="E327" i="41" s="1"/>
  <c r="D327" i="37"/>
  <c r="D327" i="41" s="1"/>
  <c r="C327" i="37"/>
  <c r="C327" i="41" s="1"/>
  <c r="B327" i="37"/>
  <c r="B327" i="41" s="1"/>
  <c r="A327" i="37"/>
  <c r="A327" i="41" s="1"/>
  <c r="G326" i="37"/>
  <c r="G326" i="41" s="1"/>
  <c r="F326" i="37"/>
  <c r="F326" i="41" s="1"/>
  <c r="E326" i="37"/>
  <c r="E326" i="41" s="1"/>
  <c r="D326" i="37"/>
  <c r="D326" i="41" s="1"/>
  <c r="C326" i="37"/>
  <c r="C326" i="41" s="1"/>
  <c r="B326" i="37"/>
  <c r="B326" i="41" s="1"/>
  <c r="A326" i="37"/>
  <c r="A326" i="41" s="1"/>
  <c r="G325" i="37"/>
  <c r="G325" i="41" s="1"/>
  <c r="F325" i="37"/>
  <c r="F325" i="41" s="1"/>
  <c r="E325" i="37"/>
  <c r="E325" i="41" s="1"/>
  <c r="D325" i="37"/>
  <c r="D325" i="41" s="1"/>
  <c r="C325" i="37"/>
  <c r="C325" i="41" s="1"/>
  <c r="B325" i="37"/>
  <c r="B325" i="41" s="1"/>
  <c r="A325" i="37"/>
  <c r="A325" i="41" s="1"/>
  <c r="G324" i="37"/>
  <c r="G324" i="41" s="1"/>
  <c r="F324" i="37"/>
  <c r="F324" i="41" s="1"/>
  <c r="E324" i="37"/>
  <c r="E324" i="41" s="1"/>
  <c r="D324" i="37"/>
  <c r="D324" i="41" s="1"/>
  <c r="C324" i="37"/>
  <c r="C324" i="41" s="1"/>
  <c r="B324" i="37"/>
  <c r="B324" i="41" s="1"/>
  <c r="A324" i="37"/>
  <c r="A324" i="41" s="1"/>
  <c r="G323" i="37"/>
  <c r="G323" i="41" s="1"/>
  <c r="F323" i="37"/>
  <c r="F323" i="41" s="1"/>
  <c r="E323" i="37"/>
  <c r="E323" i="41" s="1"/>
  <c r="D323" i="37"/>
  <c r="D323" i="41" s="1"/>
  <c r="C323" i="37"/>
  <c r="C323" i="41" s="1"/>
  <c r="B323" i="37"/>
  <c r="B323" i="41" s="1"/>
  <c r="A323" i="37"/>
  <c r="A323" i="41" s="1"/>
  <c r="G322" i="37"/>
  <c r="G322" i="41" s="1"/>
  <c r="F322" i="37"/>
  <c r="F322" i="41" s="1"/>
  <c r="E322" i="37"/>
  <c r="E322" i="41" s="1"/>
  <c r="D322" i="37"/>
  <c r="D322" i="41" s="1"/>
  <c r="C322" i="37"/>
  <c r="C322" i="41" s="1"/>
  <c r="B322" i="37"/>
  <c r="B322" i="41" s="1"/>
  <c r="A322" i="37"/>
  <c r="A322" i="41" s="1"/>
  <c r="G321" i="37"/>
  <c r="G321" i="41" s="1"/>
  <c r="F321" i="37"/>
  <c r="F321" i="41" s="1"/>
  <c r="E321" i="37"/>
  <c r="E321" i="41" s="1"/>
  <c r="D321" i="37"/>
  <c r="D321" i="41" s="1"/>
  <c r="C321" i="37"/>
  <c r="C321" i="41" s="1"/>
  <c r="B321" i="37"/>
  <c r="B321" i="41" s="1"/>
  <c r="A321" i="37"/>
  <c r="A321" i="41" s="1"/>
  <c r="G320" i="37"/>
  <c r="G320" i="41" s="1"/>
  <c r="F320" i="37"/>
  <c r="F320" i="41" s="1"/>
  <c r="E320" i="37"/>
  <c r="E320" i="41" s="1"/>
  <c r="D320" i="37"/>
  <c r="D320" i="41" s="1"/>
  <c r="C320" i="37"/>
  <c r="C320" i="41" s="1"/>
  <c r="B320" i="37"/>
  <c r="B320" i="41" s="1"/>
  <c r="A320" i="37"/>
  <c r="A320" i="41" s="1"/>
  <c r="G319" i="37"/>
  <c r="G319" i="41" s="1"/>
  <c r="F319" i="37"/>
  <c r="F319" i="41" s="1"/>
  <c r="E319" i="37"/>
  <c r="E319" i="41" s="1"/>
  <c r="D319" i="37"/>
  <c r="D319" i="41" s="1"/>
  <c r="C319" i="37"/>
  <c r="C319" i="41" s="1"/>
  <c r="B319" i="37"/>
  <c r="B319" i="41" s="1"/>
  <c r="A319" i="37"/>
  <c r="A319" i="41" s="1"/>
  <c r="G318" i="37"/>
  <c r="G318" i="41" s="1"/>
  <c r="F318" i="37"/>
  <c r="F318" i="41" s="1"/>
  <c r="E318" i="37"/>
  <c r="E318" i="41" s="1"/>
  <c r="D318" i="37"/>
  <c r="D318" i="41" s="1"/>
  <c r="C318" i="37"/>
  <c r="C318" i="41" s="1"/>
  <c r="B318" i="37"/>
  <c r="B318" i="41" s="1"/>
  <c r="A318" i="37"/>
  <c r="A318" i="41" s="1"/>
  <c r="G317" i="37"/>
  <c r="G317" i="41" s="1"/>
  <c r="F317" i="37"/>
  <c r="F317" i="41" s="1"/>
  <c r="E317" i="37"/>
  <c r="E317" i="41" s="1"/>
  <c r="D317" i="37"/>
  <c r="D317" i="41" s="1"/>
  <c r="C317" i="37"/>
  <c r="C317" i="41" s="1"/>
  <c r="B317" i="37"/>
  <c r="B317" i="41" s="1"/>
  <c r="A317" i="37"/>
  <c r="A317" i="41" s="1"/>
  <c r="G316" i="37"/>
  <c r="G316" i="41" s="1"/>
  <c r="F316" i="37"/>
  <c r="F316" i="41" s="1"/>
  <c r="E316" i="37"/>
  <c r="E316" i="41" s="1"/>
  <c r="D316" i="37"/>
  <c r="D316" i="41" s="1"/>
  <c r="C316" i="37"/>
  <c r="C316" i="41" s="1"/>
  <c r="B316" i="37"/>
  <c r="B316" i="41" s="1"/>
  <c r="A316" i="37"/>
  <c r="A316" i="41" s="1"/>
  <c r="G315" i="37"/>
  <c r="G315" i="41" s="1"/>
  <c r="F315" i="37"/>
  <c r="F315" i="41" s="1"/>
  <c r="E315" i="37"/>
  <c r="E315" i="41" s="1"/>
  <c r="D315" i="37"/>
  <c r="D315" i="41" s="1"/>
  <c r="C315" i="37"/>
  <c r="C315" i="41" s="1"/>
  <c r="B315" i="37"/>
  <c r="B315" i="41" s="1"/>
  <c r="A315" i="37"/>
  <c r="A315" i="41" s="1"/>
  <c r="G314" i="37"/>
  <c r="G314" i="41" s="1"/>
  <c r="F314" i="37"/>
  <c r="F314" i="41" s="1"/>
  <c r="E314" i="37"/>
  <c r="E314" i="41" s="1"/>
  <c r="D314" i="37"/>
  <c r="D314" i="41" s="1"/>
  <c r="C314" i="37"/>
  <c r="C314" i="41" s="1"/>
  <c r="B314" i="37"/>
  <c r="B314" i="41" s="1"/>
  <c r="A314" i="37"/>
  <c r="A314" i="41" s="1"/>
  <c r="G313" i="37"/>
  <c r="G313" i="41" s="1"/>
  <c r="F313" i="37"/>
  <c r="F313" i="41" s="1"/>
  <c r="E313" i="37"/>
  <c r="E313" i="41" s="1"/>
  <c r="D313" i="37"/>
  <c r="D313" i="41" s="1"/>
  <c r="C313" i="37"/>
  <c r="C313" i="41" s="1"/>
  <c r="B313" i="37"/>
  <c r="B313" i="41" s="1"/>
  <c r="A313" i="37"/>
  <c r="A313" i="41" s="1"/>
  <c r="G312" i="37"/>
  <c r="G312" i="41" s="1"/>
  <c r="F312" i="37"/>
  <c r="F312" i="41" s="1"/>
  <c r="E312" i="37"/>
  <c r="E312" i="41" s="1"/>
  <c r="D312" i="37"/>
  <c r="D312" i="41" s="1"/>
  <c r="C312" i="37"/>
  <c r="C312" i="41" s="1"/>
  <c r="B312" i="37"/>
  <c r="B312" i="41" s="1"/>
  <c r="A312" i="37"/>
  <c r="A312" i="41" s="1"/>
  <c r="G311" i="37"/>
  <c r="G311" i="41" s="1"/>
  <c r="F311" i="37"/>
  <c r="F311" i="41" s="1"/>
  <c r="E311" i="37"/>
  <c r="E311" i="41" s="1"/>
  <c r="D311" i="37"/>
  <c r="D311" i="41" s="1"/>
  <c r="C311" i="37"/>
  <c r="C311" i="41" s="1"/>
  <c r="B311" i="37"/>
  <c r="B311" i="41" s="1"/>
  <c r="A311" i="37"/>
  <c r="A311" i="41" s="1"/>
  <c r="G310" i="37"/>
  <c r="G310" i="41" s="1"/>
  <c r="F310" i="37"/>
  <c r="F310" i="41" s="1"/>
  <c r="E310" i="37"/>
  <c r="E310" i="41" s="1"/>
  <c r="D310" i="37"/>
  <c r="D310" i="41" s="1"/>
  <c r="C310" i="37"/>
  <c r="C310" i="41" s="1"/>
  <c r="B310" i="37"/>
  <c r="B310" i="41" s="1"/>
  <c r="A310" i="37"/>
  <c r="A310" i="41" s="1"/>
  <c r="G309" i="37"/>
  <c r="G309" i="41" s="1"/>
  <c r="F309" i="37"/>
  <c r="F309" i="41" s="1"/>
  <c r="E309" i="37"/>
  <c r="E309" i="41" s="1"/>
  <c r="D309" i="37"/>
  <c r="D309" i="41" s="1"/>
  <c r="C309" i="37"/>
  <c r="C309" i="41" s="1"/>
  <c r="B309" i="37"/>
  <c r="B309" i="41" s="1"/>
  <c r="A309" i="37"/>
  <c r="A309" i="41" s="1"/>
  <c r="G308" i="37"/>
  <c r="G308" i="41" s="1"/>
  <c r="F308" i="37"/>
  <c r="F308" i="41" s="1"/>
  <c r="E308" i="37"/>
  <c r="E308" i="41" s="1"/>
  <c r="D308" i="37"/>
  <c r="D308" i="41" s="1"/>
  <c r="C308" i="37"/>
  <c r="C308" i="41" s="1"/>
  <c r="B308" i="37"/>
  <c r="B308" i="41" s="1"/>
  <c r="A308" i="37"/>
  <c r="A308" i="41" s="1"/>
  <c r="G307" i="37"/>
  <c r="G307" i="41" s="1"/>
  <c r="F307" i="37"/>
  <c r="F307" i="41" s="1"/>
  <c r="E307" i="37"/>
  <c r="E307" i="41" s="1"/>
  <c r="D307" i="37"/>
  <c r="D307" i="41" s="1"/>
  <c r="C307" i="37"/>
  <c r="C307" i="41" s="1"/>
  <c r="B307" i="37"/>
  <c r="B307" i="41" s="1"/>
  <c r="A307" i="37"/>
  <c r="A307" i="41" s="1"/>
  <c r="G306" i="37"/>
  <c r="G306" i="41" s="1"/>
  <c r="F306" i="37"/>
  <c r="F306" i="41" s="1"/>
  <c r="E306" i="37"/>
  <c r="E306" i="41" s="1"/>
  <c r="D306" i="37"/>
  <c r="D306" i="41" s="1"/>
  <c r="C306" i="37"/>
  <c r="C306" i="41" s="1"/>
  <c r="B306" i="37"/>
  <c r="B306" i="41" s="1"/>
  <c r="A306" i="37"/>
  <c r="A306" i="41" s="1"/>
  <c r="G305" i="37"/>
  <c r="G305" i="41" s="1"/>
  <c r="F305" i="37"/>
  <c r="F305" i="41" s="1"/>
  <c r="E305" i="37"/>
  <c r="E305" i="41" s="1"/>
  <c r="D305" i="37"/>
  <c r="D305" i="41" s="1"/>
  <c r="C305" i="37"/>
  <c r="C305" i="41" s="1"/>
  <c r="B305" i="37"/>
  <c r="B305" i="41" s="1"/>
  <c r="A305" i="37"/>
  <c r="A305" i="41" s="1"/>
  <c r="G304" i="37"/>
  <c r="G304" i="41" s="1"/>
  <c r="F304" i="37"/>
  <c r="F304" i="41" s="1"/>
  <c r="E304" i="37"/>
  <c r="E304" i="41" s="1"/>
  <c r="D304" i="37"/>
  <c r="D304" i="41" s="1"/>
  <c r="C304" i="37"/>
  <c r="C304" i="41" s="1"/>
  <c r="B304" i="37"/>
  <c r="B304" i="41" s="1"/>
  <c r="A304" i="37"/>
  <c r="A304" i="41" s="1"/>
  <c r="G303" i="37"/>
  <c r="G303" i="41" s="1"/>
  <c r="F303" i="37"/>
  <c r="F303" i="41" s="1"/>
  <c r="E303" i="37"/>
  <c r="E303" i="41" s="1"/>
  <c r="D303" i="37"/>
  <c r="D303" i="41" s="1"/>
  <c r="C303" i="37"/>
  <c r="C303" i="41" s="1"/>
  <c r="B303" i="37"/>
  <c r="B303" i="41" s="1"/>
  <c r="A303" i="37"/>
  <c r="A303" i="41" s="1"/>
  <c r="G302" i="37"/>
  <c r="G302" i="41" s="1"/>
  <c r="F302" i="37"/>
  <c r="F302" i="41" s="1"/>
  <c r="E302" i="37"/>
  <c r="E302" i="41" s="1"/>
  <c r="D302" i="37"/>
  <c r="D302" i="41" s="1"/>
  <c r="C302" i="37"/>
  <c r="C302" i="41" s="1"/>
  <c r="B302" i="37"/>
  <c r="B302" i="41" s="1"/>
  <c r="A302" i="37"/>
  <c r="A302" i="41" s="1"/>
  <c r="G301" i="37"/>
  <c r="G301" i="41" s="1"/>
  <c r="F301" i="37"/>
  <c r="F301" i="41" s="1"/>
  <c r="E301" i="37"/>
  <c r="E301" i="41" s="1"/>
  <c r="D301" i="37"/>
  <c r="D301" i="41" s="1"/>
  <c r="C301" i="37"/>
  <c r="C301" i="41" s="1"/>
  <c r="B301" i="37"/>
  <c r="B301" i="41" s="1"/>
  <c r="A301" i="37"/>
  <c r="A301" i="41" s="1"/>
  <c r="G300" i="37"/>
  <c r="G300" i="41" s="1"/>
  <c r="F300" i="37"/>
  <c r="F300" i="41" s="1"/>
  <c r="E300" i="37"/>
  <c r="E300" i="41" s="1"/>
  <c r="D300" i="37"/>
  <c r="D300" i="41" s="1"/>
  <c r="C300" i="37"/>
  <c r="C300" i="41" s="1"/>
  <c r="B300" i="37"/>
  <c r="B300" i="41" s="1"/>
  <c r="A300" i="37"/>
  <c r="A300" i="41" s="1"/>
  <c r="G299" i="37"/>
  <c r="G299" i="41" s="1"/>
  <c r="F299" i="37"/>
  <c r="F299" i="41" s="1"/>
  <c r="E299" i="37"/>
  <c r="E299" i="41" s="1"/>
  <c r="D299" i="37"/>
  <c r="D299" i="41" s="1"/>
  <c r="C299" i="37"/>
  <c r="C299" i="41" s="1"/>
  <c r="B299" i="37"/>
  <c r="B299" i="41" s="1"/>
  <c r="A299" i="37"/>
  <c r="A299" i="41" s="1"/>
  <c r="G298" i="37"/>
  <c r="G298" i="41" s="1"/>
  <c r="F298" i="37"/>
  <c r="F298" i="41" s="1"/>
  <c r="E298" i="37"/>
  <c r="E298" i="41" s="1"/>
  <c r="D298" i="37"/>
  <c r="D298" i="41" s="1"/>
  <c r="C298" i="37"/>
  <c r="C298" i="41" s="1"/>
  <c r="B298" i="37"/>
  <c r="B298" i="41" s="1"/>
  <c r="A298" i="37"/>
  <c r="A298" i="41" s="1"/>
  <c r="G297" i="37"/>
  <c r="G297" i="41" s="1"/>
  <c r="F297" i="37"/>
  <c r="F297" i="41" s="1"/>
  <c r="E297" i="37"/>
  <c r="E297" i="41" s="1"/>
  <c r="D297" i="37"/>
  <c r="D297" i="41" s="1"/>
  <c r="C297" i="37"/>
  <c r="C297" i="41" s="1"/>
  <c r="B297" i="37"/>
  <c r="B297" i="41" s="1"/>
  <c r="A297" i="37"/>
  <c r="A297" i="41" s="1"/>
  <c r="G296" i="37"/>
  <c r="G296" i="41" s="1"/>
  <c r="F296" i="37"/>
  <c r="F296" i="41" s="1"/>
  <c r="E296" i="37"/>
  <c r="E296" i="41" s="1"/>
  <c r="D296" i="37"/>
  <c r="D296" i="41" s="1"/>
  <c r="C296" i="37"/>
  <c r="C296" i="41" s="1"/>
  <c r="B296" i="37"/>
  <c r="B296" i="41" s="1"/>
  <c r="A296" i="37"/>
  <c r="A296" i="41" s="1"/>
  <c r="G295" i="37"/>
  <c r="G295" i="41" s="1"/>
  <c r="F295" i="37"/>
  <c r="F295" i="41" s="1"/>
  <c r="E295" i="37"/>
  <c r="E295" i="41" s="1"/>
  <c r="D295" i="37"/>
  <c r="D295" i="41" s="1"/>
  <c r="C295" i="37"/>
  <c r="C295" i="41" s="1"/>
  <c r="B295" i="37"/>
  <c r="B295" i="41" s="1"/>
  <c r="A295" i="37"/>
  <c r="A295" i="41" s="1"/>
  <c r="G294" i="37"/>
  <c r="G294" i="41" s="1"/>
  <c r="F294" i="37"/>
  <c r="F294" i="41" s="1"/>
  <c r="E294" i="37"/>
  <c r="E294" i="41" s="1"/>
  <c r="D294" i="37"/>
  <c r="D294" i="41" s="1"/>
  <c r="C294" i="37"/>
  <c r="C294" i="41" s="1"/>
  <c r="B294" i="37"/>
  <c r="B294" i="41" s="1"/>
  <c r="A294" i="37"/>
  <c r="A294" i="41" s="1"/>
  <c r="G293" i="37"/>
  <c r="G293" i="41" s="1"/>
  <c r="F293" i="37"/>
  <c r="F293" i="41" s="1"/>
  <c r="E293" i="37"/>
  <c r="E293" i="41" s="1"/>
  <c r="D293" i="37"/>
  <c r="D293" i="41" s="1"/>
  <c r="C293" i="37"/>
  <c r="C293" i="41" s="1"/>
  <c r="B293" i="37"/>
  <c r="B293" i="41" s="1"/>
  <c r="A293" i="37"/>
  <c r="A293" i="41" s="1"/>
  <c r="G292" i="37"/>
  <c r="G292" i="41" s="1"/>
  <c r="F292" i="37"/>
  <c r="F292" i="41" s="1"/>
  <c r="E292" i="37"/>
  <c r="E292" i="41" s="1"/>
  <c r="D292" i="37"/>
  <c r="D292" i="41" s="1"/>
  <c r="C292" i="37"/>
  <c r="C292" i="41" s="1"/>
  <c r="B292" i="37"/>
  <c r="B292" i="41" s="1"/>
  <c r="A292" i="37"/>
  <c r="A292" i="41" s="1"/>
  <c r="G291" i="37"/>
  <c r="G291" i="41" s="1"/>
  <c r="F291" i="37"/>
  <c r="F291" i="41" s="1"/>
  <c r="E291" i="37"/>
  <c r="E291" i="41" s="1"/>
  <c r="D291" i="37"/>
  <c r="D291" i="41" s="1"/>
  <c r="C291" i="37"/>
  <c r="C291" i="41" s="1"/>
  <c r="B291" i="37"/>
  <c r="B291" i="41" s="1"/>
  <c r="A291" i="37"/>
  <c r="A291" i="41" s="1"/>
  <c r="G290" i="37"/>
  <c r="G290" i="41" s="1"/>
  <c r="F290" i="37"/>
  <c r="F290" i="41" s="1"/>
  <c r="E290" i="37"/>
  <c r="E290" i="41" s="1"/>
  <c r="D290" i="37"/>
  <c r="D290" i="41" s="1"/>
  <c r="C290" i="37"/>
  <c r="C290" i="41" s="1"/>
  <c r="B290" i="37"/>
  <c r="B290" i="41" s="1"/>
  <c r="A290" i="37"/>
  <c r="A290" i="41" s="1"/>
  <c r="G289" i="37"/>
  <c r="G289" i="41" s="1"/>
  <c r="F289" i="37"/>
  <c r="F289" i="41" s="1"/>
  <c r="E289" i="37"/>
  <c r="E289" i="41" s="1"/>
  <c r="D289" i="37"/>
  <c r="D289" i="41" s="1"/>
  <c r="C289" i="37"/>
  <c r="C289" i="41" s="1"/>
  <c r="B289" i="37"/>
  <c r="B289" i="41" s="1"/>
  <c r="A289" i="37"/>
  <c r="A289" i="41" s="1"/>
  <c r="G288" i="37"/>
  <c r="G288" i="41" s="1"/>
  <c r="F288" i="37"/>
  <c r="F288" i="41" s="1"/>
  <c r="E288" i="37"/>
  <c r="E288" i="41" s="1"/>
  <c r="D288" i="37"/>
  <c r="D288" i="41" s="1"/>
  <c r="C288" i="37"/>
  <c r="C288" i="41" s="1"/>
  <c r="B288" i="37"/>
  <c r="B288" i="41" s="1"/>
  <c r="A288" i="37"/>
  <c r="A288" i="41" s="1"/>
  <c r="G287" i="37"/>
  <c r="G287" i="41" s="1"/>
  <c r="F287" i="37"/>
  <c r="F287" i="41" s="1"/>
  <c r="E287" i="37"/>
  <c r="E287" i="41" s="1"/>
  <c r="D287" i="37"/>
  <c r="D287" i="41" s="1"/>
  <c r="C287" i="37"/>
  <c r="C287" i="41" s="1"/>
  <c r="B287" i="37"/>
  <c r="B287" i="41" s="1"/>
  <c r="A287" i="37"/>
  <c r="A287" i="41" s="1"/>
  <c r="G286" i="37"/>
  <c r="G286" i="41" s="1"/>
  <c r="F286" i="37"/>
  <c r="F286" i="41" s="1"/>
  <c r="E286" i="37"/>
  <c r="E286" i="41" s="1"/>
  <c r="D286" i="37"/>
  <c r="D286" i="41" s="1"/>
  <c r="C286" i="37"/>
  <c r="C286" i="41" s="1"/>
  <c r="B286" i="37"/>
  <c r="B286" i="41" s="1"/>
  <c r="A286" i="37"/>
  <c r="A286" i="41" s="1"/>
  <c r="G285" i="37"/>
  <c r="G285" i="41" s="1"/>
  <c r="F285" i="37"/>
  <c r="F285" i="41" s="1"/>
  <c r="E285" i="37"/>
  <c r="E285" i="41" s="1"/>
  <c r="D285" i="37"/>
  <c r="D285" i="41" s="1"/>
  <c r="C285" i="37"/>
  <c r="C285" i="41" s="1"/>
  <c r="B285" i="37"/>
  <c r="B285" i="41" s="1"/>
  <c r="A285" i="37"/>
  <c r="A285" i="41" s="1"/>
  <c r="G284" i="37"/>
  <c r="G284" i="41" s="1"/>
  <c r="F284" i="37"/>
  <c r="F284" i="41" s="1"/>
  <c r="E284" i="37"/>
  <c r="E284" i="41" s="1"/>
  <c r="D284" i="37"/>
  <c r="D284" i="41" s="1"/>
  <c r="C284" i="37"/>
  <c r="C284" i="41" s="1"/>
  <c r="B284" i="37"/>
  <c r="B284" i="41" s="1"/>
  <c r="A284" i="37"/>
  <c r="A284" i="41" s="1"/>
  <c r="G283" i="37"/>
  <c r="G283" i="41" s="1"/>
  <c r="F283" i="37"/>
  <c r="F283" i="41" s="1"/>
  <c r="E283" i="37"/>
  <c r="E283" i="41" s="1"/>
  <c r="D283" i="37"/>
  <c r="D283" i="41" s="1"/>
  <c r="C283" i="37"/>
  <c r="C283" i="41" s="1"/>
  <c r="B283" i="37"/>
  <c r="B283" i="41" s="1"/>
  <c r="A283" i="37"/>
  <c r="A283" i="41" s="1"/>
  <c r="G282" i="37"/>
  <c r="G282" i="41" s="1"/>
  <c r="F282" i="37"/>
  <c r="F282" i="41" s="1"/>
  <c r="E282" i="37"/>
  <c r="E282" i="41" s="1"/>
  <c r="D282" i="37"/>
  <c r="D282" i="41" s="1"/>
  <c r="C282" i="37"/>
  <c r="C282" i="41" s="1"/>
  <c r="B282" i="37"/>
  <c r="B282" i="41" s="1"/>
  <c r="A282" i="37"/>
  <c r="A282" i="41" s="1"/>
  <c r="G281" i="37"/>
  <c r="G281" i="41" s="1"/>
  <c r="F281" i="37"/>
  <c r="F281" i="41" s="1"/>
  <c r="E281" i="37"/>
  <c r="E281" i="41" s="1"/>
  <c r="D281" i="37"/>
  <c r="D281" i="41" s="1"/>
  <c r="C281" i="37"/>
  <c r="C281" i="41" s="1"/>
  <c r="B281" i="37"/>
  <c r="B281" i="41" s="1"/>
  <c r="A281" i="37"/>
  <c r="A281" i="41" s="1"/>
  <c r="G280" i="37"/>
  <c r="G280" i="41" s="1"/>
  <c r="F280" i="37"/>
  <c r="F280" i="41" s="1"/>
  <c r="E280" i="37"/>
  <c r="E280" i="41" s="1"/>
  <c r="D280" i="37"/>
  <c r="D280" i="41" s="1"/>
  <c r="C280" i="37"/>
  <c r="C280" i="41" s="1"/>
  <c r="B280" i="37"/>
  <c r="B280" i="41" s="1"/>
  <c r="A280" i="37"/>
  <c r="A280" i="41" s="1"/>
  <c r="G279" i="37"/>
  <c r="G279" i="41" s="1"/>
  <c r="F279" i="37"/>
  <c r="F279" i="41" s="1"/>
  <c r="E279" i="37"/>
  <c r="E279" i="41" s="1"/>
  <c r="D279" i="37"/>
  <c r="D279" i="41" s="1"/>
  <c r="C279" i="37"/>
  <c r="C279" i="41" s="1"/>
  <c r="B279" i="37"/>
  <c r="B279" i="41" s="1"/>
  <c r="A279" i="37"/>
  <c r="A279" i="41" s="1"/>
  <c r="G278" i="37"/>
  <c r="G278" i="41" s="1"/>
  <c r="F278" i="37"/>
  <c r="F278" i="41" s="1"/>
  <c r="E278" i="37"/>
  <c r="E278" i="41" s="1"/>
  <c r="D278" i="37"/>
  <c r="D278" i="41" s="1"/>
  <c r="C278" i="37"/>
  <c r="C278" i="41" s="1"/>
  <c r="B278" i="37"/>
  <c r="B278" i="41" s="1"/>
  <c r="A278" i="37"/>
  <c r="A278" i="41" s="1"/>
  <c r="G277" i="37"/>
  <c r="G277" i="41" s="1"/>
  <c r="F277" i="37"/>
  <c r="F277" i="41" s="1"/>
  <c r="E277" i="37"/>
  <c r="E277" i="41" s="1"/>
  <c r="D277" i="37"/>
  <c r="D277" i="41" s="1"/>
  <c r="C277" i="37"/>
  <c r="C277" i="41" s="1"/>
  <c r="B277" i="37"/>
  <c r="B277" i="41" s="1"/>
  <c r="A277" i="37"/>
  <c r="A277" i="41" s="1"/>
  <c r="G276" i="37"/>
  <c r="G276" i="41" s="1"/>
  <c r="F276" i="37"/>
  <c r="F276" i="41" s="1"/>
  <c r="E276" i="37"/>
  <c r="E276" i="41" s="1"/>
  <c r="D276" i="37"/>
  <c r="D276" i="41" s="1"/>
  <c r="C276" i="37"/>
  <c r="C276" i="41" s="1"/>
  <c r="B276" i="37"/>
  <c r="B276" i="41" s="1"/>
  <c r="A276" i="37"/>
  <c r="A276" i="41" s="1"/>
  <c r="G275" i="37"/>
  <c r="G275" i="41" s="1"/>
  <c r="F275" i="37"/>
  <c r="F275" i="41" s="1"/>
  <c r="E275" i="37"/>
  <c r="E275" i="41" s="1"/>
  <c r="D275" i="37"/>
  <c r="D275" i="41" s="1"/>
  <c r="C275" i="37"/>
  <c r="C275" i="41" s="1"/>
  <c r="B275" i="37"/>
  <c r="B275" i="41" s="1"/>
  <c r="A275" i="37"/>
  <c r="A275" i="41" s="1"/>
  <c r="G274" i="37"/>
  <c r="G274" i="41" s="1"/>
  <c r="F274" i="37"/>
  <c r="F274" i="41" s="1"/>
  <c r="E274" i="37"/>
  <c r="E274" i="41" s="1"/>
  <c r="D274" i="37"/>
  <c r="D274" i="41" s="1"/>
  <c r="C274" i="37"/>
  <c r="C274" i="41" s="1"/>
  <c r="B274" i="37"/>
  <c r="B274" i="41" s="1"/>
  <c r="A274" i="37"/>
  <c r="A274" i="41" s="1"/>
  <c r="G273" i="37"/>
  <c r="G273" i="41" s="1"/>
  <c r="F273" i="37"/>
  <c r="F273" i="41" s="1"/>
  <c r="E273" i="37"/>
  <c r="E273" i="41" s="1"/>
  <c r="D273" i="37"/>
  <c r="D273" i="41" s="1"/>
  <c r="C273" i="37"/>
  <c r="C273" i="41" s="1"/>
  <c r="B273" i="37"/>
  <c r="B273" i="41" s="1"/>
  <c r="A273" i="37"/>
  <c r="A273" i="41" s="1"/>
  <c r="G272" i="37"/>
  <c r="G272" i="41" s="1"/>
  <c r="F272" i="37"/>
  <c r="F272" i="41" s="1"/>
  <c r="E272" i="37"/>
  <c r="E272" i="41" s="1"/>
  <c r="D272" i="37"/>
  <c r="D272" i="41" s="1"/>
  <c r="C272" i="37"/>
  <c r="C272" i="41" s="1"/>
  <c r="B272" i="37"/>
  <c r="B272" i="41" s="1"/>
  <c r="A272" i="37"/>
  <c r="A272" i="41" s="1"/>
  <c r="G271" i="37"/>
  <c r="G271" i="41" s="1"/>
  <c r="F271" i="37"/>
  <c r="F271" i="41" s="1"/>
  <c r="E271" i="37"/>
  <c r="E271" i="41" s="1"/>
  <c r="D271" i="37"/>
  <c r="D271" i="41" s="1"/>
  <c r="C271" i="37"/>
  <c r="C271" i="41" s="1"/>
  <c r="B271" i="37"/>
  <c r="B271" i="41" s="1"/>
  <c r="A271" i="37"/>
  <c r="A271" i="41" s="1"/>
  <c r="G270" i="37"/>
  <c r="G270" i="41" s="1"/>
  <c r="F270" i="37"/>
  <c r="F270" i="41" s="1"/>
  <c r="E270" i="37"/>
  <c r="E270" i="41" s="1"/>
  <c r="D270" i="37"/>
  <c r="D270" i="41" s="1"/>
  <c r="C270" i="37"/>
  <c r="C270" i="41" s="1"/>
  <c r="B270" i="37"/>
  <c r="B270" i="41" s="1"/>
  <c r="A270" i="37"/>
  <c r="A270" i="41" s="1"/>
  <c r="G269" i="37"/>
  <c r="G269" i="41" s="1"/>
  <c r="F269" i="37"/>
  <c r="F269" i="41" s="1"/>
  <c r="E269" i="37"/>
  <c r="E269" i="41" s="1"/>
  <c r="D269" i="37"/>
  <c r="D269" i="41" s="1"/>
  <c r="C269" i="37"/>
  <c r="C269" i="41" s="1"/>
  <c r="B269" i="37"/>
  <c r="B269" i="41" s="1"/>
  <c r="A269" i="37"/>
  <c r="A269" i="41" s="1"/>
  <c r="G268" i="37"/>
  <c r="G268" i="41" s="1"/>
  <c r="F268" i="37"/>
  <c r="F268" i="41" s="1"/>
  <c r="E268" i="37"/>
  <c r="E268" i="41" s="1"/>
  <c r="D268" i="37"/>
  <c r="D268" i="41" s="1"/>
  <c r="C268" i="37"/>
  <c r="C268" i="41" s="1"/>
  <c r="B268" i="37"/>
  <c r="B268" i="41" s="1"/>
  <c r="A268" i="37"/>
  <c r="A268" i="41" s="1"/>
  <c r="G267" i="37"/>
  <c r="G267" i="41" s="1"/>
  <c r="F267" i="37"/>
  <c r="F267" i="41" s="1"/>
  <c r="E267" i="37"/>
  <c r="E267" i="41" s="1"/>
  <c r="D267" i="37"/>
  <c r="D267" i="41" s="1"/>
  <c r="C267" i="37"/>
  <c r="C267" i="41" s="1"/>
  <c r="B267" i="37"/>
  <c r="B267" i="41" s="1"/>
  <c r="A267" i="37"/>
  <c r="A267" i="41" s="1"/>
  <c r="G266" i="37"/>
  <c r="G266" i="41" s="1"/>
  <c r="F266" i="37"/>
  <c r="F266" i="41" s="1"/>
  <c r="E266" i="37"/>
  <c r="E266" i="41" s="1"/>
  <c r="D266" i="37"/>
  <c r="D266" i="41" s="1"/>
  <c r="C266" i="37"/>
  <c r="C266" i="41" s="1"/>
  <c r="B266" i="37"/>
  <c r="B266" i="41" s="1"/>
  <c r="A266" i="37"/>
  <c r="A266" i="41" s="1"/>
  <c r="G265" i="37"/>
  <c r="G265" i="41" s="1"/>
  <c r="F265" i="37"/>
  <c r="F265" i="41" s="1"/>
  <c r="E265" i="37"/>
  <c r="E265" i="41" s="1"/>
  <c r="D265" i="37"/>
  <c r="D265" i="41" s="1"/>
  <c r="C265" i="37"/>
  <c r="C265" i="41" s="1"/>
  <c r="B265" i="37"/>
  <c r="B265" i="41" s="1"/>
  <c r="A265" i="37"/>
  <c r="A265" i="41" s="1"/>
  <c r="G264" i="37"/>
  <c r="G264" i="41" s="1"/>
  <c r="F264" i="37"/>
  <c r="F264" i="41" s="1"/>
  <c r="E264" i="37"/>
  <c r="E264" i="41" s="1"/>
  <c r="D264" i="37"/>
  <c r="D264" i="41" s="1"/>
  <c r="C264" i="37"/>
  <c r="C264" i="41" s="1"/>
  <c r="B264" i="37"/>
  <c r="B264" i="41" s="1"/>
  <c r="A264" i="37"/>
  <c r="A264" i="41" s="1"/>
  <c r="G263" i="37"/>
  <c r="G263" i="41" s="1"/>
  <c r="F263" i="37"/>
  <c r="F263" i="41" s="1"/>
  <c r="E263" i="37"/>
  <c r="E263" i="41" s="1"/>
  <c r="D263" i="37"/>
  <c r="D263" i="41" s="1"/>
  <c r="C263" i="37"/>
  <c r="C263" i="41" s="1"/>
  <c r="B263" i="37"/>
  <c r="B263" i="41" s="1"/>
  <c r="A263" i="37"/>
  <c r="A263" i="41" s="1"/>
  <c r="G262" i="37"/>
  <c r="G262" i="41" s="1"/>
  <c r="F262" i="37"/>
  <c r="F262" i="41" s="1"/>
  <c r="E262" i="37"/>
  <c r="E262" i="41" s="1"/>
  <c r="D262" i="37"/>
  <c r="D262" i="41" s="1"/>
  <c r="C262" i="37"/>
  <c r="C262" i="41" s="1"/>
  <c r="B262" i="37"/>
  <c r="B262" i="41" s="1"/>
  <c r="A262" i="37"/>
  <c r="A262" i="41" s="1"/>
  <c r="G261" i="37"/>
  <c r="G261" i="41" s="1"/>
  <c r="F261" i="37"/>
  <c r="F261" i="41" s="1"/>
  <c r="E261" i="37"/>
  <c r="E261" i="41" s="1"/>
  <c r="D261" i="37"/>
  <c r="D261" i="41" s="1"/>
  <c r="C261" i="37"/>
  <c r="C261" i="41" s="1"/>
  <c r="B261" i="37"/>
  <c r="B261" i="41" s="1"/>
  <c r="A261" i="37"/>
  <c r="A261" i="41" s="1"/>
  <c r="G260" i="37"/>
  <c r="G260" i="41" s="1"/>
  <c r="F260" i="37"/>
  <c r="F260" i="41" s="1"/>
  <c r="E260" i="37"/>
  <c r="E260" i="41" s="1"/>
  <c r="D260" i="37"/>
  <c r="D260" i="41" s="1"/>
  <c r="C260" i="37"/>
  <c r="C260" i="41" s="1"/>
  <c r="B260" i="37"/>
  <c r="B260" i="41" s="1"/>
  <c r="A260" i="37"/>
  <c r="A260" i="41" s="1"/>
  <c r="G259" i="37"/>
  <c r="G259" i="41" s="1"/>
  <c r="F259" i="37"/>
  <c r="F259" i="41" s="1"/>
  <c r="E259" i="37"/>
  <c r="E259" i="41" s="1"/>
  <c r="D259" i="37"/>
  <c r="D259" i="41" s="1"/>
  <c r="C259" i="37"/>
  <c r="C259" i="41" s="1"/>
  <c r="B259" i="37"/>
  <c r="B259" i="41" s="1"/>
  <c r="A259" i="37"/>
  <c r="A259" i="41" s="1"/>
  <c r="G258" i="37"/>
  <c r="G258" i="41" s="1"/>
  <c r="F258" i="37"/>
  <c r="F258" i="41" s="1"/>
  <c r="E258" i="37"/>
  <c r="E258" i="41" s="1"/>
  <c r="D258" i="37"/>
  <c r="D258" i="41" s="1"/>
  <c r="C258" i="37"/>
  <c r="C258" i="41" s="1"/>
  <c r="B258" i="37"/>
  <c r="B258" i="41" s="1"/>
  <c r="A258" i="37"/>
  <c r="A258" i="41" s="1"/>
  <c r="G257" i="37"/>
  <c r="G257" i="41" s="1"/>
  <c r="F257" i="37"/>
  <c r="F257" i="41" s="1"/>
  <c r="E257" i="37"/>
  <c r="E257" i="41" s="1"/>
  <c r="D257" i="37"/>
  <c r="D257" i="41" s="1"/>
  <c r="C257" i="37"/>
  <c r="C257" i="41" s="1"/>
  <c r="B257" i="37"/>
  <c r="B257" i="41" s="1"/>
  <c r="A257" i="37"/>
  <c r="A257" i="41" s="1"/>
  <c r="G256" i="37"/>
  <c r="G256" i="41" s="1"/>
  <c r="F256" i="37"/>
  <c r="F256" i="41" s="1"/>
  <c r="E256" i="37"/>
  <c r="E256" i="41" s="1"/>
  <c r="D256" i="37"/>
  <c r="D256" i="41" s="1"/>
  <c r="C256" i="37"/>
  <c r="C256" i="41" s="1"/>
  <c r="B256" i="37"/>
  <c r="B256" i="41" s="1"/>
  <c r="A256" i="37"/>
  <c r="A256" i="41" s="1"/>
  <c r="G255" i="37"/>
  <c r="G255" i="41" s="1"/>
  <c r="F255" i="37"/>
  <c r="F255" i="41" s="1"/>
  <c r="E255" i="37"/>
  <c r="E255" i="41" s="1"/>
  <c r="D255" i="37"/>
  <c r="D255" i="41" s="1"/>
  <c r="C255" i="37"/>
  <c r="C255" i="41" s="1"/>
  <c r="B255" i="37"/>
  <c r="B255" i="41" s="1"/>
  <c r="A255" i="37"/>
  <c r="A255" i="41" s="1"/>
  <c r="G254" i="37"/>
  <c r="G254" i="41" s="1"/>
  <c r="F254" i="37"/>
  <c r="F254" i="41" s="1"/>
  <c r="E254" i="37"/>
  <c r="E254" i="41" s="1"/>
  <c r="D254" i="37"/>
  <c r="D254" i="41" s="1"/>
  <c r="C254" i="37"/>
  <c r="C254" i="41" s="1"/>
  <c r="B254" i="37"/>
  <c r="B254" i="41" s="1"/>
  <c r="A254" i="37"/>
  <c r="A254" i="41" s="1"/>
  <c r="G253" i="37"/>
  <c r="G253" i="41" s="1"/>
  <c r="F253" i="37"/>
  <c r="F253" i="41" s="1"/>
  <c r="E253" i="37"/>
  <c r="E253" i="41" s="1"/>
  <c r="D253" i="37"/>
  <c r="D253" i="41" s="1"/>
  <c r="C253" i="37"/>
  <c r="C253" i="41" s="1"/>
  <c r="B253" i="37"/>
  <c r="B253" i="41" s="1"/>
  <c r="A253" i="37"/>
  <c r="A253" i="41" s="1"/>
  <c r="G252" i="37"/>
  <c r="G252" i="41" s="1"/>
  <c r="F252" i="37"/>
  <c r="F252" i="41" s="1"/>
  <c r="E252" i="37"/>
  <c r="E252" i="41" s="1"/>
  <c r="D252" i="37"/>
  <c r="D252" i="41" s="1"/>
  <c r="C252" i="37"/>
  <c r="C252" i="41" s="1"/>
  <c r="B252" i="37"/>
  <c r="B252" i="41" s="1"/>
  <c r="A252" i="37"/>
  <c r="A252" i="41" s="1"/>
  <c r="G251" i="37"/>
  <c r="G251" i="41" s="1"/>
  <c r="F251" i="37"/>
  <c r="F251" i="41" s="1"/>
  <c r="E251" i="37"/>
  <c r="E251" i="41" s="1"/>
  <c r="D251" i="37"/>
  <c r="D251" i="41" s="1"/>
  <c r="C251" i="37"/>
  <c r="C251" i="41" s="1"/>
  <c r="B251" i="37"/>
  <c r="B251" i="41" s="1"/>
  <c r="A251" i="37"/>
  <c r="A251" i="41" s="1"/>
  <c r="G250" i="37"/>
  <c r="G250" i="41" s="1"/>
  <c r="F250" i="37"/>
  <c r="F250" i="41" s="1"/>
  <c r="E250" i="37"/>
  <c r="E250" i="41" s="1"/>
  <c r="D250" i="37"/>
  <c r="D250" i="41" s="1"/>
  <c r="C250" i="37"/>
  <c r="C250" i="41" s="1"/>
  <c r="B250" i="37"/>
  <c r="B250" i="41" s="1"/>
  <c r="A250" i="37"/>
  <c r="A250" i="41" s="1"/>
  <c r="G249" i="37"/>
  <c r="G249" i="41" s="1"/>
  <c r="F249" i="37"/>
  <c r="F249" i="41" s="1"/>
  <c r="E249" i="37"/>
  <c r="E249" i="41" s="1"/>
  <c r="D249" i="37"/>
  <c r="D249" i="41" s="1"/>
  <c r="C249" i="37"/>
  <c r="C249" i="41" s="1"/>
  <c r="B249" i="37"/>
  <c r="B249" i="41" s="1"/>
  <c r="A249" i="37"/>
  <c r="A249" i="41" s="1"/>
  <c r="G248" i="37"/>
  <c r="G248" i="41" s="1"/>
  <c r="F248" i="37"/>
  <c r="F248" i="41" s="1"/>
  <c r="E248" i="37"/>
  <c r="E248" i="41" s="1"/>
  <c r="D248" i="37"/>
  <c r="D248" i="41" s="1"/>
  <c r="C248" i="37"/>
  <c r="C248" i="41" s="1"/>
  <c r="B248" i="37"/>
  <c r="B248" i="41" s="1"/>
  <c r="A248" i="37"/>
  <c r="A248" i="41" s="1"/>
  <c r="G247" i="37"/>
  <c r="G247" i="41" s="1"/>
  <c r="F247" i="37"/>
  <c r="F247" i="41" s="1"/>
  <c r="E247" i="37"/>
  <c r="E247" i="41" s="1"/>
  <c r="D247" i="37"/>
  <c r="D247" i="41" s="1"/>
  <c r="C247" i="37"/>
  <c r="C247" i="41" s="1"/>
  <c r="B247" i="37"/>
  <c r="B247" i="41" s="1"/>
  <c r="A247" i="37"/>
  <c r="A247" i="41" s="1"/>
  <c r="G246" i="37"/>
  <c r="G246" i="41" s="1"/>
  <c r="F246" i="37"/>
  <c r="F246" i="41" s="1"/>
  <c r="E246" i="37"/>
  <c r="E246" i="41" s="1"/>
  <c r="D246" i="37"/>
  <c r="D246" i="41" s="1"/>
  <c r="C246" i="37"/>
  <c r="C246" i="41" s="1"/>
  <c r="B246" i="37"/>
  <c r="B246" i="41" s="1"/>
  <c r="A246" i="37"/>
  <c r="A246" i="41" s="1"/>
  <c r="G245" i="37"/>
  <c r="G245" i="41" s="1"/>
  <c r="F245" i="37"/>
  <c r="F245" i="41" s="1"/>
  <c r="E245" i="37"/>
  <c r="E245" i="41" s="1"/>
  <c r="D245" i="37"/>
  <c r="D245" i="41" s="1"/>
  <c r="C245" i="37"/>
  <c r="C245" i="41" s="1"/>
  <c r="B245" i="37"/>
  <c r="B245" i="41" s="1"/>
  <c r="A245" i="37"/>
  <c r="A245" i="41" s="1"/>
  <c r="G244" i="37"/>
  <c r="G244" i="41" s="1"/>
  <c r="F244" i="37"/>
  <c r="F244" i="41" s="1"/>
  <c r="E244" i="37"/>
  <c r="E244" i="41" s="1"/>
  <c r="D244" i="37"/>
  <c r="D244" i="41" s="1"/>
  <c r="C244" i="37"/>
  <c r="C244" i="41" s="1"/>
  <c r="B244" i="37"/>
  <c r="B244" i="41" s="1"/>
  <c r="A244" i="37"/>
  <c r="A244" i="41" s="1"/>
  <c r="G243" i="37"/>
  <c r="G243" i="41" s="1"/>
  <c r="F243" i="37"/>
  <c r="F243" i="41" s="1"/>
  <c r="E243" i="37"/>
  <c r="E243" i="41" s="1"/>
  <c r="D243" i="37"/>
  <c r="D243" i="41" s="1"/>
  <c r="C243" i="37"/>
  <c r="C243" i="41" s="1"/>
  <c r="B243" i="37"/>
  <c r="B243" i="41" s="1"/>
  <c r="A243" i="37"/>
  <c r="A243" i="41" s="1"/>
  <c r="G242" i="37"/>
  <c r="G242" i="41" s="1"/>
  <c r="F242" i="37"/>
  <c r="F242" i="41" s="1"/>
  <c r="E242" i="37"/>
  <c r="E242" i="41" s="1"/>
  <c r="D242" i="37"/>
  <c r="D242" i="41" s="1"/>
  <c r="C242" i="37"/>
  <c r="C242" i="41" s="1"/>
  <c r="B242" i="37"/>
  <c r="B242" i="41" s="1"/>
  <c r="A242" i="37"/>
  <c r="A242" i="41" s="1"/>
  <c r="G241" i="37"/>
  <c r="G241" i="41" s="1"/>
  <c r="F241" i="37"/>
  <c r="F241" i="41" s="1"/>
  <c r="E241" i="37"/>
  <c r="E241" i="41" s="1"/>
  <c r="D241" i="37"/>
  <c r="D241" i="41" s="1"/>
  <c r="C241" i="37"/>
  <c r="C241" i="41" s="1"/>
  <c r="B241" i="37"/>
  <c r="B241" i="41" s="1"/>
  <c r="A241" i="37"/>
  <c r="A241" i="41" s="1"/>
  <c r="G240" i="37"/>
  <c r="G240" i="41" s="1"/>
  <c r="F240" i="37"/>
  <c r="F240" i="41" s="1"/>
  <c r="E240" i="37"/>
  <c r="E240" i="41" s="1"/>
  <c r="D240" i="37"/>
  <c r="D240" i="41" s="1"/>
  <c r="C240" i="37"/>
  <c r="C240" i="41" s="1"/>
  <c r="B240" i="37"/>
  <c r="B240" i="41" s="1"/>
  <c r="A240" i="37"/>
  <c r="A240" i="41" s="1"/>
  <c r="G239" i="37"/>
  <c r="G239" i="41" s="1"/>
  <c r="F239" i="37"/>
  <c r="F239" i="41" s="1"/>
  <c r="E239" i="37"/>
  <c r="E239" i="41" s="1"/>
  <c r="D239" i="37"/>
  <c r="D239" i="41" s="1"/>
  <c r="C239" i="37"/>
  <c r="C239" i="41" s="1"/>
  <c r="B239" i="37"/>
  <c r="B239" i="41" s="1"/>
  <c r="A239" i="37"/>
  <c r="A239" i="41" s="1"/>
  <c r="G238" i="37"/>
  <c r="G238" i="41" s="1"/>
  <c r="F238" i="37"/>
  <c r="F238" i="41" s="1"/>
  <c r="E238" i="37"/>
  <c r="E238" i="41" s="1"/>
  <c r="D238" i="37"/>
  <c r="D238" i="41" s="1"/>
  <c r="C238" i="37"/>
  <c r="C238" i="41" s="1"/>
  <c r="B238" i="37"/>
  <c r="B238" i="41" s="1"/>
  <c r="A238" i="37"/>
  <c r="A238" i="41" s="1"/>
  <c r="G237" i="37"/>
  <c r="G237" i="41" s="1"/>
  <c r="F237" i="37"/>
  <c r="F237" i="41" s="1"/>
  <c r="E237" i="37"/>
  <c r="E237" i="41" s="1"/>
  <c r="D237" i="37"/>
  <c r="D237" i="41" s="1"/>
  <c r="C237" i="37"/>
  <c r="C237" i="41" s="1"/>
  <c r="B237" i="37"/>
  <c r="B237" i="41" s="1"/>
  <c r="A237" i="37"/>
  <c r="A237" i="41" s="1"/>
  <c r="G236" i="37"/>
  <c r="G236" i="41" s="1"/>
  <c r="F236" i="37"/>
  <c r="F236" i="41" s="1"/>
  <c r="E236" i="37"/>
  <c r="E236" i="41" s="1"/>
  <c r="D236" i="37"/>
  <c r="D236" i="41" s="1"/>
  <c r="C236" i="37"/>
  <c r="C236" i="41" s="1"/>
  <c r="B236" i="37"/>
  <c r="B236" i="41" s="1"/>
  <c r="A236" i="37"/>
  <c r="A236" i="41" s="1"/>
  <c r="G235" i="37"/>
  <c r="G235" i="41" s="1"/>
  <c r="F235" i="37"/>
  <c r="F235" i="41" s="1"/>
  <c r="E235" i="37"/>
  <c r="E235" i="41" s="1"/>
  <c r="D235" i="37"/>
  <c r="D235" i="41" s="1"/>
  <c r="C235" i="37"/>
  <c r="C235" i="41" s="1"/>
  <c r="B235" i="37"/>
  <c r="B235" i="41" s="1"/>
  <c r="A235" i="37"/>
  <c r="A235" i="41" s="1"/>
  <c r="G234" i="37"/>
  <c r="G234" i="41" s="1"/>
  <c r="F234" i="37"/>
  <c r="F234" i="41" s="1"/>
  <c r="E234" i="37"/>
  <c r="E234" i="41" s="1"/>
  <c r="D234" i="37"/>
  <c r="D234" i="41" s="1"/>
  <c r="C234" i="37"/>
  <c r="C234" i="41" s="1"/>
  <c r="B234" i="37"/>
  <c r="B234" i="41" s="1"/>
  <c r="A234" i="37"/>
  <c r="A234" i="41" s="1"/>
  <c r="G233" i="37"/>
  <c r="G233" i="41" s="1"/>
  <c r="F233" i="37"/>
  <c r="F233" i="41" s="1"/>
  <c r="E233" i="37"/>
  <c r="E233" i="41" s="1"/>
  <c r="D233" i="37"/>
  <c r="D233" i="41" s="1"/>
  <c r="C233" i="37"/>
  <c r="C233" i="41" s="1"/>
  <c r="B233" i="37"/>
  <c r="B233" i="41" s="1"/>
  <c r="A233" i="37"/>
  <c r="A233" i="41" s="1"/>
  <c r="G232" i="37"/>
  <c r="G232" i="41" s="1"/>
  <c r="F232" i="37"/>
  <c r="F232" i="41" s="1"/>
  <c r="E232" i="37"/>
  <c r="E232" i="41" s="1"/>
  <c r="D232" i="37"/>
  <c r="D232" i="41" s="1"/>
  <c r="C232" i="37"/>
  <c r="C232" i="41" s="1"/>
  <c r="B232" i="37"/>
  <c r="B232" i="41" s="1"/>
  <c r="A232" i="37"/>
  <c r="A232" i="41" s="1"/>
  <c r="G231" i="37"/>
  <c r="G231" i="41" s="1"/>
  <c r="F231" i="37"/>
  <c r="F231" i="41" s="1"/>
  <c r="E231" i="37"/>
  <c r="E231" i="41" s="1"/>
  <c r="D231" i="37"/>
  <c r="D231" i="41" s="1"/>
  <c r="C231" i="37"/>
  <c r="C231" i="41" s="1"/>
  <c r="B231" i="37"/>
  <c r="B231" i="41" s="1"/>
  <c r="A231" i="37"/>
  <c r="A231" i="41" s="1"/>
  <c r="G230" i="37"/>
  <c r="G230" i="41" s="1"/>
  <c r="F230" i="37"/>
  <c r="F230" i="41" s="1"/>
  <c r="E230" i="37"/>
  <c r="E230" i="41" s="1"/>
  <c r="D230" i="37"/>
  <c r="D230" i="41" s="1"/>
  <c r="C230" i="37"/>
  <c r="C230" i="41" s="1"/>
  <c r="B230" i="37"/>
  <c r="B230" i="41" s="1"/>
  <c r="A230" i="37"/>
  <c r="A230" i="41" s="1"/>
  <c r="G229" i="37"/>
  <c r="G229" i="41" s="1"/>
  <c r="F229" i="37"/>
  <c r="F229" i="41" s="1"/>
  <c r="E229" i="37"/>
  <c r="E229" i="41" s="1"/>
  <c r="D229" i="37"/>
  <c r="D229" i="41" s="1"/>
  <c r="C229" i="37"/>
  <c r="C229" i="41" s="1"/>
  <c r="B229" i="37"/>
  <c r="B229" i="41" s="1"/>
  <c r="A229" i="37"/>
  <c r="A229" i="41" s="1"/>
  <c r="G228" i="37"/>
  <c r="G228" i="41" s="1"/>
  <c r="F228" i="37"/>
  <c r="F228" i="41" s="1"/>
  <c r="E228" i="37"/>
  <c r="E228" i="41" s="1"/>
  <c r="D228" i="37"/>
  <c r="D228" i="41" s="1"/>
  <c r="C228" i="37"/>
  <c r="C228" i="41" s="1"/>
  <c r="B228" i="37"/>
  <c r="B228" i="41" s="1"/>
  <c r="A228" i="37"/>
  <c r="A228" i="41" s="1"/>
  <c r="G227" i="37"/>
  <c r="G227" i="41" s="1"/>
  <c r="F227" i="37"/>
  <c r="F227" i="41" s="1"/>
  <c r="E227" i="37"/>
  <c r="E227" i="41" s="1"/>
  <c r="D227" i="37"/>
  <c r="D227" i="41" s="1"/>
  <c r="C227" i="37"/>
  <c r="C227" i="41" s="1"/>
  <c r="B227" i="37"/>
  <c r="B227" i="41" s="1"/>
  <c r="A227" i="37"/>
  <c r="A227" i="41" s="1"/>
  <c r="G226" i="37"/>
  <c r="G226" i="41" s="1"/>
  <c r="F226" i="37"/>
  <c r="F226" i="41" s="1"/>
  <c r="E226" i="37"/>
  <c r="E226" i="41" s="1"/>
  <c r="D226" i="37"/>
  <c r="D226" i="41" s="1"/>
  <c r="C226" i="37"/>
  <c r="C226" i="41" s="1"/>
  <c r="B226" i="37"/>
  <c r="B226" i="41" s="1"/>
  <c r="A226" i="37"/>
  <c r="A226" i="41" s="1"/>
  <c r="G225" i="37"/>
  <c r="G225" i="41" s="1"/>
  <c r="F225" i="37"/>
  <c r="F225" i="41" s="1"/>
  <c r="E225" i="37"/>
  <c r="E225" i="41" s="1"/>
  <c r="D225" i="37"/>
  <c r="D225" i="41" s="1"/>
  <c r="C225" i="37"/>
  <c r="C225" i="41" s="1"/>
  <c r="B225" i="37"/>
  <c r="B225" i="41" s="1"/>
  <c r="A225" i="37"/>
  <c r="A225" i="41" s="1"/>
  <c r="G224" i="37"/>
  <c r="G224" i="41" s="1"/>
  <c r="F224" i="37"/>
  <c r="F224" i="41" s="1"/>
  <c r="E224" i="37"/>
  <c r="E224" i="41" s="1"/>
  <c r="D224" i="37"/>
  <c r="D224" i="41" s="1"/>
  <c r="C224" i="37"/>
  <c r="C224" i="41" s="1"/>
  <c r="B224" i="37"/>
  <c r="B224" i="41" s="1"/>
  <c r="A224" i="37"/>
  <c r="A224" i="41" s="1"/>
  <c r="G223" i="37"/>
  <c r="G223" i="41" s="1"/>
  <c r="F223" i="37"/>
  <c r="F223" i="41" s="1"/>
  <c r="E223" i="37"/>
  <c r="E223" i="41" s="1"/>
  <c r="D223" i="37"/>
  <c r="D223" i="41" s="1"/>
  <c r="C223" i="37"/>
  <c r="C223" i="41" s="1"/>
  <c r="B223" i="37"/>
  <c r="B223" i="41" s="1"/>
  <c r="A223" i="37"/>
  <c r="A223" i="41" s="1"/>
  <c r="G222" i="37"/>
  <c r="G222" i="41" s="1"/>
  <c r="F222" i="37"/>
  <c r="F222" i="41" s="1"/>
  <c r="E222" i="37"/>
  <c r="E222" i="41" s="1"/>
  <c r="D222" i="37"/>
  <c r="D222" i="41" s="1"/>
  <c r="C222" i="37"/>
  <c r="C222" i="41" s="1"/>
  <c r="B222" i="37"/>
  <c r="B222" i="41" s="1"/>
  <c r="A222" i="37"/>
  <c r="A222" i="41" s="1"/>
  <c r="G221" i="37"/>
  <c r="G221" i="41" s="1"/>
  <c r="F221" i="37"/>
  <c r="F221" i="41" s="1"/>
  <c r="E221" i="37"/>
  <c r="E221" i="41" s="1"/>
  <c r="D221" i="37"/>
  <c r="D221" i="41" s="1"/>
  <c r="C221" i="37"/>
  <c r="C221" i="41" s="1"/>
  <c r="B221" i="37"/>
  <c r="B221" i="41" s="1"/>
  <c r="A221" i="37"/>
  <c r="A221" i="41" s="1"/>
  <c r="G220" i="37"/>
  <c r="G220" i="41" s="1"/>
  <c r="F220" i="37"/>
  <c r="F220" i="41" s="1"/>
  <c r="E220" i="37"/>
  <c r="E220" i="41" s="1"/>
  <c r="D220" i="37"/>
  <c r="D220" i="41" s="1"/>
  <c r="C220" i="37"/>
  <c r="C220" i="41" s="1"/>
  <c r="B220" i="37"/>
  <c r="B220" i="41" s="1"/>
  <c r="A220" i="37"/>
  <c r="A220" i="41" s="1"/>
  <c r="G219" i="37"/>
  <c r="G219" i="41" s="1"/>
  <c r="F219" i="37"/>
  <c r="F219" i="41" s="1"/>
  <c r="E219" i="37"/>
  <c r="E219" i="41" s="1"/>
  <c r="D219" i="37"/>
  <c r="D219" i="41" s="1"/>
  <c r="C219" i="37"/>
  <c r="C219" i="41" s="1"/>
  <c r="B219" i="37"/>
  <c r="B219" i="41" s="1"/>
  <c r="A219" i="37"/>
  <c r="A219" i="41" s="1"/>
  <c r="G218" i="37"/>
  <c r="G218" i="41" s="1"/>
  <c r="F218" i="37"/>
  <c r="F218" i="41" s="1"/>
  <c r="E218" i="37"/>
  <c r="E218" i="41" s="1"/>
  <c r="D218" i="37"/>
  <c r="D218" i="41" s="1"/>
  <c r="C218" i="37"/>
  <c r="C218" i="41" s="1"/>
  <c r="B218" i="37"/>
  <c r="B218" i="41" s="1"/>
  <c r="A218" i="37"/>
  <c r="A218" i="41" s="1"/>
  <c r="G217" i="37"/>
  <c r="G217" i="41" s="1"/>
  <c r="F217" i="37"/>
  <c r="F217" i="41" s="1"/>
  <c r="E217" i="37"/>
  <c r="E217" i="41" s="1"/>
  <c r="D217" i="37"/>
  <c r="D217" i="41" s="1"/>
  <c r="C217" i="37"/>
  <c r="C217" i="41" s="1"/>
  <c r="B217" i="37"/>
  <c r="B217" i="41" s="1"/>
  <c r="A217" i="37"/>
  <c r="A217" i="41" s="1"/>
  <c r="G216" i="37"/>
  <c r="G216" i="41" s="1"/>
  <c r="F216" i="37"/>
  <c r="F216" i="41" s="1"/>
  <c r="E216" i="37"/>
  <c r="E216" i="41" s="1"/>
  <c r="D216" i="37"/>
  <c r="D216" i="41" s="1"/>
  <c r="C216" i="37"/>
  <c r="C216" i="41" s="1"/>
  <c r="B216" i="37"/>
  <c r="B216" i="41" s="1"/>
  <c r="A216" i="37"/>
  <c r="A216" i="41" s="1"/>
  <c r="G215" i="37"/>
  <c r="G215" i="41" s="1"/>
  <c r="F215" i="37"/>
  <c r="F215" i="41" s="1"/>
  <c r="E215" i="37"/>
  <c r="E215" i="41" s="1"/>
  <c r="D215" i="37"/>
  <c r="D215" i="41" s="1"/>
  <c r="C215" i="37"/>
  <c r="C215" i="41" s="1"/>
  <c r="B215" i="37"/>
  <c r="B215" i="41" s="1"/>
  <c r="A215" i="37"/>
  <c r="A215" i="41" s="1"/>
  <c r="G214" i="37"/>
  <c r="G214" i="41" s="1"/>
  <c r="F214" i="37"/>
  <c r="F214" i="41" s="1"/>
  <c r="E214" i="37"/>
  <c r="E214" i="41" s="1"/>
  <c r="D214" i="37"/>
  <c r="D214" i="41" s="1"/>
  <c r="C214" i="37"/>
  <c r="C214" i="41" s="1"/>
  <c r="B214" i="37"/>
  <c r="B214" i="41" s="1"/>
  <c r="A214" i="37"/>
  <c r="A214" i="41" s="1"/>
  <c r="G213" i="37"/>
  <c r="G213" i="41" s="1"/>
  <c r="F213" i="37"/>
  <c r="F213" i="41" s="1"/>
  <c r="E213" i="37"/>
  <c r="E213" i="41" s="1"/>
  <c r="D213" i="37"/>
  <c r="D213" i="41" s="1"/>
  <c r="C213" i="37"/>
  <c r="C213" i="41" s="1"/>
  <c r="B213" i="37"/>
  <c r="B213" i="41" s="1"/>
  <c r="A213" i="37"/>
  <c r="A213" i="41" s="1"/>
  <c r="G212" i="37"/>
  <c r="G212" i="41" s="1"/>
  <c r="F212" i="37"/>
  <c r="F212" i="41" s="1"/>
  <c r="E212" i="37"/>
  <c r="E212" i="41" s="1"/>
  <c r="D212" i="37"/>
  <c r="D212" i="41" s="1"/>
  <c r="C212" i="37"/>
  <c r="C212" i="41" s="1"/>
  <c r="B212" i="37"/>
  <c r="B212" i="41" s="1"/>
  <c r="A212" i="37"/>
  <c r="A212" i="41" s="1"/>
  <c r="G211" i="37"/>
  <c r="G211" i="41" s="1"/>
  <c r="F211" i="37"/>
  <c r="F211" i="41" s="1"/>
  <c r="E211" i="37"/>
  <c r="E211" i="41" s="1"/>
  <c r="D211" i="37"/>
  <c r="D211" i="41" s="1"/>
  <c r="C211" i="37"/>
  <c r="C211" i="41" s="1"/>
  <c r="B211" i="37"/>
  <c r="B211" i="41" s="1"/>
  <c r="A211" i="37"/>
  <c r="A211" i="41" s="1"/>
  <c r="G210" i="37"/>
  <c r="G210" i="41" s="1"/>
  <c r="F210" i="37"/>
  <c r="F210" i="41" s="1"/>
  <c r="E210" i="37"/>
  <c r="E210" i="41" s="1"/>
  <c r="D210" i="37"/>
  <c r="D210" i="41" s="1"/>
  <c r="C210" i="37"/>
  <c r="C210" i="41" s="1"/>
  <c r="B210" i="37"/>
  <c r="B210" i="41" s="1"/>
  <c r="A210" i="37"/>
  <c r="A210" i="41" s="1"/>
  <c r="G209" i="37"/>
  <c r="G209" i="41" s="1"/>
  <c r="F209" i="37"/>
  <c r="F209" i="41" s="1"/>
  <c r="E209" i="37"/>
  <c r="E209" i="41" s="1"/>
  <c r="D209" i="37"/>
  <c r="D209" i="41" s="1"/>
  <c r="C209" i="37"/>
  <c r="C209" i="41" s="1"/>
  <c r="B209" i="37"/>
  <c r="B209" i="41" s="1"/>
  <c r="A209" i="37"/>
  <c r="A209" i="41" s="1"/>
  <c r="G208" i="37"/>
  <c r="G208" i="41" s="1"/>
  <c r="F208" i="37"/>
  <c r="F208" i="41" s="1"/>
  <c r="E208" i="37"/>
  <c r="E208" i="41" s="1"/>
  <c r="D208" i="37"/>
  <c r="D208" i="41" s="1"/>
  <c r="C208" i="37"/>
  <c r="C208" i="41" s="1"/>
  <c r="B208" i="37"/>
  <c r="B208" i="41" s="1"/>
  <c r="A208" i="37"/>
  <c r="A208" i="41" s="1"/>
  <c r="G207" i="37"/>
  <c r="G207" i="41" s="1"/>
  <c r="F207" i="37"/>
  <c r="F207" i="41" s="1"/>
  <c r="E207" i="37"/>
  <c r="E207" i="41" s="1"/>
  <c r="D207" i="37"/>
  <c r="D207" i="41" s="1"/>
  <c r="C207" i="37"/>
  <c r="C207" i="41" s="1"/>
  <c r="B207" i="37"/>
  <c r="B207" i="41" s="1"/>
  <c r="A207" i="37"/>
  <c r="A207" i="41" s="1"/>
  <c r="G206" i="37"/>
  <c r="G206" i="41" s="1"/>
  <c r="F206" i="37"/>
  <c r="F206" i="41" s="1"/>
  <c r="E206" i="37"/>
  <c r="E206" i="41" s="1"/>
  <c r="D206" i="37"/>
  <c r="D206" i="41" s="1"/>
  <c r="C206" i="37"/>
  <c r="C206" i="41" s="1"/>
  <c r="B206" i="37"/>
  <c r="B206" i="41" s="1"/>
  <c r="A206" i="37"/>
  <c r="A206" i="41" s="1"/>
  <c r="G205" i="37"/>
  <c r="G205" i="41" s="1"/>
  <c r="F205" i="37"/>
  <c r="F205" i="41" s="1"/>
  <c r="E205" i="37"/>
  <c r="E205" i="41" s="1"/>
  <c r="D205" i="37"/>
  <c r="D205" i="41" s="1"/>
  <c r="C205" i="37"/>
  <c r="C205" i="41" s="1"/>
  <c r="B205" i="37"/>
  <c r="B205" i="41" s="1"/>
  <c r="A205" i="37"/>
  <c r="A205" i="41" s="1"/>
  <c r="G204" i="37"/>
  <c r="G204" i="41" s="1"/>
  <c r="F204" i="37"/>
  <c r="F204" i="41" s="1"/>
  <c r="E204" i="37"/>
  <c r="E204" i="41" s="1"/>
  <c r="D204" i="37"/>
  <c r="D204" i="41" s="1"/>
  <c r="C204" i="37"/>
  <c r="C204" i="41" s="1"/>
  <c r="B204" i="37"/>
  <c r="B204" i="41" s="1"/>
  <c r="A204" i="37"/>
  <c r="A204" i="41" s="1"/>
  <c r="G203" i="37"/>
  <c r="G203" i="41" s="1"/>
  <c r="F203" i="37"/>
  <c r="F203" i="41" s="1"/>
  <c r="E203" i="37"/>
  <c r="E203" i="41" s="1"/>
  <c r="D203" i="37"/>
  <c r="D203" i="41" s="1"/>
  <c r="C203" i="37"/>
  <c r="C203" i="41" s="1"/>
  <c r="B203" i="37"/>
  <c r="B203" i="41" s="1"/>
  <c r="A203" i="37"/>
  <c r="A203" i="41" s="1"/>
  <c r="G202" i="37"/>
  <c r="G202" i="41" s="1"/>
  <c r="F202" i="37"/>
  <c r="F202" i="41" s="1"/>
  <c r="E202" i="37"/>
  <c r="E202" i="41" s="1"/>
  <c r="D202" i="37"/>
  <c r="D202" i="41" s="1"/>
  <c r="C202" i="37"/>
  <c r="C202" i="41" s="1"/>
  <c r="B202" i="37"/>
  <c r="B202" i="41" s="1"/>
  <c r="A202" i="37"/>
  <c r="A202" i="41" s="1"/>
  <c r="G201" i="37"/>
  <c r="G201" i="41" s="1"/>
  <c r="F201" i="37"/>
  <c r="F201" i="41" s="1"/>
  <c r="E201" i="37"/>
  <c r="E201" i="41" s="1"/>
  <c r="D201" i="37"/>
  <c r="D201" i="41" s="1"/>
  <c r="C201" i="37"/>
  <c r="C201" i="41" s="1"/>
  <c r="B201" i="37"/>
  <c r="B201" i="41" s="1"/>
  <c r="A201" i="37"/>
  <c r="A201" i="41" s="1"/>
  <c r="G200" i="37"/>
  <c r="G200" i="41" s="1"/>
  <c r="F200" i="37"/>
  <c r="F200" i="41" s="1"/>
  <c r="E200" i="37"/>
  <c r="E200" i="41" s="1"/>
  <c r="D200" i="37"/>
  <c r="D200" i="41" s="1"/>
  <c r="C200" i="37"/>
  <c r="C200" i="41" s="1"/>
  <c r="B200" i="37"/>
  <c r="B200" i="41" s="1"/>
  <c r="A200" i="37"/>
  <c r="A200" i="41" s="1"/>
  <c r="G199" i="37"/>
  <c r="G199" i="41" s="1"/>
  <c r="F199" i="37"/>
  <c r="F199" i="41" s="1"/>
  <c r="E199" i="37"/>
  <c r="E199" i="41" s="1"/>
  <c r="D199" i="37"/>
  <c r="D199" i="41" s="1"/>
  <c r="C199" i="37"/>
  <c r="C199" i="41" s="1"/>
  <c r="B199" i="37"/>
  <c r="B199" i="41" s="1"/>
  <c r="A199" i="37"/>
  <c r="A199" i="41" s="1"/>
  <c r="G198" i="37"/>
  <c r="G198" i="41" s="1"/>
  <c r="F198" i="37"/>
  <c r="F198" i="41" s="1"/>
  <c r="E198" i="37"/>
  <c r="E198" i="41" s="1"/>
  <c r="D198" i="37"/>
  <c r="D198" i="41" s="1"/>
  <c r="C198" i="37"/>
  <c r="C198" i="41" s="1"/>
  <c r="B198" i="37"/>
  <c r="B198" i="41" s="1"/>
  <c r="A198" i="37"/>
  <c r="A198" i="41" s="1"/>
  <c r="G197" i="37"/>
  <c r="G197" i="41" s="1"/>
  <c r="F197" i="37"/>
  <c r="F197" i="41" s="1"/>
  <c r="E197" i="37"/>
  <c r="E197" i="41" s="1"/>
  <c r="D197" i="37"/>
  <c r="D197" i="41" s="1"/>
  <c r="C197" i="37"/>
  <c r="C197" i="41" s="1"/>
  <c r="B197" i="37"/>
  <c r="B197" i="41" s="1"/>
  <c r="A197" i="37"/>
  <c r="A197" i="41" s="1"/>
  <c r="G196" i="37"/>
  <c r="G196" i="41" s="1"/>
  <c r="F196" i="37"/>
  <c r="F196" i="41" s="1"/>
  <c r="E196" i="37"/>
  <c r="E196" i="41" s="1"/>
  <c r="D196" i="37"/>
  <c r="D196" i="41" s="1"/>
  <c r="C196" i="37"/>
  <c r="C196" i="41" s="1"/>
  <c r="B196" i="37"/>
  <c r="B196" i="41" s="1"/>
  <c r="A196" i="37"/>
  <c r="A196" i="41" s="1"/>
  <c r="G195" i="37"/>
  <c r="G195" i="41" s="1"/>
  <c r="F195" i="37"/>
  <c r="F195" i="41" s="1"/>
  <c r="E195" i="37"/>
  <c r="E195" i="41" s="1"/>
  <c r="D195" i="37"/>
  <c r="D195" i="41" s="1"/>
  <c r="C195" i="37"/>
  <c r="C195" i="41" s="1"/>
  <c r="B195" i="37"/>
  <c r="B195" i="41" s="1"/>
  <c r="A195" i="37"/>
  <c r="A195" i="41" s="1"/>
  <c r="G194" i="37"/>
  <c r="G194" i="41" s="1"/>
  <c r="F194" i="37"/>
  <c r="F194" i="41" s="1"/>
  <c r="E194" i="37"/>
  <c r="E194" i="41" s="1"/>
  <c r="D194" i="37"/>
  <c r="D194" i="41" s="1"/>
  <c r="C194" i="37"/>
  <c r="C194" i="41" s="1"/>
  <c r="B194" i="37"/>
  <c r="B194" i="41" s="1"/>
  <c r="A194" i="37"/>
  <c r="A194" i="41" s="1"/>
  <c r="G193" i="37"/>
  <c r="G193" i="41" s="1"/>
  <c r="F193" i="37"/>
  <c r="F193" i="41" s="1"/>
  <c r="E193" i="37"/>
  <c r="E193" i="41" s="1"/>
  <c r="D193" i="37"/>
  <c r="D193" i="41" s="1"/>
  <c r="C193" i="37"/>
  <c r="C193" i="41" s="1"/>
  <c r="B193" i="37"/>
  <c r="B193" i="41" s="1"/>
  <c r="A193" i="37"/>
  <c r="A193" i="41" s="1"/>
  <c r="G192" i="37"/>
  <c r="G192" i="41" s="1"/>
  <c r="F192" i="37"/>
  <c r="F192" i="41" s="1"/>
  <c r="E192" i="37"/>
  <c r="E192" i="41" s="1"/>
  <c r="D192" i="37"/>
  <c r="D192" i="41" s="1"/>
  <c r="C192" i="37"/>
  <c r="C192" i="41" s="1"/>
  <c r="B192" i="37"/>
  <c r="B192" i="41" s="1"/>
  <c r="A192" i="37"/>
  <c r="A192" i="41" s="1"/>
  <c r="G191" i="37"/>
  <c r="G191" i="41" s="1"/>
  <c r="F191" i="37"/>
  <c r="F191" i="41" s="1"/>
  <c r="E191" i="37"/>
  <c r="E191" i="41" s="1"/>
  <c r="D191" i="37"/>
  <c r="D191" i="41" s="1"/>
  <c r="C191" i="37"/>
  <c r="C191" i="41" s="1"/>
  <c r="B191" i="37"/>
  <c r="B191" i="41" s="1"/>
  <c r="A191" i="37"/>
  <c r="A191" i="41" s="1"/>
  <c r="G190" i="37"/>
  <c r="G190" i="41" s="1"/>
  <c r="F190" i="37"/>
  <c r="F190" i="41" s="1"/>
  <c r="E190" i="37"/>
  <c r="E190" i="41" s="1"/>
  <c r="D190" i="37"/>
  <c r="D190" i="41" s="1"/>
  <c r="C190" i="37"/>
  <c r="C190" i="41" s="1"/>
  <c r="B190" i="37"/>
  <c r="B190" i="41" s="1"/>
  <c r="A190" i="37"/>
  <c r="A190" i="41" s="1"/>
  <c r="G189" i="37"/>
  <c r="G189" i="41" s="1"/>
  <c r="F189" i="37"/>
  <c r="F189" i="41" s="1"/>
  <c r="E189" i="37"/>
  <c r="E189" i="41" s="1"/>
  <c r="D189" i="37"/>
  <c r="D189" i="41" s="1"/>
  <c r="C189" i="37"/>
  <c r="C189" i="41" s="1"/>
  <c r="B189" i="37"/>
  <c r="B189" i="41" s="1"/>
  <c r="A189" i="37"/>
  <c r="A189" i="41" s="1"/>
  <c r="G188" i="37"/>
  <c r="G188" i="41" s="1"/>
  <c r="F188" i="37"/>
  <c r="F188" i="41" s="1"/>
  <c r="E188" i="37"/>
  <c r="E188" i="41" s="1"/>
  <c r="D188" i="37"/>
  <c r="D188" i="41" s="1"/>
  <c r="C188" i="37"/>
  <c r="C188" i="41" s="1"/>
  <c r="B188" i="37"/>
  <c r="B188" i="41" s="1"/>
  <c r="A188" i="37"/>
  <c r="A188" i="41" s="1"/>
  <c r="G187" i="37"/>
  <c r="G187" i="41" s="1"/>
  <c r="F187" i="37"/>
  <c r="F187" i="41" s="1"/>
  <c r="E187" i="37"/>
  <c r="E187" i="41" s="1"/>
  <c r="D187" i="37"/>
  <c r="D187" i="41" s="1"/>
  <c r="C187" i="37"/>
  <c r="C187" i="41" s="1"/>
  <c r="B187" i="37"/>
  <c r="B187" i="41" s="1"/>
  <c r="A187" i="37"/>
  <c r="A187" i="41" s="1"/>
  <c r="G186" i="37"/>
  <c r="G186" i="41" s="1"/>
  <c r="F186" i="37"/>
  <c r="F186" i="41" s="1"/>
  <c r="E186" i="37"/>
  <c r="E186" i="41" s="1"/>
  <c r="D186" i="37"/>
  <c r="D186" i="41" s="1"/>
  <c r="C186" i="37"/>
  <c r="C186" i="41" s="1"/>
  <c r="B186" i="37"/>
  <c r="B186" i="41" s="1"/>
  <c r="A186" i="37"/>
  <c r="A186" i="41" s="1"/>
  <c r="G185" i="37"/>
  <c r="G185" i="41" s="1"/>
  <c r="F185" i="37"/>
  <c r="F185" i="41" s="1"/>
  <c r="E185" i="37"/>
  <c r="E185" i="41" s="1"/>
  <c r="D185" i="37"/>
  <c r="D185" i="41" s="1"/>
  <c r="C185" i="37"/>
  <c r="C185" i="41" s="1"/>
  <c r="B185" i="37"/>
  <c r="B185" i="41" s="1"/>
  <c r="A185" i="37"/>
  <c r="A185" i="41" s="1"/>
  <c r="G184" i="37"/>
  <c r="G184" i="41" s="1"/>
  <c r="F184" i="37"/>
  <c r="F184" i="41" s="1"/>
  <c r="E184" i="37"/>
  <c r="E184" i="41" s="1"/>
  <c r="D184" i="37"/>
  <c r="D184" i="41" s="1"/>
  <c r="C184" i="37"/>
  <c r="C184" i="41" s="1"/>
  <c r="B184" i="37"/>
  <c r="B184" i="41" s="1"/>
  <c r="A184" i="37"/>
  <c r="A184" i="41" s="1"/>
  <c r="G183" i="37"/>
  <c r="G183" i="41" s="1"/>
  <c r="F183" i="37"/>
  <c r="F183" i="41" s="1"/>
  <c r="E183" i="37"/>
  <c r="E183" i="41" s="1"/>
  <c r="D183" i="37"/>
  <c r="D183" i="41" s="1"/>
  <c r="C183" i="37"/>
  <c r="C183" i="41" s="1"/>
  <c r="B183" i="37"/>
  <c r="B183" i="41" s="1"/>
  <c r="A183" i="37"/>
  <c r="A183" i="41" s="1"/>
  <c r="G182" i="37"/>
  <c r="G182" i="41" s="1"/>
  <c r="F182" i="37"/>
  <c r="F182" i="41" s="1"/>
  <c r="E182" i="37"/>
  <c r="E182" i="41" s="1"/>
  <c r="D182" i="37"/>
  <c r="D182" i="41" s="1"/>
  <c r="C182" i="37"/>
  <c r="C182" i="41" s="1"/>
  <c r="B182" i="37"/>
  <c r="B182" i="41" s="1"/>
  <c r="A182" i="37"/>
  <c r="A182" i="41" s="1"/>
  <c r="G181" i="37"/>
  <c r="G181" i="41" s="1"/>
  <c r="F181" i="37"/>
  <c r="F181" i="41" s="1"/>
  <c r="E181" i="37"/>
  <c r="E181" i="41" s="1"/>
  <c r="D181" i="37"/>
  <c r="D181" i="41" s="1"/>
  <c r="C181" i="37"/>
  <c r="C181" i="41" s="1"/>
  <c r="B181" i="37"/>
  <c r="B181" i="41" s="1"/>
  <c r="A181" i="37"/>
  <c r="A181" i="41" s="1"/>
  <c r="G180" i="37"/>
  <c r="G180" i="41" s="1"/>
  <c r="F180" i="37"/>
  <c r="F180" i="41" s="1"/>
  <c r="E180" i="37"/>
  <c r="E180" i="41" s="1"/>
  <c r="D180" i="37"/>
  <c r="D180" i="41" s="1"/>
  <c r="C180" i="37"/>
  <c r="C180" i="41" s="1"/>
  <c r="B180" i="37"/>
  <c r="B180" i="41" s="1"/>
  <c r="A180" i="37"/>
  <c r="A180" i="41" s="1"/>
  <c r="G179" i="37"/>
  <c r="G179" i="41" s="1"/>
  <c r="F179" i="37"/>
  <c r="F179" i="41" s="1"/>
  <c r="E179" i="37"/>
  <c r="E179" i="41" s="1"/>
  <c r="D179" i="37"/>
  <c r="D179" i="41" s="1"/>
  <c r="C179" i="37"/>
  <c r="C179" i="41" s="1"/>
  <c r="B179" i="37"/>
  <c r="B179" i="41" s="1"/>
  <c r="A179" i="37"/>
  <c r="A179" i="41" s="1"/>
  <c r="G178" i="37"/>
  <c r="G178" i="41" s="1"/>
  <c r="F178" i="37"/>
  <c r="F178" i="41" s="1"/>
  <c r="E178" i="37"/>
  <c r="E178" i="41" s="1"/>
  <c r="D178" i="37"/>
  <c r="D178" i="41" s="1"/>
  <c r="C178" i="37"/>
  <c r="C178" i="41" s="1"/>
  <c r="B178" i="37"/>
  <c r="B178" i="41" s="1"/>
  <c r="A178" i="37"/>
  <c r="A178" i="41" s="1"/>
  <c r="G177" i="37"/>
  <c r="G177" i="41" s="1"/>
  <c r="F177" i="37"/>
  <c r="F177" i="41" s="1"/>
  <c r="E177" i="37"/>
  <c r="E177" i="41" s="1"/>
  <c r="D177" i="37"/>
  <c r="D177" i="41" s="1"/>
  <c r="C177" i="37"/>
  <c r="C177" i="41" s="1"/>
  <c r="B177" i="37"/>
  <c r="B177" i="41" s="1"/>
  <c r="A177" i="37"/>
  <c r="A177" i="41" s="1"/>
  <c r="G176" i="37"/>
  <c r="G176" i="41" s="1"/>
  <c r="F176" i="37"/>
  <c r="F176" i="41" s="1"/>
  <c r="E176" i="37"/>
  <c r="E176" i="41" s="1"/>
  <c r="D176" i="37"/>
  <c r="D176" i="41" s="1"/>
  <c r="C176" i="37"/>
  <c r="C176" i="41" s="1"/>
  <c r="B176" i="37"/>
  <c r="B176" i="41" s="1"/>
  <c r="A176" i="37"/>
  <c r="A176" i="41" s="1"/>
  <c r="G175" i="37"/>
  <c r="G175" i="41" s="1"/>
  <c r="F175" i="37"/>
  <c r="F175" i="41" s="1"/>
  <c r="E175" i="37"/>
  <c r="E175" i="41" s="1"/>
  <c r="D175" i="37"/>
  <c r="D175" i="41" s="1"/>
  <c r="C175" i="37"/>
  <c r="C175" i="41" s="1"/>
  <c r="B175" i="37"/>
  <c r="B175" i="41" s="1"/>
  <c r="A175" i="37"/>
  <c r="A175" i="41" s="1"/>
  <c r="G174" i="37"/>
  <c r="G174" i="41" s="1"/>
  <c r="F174" i="37"/>
  <c r="F174" i="41" s="1"/>
  <c r="E174" i="37"/>
  <c r="E174" i="41" s="1"/>
  <c r="D174" i="37"/>
  <c r="D174" i="41" s="1"/>
  <c r="C174" i="37"/>
  <c r="C174" i="41" s="1"/>
  <c r="B174" i="37"/>
  <c r="B174" i="41" s="1"/>
  <c r="A174" i="37"/>
  <c r="A174" i="41" s="1"/>
  <c r="G173" i="37"/>
  <c r="G173" i="41" s="1"/>
  <c r="F173" i="37"/>
  <c r="F173" i="41" s="1"/>
  <c r="E173" i="37"/>
  <c r="E173" i="41" s="1"/>
  <c r="D173" i="37"/>
  <c r="D173" i="41" s="1"/>
  <c r="C173" i="37"/>
  <c r="C173" i="41" s="1"/>
  <c r="B173" i="37"/>
  <c r="B173" i="41" s="1"/>
  <c r="A173" i="37"/>
  <c r="A173" i="41" s="1"/>
  <c r="G172" i="37"/>
  <c r="G172" i="41" s="1"/>
  <c r="F172" i="37"/>
  <c r="F172" i="41" s="1"/>
  <c r="E172" i="37"/>
  <c r="E172" i="41" s="1"/>
  <c r="D172" i="37"/>
  <c r="D172" i="41" s="1"/>
  <c r="C172" i="37"/>
  <c r="C172" i="41" s="1"/>
  <c r="B172" i="37"/>
  <c r="B172" i="41" s="1"/>
  <c r="A172" i="37"/>
  <c r="A172" i="41" s="1"/>
  <c r="G171" i="37"/>
  <c r="G171" i="41" s="1"/>
  <c r="F171" i="37"/>
  <c r="F171" i="41" s="1"/>
  <c r="E171" i="37"/>
  <c r="E171" i="41" s="1"/>
  <c r="D171" i="37"/>
  <c r="D171" i="41" s="1"/>
  <c r="C171" i="37"/>
  <c r="C171" i="41" s="1"/>
  <c r="B171" i="37"/>
  <c r="B171" i="41" s="1"/>
  <c r="A171" i="37"/>
  <c r="A171" i="41" s="1"/>
  <c r="G170" i="37"/>
  <c r="G170" i="41" s="1"/>
  <c r="F170" i="37"/>
  <c r="F170" i="41" s="1"/>
  <c r="E170" i="37"/>
  <c r="E170" i="41" s="1"/>
  <c r="D170" i="37"/>
  <c r="D170" i="41" s="1"/>
  <c r="C170" i="37"/>
  <c r="C170" i="41" s="1"/>
  <c r="B170" i="37"/>
  <c r="B170" i="41" s="1"/>
  <c r="A170" i="37"/>
  <c r="A170" i="41" s="1"/>
  <c r="G169" i="37"/>
  <c r="G169" i="41" s="1"/>
  <c r="F169" i="37"/>
  <c r="F169" i="41" s="1"/>
  <c r="E169" i="37"/>
  <c r="E169" i="41" s="1"/>
  <c r="D169" i="37"/>
  <c r="D169" i="41" s="1"/>
  <c r="C169" i="37"/>
  <c r="C169" i="41" s="1"/>
  <c r="B169" i="37"/>
  <c r="B169" i="41" s="1"/>
  <c r="A169" i="37"/>
  <c r="A169" i="41" s="1"/>
  <c r="G168" i="37"/>
  <c r="G168" i="41" s="1"/>
  <c r="F168" i="37"/>
  <c r="F168" i="41" s="1"/>
  <c r="E168" i="37"/>
  <c r="E168" i="41" s="1"/>
  <c r="D168" i="37"/>
  <c r="D168" i="41" s="1"/>
  <c r="C168" i="37"/>
  <c r="C168" i="41" s="1"/>
  <c r="B168" i="37"/>
  <c r="B168" i="41" s="1"/>
  <c r="A168" i="37"/>
  <c r="A168" i="41" s="1"/>
  <c r="G167" i="37"/>
  <c r="G167" i="41" s="1"/>
  <c r="F167" i="37"/>
  <c r="F167" i="41" s="1"/>
  <c r="E167" i="37"/>
  <c r="E167" i="41" s="1"/>
  <c r="D167" i="37"/>
  <c r="D167" i="41" s="1"/>
  <c r="C167" i="37"/>
  <c r="C167" i="41" s="1"/>
  <c r="B167" i="37"/>
  <c r="B167" i="41" s="1"/>
  <c r="A167" i="37"/>
  <c r="A167" i="41" s="1"/>
  <c r="G166" i="37"/>
  <c r="G166" i="41" s="1"/>
  <c r="F166" i="37"/>
  <c r="F166" i="41" s="1"/>
  <c r="E166" i="37"/>
  <c r="E166" i="41" s="1"/>
  <c r="D166" i="37"/>
  <c r="D166" i="41" s="1"/>
  <c r="C166" i="37"/>
  <c r="C166" i="41" s="1"/>
  <c r="B166" i="37"/>
  <c r="B166" i="41" s="1"/>
  <c r="A166" i="37"/>
  <c r="A166" i="41" s="1"/>
  <c r="G165" i="37"/>
  <c r="G165" i="41" s="1"/>
  <c r="F165" i="37"/>
  <c r="F165" i="41" s="1"/>
  <c r="E165" i="37"/>
  <c r="E165" i="41" s="1"/>
  <c r="D165" i="37"/>
  <c r="D165" i="41" s="1"/>
  <c r="C165" i="37"/>
  <c r="C165" i="41" s="1"/>
  <c r="B165" i="37"/>
  <c r="B165" i="41" s="1"/>
  <c r="A165" i="37"/>
  <c r="A165" i="41" s="1"/>
  <c r="G164" i="37"/>
  <c r="G164" i="41" s="1"/>
  <c r="F164" i="37"/>
  <c r="F164" i="41" s="1"/>
  <c r="E164" i="37"/>
  <c r="E164" i="41" s="1"/>
  <c r="D164" i="37"/>
  <c r="D164" i="41" s="1"/>
  <c r="C164" i="37"/>
  <c r="C164" i="41" s="1"/>
  <c r="B164" i="37"/>
  <c r="B164" i="41" s="1"/>
  <c r="A164" i="37"/>
  <c r="A164" i="41" s="1"/>
  <c r="G163" i="37"/>
  <c r="G163" i="41" s="1"/>
  <c r="F163" i="37"/>
  <c r="F163" i="41" s="1"/>
  <c r="E163" i="37"/>
  <c r="E163" i="41" s="1"/>
  <c r="D163" i="37"/>
  <c r="D163" i="41" s="1"/>
  <c r="C163" i="37"/>
  <c r="C163" i="41" s="1"/>
  <c r="B163" i="37"/>
  <c r="B163" i="41" s="1"/>
  <c r="A163" i="37"/>
  <c r="A163" i="41" s="1"/>
  <c r="G162" i="37"/>
  <c r="G162" i="41" s="1"/>
  <c r="F162" i="37"/>
  <c r="F162" i="41" s="1"/>
  <c r="E162" i="37"/>
  <c r="E162" i="41" s="1"/>
  <c r="D162" i="37"/>
  <c r="D162" i="41" s="1"/>
  <c r="C162" i="37"/>
  <c r="C162" i="41" s="1"/>
  <c r="B162" i="37"/>
  <c r="B162" i="41" s="1"/>
  <c r="A162" i="37"/>
  <c r="A162" i="41" s="1"/>
  <c r="G161" i="37"/>
  <c r="G161" i="41" s="1"/>
  <c r="F161" i="37"/>
  <c r="F161" i="41" s="1"/>
  <c r="E161" i="37"/>
  <c r="E161" i="41" s="1"/>
  <c r="D161" i="37"/>
  <c r="D161" i="41" s="1"/>
  <c r="C161" i="37"/>
  <c r="C161" i="41" s="1"/>
  <c r="B161" i="37"/>
  <c r="B161" i="41" s="1"/>
  <c r="A161" i="37"/>
  <c r="A161" i="41" s="1"/>
  <c r="G160" i="37"/>
  <c r="G160" i="41" s="1"/>
  <c r="F160" i="37"/>
  <c r="F160" i="41" s="1"/>
  <c r="E160" i="37"/>
  <c r="E160" i="41" s="1"/>
  <c r="D160" i="37"/>
  <c r="D160" i="41" s="1"/>
  <c r="C160" i="37"/>
  <c r="C160" i="41" s="1"/>
  <c r="B160" i="37"/>
  <c r="B160" i="41" s="1"/>
  <c r="A160" i="37"/>
  <c r="A160" i="41" s="1"/>
  <c r="G159" i="37"/>
  <c r="G159" i="41" s="1"/>
  <c r="F159" i="37"/>
  <c r="F159" i="41" s="1"/>
  <c r="E159" i="37"/>
  <c r="E159" i="41" s="1"/>
  <c r="D159" i="37"/>
  <c r="D159" i="41" s="1"/>
  <c r="C159" i="37"/>
  <c r="C159" i="41" s="1"/>
  <c r="B159" i="37"/>
  <c r="B159" i="41" s="1"/>
  <c r="A159" i="37"/>
  <c r="A159" i="41" s="1"/>
  <c r="G158" i="37"/>
  <c r="G158" i="41" s="1"/>
  <c r="F158" i="37"/>
  <c r="F158" i="41" s="1"/>
  <c r="E158" i="37"/>
  <c r="E158" i="41" s="1"/>
  <c r="D158" i="37"/>
  <c r="D158" i="41" s="1"/>
  <c r="C158" i="37"/>
  <c r="C158" i="41" s="1"/>
  <c r="B158" i="37"/>
  <c r="B158" i="41" s="1"/>
  <c r="A158" i="37"/>
  <c r="A158" i="41" s="1"/>
  <c r="G157" i="37"/>
  <c r="G157" i="41" s="1"/>
  <c r="F157" i="37"/>
  <c r="F157" i="41" s="1"/>
  <c r="E157" i="37"/>
  <c r="E157" i="41" s="1"/>
  <c r="D157" i="37"/>
  <c r="D157" i="41" s="1"/>
  <c r="C157" i="37"/>
  <c r="C157" i="41" s="1"/>
  <c r="B157" i="37"/>
  <c r="B157" i="41" s="1"/>
  <c r="A157" i="37"/>
  <c r="A157" i="41" s="1"/>
  <c r="G156" i="37"/>
  <c r="G156" i="41" s="1"/>
  <c r="F156" i="37"/>
  <c r="F156" i="41" s="1"/>
  <c r="E156" i="37"/>
  <c r="E156" i="41" s="1"/>
  <c r="D156" i="37"/>
  <c r="D156" i="41" s="1"/>
  <c r="C156" i="37"/>
  <c r="C156" i="41" s="1"/>
  <c r="B156" i="37"/>
  <c r="B156" i="41" s="1"/>
  <c r="A156" i="37"/>
  <c r="A156" i="41" s="1"/>
  <c r="G155" i="37"/>
  <c r="G155" i="41" s="1"/>
  <c r="F155" i="37"/>
  <c r="F155" i="41" s="1"/>
  <c r="E155" i="37"/>
  <c r="E155" i="41" s="1"/>
  <c r="D155" i="37"/>
  <c r="D155" i="41" s="1"/>
  <c r="C155" i="37"/>
  <c r="C155" i="41" s="1"/>
  <c r="B155" i="37"/>
  <c r="B155" i="41" s="1"/>
  <c r="A155" i="37"/>
  <c r="A155" i="41" s="1"/>
  <c r="G154" i="37"/>
  <c r="G154" i="41" s="1"/>
  <c r="F154" i="37"/>
  <c r="F154" i="41" s="1"/>
  <c r="E154" i="37"/>
  <c r="E154" i="41" s="1"/>
  <c r="D154" i="37"/>
  <c r="D154" i="41" s="1"/>
  <c r="C154" i="37"/>
  <c r="C154" i="41" s="1"/>
  <c r="B154" i="37"/>
  <c r="B154" i="41" s="1"/>
  <c r="A154" i="37"/>
  <c r="A154" i="41" s="1"/>
  <c r="G153" i="37"/>
  <c r="G153" i="41" s="1"/>
  <c r="F153" i="37"/>
  <c r="F153" i="41" s="1"/>
  <c r="E153" i="37"/>
  <c r="E153" i="41" s="1"/>
  <c r="D153" i="37"/>
  <c r="D153" i="41" s="1"/>
  <c r="C153" i="37"/>
  <c r="C153" i="41" s="1"/>
  <c r="B153" i="37"/>
  <c r="B153" i="41" s="1"/>
  <c r="A153" i="37"/>
  <c r="A153" i="41" s="1"/>
  <c r="G152" i="37"/>
  <c r="G152" i="41" s="1"/>
  <c r="F152" i="37"/>
  <c r="F152" i="41" s="1"/>
  <c r="E152" i="37"/>
  <c r="E152" i="41" s="1"/>
  <c r="D152" i="37"/>
  <c r="D152" i="41" s="1"/>
  <c r="C152" i="37"/>
  <c r="C152" i="41" s="1"/>
  <c r="B152" i="37"/>
  <c r="B152" i="41" s="1"/>
  <c r="A152" i="37"/>
  <c r="A152" i="41" s="1"/>
  <c r="G151" i="37"/>
  <c r="G151" i="41" s="1"/>
  <c r="F151" i="37"/>
  <c r="F151" i="41" s="1"/>
  <c r="E151" i="37"/>
  <c r="E151" i="41" s="1"/>
  <c r="D151" i="37"/>
  <c r="D151" i="41" s="1"/>
  <c r="C151" i="37"/>
  <c r="C151" i="41" s="1"/>
  <c r="B151" i="37"/>
  <c r="B151" i="41" s="1"/>
  <c r="A151" i="37"/>
  <c r="A151" i="41" s="1"/>
  <c r="G150" i="37"/>
  <c r="G150" i="41" s="1"/>
  <c r="F150" i="37"/>
  <c r="F150" i="41" s="1"/>
  <c r="E150" i="37"/>
  <c r="E150" i="41" s="1"/>
  <c r="D150" i="37"/>
  <c r="D150" i="41" s="1"/>
  <c r="C150" i="37"/>
  <c r="C150" i="41" s="1"/>
  <c r="B150" i="37"/>
  <c r="B150" i="41" s="1"/>
  <c r="A150" i="37"/>
  <c r="A150" i="41" s="1"/>
  <c r="G149" i="37"/>
  <c r="G149" i="41" s="1"/>
  <c r="F149" i="37"/>
  <c r="F149" i="41" s="1"/>
  <c r="E149" i="37"/>
  <c r="E149" i="41" s="1"/>
  <c r="D149" i="37"/>
  <c r="D149" i="41" s="1"/>
  <c r="C149" i="37"/>
  <c r="C149" i="41" s="1"/>
  <c r="B149" i="37"/>
  <c r="B149" i="41" s="1"/>
  <c r="A149" i="37"/>
  <c r="A149" i="41" s="1"/>
  <c r="G148" i="37"/>
  <c r="G148" i="41" s="1"/>
  <c r="F148" i="37"/>
  <c r="F148" i="41" s="1"/>
  <c r="E148" i="37"/>
  <c r="E148" i="41" s="1"/>
  <c r="D148" i="37"/>
  <c r="D148" i="41" s="1"/>
  <c r="C148" i="37"/>
  <c r="C148" i="41" s="1"/>
  <c r="B148" i="37"/>
  <c r="B148" i="41" s="1"/>
  <c r="A148" i="37"/>
  <c r="A148" i="41" s="1"/>
  <c r="G147" i="37"/>
  <c r="G147" i="41" s="1"/>
  <c r="F147" i="37"/>
  <c r="F147" i="41" s="1"/>
  <c r="E147" i="37"/>
  <c r="E147" i="41" s="1"/>
  <c r="D147" i="37"/>
  <c r="D147" i="41" s="1"/>
  <c r="C147" i="37"/>
  <c r="C147" i="41" s="1"/>
  <c r="B147" i="37"/>
  <c r="B147" i="41" s="1"/>
  <c r="A147" i="37"/>
  <c r="A147" i="41" s="1"/>
  <c r="G146" i="37"/>
  <c r="G146" i="41" s="1"/>
  <c r="F146" i="37"/>
  <c r="F146" i="41" s="1"/>
  <c r="E146" i="37"/>
  <c r="E146" i="41" s="1"/>
  <c r="D146" i="37"/>
  <c r="D146" i="41" s="1"/>
  <c r="C146" i="37"/>
  <c r="C146" i="41" s="1"/>
  <c r="B146" i="37"/>
  <c r="B146" i="41" s="1"/>
  <c r="A146" i="37"/>
  <c r="A146" i="41" s="1"/>
  <c r="G145" i="37"/>
  <c r="G145" i="41" s="1"/>
  <c r="F145" i="37"/>
  <c r="F145" i="41" s="1"/>
  <c r="E145" i="37"/>
  <c r="E145" i="41" s="1"/>
  <c r="D145" i="37"/>
  <c r="D145" i="41" s="1"/>
  <c r="C145" i="37"/>
  <c r="C145" i="41" s="1"/>
  <c r="B145" i="37"/>
  <c r="B145" i="41" s="1"/>
  <c r="A145" i="37"/>
  <c r="A145" i="41" s="1"/>
  <c r="G144" i="37"/>
  <c r="G144" i="41" s="1"/>
  <c r="F144" i="37"/>
  <c r="F144" i="41" s="1"/>
  <c r="E144" i="37"/>
  <c r="E144" i="41" s="1"/>
  <c r="D144" i="37"/>
  <c r="D144" i="41" s="1"/>
  <c r="C144" i="37"/>
  <c r="C144" i="41" s="1"/>
  <c r="B144" i="37"/>
  <c r="B144" i="41" s="1"/>
  <c r="A144" i="37"/>
  <c r="A144" i="41" s="1"/>
  <c r="G143" i="37"/>
  <c r="G143" i="41" s="1"/>
  <c r="F143" i="37"/>
  <c r="F143" i="41" s="1"/>
  <c r="E143" i="37"/>
  <c r="E143" i="41" s="1"/>
  <c r="D143" i="37"/>
  <c r="D143" i="41" s="1"/>
  <c r="C143" i="37"/>
  <c r="C143" i="41" s="1"/>
  <c r="B143" i="37"/>
  <c r="B143" i="41" s="1"/>
  <c r="A143" i="37"/>
  <c r="A143" i="41" s="1"/>
  <c r="G142" i="37"/>
  <c r="G142" i="41" s="1"/>
  <c r="F142" i="37"/>
  <c r="F142" i="41" s="1"/>
  <c r="E142" i="37"/>
  <c r="E142" i="41" s="1"/>
  <c r="D142" i="37"/>
  <c r="D142" i="41" s="1"/>
  <c r="C142" i="37"/>
  <c r="C142" i="41" s="1"/>
  <c r="B142" i="37"/>
  <c r="B142" i="41" s="1"/>
  <c r="A142" i="37"/>
  <c r="A142" i="41" s="1"/>
  <c r="G141" i="37"/>
  <c r="G141" i="41" s="1"/>
  <c r="F141" i="37"/>
  <c r="F141" i="41" s="1"/>
  <c r="E141" i="37"/>
  <c r="E141" i="41" s="1"/>
  <c r="D141" i="37"/>
  <c r="D141" i="41" s="1"/>
  <c r="C141" i="37"/>
  <c r="C141" i="41" s="1"/>
  <c r="B141" i="37"/>
  <c r="B141" i="41" s="1"/>
  <c r="A141" i="37"/>
  <c r="A141" i="41" s="1"/>
  <c r="G140" i="37"/>
  <c r="G140" i="41" s="1"/>
  <c r="F140" i="37"/>
  <c r="F140" i="41" s="1"/>
  <c r="E140" i="37"/>
  <c r="E140" i="41" s="1"/>
  <c r="D140" i="37"/>
  <c r="D140" i="41" s="1"/>
  <c r="C140" i="37"/>
  <c r="C140" i="41" s="1"/>
  <c r="B140" i="37"/>
  <c r="B140" i="41" s="1"/>
  <c r="A140" i="37"/>
  <c r="A140" i="41" s="1"/>
  <c r="G139" i="37"/>
  <c r="G139" i="41" s="1"/>
  <c r="F139" i="37"/>
  <c r="F139" i="41" s="1"/>
  <c r="E139" i="37"/>
  <c r="E139" i="41" s="1"/>
  <c r="D139" i="37"/>
  <c r="D139" i="41" s="1"/>
  <c r="C139" i="37"/>
  <c r="C139" i="41" s="1"/>
  <c r="B139" i="37"/>
  <c r="B139" i="41" s="1"/>
  <c r="A139" i="37"/>
  <c r="A139" i="41" s="1"/>
  <c r="G138" i="37"/>
  <c r="G138" i="41" s="1"/>
  <c r="F138" i="37"/>
  <c r="F138" i="41" s="1"/>
  <c r="E138" i="37"/>
  <c r="E138" i="41" s="1"/>
  <c r="D138" i="37"/>
  <c r="D138" i="41" s="1"/>
  <c r="C138" i="37"/>
  <c r="C138" i="41" s="1"/>
  <c r="B138" i="37"/>
  <c r="B138" i="41" s="1"/>
  <c r="A138" i="37"/>
  <c r="A138" i="41" s="1"/>
  <c r="G137" i="37"/>
  <c r="G137" i="41" s="1"/>
  <c r="F137" i="37"/>
  <c r="F137" i="41" s="1"/>
  <c r="E137" i="37"/>
  <c r="E137" i="41" s="1"/>
  <c r="D137" i="37"/>
  <c r="D137" i="41" s="1"/>
  <c r="C137" i="37"/>
  <c r="C137" i="41" s="1"/>
  <c r="B137" i="37"/>
  <c r="B137" i="41" s="1"/>
  <c r="A137" i="37"/>
  <c r="A137" i="41" s="1"/>
  <c r="G136" i="37"/>
  <c r="G136" i="41" s="1"/>
  <c r="F136" i="37"/>
  <c r="F136" i="41" s="1"/>
  <c r="E136" i="37"/>
  <c r="E136" i="41" s="1"/>
  <c r="D136" i="37"/>
  <c r="D136" i="41" s="1"/>
  <c r="C136" i="37"/>
  <c r="C136" i="41" s="1"/>
  <c r="B136" i="37"/>
  <c r="B136" i="41" s="1"/>
  <c r="A136" i="37"/>
  <c r="A136" i="41" s="1"/>
  <c r="G135" i="37"/>
  <c r="G135" i="41" s="1"/>
  <c r="F135" i="37"/>
  <c r="F135" i="41" s="1"/>
  <c r="E135" i="37"/>
  <c r="E135" i="41" s="1"/>
  <c r="D135" i="37"/>
  <c r="D135" i="41" s="1"/>
  <c r="C135" i="37"/>
  <c r="C135" i="41" s="1"/>
  <c r="B135" i="37"/>
  <c r="B135" i="41" s="1"/>
  <c r="A135" i="37"/>
  <c r="A135" i="41" s="1"/>
  <c r="G134" i="37"/>
  <c r="G134" i="41" s="1"/>
  <c r="F134" i="37"/>
  <c r="F134" i="41" s="1"/>
  <c r="E134" i="37"/>
  <c r="E134" i="41" s="1"/>
  <c r="D134" i="37"/>
  <c r="D134" i="41" s="1"/>
  <c r="C134" i="37"/>
  <c r="C134" i="41" s="1"/>
  <c r="B134" i="37"/>
  <c r="B134" i="41" s="1"/>
  <c r="A134" i="37"/>
  <c r="A134" i="41" s="1"/>
  <c r="G133" i="37"/>
  <c r="G133" i="41" s="1"/>
  <c r="F133" i="37"/>
  <c r="F133" i="41" s="1"/>
  <c r="E133" i="37"/>
  <c r="E133" i="41" s="1"/>
  <c r="D133" i="37"/>
  <c r="D133" i="41" s="1"/>
  <c r="C133" i="37"/>
  <c r="C133" i="41" s="1"/>
  <c r="B133" i="37"/>
  <c r="B133" i="41" s="1"/>
  <c r="A133" i="37"/>
  <c r="A133" i="41" s="1"/>
  <c r="G132" i="37"/>
  <c r="G132" i="41" s="1"/>
  <c r="F132" i="37"/>
  <c r="F132" i="41" s="1"/>
  <c r="E132" i="37"/>
  <c r="E132" i="41" s="1"/>
  <c r="D132" i="37"/>
  <c r="D132" i="41" s="1"/>
  <c r="C132" i="37"/>
  <c r="C132" i="41" s="1"/>
  <c r="B132" i="37"/>
  <c r="B132" i="41" s="1"/>
  <c r="A132" i="37"/>
  <c r="A132" i="41" s="1"/>
  <c r="G131" i="37"/>
  <c r="G131" i="41" s="1"/>
  <c r="F131" i="37"/>
  <c r="F131" i="41" s="1"/>
  <c r="E131" i="37"/>
  <c r="E131" i="41" s="1"/>
  <c r="D131" i="37"/>
  <c r="D131" i="41" s="1"/>
  <c r="C131" i="37"/>
  <c r="C131" i="41" s="1"/>
  <c r="B131" i="37"/>
  <c r="B131" i="41" s="1"/>
  <c r="A131" i="37"/>
  <c r="A131" i="41" s="1"/>
  <c r="G130" i="37"/>
  <c r="G130" i="41" s="1"/>
  <c r="F130" i="37"/>
  <c r="F130" i="41" s="1"/>
  <c r="E130" i="37"/>
  <c r="E130" i="41" s="1"/>
  <c r="D130" i="37"/>
  <c r="D130" i="41" s="1"/>
  <c r="C130" i="37"/>
  <c r="C130" i="41" s="1"/>
  <c r="B130" i="37"/>
  <c r="B130" i="41" s="1"/>
  <c r="A130" i="37"/>
  <c r="A130" i="41" s="1"/>
  <c r="G129" i="37"/>
  <c r="G129" i="41" s="1"/>
  <c r="F129" i="37"/>
  <c r="F129" i="41" s="1"/>
  <c r="E129" i="37"/>
  <c r="E129" i="41" s="1"/>
  <c r="D129" i="37"/>
  <c r="D129" i="41" s="1"/>
  <c r="C129" i="37"/>
  <c r="C129" i="41" s="1"/>
  <c r="B129" i="37"/>
  <c r="B129" i="41" s="1"/>
  <c r="A129" i="37"/>
  <c r="A129" i="41" s="1"/>
  <c r="G128" i="37"/>
  <c r="G128" i="41" s="1"/>
  <c r="F128" i="37"/>
  <c r="F128" i="41" s="1"/>
  <c r="E128" i="37"/>
  <c r="E128" i="41" s="1"/>
  <c r="D128" i="37"/>
  <c r="D128" i="41" s="1"/>
  <c r="C128" i="37"/>
  <c r="C128" i="41" s="1"/>
  <c r="B128" i="37"/>
  <c r="B128" i="41" s="1"/>
  <c r="A128" i="37"/>
  <c r="A128" i="41" s="1"/>
  <c r="G127" i="37"/>
  <c r="G127" i="41" s="1"/>
  <c r="F127" i="37"/>
  <c r="F127" i="41" s="1"/>
  <c r="E127" i="37"/>
  <c r="E127" i="41" s="1"/>
  <c r="D127" i="37"/>
  <c r="D127" i="41" s="1"/>
  <c r="C127" i="37"/>
  <c r="C127" i="41" s="1"/>
  <c r="B127" i="37"/>
  <c r="B127" i="41" s="1"/>
  <c r="A127" i="37"/>
  <c r="A127" i="41" s="1"/>
  <c r="G126" i="37"/>
  <c r="G126" i="41" s="1"/>
  <c r="F126" i="37"/>
  <c r="F126" i="41" s="1"/>
  <c r="E126" i="37"/>
  <c r="E126" i="41" s="1"/>
  <c r="D126" i="37"/>
  <c r="D126" i="41" s="1"/>
  <c r="C126" i="37"/>
  <c r="C126" i="41" s="1"/>
  <c r="B126" i="37"/>
  <c r="B126" i="41" s="1"/>
  <c r="A126" i="37"/>
  <c r="A126" i="41" s="1"/>
  <c r="G125" i="37"/>
  <c r="G125" i="41" s="1"/>
  <c r="F125" i="37"/>
  <c r="F125" i="41" s="1"/>
  <c r="E125" i="37"/>
  <c r="E125" i="41" s="1"/>
  <c r="D125" i="37"/>
  <c r="D125" i="41" s="1"/>
  <c r="C125" i="37"/>
  <c r="C125" i="41" s="1"/>
  <c r="B125" i="37"/>
  <c r="B125" i="41" s="1"/>
  <c r="A125" i="37"/>
  <c r="A125" i="41" s="1"/>
  <c r="G124" i="37"/>
  <c r="G124" i="41" s="1"/>
  <c r="F124" i="37"/>
  <c r="F124" i="41" s="1"/>
  <c r="E124" i="37"/>
  <c r="E124" i="41" s="1"/>
  <c r="D124" i="37"/>
  <c r="D124" i="41" s="1"/>
  <c r="C124" i="37"/>
  <c r="C124" i="41" s="1"/>
  <c r="B124" i="37"/>
  <c r="B124" i="41" s="1"/>
  <c r="A124" i="37"/>
  <c r="A124" i="41" s="1"/>
  <c r="G123" i="37"/>
  <c r="G123" i="41" s="1"/>
  <c r="F123" i="37"/>
  <c r="F123" i="41" s="1"/>
  <c r="E123" i="37"/>
  <c r="E123" i="41" s="1"/>
  <c r="D123" i="37"/>
  <c r="D123" i="41" s="1"/>
  <c r="C123" i="37"/>
  <c r="C123" i="41" s="1"/>
  <c r="B123" i="37"/>
  <c r="B123" i="41" s="1"/>
  <c r="A123" i="37"/>
  <c r="A123" i="41" s="1"/>
  <c r="G122" i="37"/>
  <c r="G122" i="41" s="1"/>
  <c r="F122" i="37"/>
  <c r="F122" i="41" s="1"/>
  <c r="E122" i="37"/>
  <c r="E122" i="41" s="1"/>
  <c r="D122" i="37"/>
  <c r="D122" i="41" s="1"/>
  <c r="C122" i="37"/>
  <c r="C122" i="41" s="1"/>
  <c r="B122" i="37"/>
  <c r="B122" i="41" s="1"/>
  <c r="A122" i="37"/>
  <c r="A122" i="41" s="1"/>
  <c r="G121" i="37"/>
  <c r="G121" i="41" s="1"/>
  <c r="F121" i="37"/>
  <c r="F121" i="41" s="1"/>
  <c r="E121" i="37"/>
  <c r="E121" i="41" s="1"/>
  <c r="D121" i="37"/>
  <c r="D121" i="41" s="1"/>
  <c r="C121" i="37"/>
  <c r="C121" i="41" s="1"/>
  <c r="B121" i="37"/>
  <c r="B121" i="41" s="1"/>
  <c r="A121" i="37"/>
  <c r="A121" i="41" s="1"/>
  <c r="G120" i="37"/>
  <c r="G120" i="41" s="1"/>
  <c r="F120" i="37"/>
  <c r="F120" i="41" s="1"/>
  <c r="E120" i="37"/>
  <c r="E120" i="41" s="1"/>
  <c r="D120" i="37"/>
  <c r="D120" i="41" s="1"/>
  <c r="C120" i="37"/>
  <c r="C120" i="41" s="1"/>
  <c r="B120" i="37"/>
  <c r="B120" i="41" s="1"/>
  <c r="A120" i="37"/>
  <c r="A120" i="41" s="1"/>
  <c r="G119" i="37"/>
  <c r="G119" i="41" s="1"/>
  <c r="F119" i="37"/>
  <c r="F119" i="41" s="1"/>
  <c r="E119" i="37"/>
  <c r="E119" i="41" s="1"/>
  <c r="D119" i="37"/>
  <c r="D119" i="41" s="1"/>
  <c r="C119" i="37"/>
  <c r="C119" i="41" s="1"/>
  <c r="B119" i="37"/>
  <c r="B119" i="41" s="1"/>
  <c r="A119" i="37"/>
  <c r="A119" i="41" s="1"/>
  <c r="G118" i="37"/>
  <c r="G118" i="41" s="1"/>
  <c r="F118" i="37"/>
  <c r="F118" i="41" s="1"/>
  <c r="E118" i="37"/>
  <c r="E118" i="41" s="1"/>
  <c r="D118" i="37"/>
  <c r="D118" i="41" s="1"/>
  <c r="C118" i="37"/>
  <c r="C118" i="41" s="1"/>
  <c r="B118" i="37"/>
  <c r="B118" i="41" s="1"/>
  <c r="A118" i="37"/>
  <c r="A118" i="41" s="1"/>
  <c r="G117" i="37"/>
  <c r="G117" i="41" s="1"/>
  <c r="F117" i="37"/>
  <c r="F117" i="41" s="1"/>
  <c r="E117" i="37"/>
  <c r="E117" i="41" s="1"/>
  <c r="D117" i="37"/>
  <c r="D117" i="41" s="1"/>
  <c r="C117" i="37"/>
  <c r="C117" i="41" s="1"/>
  <c r="B117" i="37"/>
  <c r="B117" i="41" s="1"/>
  <c r="A117" i="37"/>
  <c r="A117" i="41" s="1"/>
  <c r="G116" i="37"/>
  <c r="G116" i="41" s="1"/>
  <c r="F116" i="37"/>
  <c r="F116" i="41" s="1"/>
  <c r="E116" i="37"/>
  <c r="E116" i="41" s="1"/>
  <c r="D116" i="37"/>
  <c r="D116" i="41" s="1"/>
  <c r="C116" i="37"/>
  <c r="C116" i="41" s="1"/>
  <c r="B116" i="37"/>
  <c r="B116" i="41" s="1"/>
  <c r="A116" i="37"/>
  <c r="A116" i="41" s="1"/>
  <c r="G115" i="37"/>
  <c r="G115" i="41" s="1"/>
  <c r="F115" i="37"/>
  <c r="F115" i="41" s="1"/>
  <c r="E115" i="37"/>
  <c r="E115" i="41" s="1"/>
  <c r="D115" i="37"/>
  <c r="D115" i="41" s="1"/>
  <c r="C115" i="37"/>
  <c r="C115" i="41" s="1"/>
  <c r="B115" i="37"/>
  <c r="B115" i="41" s="1"/>
  <c r="A115" i="37"/>
  <c r="A115" i="41" s="1"/>
  <c r="G114" i="37"/>
  <c r="G114" i="41" s="1"/>
  <c r="F114" i="37"/>
  <c r="F114" i="41" s="1"/>
  <c r="E114" i="37"/>
  <c r="E114" i="41" s="1"/>
  <c r="D114" i="37"/>
  <c r="D114" i="41" s="1"/>
  <c r="C114" i="37"/>
  <c r="C114" i="41" s="1"/>
  <c r="B114" i="37"/>
  <c r="B114" i="41" s="1"/>
  <c r="A114" i="37"/>
  <c r="A114" i="41" s="1"/>
  <c r="G113" i="37"/>
  <c r="G113" i="41" s="1"/>
  <c r="F113" i="37"/>
  <c r="F113" i="41" s="1"/>
  <c r="E113" i="37"/>
  <c r="E113" i="41" s="1"/>
  <c r="D113" i="37"/>
  <c r="D113" i="41" s="1"/>
  <c r="C113" i="37"/>
  <c r="C113" i="41" s="1"/>
  <c r="B113" i="37"/>
  <c r="B113" i="41" s="1"/>
  <c r="A113" i="37"/>
  <c r="A113" i="41" s="1"/>
  <c r="G112" i="37"/>
  <c r="G112" i="41" s="1"/>
  <c r="F112" i="37"/>
  <c r="F112" i="41" s="1"/>
  <c r="E112" i="37"/>
  <c r="E112" i="41" s="1"/>
  <c r="D112" i="37"/>
  <c r="D112" i="41" s="1"/>
  <c r="C112" i="37"/>
  <c r="C112" i="41" s="1"/>
  <c r="B112" i="37"/>
  <c r="B112" i="41" s="1"/>
  <c r="A112" i="37"/>
  <c r="A112" i="41" s="1"/>
  <c r="G111" i="37"/>
  <c r="G111" i="41" s="1"/>
  <c r="F111" i="37"/>
  <c r="F111" i="41" s="1"/>
  <c r="E111" i="37"/>
  <c r="E111" i="41" s="1"/>
  <c r="D111" i="37"/>
  <c r="D111" i="41" s="1"/>
  <c r="C111" i="37"/>
  <c r="C111" i="41" s="1"/>
  <c r="B111" i="37"/>
  <c r="B111" i="41" s="1"/>
  <c r="A111" i="37"/>
  <c r="A111" i="41" s="1"/>
  <c r="G110" i="37"/>
  <c r="G110" i="41" s="1"/>
  <c r="F110" i="37"/>
  <c r="F110" i="41" s="1"/>
  <c r="E110" i="37"/>
  <c r="E110" i="41" s="1"/>
  <c r="D110" i="37"/>
  <c r="D110" i="41" s="1"/>
  <c r="C110" i="37"/>
  <c r="C110" i="41" s="1"/>
  <c r="B110" i="37"/>
  <c r="B110" i="41" s="1"/>
  <c r="A110" i="37"/>
  <c r="A110" i="41" s="1"/>
  <c r="G109" i="37"/>
  <c r="G109" i="41" s="1"/>
  <c r="F109" i="37"/>
  <c r="F109" i="41" s="1"/>
  <c r="E109" i="37"/>
  <c r="E109" i="41" s="1"/>
  <c r="D109" i="37"/>
  <c r="D109" i="41" s="1"/>
  <c r="C109" i="37"/>
  <c r="C109" i="41" s="1"/>
  <c r="B109" i="37"/>
  <c r="B109" i="41" s="1"/>
  <c r="A109" i="37"/>
  <c r="A109" i="41" s="1"/>
  <c r="G108" i="37"/>
  <c r="G108" i="41" s="1"/>
  <c r="F108" i="37"/>
  <c r="F108" i="41" s="1"/>
  <c r="E108" i="37"/>
  <c r="E108" i="41" s="1"/>
  <c r="D108" i="37"/>
  <c r="D108" i="41" s="1"/>
  <c r="C108" i="37"/>
  <c r="C108" i="41" s="1"/>
  <c r="B108" i="37"/>
  <c r="B108" i="41" s="1"/>
  <c r="A108" i="37"/>
  <c r="A108" i="41" s="1"/>
  <c r="G107" i="37"/>
  <c r="G107" i="41" s="1"/>
  <c r="F107" i="37"/>
  <c r="F107" i="41" s="1"/>
  <c r="E107" i="37"/>
  <c r="E107" i="41" s="1"/>
  <c r="D107" i="37"/>
  <c r="D107" i="41" s="1"/>
  <c r="C107" i="37"/>
  <c r="C107" i="41" s="1"/>
  <c r="B107" i="37"/>
  <c r="B107" i="41" s="1"/>
  <c r="A107" i="37"/>
  <c r="A107" i="41" s="1"/>
  <c r="G106" i="37"/>
  <c r="G106" i="41" s="1"/>
  <c r="F106" i="37"/>
  <c r="F106" i="41" s="1"/>
  <c r="E106" i="37"/>
  <c r="E106" i="41" s="1"/>
  <c r="D106" i="37"/>
  <c r="D106" i="41" s="1"/>
  <c r="C106" i="37"/>
  <c r="C106" i="41" s="1"/>
  <c r="B106" i="37"/>
  <c r="B106" i="41" s="1"/>
  <c r="A106" i="37"/>
  <c r="A106" i="41" s="1"/>
  <c r="G105" i="37"/>
  <c r="G105" i="41" s="1"/>
  <c r="F105" i="37"/>
  <c r="F105" i="41" s="1"/>
  <c r="E105" i="37"/>
  <c r="E105" i="41" s="1"/>
  <c r="D105" i="37"/>
  <c r="D105" i="41" s="1"/>
  <c r="C105" i="37"/>
  <c r="C105" i="41" s="1"/>
  <c r="B105" i="37"/>
  <c r="B105" i="41" s="1"/>
  <c r="A105" i="37"/>
  <c r="A105" i="41" s="1"/>
  <c r="G104" i="37"/>
  <c r="G104" i="41" s="1"/>
  <c r="F104" i="37"/>
  <c r="F104" i="41" s="1"/>
  <c r="E104" i="37"/>
  <c r="E104" i="41" s="1"/>
  <c r="D104" i="37"/>
  <c r="D104" i="41" s="1"/>
  <c r="C104" i="37"/>
  <c r="C104" i="41" s="1"/>
  <c r="B104" i="37"/>
  <c r="B104" i="41" s="1"/>
  <c r="A104" i="37"/>
  <c r="A104" i="41" s="1"/>
  <c r="G103" i="37"/>
  <c r="G103" i="41" s="1"/>
  <c r="F103" i="37"/>
  <c r="F103" i="41" s="1"/>
  <c r="E103" i="37"/>
  <c r="E103" i="41" s="1"/>
  <c r="D103" i="37"/>
  <c r="D103" i="41" s="1"/>
  <c r="C103" i="37"/>
  <c r="C103" i="41" s="1"/>
  <c r="B103" i="37"/>
  <c r="B103" i="41" s="1"/>
  <c r="A103" i="37"/>
  <c r="A103" i="41" s="1"/>
  <c r="G102" i="37"/>
  <c r="G102" i="41" s="1"/>
  <c r="F102" i="37"/>
  <c r="F102" i="41" s="1"/>
  <c r="E102" i="37"/>
  <c r="E102" i="41" s="1"/>
  <c r="D102" i="37"/>
  <c r="D102" i="41" s="1"/>
  <c r="C102" i="37"/>
  <c r="C102" i="41" s="1"/>
  <c r="B102" i="37"/>
  <c r="B102" i="41" s="1"/>
  <c r="A102" i="37"/>
  <c r="A102" i="41" s="1"/>
  <c r="G101" i="37"/>
  <c r="G101" i="41" s="1"/>
  <c r="F101" i="37"/>
  <c r="F101" i="41" s="1"/>
  <c r="E101" i="37"/>
  <c r="E101" i="41" s="1"/>
  <c r="D101" i="37"/>
  <c r="D101" i="41" s="1"/>
  <c r="C101" i="37"/>
  <c r="C101" i="41" s="1"/>
  <c r="B101" i="37"/>
  <c r="B101" i="41" s="1"/>
  <c r="A101" i="37"/>
  <c r="A101" i="41" s="1"/>
  <c r="G100" i="37"/>
  <c r="G100" i="41" s="1"/>
  <c r="F100" i="37"/>
  <c r="F100" i="41" s="1"/>
  <c r="E100" i="37"/>
  <c r="E100" i="41" s="1"/>
  <c r="D100" i="37"/>
  <c r="D100" i="41" s="1"/>
  <c r="C100" i="37"/>
  <c r="C100" i="41" s="1"/>
  <c r="B100" i="37"/>
  <c r="B100" i="41" s="1"/>
  <c r="A100" i="37"/>
  <c r="A100" i="41" s="1"/>
  <c r="G99" i="37"/>
  <c r="G99" i="41" s="1"/>
  <c r="F99" i="37"/>
  <c r="F99" i="41" s="1"/>
  <c r="E99" i="37"/>
  <c r="E99" i="41" s="1"/>
  <c r="D99" i="37"/>
  <c r="D99" i="41" s="1"/>
  <c r="C99" i="37"/>
  <c r="C99" i="41" s="1"/>
  <c r="B99" i="37"/>
  <c r="B99" i="41" s="1"/>
  <c r="A99" i="37"/>
  <c r="A99" i="41" s="1"/>
  <c r="G98" i="37"/>
  <c r="G98" i="41" s="1"/>
  <c r="F98" i="37"/>
  <c r="F98" i="41" s="1"/>
  <c r="E98" i="37"/>
  <c r="E98" i="41" s="1"/>
  <c r="D98" i="37"/>
  <c r="D98" i="41" s="1"/>
  <c r="C98" i="37"/>
  <c r="C98" i="41" s="1"/>
  <c r="B98" i="37"/>
  <c r="B98" i="41" s="1"/>
  <c r="A98" i="37"/>
  <c r="A98" i="41" s="1"/>
  <c r="G97" i="37"/>
  <c r="G97" i="41" s="1"/>
  <c r="F97" i="37"/>
  <c r="F97" i="41" s="1"/>
  <c r="E97" i="37"/>
  <c r="E97" i="41" s="1"/>
  <c r="D97" i="37"/>
  <c r="D97" i="41" s="1"/>
  <c r="C97" i="37"/>
  <c r="C97" i="41" s="1"/>
  <c r="B97" i="37"/>
  <c r="B97" i="41" s="1"/>
  <c r="A97" i="37"/>
  <c r="A97" i="41" s="1"/>
  <c r="G96" i="37"/>
  <c r="G96" i="41" s="1"/>
  <c r="F96" i="37"/>
  <c r="F96" i="41" s="1"/>
  <c r="E96" i="37"/>
  <c r="E96" i="41" s="1"/>
  <c r="D96" i="37"/>
  <c r="D96" i="41" s="1"/>
  <c r="C96" i="37"/>
  <c r="C96" i="41" s="1"/>
  <c r="B96" i="37"/>
  <c r="B96" i="41" s="1"/>
  <c r="A96" i="37"/>
  <c r="A96" i="41" s="1"/>
  <c r="G95" i="37"/>
  <c r="G95" i="41" s="1"/>
  <c r="F95" i="37"/>
  <c r="F95" i="41" s="1"/>
  <c r="E95" i="37"/>
  <c r="E95" i="41" s="1"/>
  <c r="D95" i="37"/>
  <c r="D95" i="41" s="1"/>
  <c r="C95" i="37"/>
  <c r="C95" i="41" s="1"/>
  <c r="B95" i="37"/>
  <c r="B95" i="41" s="1"/>
  <c r="A95" i="37"/>
  <c r="A95" i="41" s="1"/>
  <c r="G94" i="37"/>
  <c r="G94" i="41" s="1"/>
  <c r="F94" i="37"/>
  <c r="F94" i="41" s="1"/>
  <c r="E94" i="37"/>
  <c r="E94" i="41" s="1"/>
  <c r="D94" i="37"/>
  <c r="D94" i="41" s="1"/>
  <c r="C94" i="37"/>
  <c r="C94" i="41" s="1"/>
  <c r="B94" i="37"/>
  <c r="B94" i="41" s="1"/>
  <c r="A94" i="37"/>
  <c r="A94" i="41" s="1"/>
  <c r="G93" i="37"/>
  <c r="G93" i="41" s="1"/>
  <c r="F93" i="37"/>
  <c r="F93" i="41" s="1"/>
  <c r="E93" i="37"/>
  <c r="E93" i="41" s="1"/>
  <c r="D93" i="37"/>
  <c r="D93" i="41" s="1"/>
  <c r="C93" i="37"/>
  <c r="C93" i="41" s="1"/>
  <c r="B93" i="37"/>
  <c r="B93" i="41" s="1"/>
  <c r="A93" i="37"/>
  <c r="A93" i="41" s="1"/>
  <c r="G92" i="37"/>
  <c r="G92" i="41" s="1"/>
  <c r="F92" i="37"/>
  <c r="F92" i="41" s="1"/>
  <c r="E92" i="37"/>
  <c r="E92" i="41" s="1"/>
  <c r="D92" i="37"/>
  <c r="D92" i="41" s="1"/>
  <c r="C92" i="37"/>
  <c r="C92" i="41" s="1"/>
  <c r="B92" i="37"/>
  <c r="B92" i="41" s="1"/>
  <c r="A92" i="37"/>
  <c r="A92" i="41" s="1"/>
  <c r="G91" i="37"/>
  <c r="G91" i="41" s="1"/>
  <c r="F91" i="37"/>
  <c r="F91" i="41" s="1"/>
  <c r="E91" i="37"/>
  <c r="E91" i="41" s="1"/>
  <c r="D91" i="37"/>
  <c r="D91" i="41" s="1"/>
  <c r="C91" i="37"/>
  <c r="C91" i="41" s="1"/>
  <c r="B91" i="37"/>
  <c r="B91" i="41" s="1"/>
  <c r="A91" i="37"/>
  <c r="A91" i="41" s="1"/>
  <c r="G90" i="37"/>
  <c r="G90" i="41" s="1"/>
  <c r="F90" i="37"/>
  <c r="F90" i="41" s="1"/>
  <c r="E90" i="37"/>
  <c r="E90" i="41" s="1"/>
  <c r="D90" i="37"/>
  <c r="D90" i="41" s="1"/>
  <c r="C90" i="37"/>
  <c r="C90" i="41" s="1"/>
  <c r="B90" i="37"/>
  <c r="B90" i="41" s="1"/>
  <c r="A90" i="37"/>
  <c r="A90" i="41" s="1"/>
  <c r="G89" i="37"/>
  <c r="G89" i="41" s="1"/>
  <c r="F89" i="37"/>
  <c r="F89" i="41" s="1"/>
  <c r="E89" i="37"/>
  <c r="E89" i="41" s="1"/>
  <c r="D89" i="37"/>
  <c r="D89" i="41" s="1"/>
  <c r="C89" i="37"/>
  <c r="C89" i="41" s="1"/>
  <c r="B89" i="37"/>
  <c r="B89" i="41" s="1"/>
  <c r="A89" i="37"/>
  <c r="A89" i="41" s="1"/>
  <c r="G88" i="37"/>
  <c r="G88" i="41" s="1"/>
  <c r="F88" i="37"/>
  <c r="F88" i="41" s="1"/>
  <c r="E88" i="37"/>
  <c r="E88" i="41" s="1"/>
  <c r="D88" i="37"/>
  <c r="D88" i="41" s="1"/>
  <c r="C88" i="37"/>
  <c r="C88" i="41" s="1"/>
  <c r="B88" i="37"/>
  <c r="B88" i="41" s="1"/>
  <c r="A88" i="37"/>
  <c r="A88" i="41" s="1"/>
  <c r="G87" i="37"/>
  <c r="G87" i="41" s="1"/>
  <c r="F87" i="37"/>
  <c r="F87" i="41" s="1"/>
  <c r="E87" i="37"/>
  <c r="E87" i="41" s="1"/>
  <c r="D87" i="37"/>
  <c r="D87" i="41" s="1"/>
  <c r="C87" i="37"/>
  <c r="C87" i="41" s="1"/>
  <c r="B87" i="37"/>
  <c r="B87" i="41" s="1"/>
  <c r="A87" i="37"/>
  <c r="A87" i="41" s="1"/>
  <c r="G86" i="37"/>
  <c r="G86" i="41" s="1"/>
  <c r="F86" i="37"/>
  <c r="F86" i="41" s="1"/>
  <c r="E86" i="37"/>
  <c r="E86" i="41" s="1"/>
  <c r="D86" i="37"/>
  <c r="D86" i="41" s="1"/>
  <c r="C86" i="37"/>
  <c r="C86" i="41" s="1"/>
  <c r="B86" i="37"/>
  <c r="B86" i="41" s="1"/>
  <c r="A86" i="37"/>
  <c r="A86" i="41" s="1"/>
  <c r="G85" i="37"/>
  <c r="G85" i="41" s="1"/>
  <c r="F85" i="37"/>
  <c r="F85" i="41" s="1"/>
  <c r="E85" i="37"/>
  <c r="E85" i="41" s="1"/>
  <c r="D85" i="37"/>
  <c r="D85" i="41" s="1"/>
  <c r="C85" i="37"/>
  <c r="C85" i="41" s="1"/>
  <c r="B85" i="37"/>
  <c r="B85" i="41" s="1"/>
  <c r="A85" i="37"/>
  <c r="A85" i="41" s="1"/>
  <c r="G84" i="37"/>
  <c r="G84" i="41" s="1"/>
  <c r="F84" i="37"/>
  <c r="F84" i="41" s="1"/>
  <c r="E84" i="37"/>
  <c r="E84" i="41" s="1"/>
  <c r="D84" i="37"/>
  <c r="D84" i="41" s="1"/>
  <c r="C84" i="37"/>
  <c r="C84" i="41" s="1"/>
  <c r="B84" i="37"/>
  <c r="B84" i="41" s="1"/>
  <c r="A84" i="37"/>
  <c r="A84" i="41" s="1"/>
  <c r="G83" i="37"/>
  <c r="G83" i="41" s="1"/>
  <c r="F83" i="37"/>
  <c r="F83" i="41" s="1"/>
  <c r="E83" i="37"/>
  <c r="E83" i="41" s="1"/>
  <c r="D83" i="37"/>
  <c r="D83" i="41" s="1"/>
  <c r="C83" i="37"/>
  <c r="C83" i="41" s="1"/>
  <c r="B83" i="37"/>
  <c r="B83" i="41" s="1"/>
  <c r="A83" i="37"/>
  <c r="A83" i="41" s="1"/>
  <c r="G82" i="37"/>
  <c r="G82" i="41" s="1"/>
  <c r="F82" i="37"/>
  <c r="F82" i="41" s="1"/>
  <c r="E82" i="37"/>
  <c r="E82" i="41" s="1"/>
  <c r="D82" i="37"/>
  <c r="D82" i="41" s="1"/>
  <c r="C82" i="37"/>
  <c r="C82" i="41" s="1"/>
  <c r="B82" i="37"/>
  <c r="B82" i="41" s="1"/>
  <c r="A82" i="37"/>
  <c r="A82" i="41" s="1"/>
  <c r="G81" i="37"/>
  <c r="G81" i="41" s="1"/>
  <c r="F81" i="37"/>
  <c r="F81" i="41" s="1"/>
  <c r="E81" i="37"/>
  <c r="E81" i="41" s="1"/>
  <c r="D81" i="37"/>
  <c r="D81" i="41" s="1"/>
  <c r="C81" i="37"/>
  <c r="C81" i="41" s="1"/>
  <c r="B81" i="37"/>
  <c r="B81" i="41" s="1"/>
  <c r="A81" i="37"/>
  <c r="A81" i="41" s="1"/>
  <c r="G80" i="37"/>
  <c r="G80" i="41" s="1"/>
  <c r="F80" i="37"/>
  <c r="F80" i="41" s="1"/>
  <c r="E80" i="37"/>
  <c r="E80" i="41" s="1"/>
  <c r="D80" i="37"/>
  <c r="D80" i="41" s="1"/>
  <c r="C80" i="37"/>
  <c r="C80" i="41" s="1"/>
  <c r="B80" i="37"/>
  <c r="B80" i="41" s="1"/>
  <c r="A80" i="37"/>
  <c r="A80" i="41" s="1"/>
  <c r="G79" i="37"/>
  <c r="G79" i="41" s="1"/>
  <c r="F79" i="37"/>
  <c r="F79" i="41" s="1"/>
  <c r="E79" i="37"/>
  <c r="E79" i="41" s="1"/>
  <c r="D79" i="37"/>
  <c r="D79" i="41" s="1"/>
  <c r="C79" i="37"/>
  <c r="C79" i="41" s="1"/>
  <c r="B79" i="37"/>
  <c r="B79" i="41" s="1"/>
  <c r="A79" i="37"/>
  <c r="A79" i="41" s="1"/>
  <c r="G78" i="37"/>
  <c r="G78" i="41" s="1"/>
  <c r="F78" i="37"/>
  <c r="F78" i="41" s="1"/>
  <c r="E78" i="37"/>
  <c r="E78" i="41" s="1"/>
  <c r="D78" i="37"/>
  <c r="D78" i="41" s="1"/>
  <c r="C78" i="37"/>
  <c r="C78" i="41" s="1"/>
  <c r="B78" i="37"/>
  <c r="B78" i="41" s="1"/>
  <c r="A78" i="37"/>
  <c r="A78" i="41" s="1"/>
  <c r="G77" i="37"/>
  <c r="G77" i="41" s="1"/>
  <c r="F77" i="37"/>
  <c r="F77" i="41" s="1"/>
  <c r="E77" i="37"/>
  <c r="E77" i="41" s="1"/>
  <c r="D77" i="37"/>
  <c r="D77" i="41" s="1"/>
  <c r="C77" i="37"/>
  <c r="C77" i="41" s="1"/>
  <c r="B77" i="37"/>
  <c r="B77" i="41" s="1"/>
  <c r="A77" i="37"/>
  <c r="A77" i="41" s="1"/>
  <c r="G76" i="37"/>
  <c r="G76" i="41" s="1"/>
  <c r="F76" i="37"/>
  <c r="F76" i="41" s="1"/>
  <c r="E76" i="37"/>
  <c r="E76" i="41" s="1"/>
  <c r="D76" i="37"/>
  <c r="D76" i="41" s="1"/>
  <c r="C76" i="37"/>
  <c r="C76" i="41" s="1"/>
  <c r="B76" i="37"/>
  <c r="B76" i="41" s="1"/>
  <c r="A76" i="37"/>
  <c r="A76" i="41" s="1"/>
  <c r="G75" i="37"/>
  <c r="G75" i="41" s="1"/>
  <c r="F75" i="37"/>
  <c r="F75" i="41" s="1"/>
  <c r="E75" i="37"/>
  <c r="E75" i="41" s="1"/>
  <c r="D75" i="37"/>
  <c r="D75" i="41" s="1"/>
  <c r="C75" i="37"/>
  <c r="C75" i="41" s="1"/>
  <c r="B75" i="37"/>
  <c r="B75" i="41" s="1"/>
  <c r="A75" i="37"/>
  <c r="A75" i="41" s="1"/>
  <c r="G74" i="37"/>
  <c r="G74" i="41" s="1"/>
  <c r="F74" i="37"/>
  <c r="F74" i="41" s="1"/>
  <c r="E74" i="37"/>
  <c r="E74" i="41" s="1"/>
  <c r="D74" i="37"/>
  <c r="D74" i="41" s="1"/>
  <c r="C74" i="37"/>
  <c r="C74" i="41" s="1"/>
  <c r="B74" i="37"/>
  <c r="B74" i="41" s="1"/>
  <c r="A74" i="37"/>
  <c r="A74" i="41" s="1"/>
  <c r="G73" i="37"/>
  <c r="G73" i="41" s="1"/>
  <c r="F73" i="37"/>
  <c r="F73" i="41" s="1"/>
  <c r="E73" i="37"/>
  <c r="E73" i="41" s="1"/>
  <c r="D73" i="37"/>
  <c r="D73" i="41" s="1"/>
  <c r="C73" i="37"/>
  <c r="C73" i="41" s="1"/>
  <c r="B73" i="37"/>
  <c r="B73" i="41" s="1"/>
  <c r="A73" i="37"/>
  <c r="A73" i="41" s="1"/>
  <c r="G72" i="37"/>
  <c r="G72" i="41" s="1"/>
  <c r="F72" i="37"/>
  <c r="F72" i="41" s="1"/>
  <c r="E72" i="37"/>
  <c r="E72" i="41" s="1"/>
  <c r="D72" i="37"/>
  <c r="D72" i="41" s="1"/>
  <c r="C72" i="37"/>
  <c r="C72" i="41" s="1"/>
  <c r="B72" i="37"/>
  <c r="B72" i="41" s="1"/>
  <c r="A72" i="37"/>
  <c r="A72" i="41" s="1"/>
  <c r="G71" i="37"/>
  <c r="G71" i="41" s="1"/>
  <c r="F71" i="37"/>
  <c r="F71" i="41" s="1"/>
  <c r="E71" i="37"/>
  <c r="E71" i="41" s="1"/>
  <c r="D71" i="37"/>
  <c r="D71" i="41" s="1"/>
  <c r="C71" i="37"/>
  <c r="C71" i="41" s="1"/>
  <c r="B71" i="37"/>
  <c r="B71" i="41" s="1"/>
  <c r="A71" i="37"/>
  <c r="A71" i="41" s="1"/>
  <c r="G70" i="37"/>
  <c r="G70" i="41" s="1"/>
  <c r="F70" i="37"/>
  <c r="F70" i="41" s="1"/>
  <c r="E70" i="37"/>
  <c r="E70" i="41" s="1"/>
  <c r="D70" i="37"/>
  <c r="D70" i="41" s="1"/>
  <c r="C70" i="37"/>
  <c r="C70" i="41" s="1"/>
  <c r="B70" i="37"/>
  <c r="B70" i="41" s="1"/>
  <c r="A70" i="37"/>
  <c r="A70" i="41" s="1"/>
  <c r="G69" i="37"/>
  <c r="G69" i="41" s="1"/>
  <c r="F69" i="37"/>
  <c r="F69" i="41" s="1"/>
  <c r="E69" i="37"/>
  <c r="E69" i="41" s="1"/>
  <c r="D69" i="37"/>
  <c r="D69" i="41" s="1"/>
  <c r="C69" i="37"/>
  <c r="C69" i="41" s="1"/>
  <c r="B69" i="37"/>
  <c r="B69" i="41" s="1"/>
  <c r="A69" i="37"/>
  <c r="A69" i="41" s="1"/>
  <c r="G68" i="37"/>
  <c r="G68" i="41" s="1"/>
  <c r="F68" i="37"/>
  <c r="F68" i="41" s="1"/>
  <c r="E68" i="37"/>
  <c r="E68" i="41" s="1"/>
  <c r="D68" i="37"/>
  <c r="D68" i="41" s="1"/>
  <c r="C68" i="37"/>
  <c r="C68" i="41" s="1"/>
  <c r="B68" i="37"/>
  <c r="B68" i="41" s="1"/>
  <c r="A68" i="37"/>
  <c r="A68" i="41" s="1"/>
  <c r="G67" i="37"/>
  <c r="G67" i="41" s="1"/>
  <c r="F67" i="37"/>
  <c r="F67" i="41" s="1"/>
  <c r="E67" i="37"/>
  <c r="E67" i="41" s="1"/>
  <c r="D67" i="37"/>
  <c r="D67" i="41" s="1"/>
  <c r="C67" i="37"/>
  <c r="C67" i="41" s="1"/>
  <c r="B67" i="37"/>
  <c r="B67" i="41" s="1"/>
  <c r="A67" i="37"/>
  <c r="A67" i="41" s="1"/>
  <c r="G66" i="37"/>
  <c r="G66" i="41" s="1"/>
  <c r="F66" i="37"/>
  <c r="F66" i="41" s="1"/>
  <c r="E66" i="37"/>
  <c r="E66" i="41" s="1"/>
  <c r="D66" i="37"/>
  <c r="D66" i="41" s="1"/>
  <c r="C66" i="37"/>
  <c r="C66" i="41" s="1"/>
  <c r="B66" i="37"/>
  <c r="B66" i="41" s="1"/>
  <c r="A66" i="37"/>
  <c r="A66" i="41" s="1"/>
  <c r="G65" i="37"/>
  <c r="G65" i="41" s="1"/>
  <c r="F65" i="37"/>
  <c r="F65" i="41" s="1"/>
  <c r="E65" i="37"/>
  <c r="E65" i="41" s="1"/>
  <c r="D65" i="37"/>
  <c r="D65" i="41" s="1"/>
  <c r="C65" i="37"/>
  <c r="C65" i="41" s="1"/>
  <c r="B65" i="37"/>
  <c r="B65" i="41" s="1"/>
  <c r="A65" i="37"/>
  <c r="A65" i="41" s="1"/>
  <c r="G64" i="37"/>
  <c r="G64" i="41" s="1"/>
  <c r="F64" i="37"/>
  <c r="F64" i="41" s="1"/>
  <c r="E64" i="37"/>
  <c r="E64" i="41" s="1"/>
  <c r="D64" i="37"/>
  <c r="D64" i="41" s="1"/>
  <c r="C64" i="37"/>
  <c r="C64" i="41" s="1"/>
  <c r="B64" i="37"/>
  <c r="B64" i="41" s="1"/>
  <c r="A64" i="37"/>
  <c r="A64" i="41" s="1"/>
  <c r="G63" i="37"/>
  <c r="G63" i="41" s="1"/>
  <c r="F63" i="37"/>
  <c r="F63" i="41" s="1"/>
  <c r="E63" i="37"/>
  <c r="E63" i="41" s="1"/>
  <c r="D63" i="37"/>
  <c r="D63" i="41" s="1"/>
  <c r="C63" i="37"/>
  <c r="C63" i="41" s="1"/>
  <c r="B63" i="37"/>
  <c r="B63" i="41" s="1"/>
  <c r="A63" i="37"/>
  <c r="A63" i="41" s="1"/>
  <c r="G62" i="37"/>
  <c r="G62" i="41" s="1"/>
  <c r="F62" i="37"/>
  <c r="F62" i="41" s="1"/>
  <c r="E62" i="37"/>
  <c r="E62" i="41" s="1"/>
  <c r="D62" i="37"/>
  <c r="D62" i="41" s="1"/>
  <c r="C62" i="37"/>
  <c r="C62" i="41" s="1"/>
  <c r="B62" i="37"/>
  <c r="B62" i="41" s="1"/>
  <c r="A62" i="37"/>
  <c r="A62" i="41" s="1"/>
  <c r="G61" i="37"/>
  <c r="G61" i="41" s="1"/>
  <c r="F61" i="37"/>
  <c r="F61" i="41" s="1"/>
  <c r="E61" i="37"/>
  <c r="E61" i="41" s="1"/>
  <c r="D61" i="37"/>
  <c r="D61" i="41" s="1"/>
  <c r="C61" i="37"/>
  <c r="C61" i="41" s="1"/>
  <c r="B61" i="37"/>
  <c r="B61" i="41" s="1"/>
  <c r="A61" i="37"/>
  <c r="A61" i="41" s="1"/>
  <c r="G60" i="37"/>
  <c r="G60" i="41" s="1"/>
  <c r="F60" i="37"/>
  <c r="F60" i="41" s="1"/>
  <c r="E60" i="37"/>
  <c r="E60" i="41" s="1"/>
  <c r="D60" i="37"/>
  <c r="D60" i="41" s="1"/>
  <c r="C60" i="37"/>
  <c r="C60" i="41" s="1"/>
  <c r="B60" i="37"/>
  <c r="B60" i="41" s="1"/>
  <c r="A60" i="37"/>
  <c r="A60" i="41" s="1"/>
  <c r="G59" i="37"/>
  <c r="G59" i="41" s="1"/>
  <c r="F59" i="37"/>
  <c r="F59" i="41" s="1"/>
  <c r="E59" i="37"/>
  <c r="E59" i="41" s="1"/>
  <c r="D59" i="37"/>
  <c r="D59" i="41" s="1"/>
  <c r="C59" i="37"/>
  <c r="C59" i="41" s="1"/>
  <c r="B59" i="37"/>
  <c r="B59" i="41" s="1"/>
  <c r="A59" i="37"/>
  <c r="A59" i="41" s="1"/>
  <c r="G58" i="37"/>
  <c r="G58" i="41" s="1"/>
  <c r="F58" i="37"/>
  <c r="F58" i="41" s="1"/>
  <c r="E58" i="37"/>
  <c r="E58" i="41" s="1"/>
  <c r="D58" i="37"/>
  <c r="D58" i="41" s="1"/>
  <c r="C58" i="37"/>
  <c r="C58" i="41" s="1"/>
  <c r="B58" i="37"/>
  <c r="B58" i="41" s="1"/>
  <c r="A58" i="37"/>
  <c r="A58" i="41" s="1"/>
  <c r="G57" i="37"/>
  <c r="G57" i="41" s="1"/>
  <c r="F57" i="37"/>
  <c r="F57" i="41" s="1"/>
  <c r="E57" i="37"/>
  <c r="E57" i="41" s="1"/>
  <c r="D57" i="37"/>
  <c r="D57" i="41" s="1"/>
  <c r="C57" i="37"/>
  <c r="C57" i="41" s="1"/>
  <c r="B57" i="37"/>
  <c r="B57" i="41" s="1"/>
  <c r="A57" i="37"/>
  <c r="A57" i="41" s="1"/>
  <c r="G56" i="37"/>
  <c r="G56" i="41" s="1"/>
  <c r="F56" i="37"/>
  <c r="F56" i="41" s="1"/>
  <c r="E56" i="37"/>
  <c r="E56" i="41" s="1"/>
  <c r="D56" i="37"/>
  <c r="D56" i="41" s="1"/>
  <c r="C56" i="37"/>
  <c r="C56" i="41" s="1"/>
  <c r="B56" i="37"/>
  <c r="B56" i="41" s="1"/>
  <c r="A56" i="37"/>
  <c r="A56" i="41" s="1"/>
  <c r="G55" i="37"/>
  <c r="G55" i="41" s="1"/>
  <c r="F55" i="37"/>
  <c r="F55" i="41" s="1"/>
  <c r="E55" i="37"/>
  <c r="E55" i="41" s="1"/>
  <c r="D55" i="37"/>
  <c r="D55" i="41" s="1"/>
  <c r="C55" i="37"/>
  <c r="C55" i="41" s="1"/>
  <c r="B55" i="37"/>
  <c r="B55" i="41" s="1"/>
  <c r="A55" i="37"/>
  <c r="A55" i="41" s="1"/>
  <c r="G54" i="37"/>
  <c r="G54" i="41" s="1"/>
  <c r="F54" i="37"/>
  <c r="F54" i="41" s="1"/>
  <c r="E54" i="37"/>
  <c r="E54" i="41" s="1"/>
  <c r="D54" i="37"/>
  <c r="D54" i="41" s="1"/>
  <c r="C54" i="37"/>
  <c r="C54" i="41" s="1"/>
  <c r="B54" i="37"/>
  <c r="B54" i="41" s="1"/>
  <c r="A54" i="37"/>
  <c r="A54" i="41" s="1"/>
  <c r="G53" i="37"/>
  <c r="G53" i="41" s="1"/>
  <c r="F53" i="37"/>
  <c r="F53" i="41" s="1"/>
  <c r="E53" i="37"/>
  <c r="E53" i="41" s="1"/>
  <c r="D53" i="37"/>
  <c r="D53" i="41" s="1"/>
  <c r="C53" i="37"/>
  <c r="C53" i="41" s="1"/>
  <c r="B53" i="37"/>
  <c r="B53" i="41" s="1"/>
  <c r="A53" i="37"/>
  <c r="A53" i="41" s="1"/>
  <c r="G52" i="37"/>
  <c r="G52" i="41" s="1"/>
  <c r="F52" i="37"/>
  <c r="F52" i="41" s="1"/>
  <c r="E52" i="37"/>
  <c r="E52" i="41" s="1"/>
  <c r="D52" i="37"/>
  <c r="D52" i="41" s="1"/>
  <c r="C52" i="37"/>
  <c r="C52" i="41" s="1"/>
  <c r="B52" i="37"/>
  <c r="B52" i="41" s="1"/>
  <c r="A52" i="37"/>
  <c r="A52" i="41" s="1"/>
  <c r="G51" i="37"/>
  <c r="G51" i="41" s="1"/>
  <c r="F51" i="37"/>
  <c r="F51" i="41" s="1"/>
  <c r="E51" i="37"/>
  <c r="E51" i="41" s="1"/>
  <c r="D51" i="37"/>
  <c r="D51" i="41" s="1"/>
  <c r="C51" i="37"/>
  <c r="C51" i="41" s="1"/>
  <c r="B51" i="37"/>
  <c r="B51" i="41" s="1"/>
  <c r="A51" i="37"/>
  <c r="A51" i="41" s="1"/>
  <c r="G50" i="37"/>
  <c r="G50" i="41" s="1"/>
  <c r="F50" i="37"/>
  <c r="F50" i="41" s="1"/>
  <c r="E50" i="37"/>
  <c r="E50" i="41" s="1"/>
  <c r="D50" i="37"/>
  <c r="D50" i="41" s="1"/>
  <c r="C50" i="37"/>
  <c r="C50" i="41" s="1"/>
  <c r="B50" i="37"/>
  <c r="B50" i="41" s="1"/>
  <c r="A50" i="37"/>
  <c r="A50" i="41" s="1"/>
  <c r="G49" i="37"/>
  <c r="G49" i="41" s="1"/>
  <c r="F49" i="37"/>
  <c r="F49" i="41" s="1"/>
  <c r="E49" i="37"/>
  <c r="E49" i="41" s="1"/>
  <c r="D49" i="37"/>
  <c r="D49" i="41" s="1"/>
  <c r="C49" i="37"/>
  <c r="C49" i="41" s="1"/>
  <c r="B49" i="37"/>
  <c r="B49" i="41" s="1"/>
  <c r="A49" i="37"/>
  <c r="A49" i="41" s="1"/>
  <c r="G48" i="37"/>
  <c r="G48" i="41" s="1"/>
  <c r="F48" i="37"/>
  <c r="F48" i="41" s="1"/>
  <c r="E48" i="37"/>
  <c r="E48" i="41" s="1"/>
  <c r="D48" i="37"/>
  <c r="D48" i="41" s="1"/>
  <c r="C48" i="37"/>
  <c r="C48" i="41" s="1"/>
  <c r="B48" i="37"/>
  <c r="B48" i="41" s="1"/>
  <c r="A48" i="37"/>
  <c r="A48" i="41" s="1"/>
  <c r="G47" i="37"/>
  <c r="G47" i="41" s="1"/>
  <c r="F47" i="37"/>
  <c r="F47" i="41" s="1"/>
  <c r="E47" i="37"/>
  <c r="E47" i="41" s="1"/>
  <c r="D47" i="37"/>
  <c r="D47" i="41" s="1"/>
  <c r="C47" i="37"/>
  <c r="C47" i="41" s="1"/>
  <c r="B47" i="37"/>
  <c r="B47" i="41" s="1"/>
  <c r="A47" i="37"/>
  <c r="A47" i="41" s="1"/>
  <c r="G46" i="37"/>
  <c r="G46" i="41" s="1"/>
  <c r="F46" i="37"/>
  <c r="F46" i="41" s="1"/>
  <c r="E46" i="37"/>
  <c r="E46" i="41" s="1"/>
  <c r="D46" i="37"/>
  <c r="D46" i="41" s="1"/>
  <c r="C46" i="37"/>
  <c r="C46" i="41" s="1"/>
  <c r="B46" i="37"/>
  <c r="B46" i="41" s="1"/>
  <c r="A46" i="37"/>
  <c r="A46" i="41" s="1"/>
  <c r="G45" i="37"/>
  <c r="G45" i="41" s="1"/>
  <c r="F45" i="37"/>
  <c r="F45" i="41" s="1"/>
  <c r="E45" i="37"/>
  <c r="E45" i="41" s="1"/>
  <c r="D45" i="37"/>
  <c r="D45" i="41" s="1"/>
  <c r="C45" i="37"/>
  <c r="C45" i="41" s="1"/>
  <c r="B45" i="37"/>
  <c r="B45" i="41" s="1"/>
  <c r="A45" i="37"/>
  <c r="A45" i="41" s="1"/>
  <c r="G44" i="37"/>
  <c r="G44" i="41" s="1"/>
  <c r="F44" i="37"/>
  <c r="F44" i="41" s="1"/>
  <c r="E44" i="37"/>
  <c r="E44" i="41" s="1"/>
  <c r="D44" i="37"/>
  <c r="D44" i="41" s="1"/>
  <c r="C44" i="37"/>
  <c r="C44" i="41" s="1"/>
  <c r="B44" i="37"/>
  <c r="B44" i="41" s="1"/>
  <c r="A44" i="37"/>
  <c r="A44" i="41" s="1"/>
  <c r="G43" i="37"/>
  <c r="G43" i="41" s="1"/>
  <c r="F43" i="37"/>
  <c r="F43" i="41" s="1"/>
  <c r="E43" i="37"/>
  <c r="E43" i="41" s="1"/>
  <c r="D43" i="37"/>
  <c r="D43" i="41" s="1"/>
  <c r="C43" i="37"/>
  <c r="C43" i="41" s="1"/>
  <c r="B43" i="37"/>
  <c r="B43" i="41" s="1"/>
  <c r="A43" i="37"/>
  <c r="A43" i="41" s="1"/>
  <c r="G42" i="37"/>
  <c r="G42" i="41" s="1"/>
  <c r="F42" i="37"/>
  <c r="F42" i="41" s="1"/>
  <c r="E42" i="37"/>
  <c r="E42" i="41" s="1"/>
  <c r="D42" i="37"/>
  <c r="D42" i="41" s="1"/>
  <c r="C42" i="37"/>
  <c r="C42" i="41" s="1"/>
  <c r="B42" i="37"/>
  <c r="B42" i="41" s="1"/>
  <c r="A42" i="37"/>
  <c r="A42" i="41" s="1"/>
  <c r="G41" i="37"/>
  <c r="G41" i="41" s="1"/>
  <c r="F41" i="37"/>
  <c r="F41" i="41" s="1"/>
  <c r="E41" i="37"/>
  <c r="E41" i="41" s="1"/>
  <c r="D41" i="37"/>
  <c r="D41" i="41" s="1"/>
  <c r="C41" i="37"/>
  <c r="C41" i="41" s="1"/>
  <c r="B41" i="37"/>
  <c r="B41" i="41" s="1"/>
  <c r="A41" i="37"/>
  <c r="A41" i="41" s="1"/>
  <c r="G40" i="37"/>
  <c r="G40" i="41" s="1"/>
  <c r="F40" i="37"/>
  <c r="F40" i="41" s="1"/>
  <c r="E40" i="37"/>
  <c r="E40" i="41" s="1"/>
  <c r="D40" i="37"/>
  <c r="D40" i="41" s="1"/>
  <c r="C40" i="37"/>
  <c r="C40" i="41" s="1"/>
  <c r="B40" i="37"/>
  <c r="B40" i="41" s="1"/>
  <c r="A40" i="37"/>
  <c r="A40" i="41" s="1"/>
  <c r="G39" i="37"/>
  <c r="G39" i="41" s="1"/>
  <c r="F39" i="37"/>
  <c r="F39" i="41" s="1"/>
  <c r="E39" i="37"/>
  <c r="E39" i="41" s="1"/>
  <c r="D39" i="37"/>
  <c r="D39" i="41" s="1"/>
  <c r="C39" i="37"/>
  <c r="C39" i="41" s="1"/>
  <c r="B39" i="37"/>
  <c r="B39" i="41" s="1"/>
  <c r="A39" i="37"/>
  <c r="A39" i="41" s="1"/>
  <c r="G38" i="37"/>
  <c r="G38" i="41" s="1"/>
  <c r="F38" i="37"/>
  <c r="F38" i="41" s="1"/>
  <c r="E38" i="37"/>
  <c r="E38" i="41" s="1"/>
  <c r="D38" i="37"/>
  <c r="D38" i="41" s="1"/>
  <c r="C38" i="37"/>
  <c r="C38" i="41" s="1"/>
  <c r="B38" i="37"/>
  <c r="B38" i="41" s="1"/>
  <c r="A38" i="37"/>
  <c r="A38" i="41" s="1"/>
  <c r="G37" i="37"/>
  <c r="G37" i="41" s="1"/>
  <c r="F37" i="37"/>
  <c r="F37" i="41" s="1"/>
  <c r="E37" i="37"/>
  <c r="E37" i="41" s="1"/>
  <c r="D37" i="37"/>
  <c r="D37" i="41" s="1"/>
  <c r="C37" i="37"/>
  <c r="C37" i="41" s="1"/>
  <c r="B37" i="37"/>
  <c r="B37" i="41" s="1"/>
  <c r="A37" i="37"/>
  <c r="A37" i="41" s="1"/>
  <c r="G36" i="37"/>
  <c r="G36" i="41" s="1"/>
  <c r="F36" i="37"/>
  <c r="F36" i="41" s="1"/>
  <c r="E36" i="37"/>
  <c r="E36" i="41" s="1"/>
  <c r="D36" i="37"/>
  <c r="D36" i="41" s="1"/>
  <c r="C36" i="37"/>
  <c r="C36" i="41" s="1"/>
  <c r="B36" i="37"/>
  <c r="B36" i="41" s="1"/>
  <c r="A36" i="37"/>
  <c r="A36" i="41" s="1"/>
  <c r="G35" i="37"/>
  <c r="G35" i="41" s="1"/>
  <c r="F35" i="37"/>
  <c r="F35" i="41" s="1"/>
  <c r="E35" i="37"/>
  <c r="E35" i="41" s="1"/>
  <c r="D35" i="37"/>
  <c r="D35" i="41" s="1"/>
  <c r="C35" i="37"/>
  <c r="C35" i="41" s="1"/>
  <c r="B35" i="37"/>
  <c r="B35" i="41" s="1"/>
  <c r="A35" i="37"/>
  <c r="A35" i="41" s="1"/>
  <c r="G34" i="37"/>
  <c r="G34" i="41" s="1"/>
  <c r="F34" i="37"/>
  <c r="F34" i="41" s="1"/>
  <c r="E34" i="37"/>
  <c r="E34" i="41" s="1"/>
  <c r="D34" i="37"/>
  <c r="D34" i="41" s="1"/>
  <c r="C34" i="37"/>
  <c r="C34" i="41" s="1"/>
  <c r="B34" i="37"/>
  <c r="B34" i="41" s="1"/>
  <c r="A34" i="37"/>
  <c r="A34" i="41" s="1"/>
  <c r="G33" i="37"/>
  <c r="G33" i="41" s="1"/>
  <c r="F33" i="37"/>
  <c r="F33" i="41" s="1"/>
  <c r="E33" i="37"/>
  <c r="E33" i="41" s="1"/>
  <c r="D33" i="37"/>
  <c r="D33" i="41" s="1"/>
  <c r="C33" i="37"/>
  <c r="C33" i="41" s="1"/>
  <c r="B33" i="37"/>
  <c r="B33" i="41" s="1"/>
  <c r="A33" i="37"/>
  <c r="A33" i="41" s="1"/>
  <c r="G32" i="37"/>
  <c r="G32" i="41" s="1"/>
  <c r="F32" i="37"/>
  <c r="F32" i="41" s="1"/>
  <c r="E32" i="37"/>
  <c r="E32" i="41" s="1"/>
  <c r="D32" i="37"/>
  <c r="D32" i="41" s="1"/>
  <c r="C32" i="37"/>
  <c r="C32" i="41" s="1"/>
  <c r="B32" i="37"/>
  <c r="B32" i="41" s="1"/>
  <c r="A32" i="37"/>
  <c r="G31" i="37"/>
  <c r="G31" i="41" s="1"/>
  <c r="F31" i="37"/>
  <c r="F31" i="41" s="1"/>
  <c r="E31" i="37"/>
  <c r="E31" i="41" s="1"/>
  <c r="D31" i="37"/>
  <c r="D31" i="41" s="1"/>
  <c r="C31" i="37"/>
  <c r="C31" i="41" s="1"/>
  <c r="B31" i="37"/>
  <c r="B31" i="41" s="1"/>
  <c r="A31" i="37"/>
  <c r="A31" i="41" s="1"/>
  <c r="G30" i="37"/>
  <c r="G30" i="41" s="1"/>
  <c r="F30" i="37"/>
  <c r="F30" i="41" s="1"/>
  <c r="E30" i="37"/>
  <c r="E30" i="41" s="1"/>
  <c r="D30" i="37"/>
  <c r="D30" i="41" s="1"/>
  <c r="C30" i="37"/>
  <c r="C30" i="41" s="1"/>
  <c r="B30" i="37"/>
  <c r="B30" i="41" s="1"/>
  <c r="A30" i="37"/>
  <c r="A30" i="41" s="1"/>
  <c r="G29" i="37"/>
  <c r="G29" i="41" s="1"/>
  <c r="F29" i="37"/>
  <c r="F29" i="41" s="1"/>
  <c r="E29" i="37"/>
  <c r="E29" i="41" s="1"/>
  <c r="D29" i="37"/>
  <c r="D29" i="41" s="1"/>
  <c r="C29" i="37"/>
  <c r="C29" i="41" s="1"/>
  <c r="B29" i="37"/>
  <c r="B29" i="41" s="1"/>
  <c r="A29" i="37"/>
  <c r="A29" i="41" s="1"/>
  <c r="G28" i="37"/>
  <c r="G28" i="41" s="1"/>
  <c r="F28" i="37"/>
  <c r="F28" i="41" s="1"/>
  <c r="E28" i="37"/>
  <c r="E28" i="41" s="1"/>
  <c r="D28" i="37"/>
  <c r="D28" i="41" s="1"/>
  <c r="C28" i="37"/>
  <c r="C28" i="41" s="1"/>
  <c r="B28" i="37"/>
  <c r="B28" i="41" s="1"/>
  <c r="A28" i="37"/>
  <c r="A28" i="41" s="1"/>
  <c r="G27" i="37"/>
  <c r="G27" i="41" s="1"/>
  <c r="F27" i="37"/>
  <c r="F27" i="41" s="1"/>
  <c r="E27" i="37"/>
  <c r="E27" i="41" s="1"/>
  <c r="D27" i="37"/>
  <c r="D27" i="41" s="1"/>
  <c r="C27" i="37"/>
  <c r="C27" i="41" s="1"/>
  <c r="B27" i="37"/>
  <c r="B27" i="41" s="1"/>
  <c r="A27" i="37"/>
  <c r="A27" i="41" s="1"/>
  <c r="G26" i="37"/>
  <c r="G26" i="41" s="1"/>
  <c r="F26" i="37"/>
  <c r="F26" i="41" s="1"/>
  <c r="E26" i="37"/>
  <c r="E26" i="41" s="1"/>
  <c r="D26" i="37"/>
  <c r="D26" i="41" s="1"/>
  <c r="C26" i="37"/>
  <c r="C26" i="41" s="1"/>
  <c r="B26" i="37"/>
  <c r="B26" i="41" s="1"/>
  <c r="A26" i="37"/>
  <c r="A26" i="41" s="1"/>
  <c r="G25" i="37"/>
  <c r="G25" i="41" s="1"/>
  <c r="F25" i="37"/>
  <c r="F25" i="41" s="1"/>
  <c r="E25" i="37"/>
  <c r="E25" i="41" s="1"/>
  <c r="D25" i="37"/>
  <c r="D25" i="41" s="1"/>
  <c r="C25" i="37"/>
  <c r="C25" i="41" s="1"/>
  <c r="B25" i="37"/>
  <c r="B25" i="41" s="1"/>
  <c r="A25" i="37"/>
  <c r="A25" i="41" s="1"/>
  <c r="G24" i="37"/>
  <c r="G24" i="41" s="1"/>
  <c r="F24" i="37"/>
  <c r="F24" i="41" s="1"/>
  <c r="E24" i="37"/>
  <c r="E24" i="41" s="1"/>
  <c r="D24" i="37"/>
  <c r="D24" i="41" s="1"/>
  <c r="C24" i="37"/>
  <c r="C24" i="41" s="1"/>
  <c r="B24" i="37"/>
  <c r="B24" i="41" s="1"/>
  <c r="A24" i="37"/>
  <c r="A24" i="41" s="1"/>
  <c r="G23" i="37"/>
  <c r="G23" i="41" s="1"/>
  <c r="F23" i="37"/>
  <c r="F23" i="41" s="1"/>
  <c r="E23" i="37"/>
  <c r="E23" i="41" s="1"/>
  <c r="D23" i="37"/>
  <c r="D23" i="41" s="1"/>
  <c r="C23" i="37"/>
  <c r="C23" i="41" s="1"/>
  <c r="B23" i="37"/>
  <c r="B23" i="41" s="1"/>
  <c r="A23" i="37"/>
  <c r="A23" i="41" s="1"/>
  <c r="G22" i="37"/>
  <c r="G22" i="41" s="1"/>
  <c r="F22" i="37"/>
  <c r="F22" i="41" s="1"/>
  <c r="E22" i="37"/>
  <c r="E22" i="41" s="1"/>
  <c r="D22" i="37"/>
  <c r="D22" i="41" s="1"/>
  <c r="C22" i="37"/>
  <c r="C22" i="41" s="1"/>
  <c r="B22" i="37"/>
  <c r="B22" i="41" s="1"/>
  <c r="A22" i="37"/>
  <c r="A22" i="41" s="1"/>
  <c r="G21" i="37"/>
  <c r="G21" i="41" s="1"/>
  <c r="F21" i="37"/>
  <c r="F21" i="41" s="1"/>
  <c r="E21" i="37"/>
  <c r="E21" i="41" s="1"/>
  <c r="D21" i="37"/>
  <c r="D21" i="41" s="1"/>
  <c r="C21" i="37"/>
  <c r="C21" i="41" s="1"/>
  <c r="B21" i="37"/>
  <c r="A21" i="37"/>
  <c r="A21" i="41" s="1"/>
  <c r="G20" i="37"/>
  <c r="G20" i="41" s="1"/>
  <c r="F20" i="37"/>
  <c r="F20" i="41" s="1"/>
  <c r="E20" i="37"/>
  <c r="E20" i="41" s="1"/>
  <c r="D20" i="37"/>
  <c r="D20" i="41" s="1"/>
  <c r="C20" i="37"/>
  <c r="C20" i="41" s="1"/>
  <c r="B20" i="37"/>
  <c r="B20" i="41" s="1"/>
  <c r="A20" i="37"/>
  <c r="A20" i="41" s="1"/>
  <c r="G19" i="37"/>
  <c r="G19" i="41" s="1"/>
  <c r="F19" i="37"/>
  <c r="F19" i="41" s="1"/>
  <c r="E19" i="37"/>
  <c r="E19" i="41" s="1"/>
  <c r="D19" i="37"/>
  <c r="D19" i="41" s="1"/>
  <c r="C19" i="37"/>
  <c r="C19" i="41" s="1"/>
  <c r="B19" i="37"/>
  <c r="B19" i="41" s="1"/>
  <c r="A19" i="37"/>
  <c r="A19" i="41" s="1"/>
  <c r="G18" i="37"/>
  <c r="G18" i="41" s="1"/>
  <c r="F18" i="37"/>
  <c r="F18" i="41" s="1"/>
  <c r="E18" i="37"/>
  <c r="E18" i="41" s="1"/>
  <c r="D18" i="37"/>
  <c r="D18" i="41" s="1"/>
  <c r="C18" i="37"/>
  <c r="C18" i="41" s="1"/>
  <c r="B18" i="37"/>
  <c r="B18" i="41" s="1"/>
  <c r="A18" i="37"/>
  <c r="A18" i="41" s="1"/>
  <c r="G17" i="37"/>
  <c r="G17" i="41" s="1"/>
  <c r="F17" i="37"/>
  <c r="F17" i="41" s="1"/>
  <c r="E17" i="37"/>
  <c r="E17" i="41" s="1"/>
  <c r="D17" i="37"/>
  <c r="D17" i="41" s="1"/>
  <c r="C17" i="37"/>
  <c r="C17" i="41" s="1"/>
  <c r="B17" i="37"/>
  <c r="B17" i="41" s="1"/>
  <c r="A17" i="37"/>
  <c r="A17" i="41" s="1"/>
  <c r="G16" i="37"/>
  <c r="G16" i="41" s="1"/>
  <c r="F16" i="37"/>
  <c r="F16" i="41" s="1"/>
  <c r="E16" i="37"/>
  <c r="E16" i="41" s="1"/>
  <c r="D16" i="37"/>
  <c r="D16" i="41" s="1"/>
  <c r="C16" i="37"/>
  <c r="C16" i="41" s="1"/>
  <c r="B16" i="37"/>
  <c r="B16" i="41" s="1"/>
  <c r="A16" i="37"/>
  <c r="G15" i="37"/>
  <c r="G15" i="41" s="1"/>
  <c r="F15" i="37"/>
  <c r="F15" i="41" s="1"/>
  <c r="E15" i="37"/>
  <c r="E15" i="41" s="1"/>
  <c r="D15" i="37"/>
  <c r="D15" i="41" s="1"/>
  <c r="C15" i="37"/>
  <c r="C15" i="41" s="1"/>
  <c r="B15" i="37"/>
  <c r="B15" i="41" s="1"/>
  <c r="A15" i="37"/>
  <c r="A15" i="41" s="1"/>
  <c r="G14" i="37"/>
  <c r="G14" i="41" s="1"/>
  <c r="F14" i="37"/>
  <c r="F14" i="41" s="1"/>
  <c r="E14" i="37"/>
  <c r="E14" i="41" s="1"/>
  <c r="D14" i="37"/>
  <c r="D14" i="41" s="1"/>
  <c r="C14" i="37"/>
  <c r="C14" i="41" s="1"/>
  <c r="B14" i="37"/>
  <c r="B14" i="41" s="1"/>
  <c r="A14" i="37"/>
  <c r="A14" i="41" s="1"/>
  <c r="G13" i="37"/>
  <c r="G13" i="41" s="1"/>
  <c r="F13" i="37"/>
  <c r="F13" i="41" s="1"/>
  <c r="E13" i="37"/>
  <c r="E13" i="41" s="1"/>
  <c r="D13" i="37"/>
  <c r="D13" i="41" s="1"/>
  <c r="C13" i="37"/>
  <c r="C13" i="41" s="1"/>
  <c r="B13" i="37"/>
  <c r="B13" i="41" s="1"/>
  <c r="A13" i="37"/>
  <c r="A13" i="41" s="1"/>
  <c r="G12" i="37"/>
  <c r="G12" i="41" s="1"/>
  <c r="F12" i="37"/>
  <c r="F12" i="41" s="1"/>
  <c r="E12" i="37"/>
  <c r="E12" i="41" s="1"/>
  <c r="D12" i="37"/>
  <c r="D12" i="41" s="1"/>
  <c r="C12" i="37"/>
  <c r="C12" i="41" s="1"/>
  <c r="B12" i="37"/>
  <c r="B12" i="41" s="1"/>
  <c r="A12" i="37"/>
  <c r="A12" i="41" s="1"/>
  <c r="G11" i="37"/>
  <c r="G11" i="41" s="1"/>
  <c r="F11" i="37"/>
  <c r="F11" i="41" s="1"/>
  <c r="E11" i="37"/>
  <c r="E11" i="41" s="1"/>
  <c r="D11" i="37"/>
  <c r="D11" i="41" s="1"/>
  <c r="C11" i="37"/>
  <c r="C11" i="41" s="1"/>
  <c r="B11" i="37"/>
  <c r="B11" i="41" s="1"/>
  <c r="A11" i="37"/>
  <c r="A11" i="41" s="1"/>
  <c r="G10" i="37"/>
  <c r="G10" i="41" s="1"/>
  <c r="F10" i="37"/>
  <c r="F10" i="41" s="1"/>
  <c r="E10" i="37"/>
  <c r="E10" i="41" s="1"/>
  <c r="D10" i="37"/>
  <c r="D10" i="41" s="1"/>
  <c r="C10" i="37"/>
  <c r="C10" i="41" s="1"/>
  <c r="B10" i="37"/>
  <c r="B10" i="41" s="1"/>
  <c r="A10" i="37"/>
  <c r="A10" i="41" s="1"/>
  <c r="G9" i="37"/>
  <c r="G9" i="41" s="1"/>
  <c r="F9" i="37"/>
  <c r="F9" i="41" s="1"/>
  <c r="E9" i="37"/>
  <c r="E9" i="41" s="1"/>
  <c r="D9" i="37"/>
  <c r="D9" i="41" s="1"/>
  <c r="C9" i="37"/>
  <c r="C9" i="41" s="1"/>
  <c r="B9" i="37"/>
  <c r="B9" i="41" s="1"/>
  <c r="A9" i="37"/>
  <c r="A9" i="41" s="1"/>
  <c r="G8" i="37"/>
  <c r="G8" i="41" s="1"/>
  <c r="F8" i="37"/>
  <c r="F8" i="41" s="1"/>
  <c r="E8" i="37"/>
  <c r="E8" i="41" s="1"/>
  <c r="D8" i="37"/>
  <c r="D8" i="41" s="1"/>
  <c r="C8" i="37"/>
  <c r="C8" i="41" s="1"/>
  <c r="B8" i="37"/>
  <c r="B8" i="41" s="1"/>
  <c r="A8" i="37"/>
  <c r="A8" i="41" s="1"/>
  <c r="G7" i="37"/>
  <c r="G7" i="41" s="1"/>
  <c r="F7" i="37"/>
  <c r="F7" i="41" s="1"/>
  <c r="E7" i="37"/>
  <c r="E7" i="41" s="1"/>
  <c r="D7" i="37"/>
  <c r="D7" i="41" s="1"/>
  <c r="C7" i="37"/>
  <c r="C7" i="41" s="1"/>
  <c r="B7" i="37"/>
  <c r="B7" i="41" s="1"/>
  <c r="A7" i="37"/>
  <c r="A7" i="41" s="1"/>
  <c r="G6" i="37"/>
  <c r="G6" i="41" s="1"/>
  <c r="F6" i="37"/>
  <c r="F6" i="41" s="1"/>
  <c r="E6" i="37"/>
  <c r="E6" i="41" s="1"/>
  <c r="D6" i="37"/>
  <c r="D6" i="41" s="1"/>
  <c r="C6" i="37"/>
  <c r="C6" i="41" s="1"/>
  <c r="B6" i="37"/>
  <c r="B6" i="41" s="1"/>
  <c r="A6" i="37"/>
  <c r="A6" i="41" s="1"/>
  <c r="G5" i="37"/>
  <c r="G5" i="41" s="1"/>
  <c r="F5" i="37"/>
  <c r="E5" i="37"/>
  <c r="E5" i="41" s="1"/>
  <c r="D5" i="37"/>
  <c r="D5" i="41" s="1"/>
  <c r="C5" i="37"/>
  <c r="C5" i="41" s="1"/>
  <c r="B5" i="37"/>
  <c r="B5" i="41" s="1"/>
  <c r="A5" i="37"/>
  <c r="A5" i="41" s="1"/>
  <c r="G4" i="37"/>
  <c r="G4" i="41" s="1"/>
  <c r="F4" i="37"/>
  <c r="F4" i="41" s="1"/>
  <c r="E4" i="37"/>
  <c r="E4" i="41" s="1"/>
  <c r="D4" i="37"/>
  <c r="D4" i="41" s="1"/>
  <c r="C4" i="37"/>
  <c r="C4" i="41" s="1"/>
  <c r="B4" i="37"/>
  <c r="B4" i="41" s="1"/>
  <c r="A4" i="37"/>
  <c r="G3" i="37"/>
  <c r="G3" i="41" s="1"/>
  <c r="F3" i="37"/>
  <c r="E3" i="37"/>
  <c r="E3" i="41" s="1"/>
  <c r="D3" i="37"/>
  <c r="D3" i="41" s="1"/>
  <c r="C3" i="37"/>
  <c r="C3" i="41" s="1"/>
  <c r="B3" i="37"/>
  <c r="B3" i="41" s="1"/>
  <c r="A3" i="37"/>
  <c r="A3" i="41" s="1"/>
  <c r="U2" i="37"/>
  <c r="K2" i="37"/>
  <c r="J2" i="37"/>
  <c r="J2" i="41" s="1"/>
  <c r="I2" i="37"/>
  <c r="I2" i="41" s="1"/>
  <c r="H2" i="37"/>
  <c r="H2" i="41" s="1"/>
  <c r="G2" i="37"/>
  <c r="G2" i="41" s="1"/>
  <c r="F2" i="37"/>
  <c r="F2" i="41" s="1"/>
  <c r="E2" i="37"/>
  <c r="E2" i="41" s="1"/>
  <c r="D2" i="37"/>
  <c r="D2" i="41" s="1"/>
  <c r="C2" i="37"/>
  <c r="C2" i="41" s="1"/>
  <c r="B2" i="37"/>
  <c r="B2" i="41" s="1"/>
  <c r="A2" i="37"/>
  <c r="A2" i="41" s="1"/>
  <c r="U1" i="37"/>
  <c r="K1" i="37"/>
  <c r="J1" i="37"/>
  <c r="I1" i="37"/>
  <c r="G1" i="37"/>
  <c r="F1" i="37"/>
  <c r="E1" i="37"/>
  <c r="D1" i="37"/>
  <c r="C1" i="37"/>
  <c r="B1" i="37"/>
  <c r="C37" i="53"/>
  <c r="C36" i="53"/>
  <c r="C35" i="53"/>
  <c r="A35" i="53"/>
  <c r="C34" i="53"/>
  <c r="C33" i="53"/>
  <c r="C32" i="53"/>
  <c r="C31" i="53"/>
  <c r="C30" i="53"/>
  <c r="C29" i="53"/>
  <c r="A29" i="53"/>
  <c r="C28" i="53"/>
  <c r="C27" i="53"/>
  <c r="C26" i="53"/>
  <c r="C25" i="53"/>
  <c r="C24" i="53"/>
  <c r="C23" i="53"/>
  <c r="A23" i="53"/>
  <c r="C22" i="53"/>
  <c r="C21" i="53"/>
  <c r="C20" i="53"/>
  <c r="C19" i="53"/>
  <c r="C18" i="53"/>
  <c r="C17" i="53"/>
  <c r="A17" i="53"/>
  <c r="C16" i="53"/>
  <c r="C15" i="53"/>
  <c r="C14" i="53"/>
  <c r="C13" i="53"/>
  <c r="C12" i="53"/>
  <c r="C11" i="53"/>
  <c r="A11" i="53"/>
  <c r="C10" i="53"/>
  <c r="C9" i="53"/>
  <c r="C8" i="53"/>
  <c r="C7" i="53"/>
  <c r="C6" i="53"/>
  <c r="C5" i="53"/>
  <c r="C4" i="53"/>
  <c r="C3" i="53"/>
  <c r="C2" i="53"/>
  <c r="D415" i="38"/>
  <c r="D414" i="38"/>
  <c r="D413" i="38"/>
  <c r="D412" i="38"/>
  <c r="D411" i="38"/>
  <c r="D410" i="38"/>
  <c r="D409" i="38"/>
  <c r="D408" i="38"/>
  <c r="D407" i="38"/>
  <c r="D406" i="38"/>
  <c r="D405" i="38"/>
  <c r="D404" i="38"/>
  <c r="D403" i="38"/>
  <c r="D402" i="38"/>
  <c r="D401" i="38"/>
  <c r="D400" i="38"/>
  <c r="D399" i="38"/>
  <c r="D398" i="38"/>
  <c r="D397" i="38"/>
  <c r="D396" i="38"/>
  <c r="D395" i="38"/>
  <c r="D394" i="38"/>
  <c r="D393" i="38"/>
  <c r="D392" i="38"/>
  <c r="D391" i="38"/>
  <c r="D390" i="38"/>
  <c r="D389" i="38"/>
  <c r="D388" i="38"/>
  <c r="D387" i="38"/>
  <c r="D386" i="38"/>
  <c r="D385" i="38"/>
  <c r="D384" i="38"/>
  <c r="D383" i="38"/>
  <c r="D382" i="38"/>
  <c r="D381" i="38"/>
  <c r="D380" i="38"/>
  <c r="D379" i="38"/>
  <c r="D378" i="38"/>
  <c r="D377" i="38"/>
  <c r="D376" i="38"/>
  <c r="D375" i="38"/>
  <c r="D374" i="38"/>
  <c r="D373" i="38"/>
  <c r="D372" i="38"/>
  <c r="D371" i="38"/>
  <c r="D370" i="38"/>
  <c r="D369" i="38"/>
  <c r="D368" i="38"/>
  <c r="D367" i="38"/>
  <c r="D366" i="38"/>
  <c r="D365" i="38"/>
  <c r="D364" i="38"/>
  <c r="D363" i="38"/>
  <c r="D362" i="38"/>
  <c r="D361" i="38"/>
  <c r="D360" i="38"/>
  <c r="D359" i="38"/>
  <c r="D358" i="38"/>
  <c r="D357" i="38"/>
  <c r="D356" i="38"/>
  <c r="D355" i="38"/>
  <c r="D354" i="38"/>
  <c r="D353" i="38"/>
  <c r="D352" i="38"/>
  <c r="D351" i="38"/>
  <c r="D350" i="38"/>
  <c r="D349" i="38"/>
  <c r="D348" i="38"/>
  <c r="D347" i="38"/>
  <c r="C347" i="38"/>
  <c r="D346" i="38"/>
  <c r="D345" i="38"/>
  <c r="D344" i="38"/>
  <c r="D343" i="38"/>
  <c r="D342" i="38"/>
  <c r="D341" i="38"/>
  <c r="C341" i="38"/>
  <c r="D340" i="38"/>
  <c r="D339" i="38"/>
  <c r="D338" i="38"/>
  <c r="D337" i="38"/>
  <c r="D336" i="38"/>
  <c r="D335" i="38"/>
  <c r="C335" i="38"/>
  <c r="D334" i="38"/>
  <c r="D333" i="38"/>
  <c r="D332" i="38"/>
  <c r="D331" i="38"/>
  <c r="D330" i="38"/>
  <c r="D329" i="38"/>
  <c r="C329" i="38"/>
  <c r="D328" i="38"/>
  <c r="D327" i="38"/>
  <c r="D326" i="38"/>
  <c r="D325" i="38"/>
  <c r="D324" i="38"/>
  <c r="D323" i="38"/>
  <c r="C323" i="38"/>
  <c r="D322" i="38"/>
  <c r="D321" i="38"/>
  <c r="D320" i="38"/>
  <c r="D319" i="38"/>
  <c r="D318" i="38"/>
  <c r="D317" i="38"/>
  <c r="C317" i="38"/>
  <c r="D316" i="38"/>
  <c r="D315" i="38"/>
  <c r="D314" i="38"/>
  <c r="D313" i="38"/>
  <c r="D312" i="38"/>
  <c r="D311" i="38"/>
  <c r="C311" i="38"/>
  <c r="D310" i="38"/>
  <c r="D309" i="38"/>
  <c r="D308" i="38"/>
  <c r="D307" i="38"/>
  <c r="D306" i="38"/>
  <c r="D305" i="38"/>
  <c r="C305" i="38"/>
  <c r="D304" i="38"/>
  <c r="D303" i="38"/>
  <c r="D302" i="38"/>
  <c r="D301" i="38"/>
  <c r="D300" i="38"/>
  <c r="D299" i="38"/>
  <c r="C299" i="38"/>
  <c r="D298" i="38"/>
  <c r="D297" i="38"/>
  <c r="D296" i="38"/>
  <c r="D295" i="38"/>
  <c r="D294" i="38"/>
  <c r="D293" i="38"/>
  <c r="C293" i="38"/>
  <c r="D292" i="38"/>
  <c r="D291" i="38"/>
  <c r="D290" i="38"/>
  <c r="D289" i="38"/>
  <c r="D288" i="38"/>
  <c r="D287" i="38"/>
  <c r="D286" i="38"/>
  <c r="D285" i="38"/>
  <c r="D284" i="38"/>
  <c r="D283" i="38"/>
  <c r="D282" i="38"/>
  <c r="D281" i="38"/>
  <c r="D280" i="38"/>
  <c r="D279" i="38"/>
  <c r="D278" i="38"/>
  <c r="D277" i="38"/>
  <c r="D276" i="38"/>
  <c r="D275" i="38"/>
  <c r="D274" i="38"/>
  <c r="D273" i="38"/>
  <c r="D272" i="38"/>
  <c r="D271" i="38"/>
  <c r="D270" i="38"/>
  <c r="D269" i="38"/>
  <c r="D268" i="38"/>
  <c r="D267" i="38"/>
  <c r="D266" i="38"/>
  <c r="D265" i="38"/>
  <c r="D264" i="38"/>
  <c r="D263" i="38"/>
  <c r="D262" i="38"/>
  <c r="D261" i="38"/>
  <c r="D260" i="38"/>
  <c r="D259" i="38"/>
  <c r="D258" i="38"/>
  <c r="D257" i="38"/>
  <c r="D256" i="38"/>
  <c r="D255" i="38"/>
  <c r="D254" i="38"/>
  <c r="D253" i="38"/>
  <c r="D252" i="38"/>
  <c r="D251" i="38"/>
  <c r="D250" i="38"/>
  <c r="D249" i="38"/>
  <c r="D248" i="38"/>
  <c r="D247" i="38"/>
  <c r="D246" i="38"/>
  <c r="D245" i="38"/>
  <c r="D244" i="38"/>
  <c r="D243" i="38"/>
  <c r="D242" i="38"/>
  <c r="D241" i="38"/>
  <c r="D240" i="38"/>
  <c r="D239" i="38"/>
  <c r="D238" i="38"/>
  <c r="D237" i="38"/>
  <c r="D236" i="38"/>
  <c r="D235" i="38"/>
  <c r="D234" i="38"/>
  <c r="D233" i="38"/>
  <c r="D232" i="38"/>
  <c r="D231" i="38"/>
  <c r="D230" i="38"/>
  <c r="D229" i="38"/>
  <c r="D228" i="38"/>
  <c r="D227" i="38"/>
  <c r="D226" i="38"/>
  <c r="D225" i="38"/>
  <c r="D224" i="38"/>
  <c r="D223" i="38"/>
  <c r="D222" i="38"/>
  <c r="D221" i="38"/>
  <c r="D220" i="38"/>
  <c r="D219" i="38"/>
  <c r="D218" i="38"/>
  <c r="D217" i="38"/>
  <c r="D216" i="38"/>
  <c r="D215" i="38"/>
  <c r="D214" i="38"/>
  <c r="D213" i="38"/>
  <c r="D212" i="38"/>
  <c r="D211" i="38"/>
  <c r="D210" i="38"/>
  <c r="D209" i="38"/>
  <c r="D208" i="38"/>
  <c r="D207" i="38"/>
  <c r="D206" i="38"/>
  <c r="D205" i="38"/>
  <c r="D204" i="38"/>
  <c r="D203" i="38"/>
  <c r="D202" i="38"/>
  <c r="D201" i="38"/>
  <c r="D200" i="38"/>
  <c r="D199" i="38"/>
  <c r="D198" i="38"/>
  <c r="D197" i="38"/>
  <c r="D196" i="38"/>
  <c r="D195" i="38"/>
  <c r="D194" i="38"/>
  <c r="D193" i="38"/>
  <c r="D192" i="38"/>
  <c r="D191" i="38"/>
  <c r="D190" i="38"/>
  <c r="D189" i="38"/>
  <c r="D188" i="38"/>
  <c r="D187" i="38"/>
  <c r="C187" i="38"/>
  <c r="D186" i="38"/>
  <c r="C186" i="38"/>
  <c r="D185" i="38"/>
  <c r="C185" i="38"/>
  <c r="D184" i="38"/>
  <c r="C184" i="38"/>
  <c r="D183" i="38"/>
  <c r="C183" i="38"/>
  <c r="D182" i="38"/>
  <c r="C182" i="38"/>
  <c r="D181" i="38"/>
  <c r="C181" i="38"/>
  <c r="D180" i="38"/>
  <c r="C180" i="38"/>
  <c r="D179" i="38"/>
  <c r="C179" i="38"/>
  <c r="D178" i="38"/>
  <c r="C178" i="38"/>
  <c r="D177" i="38"/>
  <c r="C177" i="38"/>
  <c r="D176" i="38"/>
  <c r="C176" i="38"/>
  <c r="D175" i="38"/>
  <c r="C175" i="38"/>
  <c r="D174" i="38"/>
  <c r="C174" i="38"/>
  <c r="D173" i="38"/>
  <c r="C173" i="38"/>
  <c r="D172" i="38"/>
  <c r="C172" i="38"/>
  <c r="D171" i="38"/>
  <c r="C171" i="38"/>
  <c r="D170" i="38"/>
  <c r="C170" i="38"/>
  <c r="D169" i="38"/>
  <c r="C169" i="38"/>
  <c r="D168" i="38"/>
  <c r="C168" i="38"/>
  <c r="D167" i="38"/>
  <c r="C167" i="38"/>
  <c r="D166" i="38"/>
  <c r="C166" i="38"/>
  <c r="D165" i="38"/>
  <c r="C165" i="38"/>
  <c r="D164" i="38"/>
  <c r="C164" i="38"/>
  <c r="D163" i="38"/>
  <c r="C163" i="38"/>
  <c r="D162" i="38"/>
  <c r="C162" i="38"/>
  <c r="D161" i="38"/>
  <c r="C161" i="38"/>
  <c r="D160" i="38"/>
  <c r="C160" i="38"/>
  <c r="D159" i="38"/>
  <c r="C159" i="38"/>
  <c r="D158" i="38"/>
  <c r="C158" i="38"/>
  <c r="D157" i="38"/>
  <c r="C157" i="38"/>
  <c r="D156" i="38"/>
  <c r="C156" i="38"/>
  <c r="D155" i="38"/>
  <c r="C155" i="38"/>
  <c r="D154" i="38"/>
  <c r="C154" i="38"/>
  <c r="D153" i="38"/>
  <c r="C153" i="38"/>
  <c r="D152" i="38"/>
  <c r="C152" i="38"/>
  <c r="D151" i="38"/>
  <c r="C151" i="38"/>
  <c r="D150" i="38"/>
  <c r="C150" i="38"/>
  <c r="D149" i="38"/>
  <c r="C149" i="38"/>
  <c r="D148" i="38"/>
  <c r="C148" i="38"/>
  <c r="D147" i="38"/>
  <c r="C147" i="38"/>
  <c r="D146" i="38"/>
  <c r="C146" i="38"/>
  <c r="D145" i="38"/>
  <c r="C145" i="38"/>
  <c r="D144" i="38"/>
  <c r="C144" i="38"/>
  <c r="D143" i="38"/>
  <c r="C143" i="38"/>
  <c r="D142" i="38"/>
  <c r="C142" i="38"/>
  <c r="D141" i="38"/>
  <c r="C141" i="38"/>
  <c r="D140" i="38"/>
  <c r="C140" i="38"/>
  <c r="D139" i="38"/>
  <c r="C139" i="38"/>
  <c r="D138" i="38"/>
  <c r="C138" i="38"/>
  <c r="D137" i="38"/>
  <c r="C137" i="38"/>
  <c r="D136" i="38"/>
  <c r="C136" i="38"/>
  <c r="D135" i="38"/>
  <c r="C135" i="38"/>
  <c r="D134" i="38"/>
  <c r="C134" i="38"/>
  <c r="D133" i="38"/>
  <c r="C133" i="38"/>
  <c r="D132" i="38"/>
  <c r="C132" i="38"/>
  <c r="D131" i="38"/>
  <c r="C131" i="38"/>
  <c r="D130" i="38"/>
  <c r="C130" i="38"/>
  <c r="D129" i="38"/>
  <c r="C129" i="38"/>
  <c r="D128" i="38"/>
  <c r="C128" i="38"/>
  <c r="D127" i="38"/>
  <c r="C127" i="38"/>
  <c r="D126" i="38"/>
  <c r="C126" i="38"/>
  <c r="D125" i="38"/>
  <c r="C125" i="38"/>
  <c r="D124" i="38"/>
  <c r="C124" i="38"/>
  <c r="D123" i="38"/>
  <c r="C123" i="38"/>
  <c r="D122" i="38"/>
  <c r="C122" i="38"/>
  <c r="D121" i="38"/>
  <c r="C121" i="38"/>
  <c r="D120" i="38"/>
  <c r="C120" i="38"/>
  <c r="D119" i="38"/>
  <c r="C119" i="38"/>
  <c r="D118" i="38"/>
  <c r="C118" i="38"/>
  <c r="D117" i="38"/>
  <c r="C117" i="38"/>
  <c r="D116" i="38"/>
  <c r="C116" i="38"/>
  <c r="D115" i="38"/>
  <c r="C115" i="38"/>
  <c r="D114" i="38"/>
  <c r="C114" i="38"/>
  <c r="D113" i="38"/>
  <c r="C113" i="38"/>
  <c r="D112" i="38"/>
  <c r="C112" i="38"/>
  <c r="D111" i="38"/>
  <c r="C111" i="38"/>
  <c r="D110" i="38"/>
  <c r="C110" i="38"/>
  <c r="D109" i="38"/>
  <c r="C109" i="38"/>
  <c r="D108" i="38"/>
  <c r="C108" i="38"/>
  <c r="D107" i="38"/>
  <c r="C107" i="38"/>
  <c r="D106" i="38"/>
  <c r="C106" i="38"/>
  <c r="D105" i="38"/>
  <c r="C105" i="38"/>
  <c r="D104" i="38"/>
  <c r="C104" i="38"/>
  <c r="D103" i="38"/>
  <c r="C103" i="38"/>
  <c r="D102" i="38"/>
  <c r="C102" i="38"/>
  <c r="D101" i="38"/>
  <c r="C101" i="38"/>
  <c r="D100" i="38"/>
  <c r="C100" i="38"/>
  <c r="D99" i="38"/>
  <c r="C99" i="38"/>
  <c r="D98" i="38"/>
  <c r="C98" i="38"/>
  <c r="D97" i="38"/>
  <c r="C97" i="38"/>
  <c r="D96" i="38"/>
  <c r="C96" i="38"/>
  <c r="D95" i="38"/>
  <c r="C95" i="38"/>
  <c r="D94" i="38"/>
  <c r="C94" i="38"/>
  <c r="D93" i="38"/>
  <c r="C93" i="38"/>
  <c r="D92" i="38"/>
  <c r="C92" i="38"/>
  <c r="D91" i="38"/>
  <c r="C91" i="38"/>
  <c r="D90" i="38"/>
  <c r="C90" i="38"/>
  <c r="D89" i="38"/>
  <c r="C89" i="38"/>
  <c r="D88" i="38"/>
  <c r="C88" i="38"/>
  <c r="D87" i="38"/>
  <c r="C87" i="38"/>
  <c r="D86" i="38"/>
  <c r="C86" i="38"/>
  <c r="D85" i="38"/>
  <c r="C85" i="38"/>
  <c r="D84" i="38"/>
  <c r="C84" i="38"/>
  <c r="D83" i="38"/>
  <c r="C83" i="38"/>
  <c r="D82" i="38"/>
  <c r="C82" i="38"/>
  <c r="D81" i="38"/>
  <c r="C81" i="38"/>
  <c r="D80" i="38"/>
  <c r="C80" i="38"/>
  <c r="D79" i="38"/>
  <c r="C79" i="38"/>
  <c r="D78" i="38"/>
  <c r="C78" i="38"/>
  <c r="D77" i="38"/>
  <c r="C77" i="38"/>
  <c r="D76" i="38"/>
  <c r="C76" i="38"/>
  <c r="D75" i="38"/>
  <c r="C75" i="38"/>
  <c r="D74" i="38"/>
  <c r="C74" i="38"/>
  <c r="D73" i="38"/>
  <c r="C73" i="38"/>
  <c r="D72" i="38"/>
  <c r="C72" i="38"/>
  <c r="D71" i="38"/>
  <c r="C71" i="38"/>
  <c r="D70" i="38"/>
  <c r="C70" i="38"/>
  <c r="D69" i="38"/>
  <c r="C69" i="38"/>
  <c r="D68" i="38"/>
  <c r="C68" i="38"/>
  <c r="D67" i="38"/>
  <c r="C67" i="38"/>
  <c r="D66" i="38"/>
  <c r="C66" i="38"/>
  <c r="D65" i="38"/>
  <c r="C65" i="38"/>
  <c r="D64" i="38"/>
  <c r="C64" i="38"/>
  <c r="D63" i="38"/>
  <c r="C63" i="38"/>
  <c r="D62" i="38"/>
  <c r="C62" i="38"/>
  <c r="D61" i="38"/>
  <c r="C61" i="38"/>
  <c r="D60" i="38"/>
  <c r="C60" i="38"/>
  <c r="D59" i="38"/>
  <c r="C59" i="38"/>
  <c r="D58" i="38"/>
  <c r="C58" i="38"/>
  <c r="D57" i="38"/>
  <c r="C57" i="38"/>
  <c r="D56" i="38"/>
  <c r="C56" i="38"/>
  <c r="D55" i="38"/>
  <c r="C55" i="38"/>
  <c r="D54" i="38"/>
  <c r="C54" i="38"/>
  <c r="D53" i="38"/>
  <c r="C53" i="38"/>
  <c r="D52" i="38"/>
  <c r="C52" i="38"/>
  <c r="D51" i="38"/>
  <c r="C51" i="38"/>
  <c r="D50" i="38"/>
  <c r="C50" i="38"/>
  <c r="D49" i="38"/>
  <c r="C49" i="38"/>
  <c r="D48" i="38"/>
  <c r="C48" i="38"/>
  <c r="D47" i="38"/>
  <c r="C47" i="38"/>
  <c r="D46" i="38"/>
  <c r="C46" i="38"/>
  <c r="D45" i="38"/>
  <c r="C45" i="38"/>
  <c r="D44" i="38"/>
  <c r="C44" i="38"/>
  <c r="D43" i="38"/>
  <c r="C43" i="38"/>
  <c r="D42" i="38"/>
  <c r="C42" i="38"/>
  <c r="D41" i="38"/>
  <c r="C41" i="38"/>
  <c r="D40" i="38"/>
  <c r="C40" i="38"/>
  <c r="D39" i="38"/>
  <c r="C39" i="38"/>
  <c r="D38" i="38"/>
  <c r="C38" i="38"/>
  <c r="D37" i="38"/>
  <c r="C37" i="38"/>
  <c r="D36" i="38"/>
  <c r="C36" i="38"/>
  <c r="D35" i="38"/>
  <c r="C35" i="38"/>
  <c r="D34" i="38"/>
  <c r="C34" i="38"/>
  <c r="D33" i="38"/>
  <c r="C33" i="38"/>
  <c r="D32" i="38"/>
  <c r="C32" i="38"/>
  <c r="D31" i="38"/>
  <c r="C31" i="38"/>
  <c r="D30" i="38"/>
  <c r="C30" i="38"/>
  <c r="D29" i="38"/>
  <c r="C29" i="38"/>
  <c r="D28" i="38"/>
  <c r="C28" i="38"/>
  <c r="D27" i="38"/>
  <c r="C27" i="38"/>
  <c r="D26" i="38"/>
  <c r="C26" i="38"/>
  <c r="D25" i="38"/>
  <c r="C25" i="38"/>
  <c r="D24" i="38"/>
  <c r="C24" i="38"/>
  <c r="D23" i="38"/>
  <c r="C23" i="38"/>
  <c r="D22" i="38"/>
  <c r="C22" i="38"/>
  <c r="D21" i="38"/>
  <c r="C21" i="38"/>
  <c r="D20" i="38"/>
  <c r="C20" i="38"/>
  <c r="D19" i="38"/>
  <c r="C19" i="38"/>
  <c r="D18" i="38"/>
  <c r="C18" i="38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D7" i="38"/>
  <c r="C7" i="38"/>
  <c r="D6" i="38"/>
  <c r="C6" i="38"/>
  <c r="D5" i="38"/>
  <c r="C5" i="38"/>
  <c r="D4" i="38"/>
  <c r="C4" i="38"/>
  <c r="D3" i="38"/>
  <c r="C3" i="38"/>
  <c r="D2" i="38"/>
  <c r="C2" i="38"/>
  <c r="I230" i="35"/>
  <c r="H230" i="35"/>
  <c r="G230" i="35"/>
  <c r="F230" i="35"/>
  <c r="I229" i="35"/>
  <c r="H229" i="35"/>
  <c r="G229" i="35"/>
  <c r="F229" i="35"/>
  <c r="I228" i="35"/>
  <c r="H228" i="35"/>
  <c r="G228" i="35"/>
  <c r="F228" i="35"/>
  <c r="I227" i="35"/>
  <c r="H227" i="35"/>
  <c r="G227" i="35"/>
  <c r="F227" i="35"/>
  <c r="F226" i="35"/>
  <c r="F225" i="35"/>
  <c r="F224" i="35"/>
  <c r="F223" i="35"/>
  <c r="F222" i="35"/>
  <c r="F221" i="35"/>
  <c r="F220" i="35"/>
  <c r="F219" i="35"/>
  <c r="F218" i="35"/>
  <c r="F217" i="35"/>
  <c r="F216" i="35"/>
  <c r="F215" i="35"/>
  <c r="F214" i="35"/>
  <c r="F213" i="35"/>
  <c r="F212" i="35"/>
  <c r="F211" i="35"/>
  <c r="F210" i="35"/>
  <c r="F209" i="35"/>
  <c r="F208" i="35"/>
  <c r="F207" i="35"/>
  <c r="F206" i="35"/>
  <c r="F205" i="35"/>
  <c r="F204" i="35"/>
  <c r="G203" i="35"/>
  <c r="F203" i="35"/>
  <c r="F202" i="35"/>
  <c r="F201" i="35"/>
  <c r="F200" i="35"/>
  <c r="F199" i="35"/>
  <c r="F198" i="35"/>
  <c r="G197" i="35"/>
  <c r="F197" i="35"/>
  <c r="F196" i="35"/>
  <c r="F195" i="35"/>
  <c r="G194" i="35"/>
  <c r="F194" i="35"/>
  <c r="F193" i="35"/>
  <c r="F192" i="35"/>
  <c r="F191" i="35"/>
  <c r="F190" i="35"/>
  <c r="F189" i="35"/>
  <c r="G188" i="35"/>
  <c r="F188" i="35"/>
  <c r="F187" i="35"/>
  <c r="F186" i="35"/>
  <c r="F185" i="35"/>
  <c r="I184" i="35"/>
  <c r="H184" i="35"/>
  <c r="G184" i="35"/>
  <c r="F184" i="35"/>
  <c r="I183" i="35"/>
  <c r="H183" i="35"/>
  <c r="G183" i="35"/>
  <c r="F183" i="35"/>
  <c r="G182" i="35" a="1"/>
  <c r="G182" i="35" s="1"/>
  <c r="F182" i="35"/>
  <c r="G181" i="35" a="1"/>
  <c r="G181" i="35" s="1"/>
  <c r="F181" i="35"/>
  <c r="G180" i="35" a="1"/>
  <c r="G180" i="35" s="1"/>
  <c r="F180" i="35"/>
  <c r="G179" i="35" a="1"/>
  <c r="G179" i="35" s="1"/>
  <c r="F179" i="35"/>
  <c r="G178" i="35" a="1"/>
  <c r="G178" i="35" s="1"/>
  <c r="F178" i="35"/>
  <c r="G177" i="35" a="1"/>
  <c r="G177" i="35" s="1"/>
  <c r="F177" i="35"/>
  <c r="G176" i="35" a="1"/>
  <c r="G176" i="35" s="1"/>
  <c r="F176" i="35"/>
  <c r="G175" i="35" a="1"/>
  <c r="G175" i="35" s="1"/>
  <c r="F175" i="35"/>
  <c r="G174" i="35" a="1"/>
  <c r="G174" i="35" s="1"/>
  <c r="F174" i="35"/>
  <c r="G173" i="35" a="1"/>
  <c r="G173" i="35" s="1"/>
  <c r="F173" i="35"/>
  <c r="G172" i="35" a="1"/>
  <c r="G172" i="35" s="1"/>
  <c r="F172" i="35"/>
  <c r="G171" i="35" a="1"/>
  <c r="G171" i="35" s="1"/>
  <c r="F171" i="35"/>
  <c r="D170" i="35"/>
  <c r="B170" i="35"/>
  <c r="F170" i="35" s="1"/>
  <c r="D169" i="35"/>
  <c r="B169" i="35"/>
  <c r="F169" i="35" s="1"/>
  <c r="D168" i="35"/>
  <c r="B168" i="35"/>
  <c r="F168" i="35" s="1"/>
  <c r="D167" i="35"/>
  <c r="B167" i="35"/>
  <c r="F167" i="35" s="1"/>
  <c r="D166" i="35"/>
  <c r="B166" i="35"/>
  <c r="F166" i="35" s="1"/>
  <c r="D165" i="35"/>
  <c r="B165" i="35"/>
  <c r="F165" i="35" s="1"/>
  <c r="D164" i="35"/>
  <c r="B164" i="35"/>
  <c r="F164" i="35" s="1"/>
  <c r="D163" i="35"/>
  <c r="B163" i="35"/>
  <c r="F163" i="35" s="1"/>
  <c r="D162" i="35"/>
  <c r="B162" i="35"/>
  <c r="F162" i="35" s="1"/>
  <c r="D161" i="35"/>
  <c r="B161" i="35"/>
  <c r="F161" i="35" s="1"/>
  <c r="D160" i="35"/>
  <c r="B160" i="35"/>
  <c r="F160" i="35" s="1"/>
  <c r="D159" i="35"/>
  <c r="B159" i="35"/>
  <c r="F159" i="35" s="1"/>
  <c r="D158" i="35"/>
  <c r="B158" i="35"/>
  <c r="F158" i="35" s="1"/>
  <c r="D157" i="35"/>
  <c r="B157" i="35"/>
  <c r="F157" i="35" s="1"/>
  <c r="D156" i="35"/>
  <c r="B156" i="35"/>
  <c r="F156" i="35" s="1"/>
  <c r="D155" i="35"/>
  <c r="B155" i="35"/>
  <c r="F155" i="35" s="1"/>
  <c r="D154" i="35"/>
  <c r="B154" i="35"/>
  <c r="F154" i="35" s="1"/>
  <c r="D153" i="35"/>
  <c r="B153" i="35"/>
  <c r="F153" i="35" s="1"/>
  <c r="D152" i="35"/>
  <c r="B152" i="35"/>
  <c r="F152" i="35" s="1"/>
  <c r="D151" i="35"/>
  <c r="B151" i="35"/>
  <c r="F151" i="35" s="1"/>
  <c r="D150" i="35"/>
  <c r="B150" i="35"/>
  <c r="F150" i="35" s="1"/>
  <c r="D149" i="35"/>
  <c r="B149" i="35"/>
  <c r="F149" i="35" s="1"/>
  <c r="D148" i="35"/>
  <c r="B148" i="35"/>
  <c r="F148" i="35" s="1"/>
  <c r="D147" i="35"/>
  <c r="B147" i="35"/>
  <c r="F147" i="35" s="1"/>
  <c r="D146" i="35"/>
  <c r="B146" i="35"/>
  <c r="F146" i="35" s="1"/>
  <c r="D145" i="35"/>
  <c r="B145" i="35"/>
  <c r="F145" i="35" s="1"/>
  <c r="D144" i="35"/>
  <c r="B144" i="35"/>
  <c r="F144" i="35" s="1"/>
  <c r="D143" i="35"/>
  <c r="B143" i="35"/>
  <c r="F143" i="35" s="1"/>
  <c r="D142" i="35"/>
  <c r="B142" i="35"/>
  <c r="F142" i="35" s="1"/>
  <c r="D141" i="35"/>
  <c r="B141" i="35"/>
  <c r="F141" i="35" s="1"/>
  <c r="D140" i="35"/>
  <c r="B140" i="35"/>
  <c r="F140" i="35" s="1"/>
  <c r="D139" i="35"/>
  <c r="B139" i="35"/>
  <c r="F139" i="35" s="1"/>
  <c r="D138" i="35"/>
  <c r="B138" i="35"/>
  <c r="F138" i="35" s="1"/>
  <c r="D137" i="35"/>
  <c r="B137" i="35"/>
  <c r="F137" i="35" s="1"/>
  <c r="D136" i="35"/>
  <c r="B136" i="35"/>
  <c r="F136" i="35" s="1"/>
  <c r="D135" i="35"/>
  <c r="B135" i="35"/>
  <c r="F135" i="35" s="1"/>
  <c r="D134" i="35"/>
  <c r="B134" i="35"/>
  <c r="F134" i="35" s="1"/>
  <c r="D133" i="35"/>
  <c r="B133" i="35"/>
  <c r="F133" i="35" s="1"/>
  <c r="D132" i="35"/>
  <c r="B132" i="35"/>
  <c r="F132" i="35" s="1"/>
  <c r="D131" i="35"/>
  <c r="B131" i="35"/>
  <c r="F131" i="35" s="1"/>
  <c r="D130" i="35"/>
  <c r="B130" i="35"/>
  <c r="F130" i="35" s="1"/>
  <c r="D129" i="35"/>
  <c r="B129" i="35"/>
  <c r="F129" i="35" s="1"/>
  <c r="D128" i="35"/>
  <c r="B128" i="35"/>
  <c r="F128" i="35" s="1"/>
  <c r="D127" i="35"/>
  <c r="B127" i="35"/>
  <c r="F127" i="35" s="1"/>
  <c r="D126" i="35"/>
  <c r="B126" i="35"/>
  <c r="F126" i="35" s="1"/>
  <c r="D125" i="35"/>
  <c r="B125" i="35"/>
  <c r="F125" i="35" s="1"/>
  <c r="D124" i="35"/>
  <c r="B124" i="35"/>
  <c r="F124" i="35" s="1"/>
  <c r="D123" i="35"/>
  <c r="B123" i="35"/>
  <c r="F123" i="35" s="1"/>
  <c r="D122" i="35"/>
  <c r="B122" i="35"/>
  <c r="F122" i="35" s="1"/>
  <c r="D121" i="35"/>
  <c r="B121" i="35"/>
  <c r="F121" i="35" s="1"/>
  <c r="D120" i="35"/>
  <c r="B120" i="35"/>
  <c r="F120" i="35" s="1"/>
  <c r="D119" i="35"/>
  <c r="B119" i="35"/>
  <c r="F119" i="35" s="1"/>
  <c r="D118" i="35"/>
  <c r="B118" i="35"/>
  <c r="F118" i="35" s="1"/>
  <c r="D117" i="35"/>
  <c r="B117" i="35"/>
  <c r="F117" i="35" s="1"/>
  <c r="D116" i="35"/>
  <c r="B116" i="35"/>
  <c r="F116" i="35" s="1"/>
  <c r="D115" i="35"/>
  <c r="B115" i="35"/>
  <c r="F115" i="35" s="1"/>
  <c r="D114" i="35"/>
  <c r="B114" i="35"/>
  <c r="F114" i="35" s="1"/>
  <c r="D113" i="35"/>
  <c r="B113" i="35"/>
  <c r="F113" i="35" s="1"/>
  <c r="D112" i="35"/>
  <c r="B112" i="35"/>
  <c r="F112" i="35" s="1"/>
  <c r="D111" i="35"/>
  <c r="B111" i="35"/>
  <c r="F111" i="35" s="1"/>
  <c r="D110" i="35"/>
  <c r="B110" i="35"/>
  <c r="F110" i="35" s="1"/>
  <c r="D109" i="35"/>
  <c r="B109" i="35"/>
  <c r="F109" i="35" s="1"/>
  <c r="D108" i="35"/>
  <c r="B108" i="35"/>
  <c r="F108" i="35" s="1"/>
  <c r="D107" i="35"/>
  <c r="B107" i="35"/>
  <c r="F107" i="35" s="1"/>
  <c r="D106" i="35"/>
  <c r="B106" i="35"/>
  <c r="F106" i="35" s="1"/>
  <c r="D105" i="35"/>
  <c r="B105" i="35"/>
  <c r="F105" i="35" s="1"/>
  <c r="D104" i="35"/>
  <c r="B104" i="35"/>
  <c r="F104" i="35" s="1"/>
  <c r="D103" i="35"/>
  <c r="B103" i="35"/>
  <c r="F103" i="35" s="1"/>
  <c r="D102" i="35"/>
  <c r="B102" i="35"/>
  <c r="F102" i="35" s="1"/>
  <c r="D101" i="35"/>
  <c r="B101" i="35"/>
  <c r="F101" i="35" s="1"/>
  <c r="D100" i="35"/>
  <c r="B100" i="35"/>
  <c r="F100" i="35" s="1"/>
  <c r="D99" i="35"/>
  <c r="B99" i="35"/>
  <c r="F99" i="35" s="1"/>
  <c r="D98" i="35"/>
  <c r="B98" i="35"/>
  <c r="F98" i="35" s="1"/>
  <c r="D97" i="35"/>
  <c r="B97" i="35"/>
  <c r="F97" i="35" s="1"/>
  <c r="D96" i="35"/>
  <c r="B96" i="35"/>
  <c r="F96" i="35" s="1"/>
  <c r="D95" i="35"/>
  <c r="B95" i="35"/>
  <c r="F95" i="35" s="1"/>
  <c r="D94" i="35"/>
  <c r="B94" i="35"/>
  <c r="F94" i="35" s="1"/>
  <c r="D93" i="35"/>
  <c r="B93" i="35"/>
  <c r="F93" i="35" s="1"/>
  <c r="D92" i="35"/>
  <c r="B92" i="35"/>
  <c r="F92" i="35" s="1"/>
  <c r="D91" i="35"/>
  <c r="B91" i="35"/>
  <c r="F91" i="35" s="1"/>
  <c r="D90" i="35"/>
  <c r="B90" i="35"/>
  <c r="F90" i="35" s="1"/>
  <c r="D89" i="35"/>
  <c r="B89" i="35"/>
  <c r="F89" i="35" s="1"/>
  <c r="D88" i="35"/>
  <c r="B88" i="35"/>
  <c r="F88" i="35" s="1"/>
  <c r="D87" i="35"/>
  <c r="B87" i="35"/>
  <c r="F87" i="35" s="1"/>
  <c r="D86" i="35"/>
  <c r="B86" i="35"/>
  <c r="F86" i="35" s="1"/>
  <c r="D85" i="35"/>
  <c r="B85" i="35"/>
  <c r="F85" i="35" s="1"/>
  <c r="D84" i="35"/>
  <c r="B84" i="35"/>
  <c r="F84" i="35" s="1"/>
  <c r="D83" i="35"/>
  <c r="B83" i="35"/>
  <c r="F83" i="35" s="1"/>
  <c r="D82" i="35"/>
  <c r="B82" i="35"/>
  <c r="F82" i="35" s="1"/>
  <c r="D81" i="35"/>
  <c r="B81" i="35"/>
  <c r="F81" i="35" s="1"/>
  <c r="D80" i="35"/>
  <c r="B80" i="35"/>
  <c r="F80" i="35" s="1"/>
  <c r="D79" i="35"/>
  <c r="B79" i="35"/>
  <c r="F79" i="35" s="1"/>
  <c r="D78" i="35"/>
  <c r="B78" i="35"/>
  <c r="F78" i="35" s="1"/>
  <c r="D77" i="35"/>
  <c r="B77" i="35"/>
  <c r="F77" i="35" s="1"/>
  <c r="D76" i="35"/>
  <c r="B76" i="35"/>
  <c r="F76" i="35" s="1"/>
  <c r="D75" i="35"/>
  <c r="B75" i="35"/>
  <c r="F75" i="35" s="1"/>
  <c r="D74" i="35"/>
  <c r="B74" i="35"/>
  <c r="F74" i="35" s="1"/>
  <c r="D73" i="35"/>
  <c r="B73" i="35"/>
  <c r="F73" i="35" s="1"/>
  <c r="D72" i="35"/>
  <c r="B72" i="35"/>
  <c r="F72" i="35" s="1"/>
  <c r="D71" i="35"/>
  <c r="B71" i="35"/>
  <c r="F71" i="35" s="1"/>
  <c r="D70" i="35"/>
  <c r="B70" i="35"/>
  <c r="F70" i="35" s="1"/>
  <c r="D69" i="35"/>
  <c r="B69" i="35"/>
  <c r="F69" i="35" s="1"/>
  <c r="D68" i="35"/>
  <c r="B68" i="35"/>
  <c r="F68" i="35" s="1"/>
  <c r="D67" i="35"/>
  <c r="B67" i="35"/>
  <c r="F67" i="35" s="1"/>
  <c r="D66" i="35"/>
  <c r="B66" i="35"/>
  <c r="F66" i="35" s="1"/>
  <c r="D65" i="35"/>
  <c r="B65" i="35"/>
  <c r="F65" i="35" s="1"/>
  <c r="D64" i="35"/>
  <c r="B64" i="35"/>
  <c r="F64" i="35" s="1"/>
  <c r="D63" i="35"/>
  <c r="B63" i="35"/>
  <c r="F63" i="35" s="1"/>
  <c r="D62" i="35"/>
  <c r="B62" i="35"/>
  <c r="F62" i="35" s="1"/>
  <c r="D61" i="35"/>
  <c r="B61" i="35"/>
  <c r="F61" i="35" s="1"/>
  <c r="D60" i="35"/>
  <c r="B60" i="35"/>
  <c r="F60" i="35" s="1"/>
  <c r="D59" i="35"/>
  <c r="B59" i="35"/>
  <c r="F59" i="35" s="1"/>
  <c r="D58" i="35"/>
  <c r="B58" i="35"/>
  <c r="F58" i="35" s="1"/>
  <c r="D57" i="35"/>
  <c r="B57" i="35"/>
  <c r="F57" i="35" s="1"/>
  <c r="D56" i="35"/>
  <c r="B56" i="35"/>
  <c r="F56" i="35" s="1"/>
  <c r="D55" i="35"/>
  <c r="B55" i="35"/>
  <c r="F55" i="35" s="1"/>
  <c r="D54" i="35"/>
  <c r="B54" i="35"/>
  <c r="F54" i="35" s="1"/>
  <c r="D53" i="35"/>
  <c r="B53" i="35"/>
  <c r="F53" i="35" s="1"/>
  <c r="D52" i="35"/>
  <c r="B52" i="35"/>
  <c r="F52" i="35" s="1"/>
  <c r="D51" i="35"/>
  <c r="B51" i="35"/>
  <c r="F51" i="35" s="1"/>
  <c r="D50" i="35"/>
  <c r="B50" i="35"/>
  <c r="F50" i="35" s="1"/>
  <c r="D49" i="35"/>
  <c r="B49" i="35"/>
  <c r="F49" i="35" s="1"/>
  <c r="D48" i="35"/>
  <c r="B48" i="35"/>
  <c r="F48" i="35" s="1"/>
  <c r="D47" i="35"/>
  <c r="B47" i="35"/>
  <c r="F47" i="35" s="1"/>
  <c r="D46" i="35"/>
  <c r="B46" i="35"/>
  <c r="F46" i="35" s="1"/>
  <c r="D45" i="35"/>
  <c r="B45" i="35"/>
  <c r="F45" i="35" s="1"/>
  <c r="D44" i="35"/>
  <c r="B44" i="35"/>
  <c r="F44" i="35" s="1"/>
  <c r="D43" i="35"/>
  <c r="B43" i="35"/>
  <c r="F43" i="35" s="1"/>
  <c r="D42" i="35"/>
  <c r="B42" i="35"/>
  <c r="F42" i="35" s="1"/>
  <c r="D41" i="35"/>
  <c r="B41" i="35"/>
  <c r="F41" i="35" s="1"/>
  <c r="D40" i="35"/>
  <c r="B40" i="35"/>
  <c r="F40" i="35" s="1"/>
  <c r="D39" i="35"/>
  <c r="B39" i="35"/>
  <c r="F39" i="35" s="1"/>
  <c r="D38" i="35"/>
  <c r="B38" i="35"/>
  <c r="F38" i="35" s="1"/>
  <c r="D37" i="35"/>
  <c r="B37" i="35"/>
  <c r="F37" i="35" s="1"/>
  <c r="D36" i="35"/>
  <c r="B36" i="35"/>
  <c r="F36" i="35" s="1"/>
  <c r="D35" i="35"/>
  <c r="B35" i="35"/>
  <c r="F35" i="35" s="1"/>
  <c r="D34" i="35"/>
  <c r="B34" i="35"/>
  <c r="F34" i="35" s="1"/>
  <c r="D33" i="35"/>
  <c r="B33" i="35"/>
  <c r="F33" i="35" s="1"/>
  <c r="D32" i="35"/>
  <c r="B32" i="35"/>
  <c r="F32" i="35" s="1"/>
  <c r="D31" i="35"/>
  <c r="B31" i="35"/>
  <c r="F31" i="35" s="1"/>
  <c r="D30" i="35"/>
  <c r="B30" i="35"/>
  <c r="F30" i="35" s="1"/>
  <c r="D29" i="35"/>
  <c r="B29" i="35"/>
  <c r="F29" i="35" s="1"/>
  <c r="D28" i="35"/>
  <c r="B28" i="35"/>
  <c r="F28" i="35" s="1"/>
  <c r="D27" i="35"/>
  <c r="B27" i="35"/>
  <c r="F27" i="35" s="1"/>
  <c r="D26" i="35"/>
  <c r="B26" i="35"/>
  <c r="F26" i="35" s="1"/>
  <c r="D25" i="35"/>
  <c r="B25" i="35"/>
  <c r="F25" i="35" s="1"/>
  <c r="D24" i="35"/>
  <c r="B24" i="35"/>
  <c r="F24" i="35" s="1"/>
  <c r="D23" i="35"/>
  <c r="B23" i="35"/>
  <c r="F23" i="35" s="1"/>
  <c r="D22" i="35"/>
  <c r="B22" i="35"/>
  <c r="F22" i="35" s="1"/>
  <c r="D21" i="35"/>
  <c r="B21" i="35"/>
  <c r="F21" i="35" s="1"/>
  <c r="D20" i="35"/>
  <c r="B20" i="35"/>
  <c r="F20" i="35" s="1"/>
  <c r="D19" i="35"/>
  <c r="B19" i="35"/>
  <c r="F19" i="35" s="1"/>
  <c r="D18" i="35"/>
  <c r="B18" i="35"/>
  <c r="F18" i="35" s="1"/>
  <c r="D17" i="35"/>
  <c r="B17" i="35"/>
  <c r="F17" i="35" s="1"/>
  <c r="D16" i="35"/>
  <c r="B16" i="35"/>
  <c r="F16" i="35" s="1"/>
  <c r="D15" i="35"/>
  <c r="B15" i="35"/>
  <c r="F15" i="35" s="1"/>
  <c r="D14" i="35"/>
  <c r="B14" i="35"/>
  <c r="F14" i="35" s="1"/>
  <c r="D13" i="35"/>
  <c r="B13" i="35"/>
  <c r="F13" i="35" s="1"/>
  <c r="D12" i="35"/>
  <c r="B12" i="35"/>
  <c r="F12" i="35" s="1"/>
  <c r="D11" i="35"/>
  <c r="B11" i="35"/>
  <c r="F11" i="35" s="1"/>
  <c r="D10" i="35"/>
  <c r="B10" i="35"/>
  <c r="F10" i="35" s="1"/>
  <c r="D9" i="35"/>
  <c r="B9" i="35"/>
  <c r="F9" i="35" s="1"/>
  <c r="D8" i="35"/>
  <c r="B8" i="35"/>
  <c r="F8" i="35" s="1"/>
  <c r="D7" i="35"/>
  <c r="B7" i="35"/>
  <c r="F7" i="35" s="1"/>
  <c r="D6" i="35"/>
  <c r="B6" i="35"/>
  <c r="F6" i="35" s="1"/>
  <c r="D5" i="35"/>
  <c r="B5" i="35"/>
  <c r="F5" i="35" s="1"/>
  <c r="D4" i="35"/>
  <c r="B4" i="35"/>
  <c r="F4" i="35" s="1"/>
  <c r="D3" i="35"/>
  <c r="B3" i="35"/>
  <c r="F3" i="35" s="1"/>
  <c r="I2" i="35"/>
  <c r="H2" i="35"/>
  <c r="G2" i="35"/>
  <c r="D15" i="8"/>
  <c r="C15" i="8"/>
  <c r="B15" i="8"/>
  <c r="A13" i="8"/>
  <c r="A20" i="8" s="1"/>
  <c r="A12" i="8"/>
  <c r="C282" i="38" s="1"/>
  <c r="A11" i="8"/>
  <c r="C280" i="38" s="1"/>
  <c r="A10" i="8"/>
  <c r="A3" i="53" s="1"/>
  <c r="A9" i="8"/>
  <c r="A16" i="8" s="1"/>
  <c r="D8" i="8"/>
  <c r="C8" i="8"/>
  <c r="B8" i="8"/>
  <c r="D3" i="8"/>
  <c r="C3" i="8"/>
  <c r="B3" i="8"/>
  <c r="I55" i="39"/>
  <c r="N55" i="39" s="1"/>
  <c r="F55" i="39"/>
  <c r="A55" i="39"/>
  <c r="I54" i="39"/>
  <c r="N54" i="39" s="1"/>
  <c r="F54" i="39"/>
  <c r="A54" i="39"/>
  <c r="M53" i="39"/>
  <c r="L53" i="39"/>
  <c r="K53" i="39"/>
  <c r="I53" i="39"/>
  <c r="N53" i="39" s="1"/>
  <c r="F53" i="39"/>
  <c r="E53" i="39"/>
  <c r="D53" i="39"/>
  <c r="C53" i="39"/>
  <c r="A53" i="39"/>
  <c r="I52" i="39"/>
  <c r="N52" i="39" s="1"/>
  <c r="F52" i="39"/>
  <c r="A52" i="39"/>
  <c r="I51" i="39"/>
  <c r="N51" i="39" s="1"/>
  <c r="F51" i="39"/>
  <c r="A51" i="39"/>
  <c r="N50" i="39"/>
  <c r="I50" i="39"/>
  <c r="F50" i="39"/>
  <c r="A50" i="39"/>
  <c r="I49" i="39"/>
  <c r="N49" i="39" s="1"/>
  <c r="F49" i="39"/>
  <c r="A49" i="39"/>
  <c r="N48" i="39"/>
  <c r="I48" i="39"/>
  <c r="F48" i="39"/>
  <c r="A48" i="39"/>
  <c r="N47" i="39"/>
  <c r="I47" i="39"/>
  <c r="F47" i="39"/>
  <c r="A47" i="39"/>
  <c r="I46" i="39"/>
  <c r="N46" i="39" s="1"/>
  <c r="F46" i="39"/>
  <c r="A46" i="39"/>
  <c r="N45" i="39"/>
  <c r="I45" i="39"/>
  <c r="F45" i="39"/>
  <c r="A45" i="39"/>
  <c r="N44" i="39"/>
  <c r="I44" i="39"/>
  <c r="F44" i="39"/>
  <c r="A44" i="39"/>
  <c r="I43" i="39"/>
  <c r="N43" i="39" s="1"/>
  <c r="F43" i="39"/>
  <c r="A43" i="39"/>
  <c r="N42" i="39"/>
  <c r="I42" i="39"/>
  <c r="F42" i="39"/>
  <c r="A42" i="39"/>
  <c r="N41" i="39"/>
  <c r="I41" i="39"/>
  <c r="F41" i="39"/>
  <c r="A41" i="39"/>
  <c r="I40" i="39"/>
  <c r="N40" i="39" s="1"/>
  <c r="F40" i="39"/>
  <c r="A40" i="39"/>
  <c r="N39" i="39"/>
  <c r="I39" i="39"/>
  <c r="F39" i="39"/>
  <c r="A39" i="39"/>
  <c r="M38" i="39"/>
  <c r="L38" i="39"/>
  <c r="K38" i="39"/>
  <c r="E38" i="39"/>
  <c r="D38" i="39"/>
  <c r="C38" i="39"/>
  <c r="N29" i="39"/>
  <c r="O28" i="39"/>
  <c r="I28" i="39"/>
  <c r="P28" i="39" s="1"/>
  <c r="Q28" i="39" s="1"/>
  <c r="H28" i="39"/>
  <c r="C28" i="39"/>
  <c r="O27" i="39"/>
  <c r="I27" i="39"/>
  <c r="P27" i="39" s="1"/>
  <c r="Q27" i="39" s="1"/>
  <c r="H27" i="39"/>
  <c r="C27" i="39"/>
  <c r="O26" i="39"/>
  <c r="I26" i="39"/>
  <c r="P26" i="39" s="1"/>
  <c r="Q26" i="39" s="1"/>
  <c r="H26" i="39"/>
  <c r="C26" i="39"/>
  <c r="O25" i="39"/>
  <c r="I25" i="39"/>
  <c r="P25" i="39" s="1"/>
  <c r="Q25" i="39" s="1"/>
  <c r="H25" i="39"/>
  <c r="C25" i="39"/>
  <c r="O24" i="39"/>
  <c r="I24" i="39"/>
  <c r="O51" i="39" s="1"/>
  <c r="H24" i="39"/>
  <c r="C24" i="39"/>
  <c r="O23" i="39"/>
  <c r="I23" i="39"/>
  <c r="P23" i="39" s="1"/>
  <c r="Q23" i="39" s="1"/>
  <c r="H23" i="39"/>
  <c r="C23" i="39"/>
  <c r="O22" i="39"/>
  <c r="N22" i="39"/>
  <c r="I22" i="39"/>
  <c r="O49" i="39" s="1"/>
  <c r="H22" i="39"/>
  <c r="C22" i="39"/>
  <c r="O21" i="39"/>
  <c r="I21" i="39"/>
  <c r="P21" i="39" s="1"/>
  <c r="Q21" i="39" s="1"/>
  <c r="H21" i="39"/>
  <c r="C21" i="39"/>
  <c r="O20" i="39"/>
  <c r="I20" i="39"/>
  <c r="O47" i="39" s="1"/>
  <c r="H20" i="39"/>
  <c r="C20" i="39"/>
  <c r="O19" i="39"/>
  <c r="N19" i="39"/>
  <c r="I19" i="39"/>
  <c r="G46" i="39" s="1"/>
  <c r="H19" i="39"/>
  <c r="C19" i="39"/>
  <c r="O18" i="39"/>
  <c r="N18" i="39"/>
  <c r="I18" i="39"/>
  <c r="O45" i="39" s="1"/>
  <c r="H18" i="39"/>
  <c r="C18" i="39"/>
  <c r="I17" i="39"/>
  <c r="O44" i="39" s="1"/>
  <c r="H17" i="39"/>
  <c r="I16" i="39"/>
  <c r="G43" i="39" s="1"/>
  <c r="H16" i="39"/>
  <c r="N15" i="39"/>
  <c r="I15" i="39"/>
  <c r="G42" i="39" s="1"/>
  <c r="H15" i="39"/>
  <c r="I14" i="39"/>
  <c r="O41" i="39" s="1"/>
  <c r="H14" i="39"/>
  <c r="N13" i="39"/>
  <c r="I13" i="39"/>
  <c r="O40" i="39" s="1"/>
  <c r="H13" i="39"/>
  <c r="N12" i="39"/>
  <c r="I12" i="39"/>
  <c r="O39" i="39" s="1"/>
  <c r="H12" i="39"/>
  <c r="L11" i="39"/>
  <c r="K11" i="39"/>
  <c r="J11" i="39"/>
  <c r="E11" i="39"/>
  <c r="D11" i="39"/>
  <c r="C11" i="39"/>
  <c r="AC2" i="39"/>
  <c r="AB2" i="39"/>
  <c r="AA2" i="39"/>
  <c r="D2" i="39"/>
  <c r="C2" i="39"/>
  <c r="B2" i="39"/>
  <c r="D31" i="6"/>
  <c r="C31" i="6"/>
  <c r="B31" i="6"/>
  <c r="D30" i="6"/>
  <c r="C30" i="6"/>
  <c r="D29" i="6"/>
  <c r="C29" i="6"/>
  <c r="D28" i="6"/>
  <c r="C28" i="6"/>
  <c r="D27" i="6"/>
  <c r="C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D18" i="6"/>
  <c r="C18" i="6"/>
  <c r="D17" i="6"/>
  <c r="C17" i="6"/>
  <c r="D16" i="6"/>
  <c r="C16" i="6"/>
  <c r="B16" i="6"/>
  <c r="D13" i="6"/>
  <c r="C13" i="6"/>
  <c r="D12" i="6"/>
  <c r="C12" i="6"/>
  <c r="B12" i="6"/>
  <c r="D11" i="6"/>
  <c r="C11" i="6"/>
  <c r="B11" i="6"/>
  <c r="F7" i="6"/>
  <c r="F6" i="6"/>
  <c r="F5" i="6"/>
  <c r="J4" i="6"/>
  <c r="I4" i="6"/>
  <c r="H4" i="6"/>
  <c r="D4" i="6"/>
  <c r="C4" i="6"/>
  <c r="B4" i="6"/>
  <c r="G13" i="32"/>
  <c r="F13" i="32"/>
  <c r="E13" i="32"/>
  <c r="D13" i="32"/>
  <c r="C13" i="32"/>
  <c r="B13" i="32"/>
  <c r="G12" i="32"/>
  <c r="F12" i="32"/>
  <c r="E12" i="32"/>
  <c r="D12" i="32"/>
  <c r="C12" i="32"/>
  <c r="B12" i="32"/>
  <c r="G11" i="32"/>
  <c r="F11" i="32"/>
  <c r="E11" i="32"/>
  <c r="D11" i="32"/>
  <c r="C11" i="32"/>
  <c r="B11" i="32"/>
  <c r="E7" i="32"/>
  <c r="D7" i="32"/>
  <c r="C7" i="32"/>
  <c r="E6" i="32"/>
  <c r="D6" i="32"/>
  <c r="C6" i="32"/>
  <c r="E5" i="32"/>
  <c r="D5" i="32"/>
  <c r="C5" i="32"/>
  <c r="E4" i="32"/>
  <c r="D4" i="32"/>
  <c r="C4" i="32"/>
  <c r="E3" i="32"/>
  <c r="D3" i="32"/>
  <c r="C3" i="32"/>
  <c r="AJ310" i="72"/>
  <c r="AJ309" i="72"/>
  <c r="AI309" i="72"/>
  <c r="AJ308" i="72"/>
  <c r="AI308" i="72"/>
  <c r="AH308" i="72"/>
  <c r="AJ307" i="72"/>
  <c r="AI307" i="72"/>
  <c r="AH307" i="72"/>
  <c r="AG307" i="72"/>
  <c r="AJ306" i="72"/>
  <c r="AI306" i="72"/>
  <c r="AH306" i="72"/>
  <c r="AG306" i="72"/>
  <c r="AF306" i="72"/>
  <c r="AJ305" i="72"/>
  <c r="AI305" i="72"/>
  <c r="AH305" i="72"/>
  <c r="AG305" i="72"/>
  <c r="AF305" i="72"/>
  <c r="AE305" i="72"/>
  <c r="AJ304" i="72"/>
  <c r="AI304" i="72"/>
  <c r="AH304" i="72"/>
  <c r="AG304" i="72"/>
  <c r="AF304" i="72"/>
  <c r="AE304" i="72"/>
  <c r="AD304" i="72"/>
  <c r="AJ303" i="72"/>
  <c r="AI303" i="72"/>
  <c r="AH303" i="72"/>
  <c r="AG303" i="72"/>
  <c r="AF303" i="72"/>
  <c r="AE303" i="72"/>
  <c r="AD303" i="72"/>
  <c r="AC303" i="72"/>
  <c r="AJ302" i="72"/>
  <c r="AI302" i="72"/>
  <c r="AH302" i="72"/>
  <c r="AG302" i="72"/>
  <c r="AF302" i="72"/>
  <c r="AE302" i="72"/>
  <c r="AD302" i="72"/>
  <c r="AC302" i="72"/>
  <c r="AB302" i="72"/>
  <c r="AJ301" i="72"/>
  <c r="AI301" i="72"/>
  <c r="AH301" i="72"/>
  <c r="AG301" i="72"/>
  <c r="AF301" i="72"/>
  <c r="AE301" i="72"/>
  <c r="AD301" i="72"/>
  <c r="AC301" i="72"/>
  <c r="AB301" i="72"/>
  <c r="AA301" i="72"/>
  <c r="AJ300" i="72"/>
  <c r="AI300" i="72"/>
  <c r="AH300" i="72"/>
  <c r="AG300" i="72"/>
  <c r="AF300" i="72"/>
  <c r="AE300" i="72"/>
  <c r="AD300" i="72"/>
  <c r="AC300" i="72"/>
  <c r="AB300" i="72"/>
  <c r="AA300" i="72"/>
  <c r="Z300" i="72"/>
  <c r="AJ299" i="72"/>
  <c r="AI299" i="72"/>
  <c r="AH299" i="72"/>
  <c r="AG299" i="72"/>
  <c r="AF299" i="72"/>
  <c r="AE299" i="72"/>
  <c r="AD299" i="72"/>
  <c r="AC299" i="72"/>
  <c r="AB299" i="72"/>
  <c r="AA299" i="72"/>
  <c r="Z299" i="72"/>
  <c r="Y299" i="72"/>
  <c r="AJ298" i="72"/>
  <c r="AI298" i="72"/>
  <c r="AH298" i="72"/>
  <c r="AG298" i="72"/>
  <c r="AF298" i="72"/>
  <c r="AE298" i="72"/>
  <c r="AD298" i="72"/>
  <c r="AC298" i="72"/>
  <c r="AB298" i="72"/>
  <c r="AA298" i="72"/>
  <c r="Z298" i="72"/>
  <c r="Y298" i="72"/>
  <c r="X298" i="72"/>
  <c r="AJ297" i="72"/>
  <c r="AI297" i="72"/>
  <c r="AH297" i="72"/>
  <c r="AG297" i="72"/>
  <c r="AF297" i="72"/>
  <c r="AE297" i="72"/>
  <c r="AD297" i="72"/>
  <c r="AC297" i="72"/>
  <c r="AB297" i="72"/>
  <c r="AA297" i="72"/>
  <c r="Z297" i="72"/>
  <c r="Y297" i="72"/>
  <c r="X297" i="72"/>
  <c r="W297" i="72"/>
  <c r="AJ296" i="72"/>
  <c r="AI296" i="72"/>
  <c r="AH296" i="72"/>
  <c r="AG296" i="72"/>
  <c r="AF296" i="72"/>
  <c r="AE296" i="72"/>
  <c r="AD296" i="72"/>
  <c r="AC296" i="72"/>
  <c r="AB296" i="72"/>
  <c r="AA296" i="72"/>
  <c r="Z296" i="72"/>
  <c r="Y296" i="72"/>
  <c r="X296" i="72"/>
  <c r="W296" i="72"/>
  <c r="V296" i="72"/>
  <c r="AJ295" i="72"/>
  <c r="AI295" i="72"/>
  <c r="AH295" i="72"/>
  <c r="AG295" i="72"/>
  <c r="AF295" i="72"/>
  <c r="AE295" i="72"/>
  <c r="AD295" i="72"/>
  <c r="AC295" i="72"/>
  <c r="AB295" i="72"/>
  <c r="AA295" i="72"/>
  <c r="Z295" i="72"/>
  <c r="Y295" i="72"/>
  <c r="X295" i="72"/>
  <c r="W295" i="72"/>
  <c r="V295" i="72"/>
  <c r="U295" i="72"/>
  <c r="AJ294" i="72"/>
  <c r="AI294" i="72"/>
  <c r="AH294" i="72"/>
  <c r="AG294" i="72"/>
  <c r="AF294" i="72"/>
  <c r="AE294" i="72"/>
  <c r="AD294" i="72"/>
  <c r="AC294" i="72"/>
  <c r="AB294" i="72"/>
  <c r="AA294" i="72"/>
  <c r="Z294" i="72"/>
  <c r="Y294" i="72"/>
  <c r="X294" i="72"/>
  <c r="W294" i="72"/>
  <c r="V294" i="72"/>
  <c r="U294" i="72"/>
  <c r="T294" i="72"/>
  <c r="AJ293" i="72"/>
  <c r="AI293" i="72"/>
  <c r="AH293" i="72"/>
  <c r="AG293" i="72"/>
  <c r="AF293" i="72"/>
  <c r="AE293" i="72"/>
  <c r="AD293" i="72"/>
  <c r="AC293" i="72"/>
  <c r="AB293" i="72"/>
  <c r="AA293" i="72"/>
  <c r="Z293" i="72"/>
  <c r="Y293" i="72"/>
  <c r="X293" i="72"/>
  <c r="W293" i="72"/>
  <c r="V293" i="72"/>
  <c r="U293" i="72"/>
  <c r="T293" i="72"/>
  <c r="S293" i="72"/>
  <c r="AJ292" i="72"/>
  <c r="AI292" i="72"/>
  <c r="AH292" i="72"/>
  <c r="AG292" i="72"/>
  <c r="AF292" i="72"/>
  <c r="AE292" i="72"/>
  <c r="AD292" i="72"/>
  <c r="AC292" i="72"/>
  <c r="AB292" i="72"/>
  <c r="AA292" i="72"/>
  <c r="Z292" i="72"/>
  <c r="Y292" i="72"/>
  <c r="X292" i="72"/>
  <c r="W292" i="72"/>
  <c r="V292" i="72"/>
  <c r="U292" i="72"/>
  <c r="T292" i="72"/>
  <c r="S292" i="72"/>
  <c r="R292" i="72"/>
  <c r="AJ291" i="72"/>
  <c r="AI291" i="72"/>
  <c r="AH291" i="72"/>
  <c r="AG291" i="72"/>
  <c r="AF291" i="72"/>
  <c r="AE291" i="72"/>
  <c r="AD291" i="72"/>
  <c r="AC291" i="72"/>
  <c r="AB291" i="72"/>
  <c r="AA291" i="72"/>
  <c r="Z291" i="72"/>
  <c r="Y291" i="72"/>
  <c r="X291" i="72"/>
  <c r="W291" i="72"/>
  <c r="V291" i="72"/>
  <c r="U291" i="72"/>
  <c r="T291" i="72"/>
  <c r="S291" i="72"/>
  <c r="R291" i="72"/>
  <c r="Q291" i="72"/>
  <c r="AJ290" i="72"/>
  <c r="AI290" i="72"/>
  <c r="AH290" i="72"/>
  <c r="AG290" i="72"/>
  <c r="AF290" i="72"/>
  <c r="AE290" i="72"/>
  <c r="AD290" i="72"/>
  <c r="AC290" i="72"/>
  <c r="AB290" i="72"/>
  <c r="AA290" i="72"/>
  <c r="Z290" i="72"/>
  <c r="Y290" i="72"/>
  <c r="X290" i="72"/>
  <c r="W290" i="72"/>
  <c r="V290" i="72"/>
  <c r="U290" i="72"/>
  <c r="T290" i="72"/>
  <c r="S290" i="72"/>
  <c r="R290" i="72"/>
  <c r="Q290" i="72"/>
  <c r="P290" i="72"/>
  <c r="AJ289" i="72"/>
  <c r="AI289" i="72"/>
  <c r="AH289" i="72"/>
  <c r="AG289" i="72"/>
  <c r="AF289" i="72"/>
  <c r="AE289" i="72"/>
  <c r="AD289" i="72"/>
  <c r="AC289" i="72"/>
  <c r="AB289" i="72"/>
  <c r="AA289" i="72"/>
  <c r="Z289" i="72"/>
  <c r="Y289" i="72"/>
  <c r="X289" i="72"/>
  <c r="W289" i="72"/>
  <c r="V289" i="72"/>
  <c r="U289" i="72"/>
  <c r="T289" i="72"/>
  <c r="S289" i="72"/>
  <c r="R289" i="72"/>
  <c r="Q289" i="72"/>
  <c r="P289" i="72"/>
  <c r="O289" i="72"/>
  <c r="AJ288" i="72"/>
  <c r="AI288" i="72"/>
  <c r="AH288" i="72"/>
  <c r="AG288" i="72"/>
  <c r="AF288" i="72"/>
  <c r="AE288" i="72"/>
  <c r="AD288" i="72"/>
  <c r="AC288" i="72"/>
  <c r="AB288" i="72"/>
  <c r="AA288" i="72"/>
  <c r="Z288" i="72"/>
  <c r="Y288" i="72"/>
  <c r="X288" i="72"/>
  <c r="W288" i="72"/>
  <c r="V288" i="72"/>
  <c r="U288" i="72"/>
  <c r="T288" i="72"/>
  <c r="S288" i="72"/>
  <c r="R288" i="72"/>
  <c r="Q288" i="72"/>
  <c r="P288" i="72"/>
  <c r="O288" i="72"/>
  <c r="N288" i="72"/>
  <c r="AJ287" i="72"/>
  <c r="AI287" i="72"/>
  <c r="AH287" i="72"/>
  <c r="AG287" i="72"/>
  <c r="AF287" i="72"/>
  <c r="AE287" i="72"/>
  <c r="AD287" i="72"/>
  <c r="AC287" i="72"/>
  <c r="AB287" i="72"/>
  <c r="AA287" i="72"/>
  <c r="Z287" i="72"/>
  <c r="Y287" i="72"/>
  <c r="X287" i="72"/>
  <c r="W287" i="72"/>
  <c r="V287" i="72"/>
  <c r="U287" i="72"/>
  <c r="T287" i="72"/>
  <c r="S287" i="72"/>
  <c r="R287" i="72"/>
  <c r="Q287" i="72"/>
  <c r="P287" i="72"/>
  <c r="O287" i="72"/>
  <c r="N287" i="72"/>
  <c r="M287" i="72"/>
  <c r="AJ286" i="72"/>
  <c r="AI286" i="72"/>
  <c r="AH286" i="72"/>
  <c r="AG286" i="72"/>
  <c r="AF286" i="72"/>
  <c r="AE286" i="72"/>
  <c r="AD286" i="72"/>
  <c r="AC286" i="72"/>
  <c r="AB286" i="72"/>
  <c r="AA286" i="72"/>
  <c r="Z286" i="72"/>
  <c r="Y286" i="72"/>
  <c r="X286" i="72"/>
  <c r="W286" i="72"/>
  <c r="V286" i="72"/>
  <c r="U286" i="72"/>
  <c r="T286" i="72"/>
  <c r="S286" i="72"/>
  <c r="R286" i="72"/>
  <c r="Q286" i="72"/>
  <c r="P286" i="72"/>
  <c r="O286" i="72"/>
  <c r="N286" i="72"/>
  <c r="M286" i="72"/>
  <c r="L286" i="72"/>
  <c r="AJ285" i="72"/>
  <c r="AI285" i="72"/>
  <c r="AH285" i="72"/>
  <c r="AG285" i="72"/>
  <c r="AF285" i="72"/>
  <c r="AE285" i="72"/>
  <c r="AD285" i="72"/>
  <c r="AC285" i="72"/>
  <c r="AB285" i="72"/>
  <c r="AA285" i="72"/>
  <c r="Z285" i="72"/>
  <c r="Y285" i="72"/>
  <c r="X285" i="72"/>
  <c r="W285" i="72"/>
  <c r="V285" i="72"/>
  <c r="U285" i="72"/>
  <c r="T285" i="72"/>
  <c r="S285" i="72"/>
  <c r="R285" i="72"/>
  <c r="Q285" i="72"/>
  <c r="P285" i="72"/>
  <c r="O285" i="72"/>
  <c r="N285" i="72"/>
  <c r="M285" i="72"/>
  <c r="L285" i="72"/>
  <c r="K285" i="72"/>
  <c r="AJ284" i="72"/>
  <c r="AI284" i="72"/>
  <c r="AH284" i="72"/>
  <c r="AG284" i="72"/>
  <c r="AF284" i="72"/>
  <c r="AE284" i="72"/>
  <c r="AD284" i="72"/>
  <c r="AC284" i="72"/>
  <c r="AB284" i="72"/>
  <c r="AA284" i="72"/>
  <c r="Z284" i="72"/>
  <c r="Y284" i="72"/>
  <c r="X284" i="72"/>
  <c r="W284" i="72"/>
  <c r="V284" i="72"/>
  <c r="U284" i="72"/>
  <c r="T284" i="72"/>
  <c r="S284" i="72"/>
  <c r="R284" i="72"/>
  <c r="Q284" i="72"/>
  <c r="P284" i="72"/>
  <c r="O284" i="72"/>
  <c r="N284" i="72"/>
  <c r="M284" i="72"/>
  <c r="L284" i="72"/>
  <c r="K284" i="72"/>
  <c r="J284" i="72"/>
  <c r="AJ283" i="72"/>
  <c r="AI283" i="72"/>
  <c r="AH283" i="72"/>
  <c r="AG283" i="72"/>
  <c r="AF283" i="72"/>
  <c r="AE283" i="72"/>
  <c r="AD283" i="72"/>
  <c r="AC283" i="72"/>
  <c r="AB283" i="72"/>
  <c r="AA283" i="72"/>
  <c r="Z283" i="72"/>
  <c r="Y283" i="72"/>
  <c r="X283" i="72"/>
  <c r="W283" i="72"/>
  <c r="V283" i="72"/>
  <c r="U283" i="72"/>
  <c r="T283" i="72"/>
  <c r="S283" i="72"/>
  <c r="R283" i="72"/>
  <c r="Q283" i="72"/>
  <c r="P283" i="72"/>
  <c r="O283" i="72"/>
  <c r="N283" i="72"/>
  <c r="M283" i="72"/>
  <c r="L283" i="72"/>
  <c r="K283" i="72"/>
  <c r="J283" i="72"/>
  <c r="I283" i="72"/>
  <c r="AJ282" i="72"/>
  <c r="AI282" i="72"/>
  <c r="AH282" i="72"/>
  <c r="AG282" i="72"/>
  <c r="AF282" i="72"/>
  <c r="AE282" i="72"/>
  <c r="AD282" i="72"/>
  <c r="AC282" i="72"/>
  <c r="AB282" i="72"/>
  <c r="AA282" i="72"/>
  <c r="Z282" i="72"/>
  <c r="Y282" i="72"/>
  <c r="X282" i="72"/>
  <c r="W282" i="72"/>
  <c r="V282" i="72"/>
  <c r="U282" i="72"/>
  <c r="T282" i="72"/>
  <c r="S282" i="72"/>
  <c r="R282" i="72"/>
  <c r="Q282" i="72"/>
  <c r="P282" i="72"/>
  <c r="O282" i="72"/>
  <c r="N282" i="72"/>
  <c r="M282" i="72"/>
  <c r="L282" i="72"/>
  <c r="K282" i="72"/>
  <c r="J282" i="72"/>
  <c r="I282" i="72"/>
  <c r="H282" i="72"/>
  <c r="AJ281" i="72"/>
  <c r="AI281" i="72"/>
  <c r="AH281" i="72"/>
  <c r="AG281" i="72"/>
  <c r="AF281" i="72"/>
  <c r="AE281" i="72"/>
  <c r="AD281" i="72"/>
  <c r="AC281" i="72"/>
  <c r="AB281" i="72"/>
  <c r="AA281" i="72"/>
  <c r="Z281" i="72"/>
  <c r="Y281" i="72"/>
  <c r="X281" i="72"/>
  <c r="W281" i="72"/>
  <c r="V281" i="72"/>
  <c r="U281" i="72"/>
  <c r="T281" i="72"/>
  <c r="S281" i="72"/>
  <c r="R281" i="72"/>
  <c r="Q281" i="72"/>
  <c r="P281" i="72"/>
  <c r="O281" i="72"/>
  <c r="N281" i="72"/>
  <c r="M281" i="72"/>
  <c r="L281" i="72"/>
  <c r="K281" i="72"/>
  <c r="J281" i="72"/>
  <c r="I281" i="72"/>
  <c r="H281" i="72"/>
  <c r="G281" i="72"/>
  <c r="AJ279" i="72"/>
  <c r="AJ278" i="72"/>
  <c r="AI278" i="72"/>
  <c r="AJ277" i="72"/>
  <c r="AI277" i="72"/>
  <c r="AH277" i="72"/>
  <c r="AJ276" i="72"/>
  <c r="AI276" i="72"/>
  <c r="AH276" i="72"/>
  <c r="AG276" i="72"/>
  <c r="AJ275" i="72"/>
  <c r="AI275" i="72"/>
  <c r="AH275" i="72"/>
  <c r="AG275" i="72"/>
  <c r="AF275" i="72"/>
  <c r="AJ274" i="72"/>
  <c r="AI274" i="72"/>
  <c r="AH274" i="72"/>
  <c r="AG274" i="72"/>
  <c r="AF274" i="72"/>
  <c r="AE274" i="72"/>
  <c r="AJ273" i="72"/>
  <c r="AI273" i="72"/>
  <c r="AH273" i="72"/>
  <c r="AG273" i="72"/>
  <c r="AF273" i="72"/>
  <c r="AE273" i="72"/>
  <c r="AD273" i="72"/>
  <c r="AJ272" i="72"/>
  <c r="AI272" i="72"/>
  <c r="AH272" i="72"/>
  <c r="AG272" i="72"/>
  <c r="AF272" i="72"/>
  <c r="AE272" i="72"/>
  <c r="AD272" i="72"/>
  <c r="AC272" i="72"/>
  <c r="AJ271" i="72"/>
  <c r="AI271" i="72"/>
  <c r="AH271" i="72"/>
  <c r="AG271" i="72"/>
  <c r="AF271" i="72"/>
  <c r="AE271" i="72"/>
  <c r="AD271" i="72"/>
  <c r="AC271" i="72"/>
  <c r="AB271" i="72"/>
  <c r="AJ270" i="72"/>
  <c r="AI270" i="72"/>
  <c r="AH270" i="72"/>
  <c r="AG270" i="72"/>
  <c r="AF270" i="72"/>
  <c r="AE270" i="72"/>
  <c r="AD270" i="72"/>
  <c r="AC270" i="72"/>
  <c r="AB270" i="72"/>
  <c r="AA270" i="72"/>
  <c r="AJ269" i="72"/>
  <c r="AI269" i="72"/>
  <c r="AH269" i="72"/>
  <c r="AG269" i="72"/>
  <c r="AF269" i="72"/>
  <c r="AE269" i="72"/>
  <c r="AD269" i="72"/>
  <c r="AC269" i="72"/>
  <c r="AB269" i="72"/>
  <c r="AA269" i="72"/>
  <c r="Z269" i="72"/>
  <c r="AJ268" i="72"/>
  <c r="AI268" i="72"/>
  <c r="AH268" i="72"/>
  <c r="AG268" i="72"/>
  <c r="AF268" i="72"/>
  <c r="AE268" i="72"/>
  <c r="AD268" i="72"/>
  <c r="AC268" i="72"/>
  <c r="AB268" i="72"/>
  <c r="AA268" i="72"/>
  <c r="Z268" i="72"/>
  <c r="Y268" i="72"/>
  <c r="AJ267" i="72"/>
  <c r="AI267" i="72"/>
  <c r="AH267" i="72"/>
  <c r="AG267" i="72"/>
  <c r="AF267" i="72"/>
  <c r="AE267" i="72"/>
  <c r="AD267" i="72"/>
  <c r="AC267" i="72"/>
  <c r="AB267" i="72"/>
  <c r="AA267" i="72"/>
  <c r="Z267" i="72"/>
  <c r="Y267" i="72"/>
  <c r="X267" i="72"/>
  <c r="AJ266" i="72"/>
  <c r="AI266" i="72"/>
  <c r="AH266" i="72"/>
  <c r="AG266" i="72"/>
  <c r="AF266" i="72"/>
  <c r="AE266" i="72"/>
  <c r="AD266" i="72"/>
  <c r="AC266" i="72"/>
  <c r="AB266" i="72"/>
  <c r="AA266" i="72"/>
  <c r="Z266" i="72"/>
  <c r="Y266" i="72"/>
  <c r="X266" i="72"/>
  <c r="W266" i="72"/>
  <c r="AJ265" i="72"/>
  <c r="AI265" i="72"/>
  <c r="AH265" i="72"/>
  <c r="AG265" i="72"/>
  <c r="AF265" i="72"/>
  <c r="AE265" i="72"/>
  <c r="AD265" i="72"/>
  <c r="AC265" i="72"/>
  <c r="AB265" i="72"/>
  <c r="AA265" i="72"/>
  <c r="Z265" i="72"/>
  <c r="Y265" i="72"/>
  <c r="X265" i="72"/>
  <c r="W265" i="72"/>
  <c r="V265" i="72"/>
  <c r="AJ264" i="72"/>
  <c r="AI264" i="72"/>
  <c r="AH264" i="72"/>
  <c r="AG264" i="72"/>
  <c r="AF264" i="72"/>
  <c r="AE264" i="72"/>
  <c r="AD264" i="72"/>
  <c r="AC264" i="72"/>
  <c r="AB264" i="72"/>
  <c r="AA264" i="72"/>
  <c r="Z264" i="72"/>
  <c r="Y264" i="72"/>
  <c r="X264" i="72"/>
  <c r="W264" i="72"/>
  <c r="V264" i="72"/>
  <c r="U264" i="72"/>
  <c r="AJ263" i="72"/>
  <c r="AI263" i="72"/>
  <c r="AH263" i="72"/>
  <c r="AG263" i="72"/>
  <c r="AF263" i="72"/>
  <c r="AE263" i="72"/>
  <c r="AD263" i="72"/>
  <c r="AC263" i="72"/>
  <c r="AB263" i="72"/>
  <c r="AA263" i="72"/>
  <c r="Z263" i="72"/>
  <c r="Y263" i="72"/>
  <c r="X263" i="72"/>
  <c r="W263" i="72"/>
  <c r="V263" i="72"/>
  <c r="U263" i="72"/>
  <c r="T263" i="72"/>
  <c r="AJ262" i="72"/>
  <c r="AI262" i="72"/>
  <c r="AH262" i="72"/>
  <c r="AG262" i="72"/>
  <c r="AF262" i="72"/>
  <c r="AE262" i="72"/>
  <c r="AD262" i="72"/>
  <c r="AC262" i="72"/>
  <c r="AB262" i="72"/>
  <c r="AA262" i="72"/>
  <c r="Z262" i="72"/>
  <c r="Y262" i="72"/>
  <c r="X262" i="72"/>
  <c r="W262" i="72"/>
  <c r="V262" i="72"/>
  <c r="U262" i="72"/>
  <c r="T262" i="72"/>
  <c r="S262" i="72"/>
  <c r="AJ261" i="72"/>
  <c r="AI261" i="72"/>
  <c r="AH261" i="72"/>
  <c r="AG261" i="72"/>
  <c r="AF261" i="72"/>
  <c r="AE261" i="72"/>
  <c r="AD261" i="72"/>
  <c r="AC261" i="72"/>
  <c r="AB261" i="72"/>
  <c r="AA261" i="72"/>
  <c r="Z261" i="72"/>
  <c r="Y261" i="72"/>
  <c r="X261" i="72"/>
  <c r="W261" i="72"/>
  <c r="V261" i="72"/>
  <c r="U261" i="72"/>
  <c r="T261" i="72"/>
  <c r="S261" i="72"/>
  <c r="R261" i="72"/>
  <c r="AJ260" i="72"/>
  <c r="AI260" i="72"/>
  <c r="AH260" i="72"/>
  <c r="AG260" i="72"/>
  <c r="AF260" i="72"/>
  <c r="AE260" i="72"/>
  <c r="AD260" i="72"/>
  <c r="AC260" i="72"/>
  <c r="AB260" i="72"/>
  <c r="AA260" i="72"/>
  <c r="Z260" i="72"/>
  <c r="Y260" i="72"/>
  <c r="X260" i="72"/>
  <c r="W260" i="72"/>
  <c r="V260" i="72"/>
  <c r="U260" i="72"/>
  <c r="T260" i="72"/>
  <c r="S260" i="72"/>
  <c r="R260" i="72"/>
  <c r="Q260" i="72"/>
  <c r="AJ259" i="72"/>
  <c r="AI259" i="72"/>
  <c r="AH259" i="72"/>
  <c r="AG259" i="72"/>
  <c r="AF259" i="72"/>
  <c r="AE259" i="72"/>
  <c r="AD259" i="72"/>
  <c r="AC259" i="72"/>
  <c r="AB259" i="72"/>
  <c r="AA259" i="72"/>
  <c r="Z259" i="72"/>
  <c r="Y259" i="72"/>
  <c r="X259" i="72"/>
  <c r="W259" i="72"/>
  <c r="V259" i="72"/>
  <c r="U259" i="72"/>
  <c r="T259" i="72"/>
  <c r="S259" i="72"/>
  <c r="R259" i="72"/>
  <c r="Q259" i="72"/>
  <c r="P259" i="72"/>
  <c r="AJ258" i="72"/>
  <c r="AI258" i="72"/>
  <c r="AH258" i="72"/>
  <c r="AG258" i="72"/>
  <c r="AF258" i="72"/>
  <c r="AE258" i="72"/>
  <c r="AD258" i="72"/>
  <c r="AC258" i="72"/>
  <c r="AB258" i="72"/>
  <c r="AA258" i="72"/>
  <c r="Z258" i="72"/>
  <c r="Y258" i="72"/>
  <c r="X258" i="72"/>
  <c r="W258" i="72"/>
  <c r="V258" i="72"/>
  <c r="U258" i="72"/>
  <c r="T258" i="72"/>
  <c r="S258" i="72"/>
  <c r="R258" i="72"/>
  <c r="Q258" i="72"/>
  <c r="P258" i="72"/>
  <c r="O258" i="72"/>
  <c r="AJ257" i="72"/>
  <c r="AI257" i="72"/>
  <c r="AH257" i="72"/>
  <c r="AG257" i="72"/>
  <c r="AF257" i="72"/>
  <c r="AE257" i="72"/>
  <c r="AD257" i="72"/>
  <c r="AC257" i="72"/>
  <c r="AB257" i="72"/>
  <c r="AA257" i="72"/>
  <c r="Z257" i="72"/>
  <c r="Y257" i="72"/>
  <c r="X257" i="72"/>
  <c r="W257" i="72"/>
  <c r="V257" i="72"/>
  <c r="U257" i="72"/>
  <c r="T257" i="72"/>
  <c r="S257" i="72"/>
  <c r="R257" i="72"/>
  <c r="Q257" i="72"/>
  <c r="P257" i="72"/>
  <c r="O257" i="72"/>
  <c r="N257" i="72"/>
  <c r="AJ256" i="72"/>
  <c r="AI256" i="72"/>
  <c r="AH256" i="72"/>
  <c r="AG256" i="72"/>
  <c r="AF256" i="72"/>
  <c r="AE256" i="72"/>
  <c r="AD256" i="72"/>
  <c r="AC256" i="72"/>
  <c r="AB256" i="72"/>
  <c r="AA256" i="72"/>
  <c r="Z256" i="72"/>
  <c r="Y256" i="72"/>
  <c r="X256" i="72"/>
  <c r="W256" i="72"/>
  <c r="V256" i="72"/>
  <c r="U256" i="72"/>
  <c r="T256" i="72"/>
  <c r="S256" i="72"/>
  <c r="R256" i="72"/>
  <c r="Q256" i="72"/>
  <c r="P256" i="72"/>
  <c r="O256" i="72"/>
  <c r="N256" i="72"/>
  <c r="M256" i="72"/>
  <c r="AJ255" i="72"/>
  <c r="AI255" i="72"/>
  <c r="AH255" i="72"/>
  <c r="AG255" i="72"/>
  <c r="AF255" i="72"/>
  <c r="AE255" i="72"/>
  <c r="AD255" i="72"/>
  <c r="AC255" i="72"/>
  <c r="AB255" i="72"/>
  <c r="AA255" i="72"/>
  <c r="Z255" i="72"/>
  <c r="Y255" i="72"/>
  <c r="X255" i="72"/>
  <c r="W255" i="72"/>
  <c r="V255" i="72"/>
  <c r="U255" i="72"/>
  <c r="T255" i="72"/>
  <c r="S255" i="72"/>
  <c r="R255" i="72"/>
  <c r="Q255" i="72"/>
  <c r="P255" i="72"/>
  <c r="O255" i="72"/>
  <c r="N255" i="72"/>
  <c r="M255" i="72"/>
  <c r="L255" i="72"/>
  <c r="AJ254" i="72"/>
  <c r="AI254" i="72"/>
  <c r="AH254" i="72"/>
  <c r="AG254" i="72"/>
  <c r="AF254" i="72"/>
  <c r="AE254" i="72"/>
  <c r="AD254" i="72"/>
  <c r="AC254" i="72"/>
  <c r="AB254" i="72"/>
  <c r="AA254" i="72"/>
  <c r="Z254" i="72"/>
  <c r="Y254" i="72"/>
  <c r="X254" i="72"/>
  <c r="W254" i="72"/>
  <c r="V254" i="72"/>
  <c r="U254" i="72"/>
  <c r="T254" i="72"/>
  <c r="S254" i="72"/>
  <c r="R254" i="72"/>
  <c r="Q254" i="72"/>
  <c r="P254" i="72"/>
  <c r="O254" i="72"/>
  <c r="N254" i="72"/>
  <c r="M254" i="72"/>
  <c r="L254" i="72"/>
  <c r="K254" i="72"/>
  <c r="AJ253" i="72"/>
  <c r="AI253" i="72"/>
  <c r="AH253" i="72"/>
  <c r="AG253" i="72"/>
  <c r="AF253" i="72"/>
  <c r="AE253" i="72"/>
  <c r="AD253" i="72"/>
  <c r="AC253" i="72"/>
  <c r="AB253" i="72"/>
  <c r="AA253" i="72"/>
  <c r="Z253" i="72"/>
  <c r="Y253" i="72"/>
  <c r="X253" i="72"/>
  <c r="W253" i="72"/>
  <c r="V253" i="72"/>
  <c r="U253" i="72"/>
  <c r="T253" i="72"/>
  <c r="S253" i="72"/>
  <c r="R253" i="72"/>
  <c r="Q253" i="72"/>
  <c r="P253" i="72"/>
  <c r="O253" i="72"/>
  <c r="N253" i="72"/>
  <c r="M253" i="72"/>
  <c r="L253" i="72"/>
  <c r="K253" i="72"/>
  <c r="J253" i="72"/>
  <c r="AJ252" i="72"/>
  <c r="AI252" i="72"/>
  <c r="AH252" i="72"/>
  <c r="AG252" i="72"/>
  <c r="AF252" i="72"/>
  <c r="AE252" i="72"/>
  <c r="AD252" i="72"/>
  <c r="AC252" i="72"/>
  <c r="AB252" i="72"/>
  <c r="AA252" i="72"/>
  <c r="Z252" i="72"/>
  <c r="Y252" i="72"/>
  <c r="X252" i="72"/>
  <c r="W252" i="72"/>
  <c r="V252" i="72"/>
  <c r="U252" i="72"/>
  <c r="T252" i="72"/>
  <c r="S252" i="72"/>
  <c r="R252" i="72"/>
  <c r="Q252" i="72"/>
  <c r="P252" i="72"/>
  <c r="O252" i="72"/>
  <c r="N252" i="72"/>
  <c r="M252" i="72"/>
  <c r="L252" i="72"/>
  <c r="K252" i="72"/>
  <c r="J252" i="72"/>
  <c r="I252" i="72"/>
  <c r="AJ251" i="72"/>
  <c r="AI251" i="72"/>
  <c r="AH251" i="72"/>
  <c r="AG251" i="72"/>
  <c r="AF251" i="72"/>
  <c r="AE251" i="72"/>
  <c r="AD251" i="72"/>
  <c r="AC251" i="72"/>
  <c r="AB251" i="72"/>
  <c r="AA251" i="72"/>
  <c r="Z251" i="72"/>
  <c r="Y251" i="72"/>
  <c r="X251" i="72"/>
  <c r="W251" i="72"/>
  <c r="V251" i="72"/>
  <c r="U251" i="72"/>
  <c r="T251" i="72"/>
  <c r="S251" i="72"/>
  <c r="R251" i="72"/>
  <c r="Q251" i="72"/>
  <c r="P251" i="72"/>
  <c r="O251" i="72"/>
  <c r="N251" i="72"/>
  <c r="M251" i="72"/>
  <c r="L251" i="72"/>
  <c r="K251" i="72"/>
  <c r="J251" i="72"/>
  <c r="I251" i="72"/>
  <c r="H251" i="72"/>
  <c r="AJ250" i="72"/>
  <c r="AI250" i="72"/>
  <c r="AH250" i="72"/>
  <c r="AG250" i="72"/>
  <c r="AF250" i="72"/>
  <c r="AE250" i="72"/>
  <c r="AD250" i="72"/>
  <c r="AC250" i="72"/>
  <c r="AB250" i="72"/>
  <c r="AA250" i="72"/>
  <c r="Z250" i="72"/>
  <c r="Y250" i="72"/>
  <c r="X250" i="72"/>
  <c r="W250" i="72"/>
  <c r="V250" i="72"/>
  <c r="U250" i="72"/>
  <c r="T250" i="72"/>
  <c r="S250" i="72"/>
  <c r="R250" i="72"/>
  <c r="Q250" i="72"/>
  <c r="P250" i="72"/>
  <c r="O250" i="72"/>
  <c r="N250" i="72"/>
  <c r="M250" i="72"/>
  <c r="L250" i="72"/>
  <c r="K250" i="72"/>
  <c r="J250" i="72"/>
  <c r="I250" i="72"/>
  <c r="H250" i="72"/>
  <c r="G250" i="72"/>
  <c r="AJ248" i="72"/>
  <c r="AJ247" i="72"/>
  <c r="AI247" i="72"/>
  <c r="AJ246" i="72"/>
  <c r="AI246" i="72"/>
  <c r="AH246" i="72"/>
  <c r="AJ245" i="72"/>
  <c r="AI245" i="72"/>
  <c r="AH245" i="72"/>
  <c r="AG245" i="72"/>
  <c r="AJ244" i="72"/>
  <c r="AI244" i="72"/>
  <c r="AH244" i="72"/>
  <c r="AG244" i="72"/>
  <c r="AF244" i="72"/>
  <c r="AJ243" i="72"/>
  <c r="AI243" i="72"/>
  <c r="AH243" i="72"/>
  <c r="AG243" i="72"/>
  <c r="AF243" i="72"/>
  <c r="AE243" i="72"/>
  <c r="AJ242" i="72"/>
  <c r="AI242" i="72"/>
  <c r="AH242" i="72"/>
  <c r="AG242" i="72"/>
  <c r="AF242" i="72"/>
  <c r="AE242" i="72"/>
  <c r="AD242" i="72"/>
  <c r="AJ241" i="72"/>
  <c r="AI241" i="72"/>
  <c r="AH241" i="72"/>
  <c r="AG241" i="72"/>
  <c r="AF241" i="72"/>
  <c r="AE241" i="72"/>
  <c r="AD241" i="72"/>
  <c r="AC241" i="72"/>
  <c r="AJ240" i="72"/>
  <c r="AI240" i="72"/>
  <c r="AH240" i="72"/>
  <c r="AG240" i="72"/>
  <c r="AF240" i="72"/>
  <c r="AE240" i="72"/>
  <c r="AD240" i="72"/>
  <c r="AC240" i="72"/>
  <c r="AB240" i="72"/>
  <c r="AJ239" i="72"/>
  <c r="AI239" i="72"/>
  <c r="AH239" i="72"/>
  <c r="AG239" i="72"/>
  <c r="AF239" i="72"/>
  <c r="AE239" i="72"/>
  <c r="AD239" i="72"/>
  <c r="AC239" i="72"/>
  <c r="AB239" i="72"/>
  <c r="AA239" i="72"/>
  <c r="AJ238" i="72"/>
  <c r="AI238" i="72"/>
  <c r="AH238" i="72"/>
  <c r="AG238" i="72"/>
  <c r="AF238" i="72"/>
  <c r="AE238" i="72"/>
  <c r="AD238" i="72"/>
  <c r="AC238" i="72"/>
  <c r="AB238" i="72"/>
  <c r="AA238" i="72"/>
  <c r="Z238" i="72"/>
  <c r="AJ237" i="72"/>
  <c r="AI237" i="72"/>
  <c r="AH237" i="72"/>
  <c r="AG237" i="72"/>
  <c r="AF237" i="72"/>
  <c r="AE237" i="72"/>
  <c r="AD237" i="72"/>
  <c r="AC237" i="72"/>
  <c r="AB237" i="72"/>
  <c r="AA237" i="72"/>
  <c r="Z237" i="72"/>
  <c r="Y237" i="72"/>
  <c r="AJ236" i="72"/>
  <c r="AI236" i="72"/>
  <c r="AH236" i="72"/>
  <c r="AG236" i="72"/>
  <c r="AF236" i="72"/>
  <c r="AE236" i="72"/>
  <c r="AD236" i="72"/>
  <c r="AC236" i="72"/>
  <c r="AB236" i="72"/>
  <c r="AA236" i="72"/>
  <c r="Z236" i="72"/>
  <c r="Y236" i="72"/>
  <c r="X236" i="72"/>
  <c r="AJ235" i="72"/>
  <c r="AI235" i="72"/>
  <c r="AH235" i="72"/>
  <c r="AG235" i="72"/>
  <c r="AF235" i="72"/>
  <c r="AE235" i="72"/>
  <c r="AD235" i="72"/>
  <c r="AC235" i="72"/>
  <c r="AB235" i="72"/>
  <c r="AA235" i="72"/>
  <c r="Z235" i="72"/>
  <c r="Y235" i="72"/>
  <c r="X235" i="72"/>
  <c r="W235" i="72"/>
  <c r="AJ234" i="72"/>
  <c r="AI234" i="72"/>
  <c r="AH234" i="72"/>
  <c r="AG234" i="72"/>
  <c r="AF234" i="72"/>
  <c r="AE234" i="72"/>
  <c r="AD234" i="72"/>
  <c r="AC234" i="72"/>
  <c r="AB234" i="72"/>
  <c r="AA234" i="72"/>
  <c r="Z234" i="72"/>
  <c r="Y234" i="72"/>
  <c r="X234" i="72"/>
  <c r="W234" i="72"/>
  <c r="V234" i="72"/>
  <c r="AJ233" i="72"/>
  <c r="AI233" i="72"/>
  <c r="AH233" i="72"/>
  <c r="AG233" i="72"/>
  <c r="AF233" i="72"/>
  <c r="AE233" i="72"/>
  <c r="AD233" i="72"/>
  <c r="AC233" i="72"/>
  <c r="AB233" i="72"/>
  <c r="AA233" i="72"/>
  <c r="Z233" i="72"/>
  <c r="Y233" i="72"/>
  <c r="X233" i="72"/>
  <c r="W233" i="72"/>
  <c r="V233" i="72"/>
  <c r="U233" i="72"/>
  <c r="AJ232" i="72"/>
  <c r="AI232" i="72"/>
  <c r="AH232" i="72"/>
  <c r="AG232" i="72"/>
  <c r="AF232" i="72"/>
  <c r="AE232" i="72"/>
  <c r="AD232" i="72"/>
  <c r="AC232" i="72"/>
  <c r="AB232" i="72"/>
  <c r="AA232" i="72"/>
  <c r="Z232" i="72"/>
  <c r="Y232" i="72"/>
  <c r="X232" i="72"/>
  <c r="W232" i="72"/>
  <c r="V232" i="72"/>
  <c r="U232" i="72"/>
  <c r="T232" i="72"/>
  <c r="AJ231" i="72"/>
  <c r="AI231" i="72"/>
  <c r="AH231" i="72"/>
  <c r="AG231" i="72"/>
  <c r="AF231" i="72"/>
  <c r="AE231" i="72"/>
  <c r="AD231" i="72"/>
  <c r="AC231" i="72"/>
  <c r="AB231" i="72"/>
  <c r="AA231" i="72"/>
  <c r="Z231" i="72"/>
  <c r="Y231" i="72"/>
  <c r="X231" i="72"/>
  <c r="W231" i="72"/>
  <c r="V231" i="72"/>
  <c r="U231" i="72"/>
  <c r="T231" i="72"/>
  <c r="S231" i="72"/>
  <c r="AJ230" i="72"/>
  <c r="AI230" i="72"/>
  <c r="AH230" i="72"/>
  <c r="AG230" i="72"/>
  <c r="AF230" i="72"/>
  <c r="AE230" i="72"/>
  <c r="AD230" i="72"/>
  <c r="AC230" i="72"/>
  <c r="AB230" i="72"/>
  <c r="AA230" i="72"/>
  <c r="Z230" i="72"/>
  <c r="Y230" i="72"/>
  <c r="X230" i="72"/>
  <c r="W230" i="72"/>
  <c r="V230" i="72"/>
  <c r="U230" i="72"/>
  <c r="T230" i="72"/>
  <c r="S230" i="72"/>
  <c r="R230" i="72"/>
  <c r="AJ229" i="72"/>
  <c r="AI229" i="72"/>
  <c r="AH229" i="72"/>
  <c r="AG229" i="72"/>
  <c r="AF229" i="72"/>
  <c r="AE229" i="72"/>
  <c r="AD229" i="72"/>
  <c r="AC229" i="72"/>
  <c r="AB229" i="72"/>
  <c r="AA229" i="72"/>
  <c r="Z229" i="72"/>
  <c r="Y229" i="72"/>
  <c r="X229" i="72"/>
  <c r="W229" i="72"/>
  <c r="V229" i="72"/>
  <c r="U229" i="72"/>
  <c r="T229" i="72"/>
  <c r="S229" i="72"/>
  <c r="R229" i="72"/>
  <c r="Q229" i="72"/>
  <c r="AJ228" i="72"/>
  <c r="AI228" i="72"/>
  <c r="AH228" i="72"/>
  <c r="AG228" i="72"/>
  <c r="AF228" i="72"/>
  <c r="AE228" i="72"/>
  <c r="AD228" i="72"/>
  <c r="AC228" i="72"/>
  <c r="AB228" i="72"/>
  <c r="AA228" i="72"/>
  <c r="Z228" i="72"/>
  <c r="Y228" i="72"/>
  <c r="X228" i="72"/>
  <c r="W228" i="72"/>
  <c r="V228" i="72"/>
  <c r="U228" i="72"/>
  <c r="T228" i="72"/>
  <c r="S228" i="72"/>
  <c r="R228" i="72"/>
  <c r="Q228" i="72"/>
  <c r="P228" i="72"/>
  <c r="AJ227" i="72"/>
  <c r="AI227" i="72"/>
  <c r="AH227" i="72"/>
  <c r="AG227" i="72"/>
  <c r="AF227" i="72"/>
  <c r="AE227" i="72"/>
  <c r="AD227" i="72"/>
  <c r="AC227" i="72"/>
  <c r="AB227" i="72"/>
  <c r="AA227" i="72"/>
  <c r="Z227" i="72"/>
  <c r="Y227" i="72"/>
  <c r="X227" i="72"/>
  <c r="W227" i="72"/>
  <c r="V227" i="72"/>
  <c r="U227" i="72"/>
  <c r="T227" i="72"/>
  <c r="S227" i="72"/>
  <c r="R227" i="72"/>
  <c r="Q227" i="72"/>
  <c r="P227" i="72"/>
  <c r="O227" i="72"/>
  <c r="AJ226" i="72"/>
  <c r="AI226" i="72"/>
  <c r="AH226" i="72"/>
  <c r="AG226" i="72"/>
  <c r="AF226" i="72"/>
  <c r="AE226" i="72"/>
  <c r="AD226" i="72"/>
  <c r="AC226" i="72"/>
  <c r="AB226" i="72"/>
  <c r="AA226" i="72"/>
  <c r="Z226" i="72"/>
  <c r="Y226" i="72"/>
  <c r="X226" i="72"/>
  <c r="W226" i="72"/>
  <c r="V226" i="72"/>
  <c r="U226" i="72"/>
  <c r="T226" i="72"/>
  <c r="S226" i="72"/>
  <c r="R226" i="72"/>
  <c r="Q226" i="72"/>
  <c r="P226" i="72"/>
  <c r="O226" i="72"/>
  <c r="N226" i="72"/>
  <c r="AJ225" i="72"/>
  <c r="AI225" i="72"/>
  <c r="AH225" i="72"/>
  <c r="AG225" i="72"/>
  <c r="AF225" i="72"/>
  <c r="AE225" i="72"/>
  <c r="AD225" i="72"/>
  <c r="AC225" i="72"/>
  <c r="AB225" i="72"/>
  <c r="AA225" i="72"/>
  <c r="Z225" i="72"/>
  <c r="Y225" i="72"/>
  <c r="X225" i="72"/>
  <c r="W225" i="72"/>
  <c r="V225" i="72"/>
  <c r="U225" i="72"/>
  <c r="T225" i="72"/>
  <c r="S225" i="72"/>
  <c r="R225" i="72"/>
  <c r="Q225" i="72"/>
  <c r="P225" i="72"/>
  <c r="O225" i="72"/>
  <c r="N225" i="72"/>
  <c r="M225" i="72"/>
  <c r="AJ224" i="72"/>
  <c r="AI224" i="72"/>
  <c r="AH224" i="72"/>
  <c r="AG224" i="72"/>
  <c r="AF224" i="72"/>
  <c r="AE224" i="72"/>
  <c r="AD224" i="72"/>
  <c r="AC224" i="72"/>
  <c r="AB224" i="72"/>
  <c r="AA224" i="72"/>
  <c r="Z224" i="72"/>
  <c r="Y224" i="72"/>
  <c r="X224" i="72"/>
  <c r="W224" i="72"/>
  <c r="V224" i="72"/>
  <c r="U224" i="72"/>
  <c r="T224" i="72"/>
  <c r="S224" i="72"/>
  <c r="R224" i="72"/>
  <c r="Q224" i="72"/>
  <c r="P224" i="72"/>
  <c r="O224" i="72"/>
  <c r="N224" i="72"/>
  <c r="M224" i="72"/>
  <c r="L224" i="72"/>
  <c r="AJ223" i="72"/>
  <c r="AI223" i="72"/>
  <c r="AH223" i="72"/>
  <c r="AG223" i="72"/>
  <c r="AF223" i="72"/>
  <c r="AE223" i="72"/>
  <c r="AD223" i="72"/>
  <c r="AC223" i="72"/>
  <c r="AB223" i="72"/>
  <c r="AA223" i="72"/>
  <c r="Z223" i="72"/>
  <c r="Y223" i="72"/>
  <c r="X223" i="72"/>
  <c r="W223" i="72"/>
  <c r="V223" i="72"/>
  <c r="U223" i="72"/>
  <c r="T223" i="72"/>
  <c r="S223" i="72"/>
  <c r="R223" i="72"/>
  <c r="Q223" i="72"/>
  <c r="P223" i="72"/>
  <c r="O223" i="72"/>
  <c r="N223" i="72"/>
  <c r="M223" i="72"/>
  <c r="L223" i="72"/>
  <c r="K223" i="72"/>
  <c r="AJ222" i="72"/>
  <c r="AI222" i="72"/>
  <c r="AH222" i="72"/>
  <c r="AG222" i="72"/>
  <c r="AF222" i="72"/>
  <c r="AE222" i="72"/>
  <c r="AD222" i="72"/>
  <c r="AC222" i="72"/>
  <c r="AB222" i="72"/>
  <c r="AA222" i="72"/>
  <c r="Z222" i="72"/>
  <c r="Y222" i="72"/>
  <c r="X222" i="72"/>
  <c r="W222" i="72"/>
  <c r="V222" i="72"/>
  <c r="U222" i="72"/>
  <c r="T222" i="72"/>
  <c r="S222" i="72"/>
  <c r="R222" i="72"/>
  <c r="Q222" i="72"/>
  <c r="P222" i="72"/>
  <c r="O222" i="72"/>
  <c r="N222" i="72"/>
  <c r="M222" i="72"/>
  <c r="L222" i="72"/>
  <c r="K222" i="72"/>
  <c r="J222" i="72"/>
  <c r="AJ221" i="72"/>
  <c r="AI221" i="72"/>
  <c r="AH221" i="72"/>
  <c r="AG221" i="72"/>
  <c r="AF221" i="72"/>
  <c r="AE221" i="72"/>
  <c r="AD221" i="72"/>
  <c r="AC221" i="72"/>
  <c r="AB221" i="72"/>
  <c r="AA221" i="72"/>
  <c r="Z221" i="72"/>
  <c r="Y221" i="72"/>
  <c r="X221" i="72"/>
  <c r="W221" i="72"/>
  <c r="V221" i="72"/>
  <c r="U221" i="72"/>
  <c r="T221" i="72"/>
  <c r="S221" i="72"/>
  <c r="R221" i="72"/>
  <c r="Q221" i="72"/>
  <c r="P221" i="72"/>
  <c r="O221" i="72"/>
  <c r="N221" i="72"/>
  <c r="M221" i="72"/>
  <c r="L221" i="72"/>
  <c r="K221" i="72"/>
  <c r="J221" i="72"/>
  <c r="I221" i="72"/>
  <c r="AJ220" i="72"/>
  <c r="AI220" i="72"/>
  <c r="AH220" i="72"/>
  <c r="AG220" i="72"/>
  <c r="AF220" i="72"/>
  <c r="AE220" i="72"/>
  <c r="AD220" i="72"/>
  <c r="AC220" i="72"/>
  <c r="AB220" i="72"/>
  <c r="AA220" i="72"/>
  <c r="Z220" i="72"/>
  <c r="Y220" i="72"/>
  <c r="X220" i="72"/>
  <c r="W220" i="72"/>
  <c r="V220" i="72"/>
  <c r="U220" i="72"/>
  <c r="T220" i="72"/>
  <c r="S220" i="72"/>
  <c r="R220" i="72"/>
  <c r="Q220" i="72"/>
  <c r="P220" i="72"/>
  <c r="O220" i="72"/>
  <c r="N220" i="72"/>
  <c r="M220" i="72"/>
  <c r="L220" i="72"/>
  <c r="K220" i="72"/>
  <c r="J220" i="72"/>
  <c r="I220" i="72"/>
  <c r="H220" i="72"/>
  <c r="AJ219" i="72"/>
  <c r="AI219" i="72"/>
  <c r="AH219" i="72"/>
  <c r="AG219" i="72"/>
  <c r="AF219" i="72"/>
  <c r="AE219" i="72"/>
  <c r="AD219" i="72"/>
  <c r="AC219" i="72"/>
  <c r="AB219" i="72"/>
  <c r="AA219" i="72"/>
  <c r="Z219" i="72"/>
  <c r="Y219" i="72"/>
  <c r="X219" i="72"/>
  <c r="W219" i="72"/>
  <c r="V219" i="72"/>
  <c r="U219" i="72"/>
  <c r="T219" i="72"/>
  <c r="S219" i="72"/>
  <c r="R219" i="72"/>
  <c r="Q219" i="72"/>
  <c r="P219" i="72"/>
  <c r="O219" i="72"/>
  <c r="N219" i="72"/>
  <c r="M219" i="72"/>
  <c r="L219" i="72"/>
  <c r="K219" i="72"/>
  <c r="J219" i="72"/>
  <c r="I219" i="72"/>
  <c r="H219" i="72"/>
  <c r="G219" i="72"/>
  <c r="AJ217" i="72"/>
  <c r="AJ216" i="72"/>
  <c r="AI216" i="72"/>
  <c r="AJ215" i="72"/>
  <c r="AI215" i="72"/>
  <c r="AH215" i="72"/>
  <c r="AJ214" i="72"/>
  <c r="AI214" i="72"/>
  <c r="AH214" i="72"/>
  <c r="AG214" i="72"/>
  <c r="AJ213" i="72"/>
  <c r="AI213" i="72"/>
  <c r="AH213" i="72"/>
  <c r="AG213" i="72"/>
  <c r="AF213" i="72"/>
  <c r="AJ212" i="72"/>
  <c r="AI212" i="72"/>
  <c r="AH212" i="72"/>
  <c r="AG212" i="72"/>
  <c r="AF212" i="72"/>
  <c r="AE212" i="72"/>
  <c r="AJ211" i="72"/>
  <c r="AI211" i="72"/>
  <c r="AH211" i="72"/>
  <c r="AG211" i="72"/>
  <c r="AF211" i="72"/>
  <c r="AE211" i="72"/>
  <c r="AD211" i="72"/>
  <c r="AJ210" i="72"/>
  <c r="AI210" i="72"/>
  <c r="AH210" i="72"/>
  <c r="AG210" i="72"/>
  <c r="AF210" i="72"/>
  <c r="AE210" i="72"/>
  <c r="AD210" i="72"/>
  <c r="AC210" i="72"/>
  <c r="AJ209" i="72"/>
  <c r="AI209" i="72"/>
  <c r="AH209" i="72"/>
  <c r="AG209" i="72"/>
  <c r="AF209" i="72"/>
  <c r="AE209" i="72"/>
  <c r="AD209" i="72"/>
  <c r="AC209" i="72"/>
  <c r="AB209" i="72"/>
  <c r="AJ208" i="72"/>
  <c r="AI208" i="72"/>
  <c r="AH208" i="72"/>
  <c r="AG208" i="72"/>
  <c r="AF208" i="72"/>
  <c r="AE208" i="72"/>
  <c r="AD208" i="72"/>
  <c r="AC208" i="72"/>
  <c r="AB208" i="72"/>
  <c r="AA208" i="72"/>
  <c r="AJ207" i="72"/>
  <c r="AI207" i="72"/>
  <c r="AH207" i="72"/>
  <c r="AG207" i="72"/>
  <c r="AF207" i="72"/>
  <c r="AE207" i="72"/>
  <c r="AD207" i="72"/>
  <c r="AC207" i="72"/>
  <c r="AB207" i="72"/>
  <c r="AA207" i="72"/>
  <c r="Z207" i="72"/>
  <c r="AJ206" i="72"/>
  <c r="AI206" i="72"/>
  <c r="AH206" i="72"/>
  <c r="AG206" i="72"/>
  <c r="AF206" i="72"/>
  <c r="AE206" i="72"/>
  <c r="AD206" i="72"/>
  <c r="AC206" i="72"/>
  <c r="AB206" i="72"/>
  <c r="AA206" i="72"/>
  <c r="Z206" i="72"/>
  <c r="Y206" i="72"/>
  <c r="AJ205" i="72"/>
  <c r="AI205" i="72"/>
  <c r="AH205" i="72"/>
  <c r="AG205" i="72"/>
  <c r="AF205" i="72"/>
  <c r="AE205" i="72"/>
  <c r="AD205" i="72"/>
  <c r="AC205" i="72"/>
  <c r="AB205" i="72"/>
  <c r="AA205" i="72"/>
  <c r="Z205" i="72"/>
  <c r="Y205" i="72"/>
  <c r="X205" i="72"/>
  <c r="AJ204" i="72"/>
  <c r="AI204" i="72"/>
  <c r="AH204" i="72"/>
  <c r="AG204" i="72"/>
  <c r="AF204" i="72"/>
  <c r="AE204" i="72"/>
  <c r="AD204" i="72"/>
  <c r="AC204" i="72"/>
  <c r="AB204" i="72"/>
  <c r="AA204" i="72"/>
  <c r="Z204" i="72"/>
  <c r="Y204" i="72"/>
  <c r="X204" i="72"/>
  <c r="W204" i="72"/>
  <c r="AJ203" i="72"/>
  <c r="AI203" i="72"/>
  <c r="AH203" i="72"/>
  <c r="AG203" i="72"/>
  <c r="AF203" i="72"/>
  <c r="AE203" i="72"/>
  <c r="AD203" i="72"/>
  <c r="AC203" i="72"/>
  <c r="AB203" i="72"/>
  <c r="AA203" i="72"/>
  <c r="Z203" i="72"/>
  <c r="Y203" i="72"/>
  <c r="X203" i="72"/>
  <c r="W203" i="72"/>
  <c r="V203" i="72"/>
  <c r="AJ202" i="72"/>
  <c r="AI202" i="72"/>
  <c r="AH202" i="72"/>
  <c r="AG202" i="72"/>
  <c r="AF202" i="72"/>
  <c r="AE202" i="72"/>
  <c r="AD202" i="72"/>
  <c r="AC202" i="72"/>
  <c r="AB202" i="72"/>
  <c r="AA202" i="72"/>
  <c r="Z202" i="72"/>
  <c r="Y202" i="72"/>
  <c r="X202" i="72"/>
  <c r="W202" i="72"/>
  <c r="V202" i="72"/>
  <c r="U202" i="72"/>
  <c r="AJ201" i="72"/>
  <c r="AI201" i="72"/>
  <c r="AH201" i="72"/>
  <c r="AG201" i="72"/>
  <c r="AF201" i="72"/>
  <c r="AE201" i="72"/>
  <c r="AD201" i="72"/>
  <c r="AC201" i="72"/>
  <c r="AB201" i="72"/>
  <c r="AA201" i="72"/>
  <c r="Z201" i="72"/>
  <c r="Y201" i="72"/>
  <c r="X201" i="72"/>
  <c r="W201" i="72"/>
  <c r="V201" i="72"/>
  <c r="U201" i="72"/>
  <c r="T201" i="72"/>
  <c r="AJ200" i="72"/>
  <c r="AI200" i="72"/>
  <c r="AH200" i="72"/>
  <c r="AG200" i="72"/>
  <c r="AF200" i="72"/>
  <c r="AE200" i="72"/>
  <c r="AD200" i="72"/>
  <c r="AC200" i="72"/>
  <c r="AB200" i="72"/>
  <c r="AA200" i="72"/>
  <c r="Z200" i="72"/>
  <c r="Y200" i="72"/>
  <c r="X200" i="72"/>
  <c r="W200" i="72"/>
  <c r="V200" i="72"/>
  <c r="U200" i="72"/>
  <c r="T200" i="72"/>
  <c r="S200" i="72"/>
  <c r="AJ199" i="72"/>
  <c r="AI199" i="72"/>
  <c r="AH199" i="72"/>
  <c r="AG199" i="72"/>
  <c r="AF199" i="72"/>
  <c r="AE199" i="72"/>
  <c r="AD199" i="72"/>
  <c r="AC199" i="72"/>
  <c r="AB199" i="72"/>
  <c r="AA199" i="72"/>
  <c r="Z199" i="72"/>
  <c r="Y199" i="72"/>
  <c r="X199" i="72"/>
  <c r="W199" i="72"/>
  <c r="V199" i="72"/>
  <c r="U199" i="72"/>
  <c r="T199" i="72"/>
  <c r="S199" i="72"/>
  <c r="R199" i="72"/>
  <c r="AJ198" i="72"/>
  <c r="AI198" i="72"/>
  <c r="AH198" i="72"/>
  <c r="AG198" i="72"/>
  <c r="AF198" i="72"/>
  <c r="AE198" i="72"/>
  <c r="AD198" i="72"/>
  <c r="AC198" i="72"/>
  <c r="AB198" i="72"/>
  <c r="AA198" i="72"/>
  <c r="Z198" i="72"/>
  <c r="Y198" i="72"/>
  <c r="X198" i="72"/>
  <c r="W198" i="72"/>
  <c r="V198" i="72"/>
  <c r="U198" i="72"/>
  <c r="T198" i="72"/>
  <c r="S198" i="72"/>
  <c r="R198" i="72"/>
  <c r="Q198" i="72"/>
  <c r="AJ197" i="72"/>
  <c r="AI197" i="72"/>
  <c r="AH197" i="72"/>
  <c r="AG197" i="72"/>
  <c r="AF197" i="72"/>
  <c r="AE197" i="72"/>
  <c r="AD197" i="72"/>
  <c r="AC197" i="72"/>
  <c r="AB197" i="72"/>
  <c r="AA197" i="72"/>
  <c r="Z197" i="72"/>
  <c r="Y197" i="72"/>
  <c r="X197" i="72"/>
  <c r="W197" i="72"/>
  <c r="V197" i="72"/>
  <c r="U197" i="72"/>
  <c r="T197" i="72"/>
  <c r="S197" i="72"/>
  <c r="R197" i="72"/>
  <c r="Q197" i="72"/>
  <c r="P197" i="72"/>
  <c r="AJ196" i="72"/>
  <c r="AI196" i="72"/>
  <c r="AH196" i="72"/>
  <c r="AG196" i="72"/>
  <c r="AF196" i="72"/>
  <c r="AE196" i="72"/>
  <c r="AD196" i="72"/>
  <c r="AC196" i="72"/>
  <c r="AB196" i="72"/>
  <c r="AA196" i="72"/>
  <c r="Z196" i="72"/>
  <c r="Y196" i="72"/>
  <c r="X196" i="72"/>
  <c r="W196" i="72"/>
  <c r="V196" i="72"/>
  <c r="U196" i="72"/>
  <c r="T196" i="72"/>
  <c r="S196" i="72"/>
  <c r="R196" i="72"/>
  <c r="Q196" i="72"/>
  <c r="P196" i="72"/>
  <c r="O196" i="72"/>
  <c r="AJ195" i="72"/>
  <c r="AI195" i="72"/>
  <c r="AH195" i="72"/>
  <c r="AG195" i="72"/>
  <c r="AF195" i="72"/>
  <c r="AE195" i="72"/>
  <c r="AD195" i="72"/>
  <c r="AC195" i="72"/>
  <c r="AB195" i="72"/>
  <c r="AA195" i="72"/>
  <c r="Z195" i="72"/>
  <c r="Y195" i="72"/>
  <c r="X195" i="72"/>
  <c r="W195" i="72"/>
  <c r="V195" i="72"/>
  <c r="U195" i="72"/>
  <c r="T195" i="72"/>
  <c r="S195" i="72"/>
  <c r="R195" i="72"/>
  <c r="Q195" i="72"/>
  <c r="P195" i="72"/>
  <c r="O195" i="72"/>
  <c r="N195" i="72"/>
  <c r="AJ194" i="72"/>
  <c r="AI194" i="72"/>
  <c r="AH194" i="72"/>
  <c r="AG194" i="72"/>
  <c r="AF194" i="72"/>
  <c r="AE194" i="72"/>
  <c r="AD194" i="72"/>
  <c r="AC194" i="72"/>
  <c r="AB194" i="72"/>
  <c r="AA194" i="72"/>
  <c r="Z194" i="72"/>
  <c r="Y194" i="72"/>
  <c r="X194" i="72"/>
  <c r="W194" i="72"/>
  <c r="V194" i="72"/>
  <c r="U194" i="72"/>
  <c r="T194" i="72"/>
  <c r="S194" i="72"/>
  <c r="R194" i="72"/>
  <c r="Q194" i="72"/>
  <c r="P194" i="72"/>
  <c r="O194" i="72"/>
  <c r="N194" i="72"/>
  <c r="M194" i="72"/>
  <c r="AJ193" i="72"/>
  <c r="AI193" i="72"/>
  <c r="AH193" i="72"/>
  <c r="AG193" i="72"/>
  <c r="AF193" i="72"/>
  <c r="AE193" i="72"/>
  <c r="AD193" i="72"/>
  <c r="AC193" i="72"/>
  <c r="AB193" i="72"/>
  <c r="AA193" i="72"/>
  <c r="Z193" i="72"/>
  <c r="Y193" i="72"/>
  <c r="X193" i="72"/>
  <c r="W193" i="72"/>
  <c r="V193" i="72"/>
  <c r="U193" i="72"/>
  <c r="T193" i="72"/>
  <c r="S193" i="72"/>
  <c r="R193" i="72"/>
  <c r="Q193" i="72"/>
  <c r="P193" i="72"/>
  <c r="O193" i="72"/>
  <c r="N193" i="72"/>
  <c r="M193" i="72"/>
  <c r="L193" i="72"/>
  <c r="AJ192" i="72"/>
  <c r="AI192" i="72"/>
  <c r="AH192" i="72"/>
  <c r="AG192" i="72"/>
  <c r="AF192" i="72"/>
  <c r="AE192" i="72"/>
  <c r="AD192" i="72"/>
  <c r="AC192" i="72"/>
  <c r="AB192" i="72"/>
  <c r="AA192" i="72"/>
  <c r="Z192" i="72"/>
  <c r="Y192" i="72"/>
  <c r="X192" i="72"/>
  <c r="W192" i="72"/>
  <c r="V192" i="72"/>
  <c r="U192" i="72"/>
  <c r="T192" i="72"/>
  <c r="S192" i="72"/>
  <c r="R192" i="72"/>
  <c r="Q192" i="72"/>
  <c r="P192" i="72"/>
  <c r="O192" i="72"/>
  <c r="N192" i="72"/>
  <c r="M192" i="72"/>
  <c r="L192" i="72"/>
  <c r="K192" i="72"/>
  <c r="AJ191" i="72"/>
  <c r="AI191" i="72"/>
  <c r="AH191" i="72"/>
  <c r="AG191" i="72"/>
  <c r="AF191" i="72"/>
  <c r="AE191" i="72"/>
  <c r="AD191" i="72"/>
  <c r="AC191" i="72"/>
  <c r="AB191" i="72"/>
  <c r="AA191" i="72"/>
  <c r="Z191" i="72"/>
  <c r="Y191" i="72"/>
  <c r="X191" i="72"/>
  <c r="W191" i="72"/>
  <c r="V191" i="72"/>
  <c r="U191" i="72"/>
  <c r="T191" i="72"/>
  <c r="S191" i="72"/>
  <c r="R191" i="72"/>
  <c r="Q191" i="72"/>
  <c r="P191" i="72"/>
  <c r="O191" i="72"/>
  <c r="N191" i="72"/>
  <c r="M191" i="72"/>
  <c r="L191" i="72"/>
  <c r="K191" i="72"/>
  <c r="J191" i="72"/>
  <c r="AJ190" i="72"/>
  <c r="AI190" i="72"/>
  <c r="AH190" i="72"/>
  <c r="AG190" i="72"/>
  <c r="AF190" i="72"/>
  <c r="AE190" i="72"/>
  <c r="AD190" i="72"/>
  <c r="AC190" i="72"/>
  <c r="AB190" i="72"/>
  <c r="AA190" i="72"/>
  <c r="Z190" i="72"/>
  <c r="Y190" i="72"/>
  <c r="X190" i="72"/>
  <c r="W190" i="72"/>
  <c r="V190" i="72"/>
  <c r="U190" i="72"/>
  <c r="T190" i="72"/>
  <c r="S190" i="72"/>
  <c r="R190" i="72"/>
  <c r="Q190" i="72"/>
  <c r="P190" i="72"/>
  <c r="O190" i="72"/>
  <c r="N190" i="72"/>
  <c r="M190" i="72"/>
  <c r="L190" i="72"/>
  <c r="K190" i="72"/>
  <c r="J190" i="72"/>
  <c r="I190" i="72"/>
  <c r="AJ189" i="72"/>
  <c r="AI189" i="72"/>
  <c r="AH189" i="72"/>
  <c r="AG189" i="72"/>
  <c r="AF189" i="72"/>
  <c r="AE189" i="72"/>
  <c r="AD189" i="72"/>
  <c r="AC189" i="72"/>
  <c r="AB189" i="72"/>
  <c r="AA189" i="72"/>
  <c r="Z189" i="72"/>
  <c r="Y189" i="72"/>
  <c r="X189" i="72"/>
  <c r="W189" i="72"/>
  <c r="V189" i="72"/>
  <c r="U189" i="72"/>
  <c r="T189" i="72"/>
  <c r="S189" i="72"/>
  <c r="R189" i="72"/>
  <c r="Q189" i="72"/>
  <c r="P189" i="72"/>
  <c r="O189" i="72"/>
  <c r="N189" i="72"/>
  <c r="M189" i="72"/>
  <c r="L189" i="72"/>
  <c r="K189" i="72"/>
  <c r="J189" i="72"/>
  <c r="I189" i="72"/>
  <c r="H189" i="72"/>
  <c r="AJ188" i="72"/>
  <c r="AI188" i="72"/>
  <c r="AH188" i="72"/>
  <c r="AG188" i="72"/>
  <c r="AF188" i="72"/>
  <c r="AE188" i="72"/>
  <c r="AD188" i="72"/>
  <c r="AC188" i="72"/>
  <c r="AB188" i="72"/>
  <c r="AA188" i="72"/>
  <c r="Z188" i="72"/>
  <c r="Y188" i="72"/>
  <c r="X188" i="72"/>
  <c r="W188" i="72"/>
  <c r="V188" i="72"/>
  <c r="U188" i="72"/>
  <c r="T188" i="72"/>
  <c r="S188" i="72"/>
  <c r="R188" i="72"/>
  <c r="Q188" i="72"/>
  <c r="P188" i="72"/>
  <c r="O188" i="72"/>
  <c r="N188" i="72"/>
  <c r="M188" i="72"/>
  <c r="L188" i="72"/>
  <c r="K188" i="72"/>
  <c r="J188" i="72"/>
  <c r="I188" i="72"/>
  <c r="H188" i="72"/>
  <c r="G188" i="72"/>
  <c r="AJ186" i="72"/>
  <c r="AJ185" i="72"/>
  <c r="AI185" i="72"/>
  <c r="AJ184" i="72"/>
  <c r="AI184" i="72"/>
  <c r="AH184" i="72"/>
  <c r="AJ183" i="72"/>
  <c r="AI183" i="72"/>
  <c r="AH183" i="72"/>
  <c r="AG183" i="72"/>
  <c r="AJ182" i="72"/>
  <c r="AI182" i="72"/>
  <c r="AH182" i="72"/>
  <c r="AG182" i="72"/>
  <c r="AF182" i="72"/>
  <c r="AJ181" i="72"/>
  <c r="AI181" i="72"/>
  <c r="AH181" i="72"/>
  <c r="AG181" i="72"/>
  <c r="AF181" i="72"/>
  <c r="AE181" i="72"/>
  <c r="AJ180" i="72"/>
  <c r="AI180" i="72"/>
  <c r="AH180" i="72"/>
  <c r="AG180" i="72"/>
  <c r="AF180" i="72"/>
  <c r="AE180" i="72"/>
  <c r="AD180" i="72"/>
  <c r="AJ179" i="72"/>
  <c r="AI179" i="72"/>
  <c r="AH179" i="72"/>
  <c r="AG179" i="72"/>
  <c r="AF179" i="72"/>
  <c r="AE179" i="72"/>
  <c r="AD179" i="72"/>
  <c r="AC179" i="72"/>
  <c r="AJ178" i="72"/>
  <c r="AI178" i="72"/>
  <c r="AH178" i="72"/>
  <c r="AG178" i="72"/>
  <c r="AF178" i="72"/>
  <c r="AE178" i="72"/>
  <c r="AD178" i="72"/>
  <c r="AC178" i="72"/>
  <c r="AB178" i="72"/>
  <c r="AJ177" i="72"/>
  <c r="AI177" i="72"/>
  <c r="AH177" i="72"/>
  <c r="AG177" i="72"/>
  <c r="AF177" i="72"/>
  <c r="AE177" i="72"/>
  <c r="AD177" i="72"/>
  <c r="AC177" i="72"/>
  <c r="AB177" i="72"/>
  <c r="AA177" i="72"/>
  <c r="AJ176" i="72"/>
  <c r="AI176" i="72"/>
  <c r="AH176" i="72"/>
  <c r="AG176" i="72"/>
  <c r="AF176" i="72"/>
  <c r="AE176" i="72"/>
  <c r="AD176" i="72"/>
  <c r="AC176" i="72"/>
  <c r="AB176" i="72"/>
  <c r="AA176" i="72"/>
  <c r="Z176" i="72"/>
  <c r="AJ175" i="72"/>
  <c r="AI175" i="72"/>
  <c r="AH175" i="72"/>
  <c r="AG175" i="72"/>
  <c r="AF175" i="72"/>
  <c r="AE175" i="72"/>
  <c r="AD175" i="72"/>
  <c r="AC175" i="72"/>
  <c r="AB175" i="72"/>
  <c r="AA175" i="72"/>
  <c r="Z175" i="72"/>
  <c r="Y175" i="72"/>
  <c r="AJ174" i="72"/>
  <c r="AI174" i="72"/>
  <c r="AH174" i="72"/>
  <c r="AG174" i="72"/>
  <c r="AF174" i="72"/>
  <c r="AE174" i="72"/>
  <c r="AD174" i="72"/>
  <c r="AC174" i="72"/>
  <c r="AB174" i="72"/>
  <c r="AA174" i="72"/>
  <c r="Z174" i="72"/>
  <c r="Y174" i="72"/>
  <c r="X174" i="72"/>
  <c r="AJ173" i="72"/>
  <c r="AI173" i="72"/>
  <c r="AH173" i="72"/>
  <c r="AG173" i="72"/>
  <c r="AF173" i="72"/>
  <c r="AE173" i="72"/>
  <c r="AD173" i="72"/>
  <c r="AC173" i="72"/>
  <c r="AB173" i="72"/>
  <c r="AA173" i="72"/>
  <c r="Z173" i="72"/>
  <c r="Y173" i="72"/>
  <c r="X173" i="72"/>
  <c r="W173" i="72"/>
  <c r="AJ172" i="72"/>
  <c r="AI172" i="72"/>
  <c r="AH172" i="72"/>
  <c r="AG172" i="72"/>
  <c r="AF172" i="72"/>
  <c r="AE172" i="72"/>
  <c r="AD172" i="72"/>
  <c r="AC172" i="72"/>
  <c r="AB172" i="72"/>
  <c r="AA172" i="72"/>
  <c r="Z172" i="72"/>
  <c r="Y172" i="72"/>
  <c r="X172" i="72"/>
  <c r="W172" i="72"/>
  <c r="V172" i="72"/>
  <c r="AJ171" i="72"/>
  <c r="AI171" i="72"/>
  <c r="AH171" i="72"/>
  <c r="AG171" i="72"/>
  <c r="AF171" i="72"/>
  <c r="AE171" i="72"/>
  <c r="AD171" i="72"/>
  <c r="AC171" i="72"/>
  <c r="AB171" i="72"/>
  <c r="AA171" i="72"/>
  <c r="Z171" i="72"/>
  <c r="Y171" i="72"/>
  <c r="X171" i="72"/>
  <c r="W171" i="72"/>
  <c r="V171" i="72"/>
  <c r="U171" i="72"/>
  <c r="AJ170" i="72"/>
  <c r="AI170" i="72"/>
  <c r="AH170" i="72"/>
  <c r="AG170" i="72"/>
  <c r="AF170" i="72"/>
  <c r="AE170" i="72"/>
  <c r="AD170" i="72"/>
  <c r="AC170" i="72"/>
  <c r="AB170" i="72"/>
  <c r="AA170" i="72"/>
  <c r="Z170" i="72"/>
  <c r="Y170" i="72"/>
  <c r="X170" i="72"/>
  <c r="W170" i="72"/>
  <c r="V170" i="72"/>
  <c r="U170" i="72"/>
  <c r="T170" i="72"/>
  <c r="AJ169" i="72"/>
  <c r="AI169" i="72"/>
  <c r="AH169" i="72"/>
  <c r="AG169" i="72"/>
  <c r="AF169" i="72"/>
  <c r="AE169" i="72"/>
  <c r="AD169" i="72"/>
  <c r="AC169" i="72"/>
  <c r="AB169" i="72"/>
  <c r="AA169" i="72"/>
  <c r="Z169" i="72"/>
  <c r="Y169" i="72"/>
  <c r="X169" i="72"/>
  <c r="W169" i="72"/>
  <c r="V169" i="72"/>
  <c r="U169" i="72"/>
  <c r="T169" i="72"/>
  <c r="S169" i="72"/>
  <c r="AJ168" i="72"/>
  <c r="AI168" i="72"/>
  <c r="AH168" i="72"/>
  <c r="AG168" i="72"/>
  <c r="AF168" i="72"/>
  <c r="AE168" i="72"/>
  <c r="AD168" i="72"/>
  <c r="AC168" i="72"/>
  <c r="AB168" i="72"/>
  <c r="AA168" i="72"/>
  <c r="Z168" i="72"/>
  <c r="Y168" i="72"/>
  <c r="X168" i="72"/>
  <c r="W168" i="72"/>
  <c r="V168" i="72"/>
  <c r="U168" i="72"/>
  <c r="T168" i="72"/>
  <c r="S168" i="72"/>
  <c r="R168" i="72"/>
  <c r="AJ167" i="72"/>
  <c r="AI167" i="72"/>
  <c r="AH167" i="72"/>
  <c r="AG167" i="72"/>
  <c r="AF167" i="72"/>
  <c r="AE167" i="72"/>
  <c r="AD167" i="72"/>
  <c r="AC167" i="72"/>
  <c r="AB167" i="72"/>
  <c r="AA167" i="72"/>
  <c r="Z167" i="72"/>
  <c r="Y167" i="72"/>
  <c r="X167" i="72"/>
  <c r="W167" i="72"/>
  <c r="V167" i="72"/>
  <c r="U167" i="72"/>
  <c r="T167" i="72"/>
  <c r="S167" i="72"/>
  <c r="R167" i="72"/>
  <c r="Q167" i="72"/>
  <c r="AJ166" i="72"/>
  <c r="AI166" i="72"/>
  <c r="AH166" i="72"/>
  <c r="AG166" i="72"/>
  <c r="AF166" i="72"/>
  <c r="AE166" i="72"/>
  <c r="AD166" i="72"/>
  <c r="AC166" i="72"/>
  <c r="AB166" i="72"/>
  <c r="AA166" i="72"/>
  <c r="Z166" i="72"/>
  <c r="Y166" i="72"/>
  <c r="X166" i="72"/>
  <c r="W166" i="72"/>
  <c r="V166" i="72"/>
  <c r="U166" i="72"/>
  <c r="T166" i="72"/>
  <c r="S166" i="72"/>
  <c r="R166" i="72"/>
  <c r="Q166" i="72"/>
  <c r="P166" i="72"/>
  <c r="AJ165" i="72"/>
  <c r="AI165" i="72"/>
  <c r="AH165" i="72"/>
  <c r="AG165" i="72"/>
  <c r="AF165" i="72"/>
  <c r="AE165" i="72"/>
  <c r="AD165" i="72"/>
  <c r="AC165" i="72"/>
  <c r="AB165" i="72"/>
  <c r="AA165" i="72"/>
  <c r="Z165" i="72"/>
  <c r="Y165" i="72"/>
  <c r="X165" i="72"/>
  <c r="W165" i="72"/>
  <c r="V165" i="72"/>
  <c r="U165" i="72"/>
  <c r="T165" i="72"/>
  <c r="S165" i="72"/>
  <c r="R165" i="72"/>
  <c r="Q165" i="72"/>
  <c r="P165" i="72"/>
  <c r="O165" i="72"/>
  <c r="AJ164" i="72"/>
  <c r="AI164" i="72"/>
  <c r="AH164" i="72"/>
  <c r="AG164" i="72"/>
  <c r="AF164" i="72"/>
  <c r="AE164" i="72"/>
  <c r="AD164" i="72"/>
  <c r="AC164" i="72"/>
  <c r="AB164" i="72"/>
  <c r="AA164" i="72"/>
  <c r="Z164" i="72"/>
  <c r="Y164" i="72"/>
  <c r="X164" i="72"/>
  <c r="W164" i="72"/>
  <c r="V164" i="72"/>
  <c r="U164" i="72"/>
  <c r="T164" i="72"/>
  <c r="S164" i="72"/>
  <c r="R164" i="72"/>
  <c r="Q164" i="72"/>
  <c r="P164" i="72"/>
  <c r="O164" i="72"/>
  <c r="N164" i="72"/>
  <c r="AJ163" i="72"/>
  <c r="AI163" i="72"/>
  <c r="AH163" i="72"/>
  <c r="AG163" i="72"/>
  <c r="AF163" i="72"/>
  <c r="AE163" i="72"/>
  <c r="AD163" i="72"/>
  <c r="AC163" i="72"/>
  <c r="AB163" i="72"/>
  <c r="AA163" i="72"/>
  <c r="Z163" i="72"/>
  <c r="Y163" i="72"/>
  <c r="X163" i="72"/>
  <c r="W163" i="72"/>
  <c r="V163" i="72"/>
  <c r="U163" i="72"/>
  <c r="T163" i="72"/>
  <c r="S163" i="72"/>
  <c r="R163" i="72"/>
  <c r="Q163" i="72"/>
  <c r="P163" i="72"/>
  <c r="O163" i="72"/>
  <c r="N163" i="72"/>
  <c r="M163" i="72"/>
  <c r="AJ162" i="72"/>
  <c r="AI162" i="72"/>
  <c r="AH162" i="72"/>
  <c r="AG162" i="72"/>
  <c r="AF162" i="72"/>
  <c r="AE162" i="72"/>
  <c r="AD162" i="72"/>
  <c r="AC162" i="72"/>
  <c r="AB162" i="72"/>
  <c r="AA162" i="72"/>
  <c r="Z162" i="72"/>
  <c r="Y162" i="72"/>
  <c r="X162" i="72"/>
  <c r="W162" i="72"/>
  <c r="V162" i="72"/>
  <c r="U162" i="72"/>
  <c r="T162" i="72"/>
  <c r="S162" i="72"/>
  <c r="R162" i="72"/>
  <c r="Q162" i="72"/>
  <c r="P162" i="72"/>
  <c r="O162" i="72"/>
  <c r="N162" i="72"/>
  <c r="M162" i="72"/>
  <c r="L162" i="72"/>
  <c r="AJ161" i="72"/>
  <c r="AI161" i="72"/>
  <c r="AH161" i="72"/>
  <c r="AG161" i="72"/>
  <c r="AF161" i="72"/>
  <c r="AE161" i="72"/>
  <c r="AD161" i="72"/>
  <c r="AC161" i="72"/>
  <c r="AB161" i="72"/>
  <c r="AA161" i="72"/>
  <c r="Z161" i="72"/>
  <c r="Y161" i="72"/>
  <c r="X161" i="72"/>
  <c r="W161" i="72"/>
  <c r="V161" i="72"/>
  <c r="U161" i="72"/>
  <c r="T161" i="72"/>
  <c r="S161" i="72"/>
  <c r="R161" i="72"/>
  <c r="Q161" i="72"/>
  <c r="P161" i="72"/>
  <c r="O161" i="72"/>
  <c r="N161" i="72"/>
  <c r="M161" i="72"/>
  <c r="L161" i="72"/>
  <c r="K161" i="72"/>
  <c r="AJ160" i="72"/>
  <c r="AI160" i="72"/>
  <c r="AH160" i="72"/>
  <c r="AG160" i="72"/>
  <c r="AF160" i="72"/>
  <c r="AE160" i="72"/>
  <c r="AD160" i="72"/>
  <c r="AC160" i="72"/>
  <c r="AB160" i="72"/>
  <c r="AA160" i="72"/>
  <c r="Z160" i="72"/>
  <c r="Y160" i="72"/>
  <c r="X160" i="72"/>
  <c r="W160" i="72"/>
  <c r="V160" i="72"/>
  <c r="U160" i="72"/>
  <c r="T160" i="72"/>
  <c r="S160" i="72"/>
  <c r="R160" i="72"/>
  <c r="Q160" i="72"/>
  <c r="P160" i="72"/>
  <c r="O160" i="72"/>
  <c r="N160" i="72"/>
  <c r="M160" i="72"/>
  <c r="L160" i="72"/>
  <c r="K160" i="72"/>
  <c r="J160" i="72"/>
  <c r="AJ159" i="72"/>
  <c r="AI159" i="72"/>
  <c r="AH159" i="72"/>
  <c r="AG159" i="72"/>
  <c r="AF159" i="72"/>
  <c r="AE159" i="72"/>
  <c r="AD159" i="72"/>
  <c r="AC159" i="72"/>
  <c r="AB159" i="72"/>
  <c r="AA159" i="72"/>
  <c r="Z159" i="72"/>
  <c r="Y159" i="72"/>
  <c r="X159" i="72"/>
  <c r="W159" i="72"/>
  <c r="V159" i="72"/>
  <c r="U159" i="72"/>
  <c r="T159" i="72"/>
  <c r="S159" i="72"/>
  <c r="R159" i="72"/>
  <c r="Q159" i="72"/>
  <c r="P159" i="72"/>
  <c r="O159" i="72"/>
  <c r="N159" i="72"/>
  <c r="M159" i="72"/>
  <c r="L159" i="72"/>
  <c r="K159" i="72"/>
  <c r="J159" i="72"/>
  <c r="I159" i="72"/>
  <c r="AJ158" i="72"/>
  <c r="AI158" i="72"/>
  <c r="AH158" i="72"/>
  <c r="AG158" i="72"/>
  <c r="AF158" i="72"/>
  <c r="AE158" i="72"/>
  <c r="AD158" i="72"/>
  <c r="AC158" i="72"/>
  <c r="AB158" i="72"/>
  <c r="AA158" i="72"/>
  <c r="Z158" i="72"/>
  <c r="Y158" i="72"/>
  <c r="X158" i="72"/>
  <c r="W158" i="72"/>
  <c r="V158" i="72"/>
  <c r="U158" i="72"/>
  <c r="T158" i="72"/>
  <c r="S158" i="72"/>
  <c r="R158" i="72"/>
  <c r="Q158" i="72"/>
  <c r="P158" i="72"/>
  <c r="O158" i="72"/>
  <c r="N158" i="72"/>
  <c r="M158" i="72"/>
  <c r="L158" i="72"/>
  <c r="K158" i="72"/>
  <c r="J158" i="72"/>
  <c r="I158" i="72"/>
  <c r="H158" i="72"/>
  <c r="AJ157" i="72"/>
  <c r="AI157" i="72"/>
  <c r="AH157" i="72"/>
  <c r="AG157" i="72"/>
  <c r="AF157" i="72"/>
  <c r="AE157" i="72"/>
  <c r="AD157" i="72"/>
  <c r="AC157" i="72"/>
  <c r="AB157" i="72"/>
  <c r="AA157" i="72"/>
  <c r="Z157" i="72"/>
  <c r="Y157" i="72"/>
  <c r="X157" i="72"/>
  <c r="W157" i="72"/>
  <c r="V157" i="72"/>
  <c r="U157" i="72"/>
  <c r="T157" i="72"/>
  <c r="S157" i="72"/>
  <c r="R157" i="72"/>
  <c r="Q157" i="72"/>
  <c r="P157" i="72"/>
  <c r="O157" i="72"/>
  <c r="N157" i="72"/>
  <c r="M157" i="72"/>
  <c r="L157" i="72"/>
  <c r="K157" i="72"/>
  <c r="J157" i="72"/>
  <c r="I157" i="72"/>
  <c r="H157" i="72"/>
  <c r="G157" i="72"/>
  <c r="AJ155" i="72"/>
  <c r="AJ154" i="72"/>
  <c r="AI154" i="72"/>
  <c r="AJ153" i="72"/>
  <c r="AI153" i="72"/>
  <c r="AH153" i="72"/>
  <c r="AJ152" i="72"/>
  <c r="AI152" i="72"/>
  <c r="AH152" i="72"/>
  <c r="AG152" i="72"/>
  <c r="AJ151" i="72"/>
  <c r="AI151" i="72"/>
  <c r="AH151" i="72"/>
  <c r="AG151" i="72"/>
  <c r="AF151" i="72"/>
  <c r="AJ150" i="72"/>
  <c r="AI150" i="72"/>
  <c r="AH150" i="72"/>
  <c r="AG150" i="72"/>
  <c r="AF150" i="72"/>
  <c r="AE150" i="72"/>
  <c r="AJ149" i="72"/>
  <c r="AI149" i="72"/>
  <c r="AH149" i="72"/>
  <c r="AG149" i="72"/>
  <c r="AF149" i="72"/>
  <c r="AE149" i="72"/>
  <c r="AD149" i="72"/>
  <c r="AJ148" i="72"/>
  <c r="AI148" i="72"/>
  <c r="AH148" i="72"/>
  <c r="AG148" i="72"/>
  <c r="AF148" i="72"/>
  <c r="AE148" i="72"/>
  <c r="AD148" i="72"/>
  <c r="AC148" i="72"/>
  <c r="AJ147" i="72"/>
  <c r="AI147" i="72"/>
  <c r="AH147" i="72"/>
  <c r="AG147" i="72"/>
  <c r="AF147" i="72"/>
  <c r="AE147" i="72"/>
  <c r="AD147" i="72"/>
  <c r="AC147" i="72"/>
  <c r="AB147" i="72"/>
  <c r="AJ146" i="72"/>
  <c r="AI146" i="72"/>
  <c r="AH146" i="72"/>
  <c r="AG146" i="72"/>
  <c r="AF146" i="72"/>
  <c r="AE146" i="72"/>
  <c r="AD146" i="72"/>
  <c r="AC146" i="72"/>
  <c r="AB146" i="72"/>
  <c r="AA146" i="72"/>
  <c r="AJ145" i="72"/>
  <c r="AI145" i="72"/>
  <c r="AH145" i="72"/>
  <c r="AG145" i="72"/>
  <c r="AF145" i="72"/>
  <c r="AE145" i="72"/>
  <c r="AD145" i="72"/>
  <c r="AC145" i="72"/>
  <c r="AB145" i="72"/>
  <c r="AA145" i="72"/>
  <c r="Z145" i="72"/>
  <c r="AJ144" i="72"/>
  <c r="AI144" i="72"/>
  <c r="AH144" i="72"/>
  <c r="AG144" i="72"/>
  <c r="AF144" i="72"/>
  <c r="AE144" i="72"/>
  <c r="AD144" i="72"/>
  <c r="AC144" i="72"/>
  <c r="AB144" i="72"/>
  <c r="AA144" i="72"/>
  <c r="Z144" i="72"/>
  <c r="Y144" i="72"/>
  <c r="AJ143" i="72"/>
  <c r="AI143" i="72"/>
  <c r="AH143" i="72"/>
  <c r="AG143" i="72"/>
  <c r="AF143" i="72"/>
  <c r="AE143" i="72"/>
  <c r="AD143" i="72"/>
  <c r="AC143" i="72"/>
  <c r="AB143" i="72"/>
  <c r="AA143" i="72"/>
  <c r="Z143" i="72"/>
  <c r="Y143" i="72"/>
  <c r="X143" i="72"/>
  <c r="AJ142" i="72"/>
  <c r="AI142" i="72"/>
  <c r="AH142" i="72"/>
  <c r="AG142" i="72"/>
  <c r="AF142" i="72"/>
  <c r="AE142" i="72"/>
  <c r="AD142" i="72"/>
  <c r="AC142" i="72"/>
  <c r="AB142" i="72"/>
  <c r="AA142" i="72"/>
  <c r="Z142" i="72"/>
  <c r="Y142" i="72"/>
  <c r="X142" i="72"/>
  <c r="W142" i="72"/>
  <c r="AJ141" i="72"/>
  <c r="AI141" i="72"/>
  <c r="AH141" i="72"/>
  <c r="AG141" i="72"/>
  <c r="AF141" i="72"/>
  <c r="AE141" i="72"/>
  <c r="AD141" i="72"/>
  <c r="AC141" i="72"/>
  <c r="AB141" i="72"/>
  <c r="AA141" i="72"/>
  <c r="Z141" i="72"/>
  <c r="Y141" i="72"/>
  <c r="X141" i="72"/>
  <c r="W141" i="72"/>
  <c r="V141" i="72"/>
  <c r="AJ140" i="72"/>
  <c r="AI140" i="72"/>
  <c r="AH140" i="72"/>
  <c r="AG140" i="72"/>
  <c r="AF140" i="72"/>
  <c r="AE140" i="72"/>
  <c r="AD140" i="72"/>
  <c r="AC140" i="72"/>
  <c r="AB140" i="72"/>
  <c r="AA140" i="72"/>
  <c r="Z140" i="72"/>
  <c r="Y140" i="72"/>
  <c r="X140" i="72"/>
  <c r="W140" i="72"/>
  <c r="V140" i="72"/>
  <c r="U140" i="72"/>
  <c r="AJ139" i="72"/>
  <c r="AI139" i="72"/>
  <c r="AH139" i="72"/>
  <c r="AG139" i="72"/>
  <c r="AF139" i="72"/>
  <c r="AE139" i="72"/>
  <c r="AD139" i="72"/>
  <c r="AC139" i="72"/>
  <c r="AB139" i="72"/>
  <c r="AA139" i="72"/>
  <c r="Z139" i="72"/>
  <c r="Y139" i="72"/>
  <c r="X139" i="72"/>
  <c r="W139" i="72"/>
  <c r="V139" i="72"/>
  <c r="U139" i="72"/>
  <c r="T139" i="72"/>
  <c r="AJ138" i="72"/>
  <c r="AI138" i="72"/>
  <c r="AH138" i="72"/>
  <c r="AG138" i="72"/>
  <c r="AF138" i="72"/>
  <c r="AE138" i="72"/>
  <c r="AD138" i="72"/>
  <c r="AC138" i="72"/>
  <c r="AB138" i="72"/>
  <c r="AA138" i="72"/>
  <c r="Z138" i="72"/>
  <c r="Y138" i="72"/>
  <c r="X138" i="72"/>
  <c r="W138" i="72"/>
  <c r="V138" i="72"/>
  <c r="U138" i="72"/>
  <c r="T138" i="72"/>
  <c r="S138" i="72"/>
  <c r="AJ137" i="72"/>
  <c r="AI137" i="72"/>
  <c r="AH137" i="72"/>
  <c r="AG137" i="72"/>
  <c r="AF137" i="72"/>
  <c r="AE137" i="72"/>
  <c r="AD137" i="72"/>
  <c r="AC137" i="72"/>
  <c r="AB137" i="72"/>
  <c r="AA137" i="72"/>
  <c r="Z137" i="72"/>
  <c r="Y137" i="72"/>
  <c r="X137" i="72"/>
  <c r="W137" i="72"/>
  <c r="V137" i="72"/>
  <c r="U137" i="72"/>
  <c r="T137" i="72"/>
  <c r="S137" i="72"/>
  <c r="R137" i="72"/>
  <c r="AJ136" i="72"/>
  <c r="AI136" i="72"/>
  <c r="AH136" i="72"/>
  <c r="AG136" i="72"/>
  <c r="AF136" i="72"/>
  <c r="AE136" i="72"/>
  <c r="AD136" i="72"/>
  <c r="AC136" i="72"/>
  <c r="AB136" i="72"/>
  <c r="AA136" i="72"/>
  <c r="Z136" i="72"/>
  <c r="Y136" i="72"/>
  <c r="X136" i="72"/>
  <c r="W136" i="72"/>
  <c r="V136" i="72"/>
  <c r="U136" i="72"/>
  <c r="T136" i="72"/>
  <c r="S136" i="72"/>
  <c r="R136" i="72"/>
  <c r="Q136" i="72"/>
  <c r="AJ135" i="72"/>
  <c r="AI135" i="72"/>
  <c r="AH135" i="72"/>
  <c r="AG135" i="72"/>
  <c r="AF135" i="72"/>
  <c r="AE135" i="72"/>
  <c r="AD135" i="72"/>
  <c r="AC135" i="72"/>
  <c r="AB135" i="72"/>
  <c r="AA135" i="72"/>
  <c r="Z135" i="72"/>
  <c r="Y135" i="72"/>
  <c r="X135" i="72"/>
  <c r="W135" i="72"/>
  <c r="V135" i="72"/>
  <c r="U135" i="72"/>
  <c r="T135" i="72"/>
  <c r="S135" i="72"/>
  <c r="R135" i="72"/>
  <c r="Q135" i="72"/>
  <c r="P135" i="72"/>
  <c r="AJ134" i="72"/>
  <c r="AI134" i="72"/>
  <c r="AH134" i="72"/>
  <c r="AG134" i="72"/>
  <c r="AF134" i="72"/>
  <c r="AE134" i="72"/>
  <c r="AD134" i="72"/>
  <c r="AC134" i="72"/>
  <c r="AB134" i="72"/>
  <c r="AA134" i="72"/>
  <c r="Z134" i="72"/>
  <c r="Y134" i="72"/>
  <c r="X134" i="72"/>
  <c r="W134" i="72"/>
  <c r="V134" i="72"/>
  <c r="U134" i="72"/>
  <c r="T134" i="72"/>
  <c r="S134" i="72"/>
  <c r="R134" i="72"/>
  <c r="Q134" i="72"/>
  <c r="P134" i="72"/>
  <c r="O134" i="72"/>
  <c r="AJ133" i="72"/>
  <c r="AI133" i="72"/>
  <c r="AH133" i="72"/>
  <c r="AG133" i="72"/>
  <c r="AF133" i="72"/>
  <c r="AE133" i="72"/>
  <c r="AD133" i="72"/>
  <c r="AC133" i="72"/>
  <c r="AB133" i="72"/>
  <c r="AA133" i="72"/>
  <c r="Z133" i="72"/>
  <c r="Y133" i="72"/>
  <c r="X133" i="72"/>
  <c r="W133" i="72"/>
  <c r="V133" i="72"/>
  <c r="U133" i="72"/>
  <c r="T133" i="72"/>
  <c r="S133" i="72"/>
  <c r="R133" i="72"/>
  <c r="Q133" i="72"/>
  <c r="P133" i="72"/>
  <c r="O133" i="72"/>
  <c r="N133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AJ131" i="72"/>
  <c r="AI131" i="72"/>
  <c r="AH131" i="72"/>
  <c r="AG131" i="72"/>
  <c r="AF131" i="72"/>
  <c r="AE131" i="72"/>
  <c r="AD131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AJ128" i="72"/>
  <c r="AI128" i="72"/>
  <c r="AH128" i="72"/>
  <c r="AG128" i="72"/>
  <c r="AF128" i="72"/>
  <c r="AE128" i="72"/>
  <c r="AD128" i="72"/>
  <c r="AC128" i="72"/>
  <c r="AB128" i="72"/>
  <c r="AA128" i="72"/>
  <c r="Z128" i="72"/>
  <c r="Y128" i="72"/>
  <c r="X128" i="72"/>
  <c r="W128" i="72"/>
  <c r="V128" i="72"/>
  <c r="U128" i="72"/>
  <c r="T128" i="72"/>
  <c r="S128" i="72"/>
  <c r="R128" i="72"/>
  <c r="Q128" i="72"/>
  <c r="P128" i="72"/>
  <c r="O128" i="72"/>
  <c r="N128" i="72"/>
  <c r="M128" i="72"/>
  <c r="L128" i="72"/>
  <c r="K128" i="72"/>
  <c r="J128" i="72"/>
  <c r="I128" i="72"/>
  <c r="AJ127" i="72"/>
  <c r="AI127" i="72"/>
  <c r="AH127" i="72"/>
  <c r="AG127" i="72"/>
  <c r="AF127" i="72"/>
  <c r="AE127" i="72"/>
  <c r="AD127" i="72"/>
  <c r="AC127" i="72"/>
  <c r="AB127" i="72"/>
  <c r="AA127" i="72"/>
  <c r="Z127" i="72"/>
  <c r="Y127" i="72"/>
  <c r="X127" i="72"/>
  <c r="W127" i="72"/>
  <c r="V127" i="72"/>
  <c r="U127" i="72"/>
  <c r="T127" i="72"/>
  <c r="S127" i="72"/>
  <c r="R127" i="72"/>
  <c r="Q127" i="72"/>
  <c r="P127" i="72"/>
  <c r="O127" i="72"/>
  <c r="N127" i="72"/>
  <c r="M127" i="72"/>
  <c r="L127" i="72"/>
  <c r="K127" i="72"/>
  <c r="J127" i="72"/>
  <c r="I127" i="72"/>
  <c r="H127" i="72"/>
  <c r="AJ126" i="72"/>
  <c r="AI126" i="72"/>
  <c r="AH126" i="72"/>
  <c r="AG126" i="72"/>
  <c r="AF126" i="72"/>
  <c r="AE126" i="72"/>
  <c r="AD126" i="72"/>
  <c r="AC126" i="72"/>
  <c r="AB126" i="72"/>
  <c r="AA126" i="72"/>
  <c r="Z126" i="72"/>
  <c r="Y126" i="72"/>
  <c r="X126" i="72"/>
  <c r="W126" i="72"/>
  <c r="V126" i="72"/>
  <c r="U126" i="72"/>
  <c r="T126" i="72"/>
  <c r="S126" i="72"/>
  <c r="R126" i="72"/>
  <c r="Q126" i="72"/>
  <c r="P126" i="72"/>
  <c r="O126" i="72"/>
  <c r="N126" i="72"/>
  <c r="M126" i="72"/>
  <c r="L126" i="72"/>
  <c r="K126" i="72"/>
  <c r="J126" i="72"/>
  <c r="I126" i="72"/>
  <c r="H126" i="72"/>
  <c r="G126" i="72"/>
  <c r="AJ124" i="72"/>
  <c r="AJ123" i="72"/>
  <c r="AI123" i="72"/>
  <c r="AJ122" i="72"/>
  <c r="AI122" i="72"/>
  <c r="AH122" i="72"/>
  <c r="AJ121" i="72"/>
  <c r="AI121" i="72"/>
  <c r="AH121" i="72"/>
  <c r="AG121" i="72"/>
  <c r="AJ120" i="72"/>
  <c r="AI120" i="72"/>
  <c r="AH120" i="72"/>
  <c r="AG120" i="72"/>
  <c r="AF120" i="72"/>
  <c r="AJ119" i="72"/>
  <c r="AI119" i="72"/>
  <c r="AH119" i="72"/>
  <c r="AG119" i="72"/>
  <c r="AF119" i="72"/>
  <c r="AE119" i="72"/>
  <c r="AJ118" i="72"/>
  <c r="AI118" i="72"/>
  <c r="AH118" i="72"/>
  <c r="AG118" i="72"/>
  <c r="AF118" i="72"/>
  <c r="AE118" i="72"/>
  <c r="AD118" i="72"/>
  <c r="AJ117" i="72"/>
  <c r="AI117" i="72"/>
  <c r="AH117" i="72"/>
  <c r="AG117" i="72"/>
  <c r="AF117" i="72"/>
  <c r="AE117" i="72"/>
  <c r="AD117" i="72"/>
  <c r="AC117" i="72"/>
  <c r="AJ116" i="72"/>
  <c r="AI116" i="72"/>
  <c r="AH116" i="72"/>
  <c r="AG116" i="72"/>
  <c r="AF116" i="72"/>
  <c r="AE116" i="72"/>
  <c r="AD116" i="72"/>
  <c r="AC116" i="72"/>
  <c r="AB116" i="72"/>
  <c r="AJ115" i="72"/>
  <c r="AI115" i="72"/>
  <c r="AH115" i="72"/>
  <c r="AG115" i="72"/>
  <c r="AF115" i="72"/>
  <c r="AE115" i="72"/>
  <c r="AD115" i="72"/>
  <c r="AC115" i="72"/>
  <c r="AB115" i="72"/>
  <c r="AA115" i="72"/>
  <c r="AJ114" i="72"/>
  <c r="AI114" i="72"/>
  <c r="AH114" i="72"/>
  <c r="AG114" i="72"/>
  <c r="AF114" i="72"/>
  <c r="AE114" i="72"/>
  <c r="AD114" i="72"/>
  <c r="AC114" i="72"/>
  <c r="AB114" i="72"/>
  <c r="AA114" i="72"/>
  <c r="Z114" i="72"/>
  <c r="AJ113" i="72"/>
  <c r="AI113" i="72"/>
  <c r="AH113" i="72"/>
  <c r="AG113" i="72"/>
  <c r="AF113" i="72"/>
  <c r="AE113" i="72"/>
  <c r="AD113" i="72"/>
  <c r="AC113" i="72"/>
  <c r="AB113" i="72"/>
  <c r="AA113" i="72"/>
  <c r="Z113" i="72"/>
  <c r="Y113" i="72"/>
  <c r="AJ112" i="72"/>
  <c r="AI112" i="72"/>
  <c r="AH112" i="72"/>
  <c r="AG112" i="72"/>
  <c r="AF112" i="72"/>
  <c r="AE112" i="72"/>
  <c r="AD112" i="72"/>
  <c r="AC112" i="72"/>
  <c r="AB112" i="72"/>
  <c r="AA112" i="72"/>
  <c r="Z112" i="72"/>
  <c r="Y112" i="72"/>
  <c r="X112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AJ110" i="72"/>
  <c r="AI110" i="72"/>
  <c r="AH110" i="72"/>
  <c r="AG110" i="72"/>
  <c r="AF110" i="72"/>
  <c r="AE110" i="72"/>
  <c r="AD110" i="72"/>
  <c r="AC110" i="72"/>
  <c r="AB110" i="72"/>
  <c r="AA110" i="72"/>
  <c r="Z110" i="72"/>
  <c r="Y110" i="72"/>
  <c r="X110" i="72"/>
  <c r="W110" i="72"/>
  <c r="V110" i="72"/>
  <c r="AJ109" i="72"/>
  <c r="AI109" i="72"/>
  <c r="AH109" i="72"/>
  <c r="AG109" i="72"/>
  <c r="AF109" i="72"/>
  <c r="AE109" i="72"/>
  <c r="AD109" i="72"/>
  <c r="AC109" i="72"/>
  <c r="AB109" i="72"/>
  <c r="AA109" i="72"/>
  <c r="Z109" i="72"/>
  <c r="Y109" i="72"/>
  <c r="X109" i="72"/>
  <c r="W109" i="72"/>
  <c r="V109" i="72"/>
  <c r="U109" i="72"/>
  <c r="AJ108" i="72"/>
  <c r="AI108" i="72"/>
  <c r="AH108" i="72"/>
  <c r="AG108" i="72"/>
  <c r="AF108" i="72"/>
  <c r="AE108" i="72"/>
  <c r="AD108" i="72"/>
  <c r="AC108" i="72"/>
  <c r="AB108" i="72"/>
  <c r="AA108" i="72"/>
  <c r="Z108" i="72"/>
  <c r="Y108" i="72"/>
  <c r="X108" i="72"/>
  <c r="W108" i="72"/>
  <c r="V108" i="72"/>
  <c r="U108" i="72"/>
  <c r="T108" i="72"/>
  <c r="AJ107" i="72"/>
  <c r="AI107" i="72"/>
  <c r="AH107" i="72"/>
  <c r="AG107" i="72"/>
  <c r="AF107" i="72"/>
  <c r="AE107" i="72"/>
  <c r="AD107" i="72"/>
  <c r="AC107" i="72"/>
  <c r="AB107" i="72"/>
  <c r="AA107" i="72"/>
  <c r="Z107" i="72"/>
  <c r="Y107" i="72"/>
  <c r="X107" i="72"/>
  <c r="W107" i="72"/>
  <c r="V107" i="72"/>
  <c r="U107" i="72"/>
  <c r="T107" i="72"/>
  <c r="S107" i="72"/>
  <c r="AJ106" i="72"/>
  <c r="AI106" i="72"/>
  <c r="AH106" i="72"/>
  <c r="AG106" i="72"/>
  <c r="AF106" i="72"/>
  <c r="AE106" i="72"/>
  <c r="AD106" i="72"/>
  <c r="AC106" i="72"/>
  <c r="AB106" i="72"/>
  <c r="AA106" i="72"/>
  <c r="Z106" i="72"/>
  <c r="Y106" i="72"/>
  <c r="X106" i="72"/>
  <c r="W106" i="72"/>
  <c r="V106" i="72"/>
  <c r="U106" i="72"/>
  <c r="T106" i="72"/>
  <c r="S106" i="72"/>
  <c r="R106" i="72"/>
  <c r="AJ105" i="72"/>
  <c r="AI105" i="72"/>
  <c r="AH105" i="72"/>
  <c r="AG105" i="72"/>
  <c r="AF105" i="72"/>
  <c r="AE105" i="72"/>
  <c r="AD105" i="72"/>
  <c r="AC105" i="72"/>
  <c r="AB105" i="72"/>
  <c r="AA105" i="72"/>
  <c r="Z105" i="72"/>
  <c r="Y105" i="72"/>
  <c r="X105" i="72"/>
  <c r="W105" i="72"/>
  <c r="V105" i="72"/>
  <c r="U105" i="72"/>
  <c r="T105" i="72"/>
  <c r="S105" i="72"/>
  <c r="R105" i="72"/>
  <c r="Q105" i="72"/>
  <c r="AJ104" i="72"/>
  <c r="AI104" i="72"/>
  <c r="AH104" i="72"/>
  <c r="AG104" i="72"/>
  <c r="AF104" i="72"/>
  <c r="AE104" i="72"/>
  <c r="AD104" i="72"/>
  <c r="AC104" i="72"/>
  <c r="AB104" i="72"/>
  <c r="AA104" i="72"/>
  <c r="Z104" i="72"/>
  <c r="Y104" i="72"/>
  <c r="X104" i="72"/>
  <c r="W104" i="72"/>
  <c r="V104" i="72"/>
  <c r="U104" i="72"/>
  <c r="T104" i="72"/>
  <c r="S104" i="72"/>
  <c r="R104" i="72"/>
  <c r="Q104" i="72"/>
  <c r="P104" i="72"/>
  <c r="AJ103" i="72"/>
  <c r="AI103" i="72"/>
  <c r="AH103" i="72"/>
  <c r="AG103" i="72"/>
  <c r="AF103" i="72"/>
  <c r="AE103" i="72"/>
  <c r="AD103" i="72"/>
  <c r="AC103" i="72"/>
  <c r="AB103" i="72"/>
  <c r="AA103" i="72"/>
  <c r="Z103" i="72"/>
  <c r="Y103" i="72"/>
  <c r="X103" i="72"/>
  <c r="W103" i="72"/>
  <c r="V103" i="72"/>
  <c r="U103" i="72"/>
  <c r="T103" i="72"/>
  <c r="S103" i="72"/>
  <c r="R103" i="72"/>
  <c r="Q103" i="72"/>
  <c r="P103" i="72"/>
  <c r="O103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AJ101" i="72"/>
  <c r="AI101" i="72"/>
  <c r="AH101" i="72"/>
  <c r="AG101" i="72"/>
  <c r="AF101" i="72"/>
  <c r="AE101" i="72"/>
  <c r="AD101" i="72"/>
  <c r="AC101" i="72"/>
  <c r="AB101" i="72"/>
  <c r="AA101" i="72"/>
  <c r="Z101" i="72"/>
  <c r="Y101" i="72"/>
  <c r="X101" i="72"/>
  <c r="W101" i="72"/>
  <c r="V101" i="72"/>
  <c r="U101" i="72"/>
  <c r="T101" i="72"/>
  <c r="S101" i="72"/>
  <c r="R101" i="72"/>
  <c r="Q101" i="72"/>
  <c r="P101" i="72"/>
  <c r="O101" i="72"/>
  <c r="N101" i="72"/>
  <c r="M101" i="72"/>
  <c r="AJ100" i="72"/>
  <c r="AI100" i="72"/>
  <c r="AH100" i="72"/>
  <c r="AG100" i="72"/>
  <c r="AF100" i="72"/>
  <c r="AE100" i="72"/>
  <c r="AD100" i="72"/>
  <c r="AC100" i="72"/>
  <c r="AB100" i="72"/>
  <c r="AA100" i="72"/>
  <c r="Z100" i="72"/>
  <c r="Y100" i="72"/>
  <c r="X100" i="72"/>
  <c r="W100" i="72"/>
  <c r="V100" i="72"/>
  <c r="U100" i="72"/>
  <c r="T100" i="72"/>
  <c r="S100" i="72"/>
  <c r="R100" i="72"/>
  <c r="Q100" i="72"/>
  <c r="P100" i="72"/>
  <c r="O100" i="72"/>
  <c r="N100" i="72"/>
  <c r="M100" i="72"/>
  <c r="L100" i="72"/>
  <c r="AJ99" i="72"/>
  <c r="AI99" i="72"/>
  <c r="AH99" i="72"/>
  <c r="AG99" i="72"/>
  <c r="AF99" i="72"/>
  <c r="AE99" i="72"/>
  <c r="AD99" i="72"/>
  <c r="AC99" i="72"/>
  <c r="AB99" i="72"/>
  <c r="AA99" i="72"/>
  <c r="Z99" i="72"/>
  <c r="Y99" i="72"/>
  <c r="X99" i="72"/>
  <c r="W99" i="72"/>
  <c r="V99" i="72"/>
  <c r="U99" i="72"/>
  <c r="T99" i="72"/>
  <c r="S99" i="72"/>
  <c r="R99" i="72"/>
  <c r="Q99" i="72"/>
  <c r="P99" i="72"/>
  <c r="O99" i="72"/>
  <c r="N99" i="72"/>
  <c r="M99" i="72"/>
  <c r="L99" i="72"/>
  <c r="K99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AJ97" i="72"/>
  <c r="AI97" i="72"/>
  <c r="AH97" i="72"/>
  <c r="AG97" i="72"/>
  <c r="AF97" i="72"/>
  <c r="AE97" i="72"/>
  <c r="AD97" i="72"/>
  <c r="AC97" i="72"/>
  <c r="AB97" i="72"/>
  <c r="AA97" i="72"/>
  <c r="Z97" i="72"/>
  <c r="Y97" i="72"/>
  <c r="X97" i="72"/>
  <c r="W97" i="72"/>
  <c r="V97" i="72"/>
  <c r="U97" i="72"/>
  <c r="T97" i="72"/>
  <c r="S97" i="72"/>
  <c r="R97" i="72"/>
  <c r="Q97" i="72"/>
  <c r="P97" i="72"/>
  <c r="O97" i="72"/>
  <c r="N97" i="72"/>
  <c r="M97" i="72"/>
  <c r="L97" i="72"/>
  <c r="K97" i="72"/>
  <c r="J97" i="72"/>
  <c r="I97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G95" i="72"/>
  <c r="AJ93" i="72"/>
  <c r="AJ92" i="72"/>
  <c r="AI92" i="72"/>
  <c r="AJ91" i="72"/>
  <c r="AI91" i="72"/>
  <c r="AH91" i="72"/>
  <c r="AJ90" i="72"/>
  <c r="AI90" i="72"/>
  <c r="AH90" i="72"/>
  <c r="AG90" i="72"/>
  <c r="AJ89" i="72"/>
  <c r="AI89" i="72"/>
  <c r="AH89" i="72"/>
  <c r="AG89" i="72"/>
  <c r="AF89" i="72"/>
  <c r="AJ88" i="72"/>
  <c r="AI88" i="72"/>
  <c r="AH88" i="72"/>
  <c r="AG88" i="72"/>
  <c r="AF88" i="72"/>
  <c r="AE88" i="72"/>
  <c r="AJ87" i="72"/>
  <c r="AI87" i="72"/>
  <c r="AH87" i="72"/>
  <c r="AG87" i="72"/>
  <c r="AF87" i="72"/>
  <c r="AE87" i="72"/>
  <c r="AD87" i="72"/>
  <c r="AJ86" i="72"/>
  <c r="AI86" i="72"/>
  <c r="AH86" i="72"/>
  <c r="AG86" i="72"/>
  <c r="AF86" i="72"/>
  <c r="AE86" i="72"/>
  <c r="AD86" i="72"/>
  <c r="AC86" i="72"/>
  <c r="AJ85" i="72"/>
  <c r="AI85" i="72"/>
  <c r="AH85" i="72"/>
  <c r="AG85" i="72"/>
  <c r="AF85" i="72"/>
  <c r="AE85" i="72"/>
  <c r="AD85" i="72"/>
  <c r="AC85" i="72"/>
  <c r="AB85" i="72"/>
  <c r="AJ84" i="72"/>
  <c r="AI84" i="72"/>
  <c r="AH84" i="72"/>
  <c r="AG84" i="72"/>
  <c r="AF84" i="72"/>
  <c r="AE84" i="72"/>
  <c r="AD84" i="72"/>
  <c r="AC84" i="72"/>
  <c r="AB84" i="72"/>
  <c r="AA84" i="72"/>
  <c r="AJ83" i="72"/>
  <c r="AI83" i="72"/>
  <c r="AH83" i="72"/>
  <c r="AG83" i="72"/>
  <c r="AF83" i="72"/>
  <c r="AE83" i="72"/>
  <c r="AD83" i="72"/>
  <c r="AC83" i="72"/>
  <c r="AB83" i="72"/>
  <c r="AA83" i="72"/>
  <c r="Z83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AJ62" i="72"/>
  <c r="AJ61" i="72"/>
  <c r="AI61" i="72"/>
  <c r="AJ60" i="72"/>
  <c r="AI60" i="72"/>
  <c r="AH60" i="72"/>
  <c r="AJ59" i="72"/>
  <c r="AI59" i="72"/>
  <c r="AH59" i="72"/>
  <c r="AG59" i="72"/>
  <c r="AJ58" i="72"/>
  <c r="AI58" i="72"/>
  <c r="AH58" i="72"/>
  <c r="AG58" i="72"/>
  <c r="AF58" i="72"/>
  <c r="AJ57" i="72"/>
  <c r="AI57" i="72"/>
  <c r="AH57" i="72"/>
  <c r="AG57" i="72"/>
  <c r="AF57" i="72"/>
  <c r="AE57" i="72"/>
  <c r="AJ56" i="72"/>
  <c r="AI56" i="72"/>
  <c r="AH56" i="72"/>
  <c r="AG56" i="72"/>
  <c r="AF56" i="72"/>
  <c r="AE56" i="72"/>
  <c r="AD56" i="72"/>
  <c r="AJ55" i="72"/>
  <c r="AI55" i="72"/>
  <c r="AH55" i="72"/>
  <c r="AG55" i="72"/>
  <c r="AF55" i="72"/>
  <c r="AE55" i="72"/>
  <c r="AD55" i="72"/>
  <c r="AC55" i="72"/>
  <c r="AJ54" i="72"/>
  <c r="AI54" i="72"/>
  <c r="AH54" i="72"/>
  <c r="AG54" i="72"/>
  <c r="AF54" i="72"/>
  <c r="AE54" i="72"/>
  <c r="AD54" i="72"/>
  <c r="AC54" i="72"/>
  <c r="AB54" i="72"/>
  <c r="AJ53" i="72"/>
  <c r="AI53" i="72"/>
  <c r="AH53" i="72"/>
  <c r="AG53" i="72"/>
  <c r="AF53" i="72"/>
  <c r="AE53" i="72"/>
  <c r="AD53" i="72"/>
  <c r="AC53" i="72"/>
  <c r="AB53" i="72"/>
  <c r="AA53" i="72"/>
  <c r="AJ52" i="72"/>
  <c r="AI52" i="72"/>
  <c r="AH52" i="72"/>
  <c r="AG52" i="72"/>
  <c r="AF52" i="72"/>
  <c r="AE52" i="72"/>
  <c r="AD52" i="72"/>
  <c r="AC52" i="72"/>
  <c r="AB52" i="72"/>
  <c r="AA52" i="72"/>
  <c r="Z52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AJ44" i="72"/>
  <c r="AI44" i="72"/>
  <c r="AH44" i="72"/>
  <c r="AG44" i="72"/>
  <c r="AF44" i="72"/>
  <c r="AE44" i="72"/>
  <c r="AD44" i="72"/>
  <c r="AC44" i="72"/>
  <c r="AB44" i="72"/>
  <c r="AA44" i="72"/>
  <c r="Z44" i="72"/>
  <c r="Y44" i="72"/>
  <c r="X44" i="72"/>
  <c r="W44" i="72"/>
  <c r="V44" i="72"/>
  <c r="U44" i="72"/>
  <c r="T44" i="72"/>
  <c r="S44" i="72"/>
  <c r="R44" i="72"/>
  <c r="AJ43" i="72"/>
  <c r="AI43" i="72"/>
  <c r="AH43" i="72"/>
  <c r="AG43" i="72"/>
  <c r="AF43" i="72"/>
  <c r="AE43" i="72"/>
  <c r="AD43" i="72"/>
  <c r="AC43" i="72"/>
  <c r="AB43" i="72"/>
  <c r="AA43" i="72"/>
  <c r="Z43" i="72"/>
  <c r="Y43" i="72"/>
  <c r="X43" i="72"/>
  <c r="W43" i="72"/>
  <c r="V43" i="72"/>
  <c r="U43" i="72"/>
  <c r="T43" i="72"/>
  <c r="S43" i="72"/>
  <c r="R43" i="72"/>
  <c r="Q43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AJ41" i="72"/>
  <c r="AI41" i="72"/>
  <c r="AH41" i="72"/>
  <c r="AG41" i="72"/>
  <c r="AF41" i="72"/>
  <c r="AE41" i="72"/>
  <c r="AD41" i="72"/>
  <c r="AC41" i="72"/>
  <c r="AB41" i="72"/>
  <c r="AA41" i="72"/>
  <c r="Z41" i="72"/>
  <c r="Y41" i="72"/>
  <c r="X41" i="72"/>
  <c r="W41" i="72"/>
  <c r="V41" i="72"/>
  <c r="U41" i="72"/>
  <c r="T41" i="72"/>
  <c r="S41" i="72"/>
  <c r="R41" i="72"/>
  <c r="Q41" i="72"/>
  <c r="P41" i="72"/>
  <c r="O41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AJ35" i="72"/>
  <c r="AI35" i="72"/>
  <c r="AH35" i="72"/>
  <c r="AG35" i="72"/>
  <c r="AF35" i="72"/>
  <c r="AE35" i="72"/>
  <c r="AD35" i="72"/>
  <c r="AC35" i="72"/>
  <c r="AB35" i="72"/>
  <c r="AA35" i="72"/>
  <c r="Z35" i="72"/>
  <c r="Y35" i="72"/>
  <c r="X35" i="72"/>
  <c r="W35" i="72"/>
  <c r="V35" i="72"/>
  <c r="U35" i="72"/>
  <c r="T35" i="72"/>
  <c r="S35" i="72"/>
  <c r="R35" i="72"/>
  <c r="Q35" i="72"/>
  <c r="P35" i="72"/>
  <c r="O35" i="72"/>
  <c r="N35" i="72"/>
  <c r="M35" i="72"/>
  <c r="L35" i="72"/>
  <c r="K35" i="72"/>
  <c r="J35" i="72"/>
  <c r="I35" i="72"/>
  <c r="AJ34" i="72"/>
  <c r="AI34" i="72"/>
  <c r="AH34" i="72"/>
  <c r="AG34" i="72"/>
  <c r="AF34" i="72"/>
  <c r="AE34" i="72"/>
  <c r="AD34" i="72"/>
  <c r="AC34" i="72"/>
  <c r="AB34" i="72"/>
  <c r="AA34" i="72"/>
  <c r="Z34" i="72"/>
  <c r="Y34" i="72"/>
  <c r="X34" i="72"/>
  <c r="W34" i="72"/>
  <c r="V34" i="72"/>
  <c r="U34" i="72"/>
  <c r="T34" i="72"/>
  <c r="S34" i="72"/>
  <c r="R34" i="72"/>
  <c r="Q34" i="72"/>
  <c r="P34" i="72"/>
  <c r="O34" i="72"/>
  <c r="N34" i="72"/>
  <c r="M34" i="72"/>
  <c r="L34" i="72"/>
  <c r="K34" i="72"/>
  <c r="J34" i="72"/>
  <c r="I34" i="72"/>
  <c r="H34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AJ31" i="72"/>
  <c r="AJ30" i="72"/>
  <c r="AI30" i="72"/>
  <c r="AJ29" i="72"/>
  <c r="AI29" i="72"/>
  <c r="AH29" i="72"/>
  <c r="AJ28" i="72"/>
  <c r="AI28" i="72"/>
  <c r="AH28" i="72"/>
  <c r="AG28" i="72"/>
  <c r="AJ27" i="72"/>
  <c r="AI27" i="72"/>
  <c r="AH27" i="72"/>
  <c r="AG27" i="72"/>
  <c r="AF27" i="72"/>
  <c r="AJ26" i="72"/>
  <c r="AI26" i="72"/>
  <c r="AH26" i="72"/>
  <c r="AG26" i="72"/>
  <c r="AF26" i="72"/>
  <c r="AE26" i="72"/>
  <c r="AJ25" i="72"/>
  <c r="AI25" i="72"/>
  <c r="AH25" i="72"/>
  <c r="AG25" i="72"/>
  <c r="AF25" i="72"/>
  <c r="AE25" i="72"/>
  <c r="AD25" i="72"/>
  <c r="AJ24" i="72"/>
  <c r="AI24" i="72"/>
  <c r="AH24" i="72"/>
  <c r="AG24" i="72"/>
  <c r="AF24" i="72"/>
  <c r="AE24" i="72"/>
  <c r="AD24" i="72"/>
  <c r="AC24" i="72"/>
  <c r="AJ23" i="72"/>
  <c r="AI23" i="72"/>
  <c r="AH23" i="72"/>
  <c r="AG23" i="72"/>
  <c r="AF23" i="72"/>
  <c r="AE23" i="72"/>
  <c r="AD23" i="72"/>
  <c r="AC23" i="72"/>
  <c r="AB23" i="72"/>
  <c r="AJ22" i="72"/>
  <c r="AI22" i="72"/>
  <c r="AH22" i="72"/>
  <c r="AG22" i="72"/>
  <c r="AF22" i="72"/>
  <c r="AE22" i="72"/>
  <c r="AD22" i="72"/>
  <c r="AC22" i="72"/>
  <c r="AB22" i="72"/>
  <c r="AA22" i="72"/>
  <c r="AJ21" i="72"/>
  <c r="AI21" i="72"/>
  <c r="AH21" i="72"/>
  <c r="AG21" i="72"/>
  <c r="AF21" i="72"/>
  <c r="AE21" i="72"/>
  <c r="AD21" i="72"/>
  <c r="AC21" i="72"/>
  <c r="AB21" i="72"/>
  <c r="AA21" i="72"/>
  <c r="Z21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AJ18" i="72"/>
  <c r="AI18" i="72"/>
  <c r="AH18" i="72"/>
  <c r="AG18" i="72"/>
  <c r="AF18" i="72"/>
  <c r="AE18" i="72"/>
  <c r="AD18" i="72"/>
  <c r="AC18" i="72"/>
  <c r="AB18" i="72"/>
  <c r="AA18" i="72"/>
  <c r="Z18" i="72"/>
  <c r="Y18" i="72"/>
  <c r="X18" i="72"/>
  <c r="W18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AJ15" i="72"/>
  <c r="AI15" i="72"/>
  <c r="AH15" i="72"/>
  <c r="AG15" i="72"/>
  <c r="AF15" i="72"/>
  <c r="AE15" i="72"/>
  <c r="AD15" i="72"/>
  <c r="AC15" i="72"/>
  <c r="AB15" i="72"/>
  <c r="AA15" i="72"/>
  <c r="Z15" i="72"/>
  <c r="Y15" i="72"/>
  <c r="X15" i="72"/>
  <c r="W15" i="72"/>
  <c r="V15" i="72"/>
  <c r="U15" i="72"/>
  <c r="T15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AJ2" i="72"/>
  <c r="AI2" i="72"/>
  <c r="AH2" i="72"/>
  <c r="AG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B60" i="26"/>
  <c r="C60" i="26" s="1"/>
  <c r="D60" i="26" s="1"/>
  <c r="B59" i="26"/>
  <c r="D58" i="26"/>
  <c r="C58" i="26"/>
  <c r="B58" i="26"/>
  <c r="B54" i="26"/>
  <c r="B53" i="26"/>
  <c r="B52" i="26"/>
  <c r="B51" i="26"/>
  <c r="B50" i="26"/>
  <c r="J48" i="26"/>
  <c r="I48" i="26"/>
  <c r="H48" i="26"/>
  <c r="G48" i="26"/>
  <c r="F48" i="26"/>
  <c r="E48" i="26"/>
  <c r="D48" i="26"/>
  <c r="C48" i="26"/>
  <c r="B48" i="26"/>
  <c r="H21" i="26"/>
  <c r="G21" i="26"/>
  <c r="F21" i="26"/>
  <c r="E21" i="26"/>
  <c r="D21" i="26"/>
  <c r="C21" i="26"/>
  <c r="D18" i="26"/>
  <c r="C18" i="26"/>
  <c r="D12" i="26"/>
  <c r="C12" i="26"/>
  <c r="B12" i="26"/>
  <c r="A17" i="34"/>
  <c r="C202" i="38" s="1"/>
  <c r="C217" i="38" s="1"/>
  <c r="C232" i="38" s="1"/>
  <c r="A16" i="34"/>
  <c r="C16" i="34" s="1"/>
  <c r="A15" i="34"/>
  <c r="C200" i="38" s="1"/>
  <c r="C215" i="38" s="1"/>
  <c r="C230" i="38" s="1"/>
  <c r="A14" i="34"/>
  <c r="C199" i="38" s="1"/>
  <c r="C214" i="38" s="1"/>
  <c r="A13" i="34"/>
  <c r="C13" i="34" s="1"/>
  <c r="A12" i="34"/>
  <c r="C197" i="38" s="1"/>
  <c r="C212" i="38" s="1"/>
  <c r="A11" i="34"/>
  <c r="C11" i="34" s="1"/>
  <c r="E11" i="34" s="1"/>
  <c r="A10" i="34"/>
  <c r="C10" i="34" s="1"/>
  <c r="A9" i="34"/>
  <c r="C9" i="34" s="1"/>
  <c r="A8" i="34"/>
  <c r="C193" i="38" s="1"/>
  <c r="C208" i="38" s="1"/>
  <c r="A7" i="34"/>
  <c r="C192" i="38" s="1"/>
  <c r="C207" i="38" s="1"/>
  <c r="C222" i="38" s="1"/>
  <c r="A6" i="34"/>
  <c r="C6" i="34" s="1"/>
  <c r="E6" i="34" s="1"/>
  <c r="A5" i="34"/>
  <c r="C190" i="38" s="1"/>
  <c r="C205" i="38" s="1"/>
  <c r="C220" i="38" s="1"/>
  <c r="A4" i="34"/>
  <c r="C4" i="34" s="1"/>
  <c r="A3" i="34"/>
  <c r="C3" i="34" s="1"/>
  <c r="E2" i="34"/>
  <c r="D2" i="34"/>
  <c r="C2" i="34"/>
  <c r="G31" i="76"/>
  <c r="D31" i="76"/>
  <c r="G30" i="76"/>
  <c r="D30" i="76"/>
  <c r="G29" i="76"/>
  <c r="D29" i="76"/>
  <c r="G28" i="76"/>
  <c r="D28" i="76"/>
  <c r="G27" i="76"/>
  <c r="D27" i="76"/>
  <c r="G26" i="76"/>
  <c r="D26" i="76"/>
  <c r="G25" i="76"/>
  <c r="D25" i="76"/>
  <c r="G24" i="76"/>
  <c r="D24" i="76"/>
  <c r="G23" i="76"/>
  <c r="D23" i="76"/>
  <c r="G22" i="76"/>
  <c r="D22" i="76"/>
  <c r="G21" i="76"/>
  <c r="D21" i="76"/>
  <c r="G20" i="76"/>
  <c r="D20" i="76"/>
  <c r="G19" i="76"/>
  <c r="D19" i="76"/>
  <c r="G18" i="76"/>
  <c r="D18" i="76"/>
  <c r="D17" i="76"/>
  <c r="D16" i="76"/>
  <c r="D15" i="76"/>
  <c r="G14" i="76"/>
  <c r="G13" i="76" s="1"/>
  <c r="F13" i="76" s="1"/>
  <c r="D14" i="76"/>
  <c r="D13" i="76"/>
  <c r="D12" i="76"/>
  <c r="D11" i="76"/>
  <c r="D10" i="76"/>
  <c r="D9" i="76"/>
  <c r="D8" i="76"/>
  <c r="D7" i="76"/>
  <c r="D6" i="76"/>
  <c r="D5" i="76"/>
  <c r="G4" i="76"/>
  <c r="G5" i="76" s="1"/>
  <c r="D4" i="76"/>
  <c r="D3" i="76"/>
  <c r="G2" i="76"/>
  <c r="F2" i="76"/>
  <c r="E2" i="76"/>
  <c r="C51" i="17"/>
  <c r="E50" i="17"/>
  <c r="D50" i="17"/>
  <c r="C50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E31" i="17"/>
  <c r="D31" i="17"/>
  <c r="C31" i="17"/>
  <c r="B27" i="17"/>
  <c r="B26" i="17"/>
  <c r="B25" i="17"/>
  <c r="B24" i="17"/>
  <c r="B23" i="17"/>
  <c r="B22" i="17"/>
  <c r="E21" i="17"/>
  <c r="D21" i="17"/>
  <c r="C21" i="17"/>
  <c r="E18" i="17"/>
  <c r="E17" i="17"/>
  <c r="D17" i="17"/>
  <c r="E16" i="17"/>
  <c r="E15" i="17"/>
  <c r="D15" i="17"/>
  <c r="D18" i="17" s="1"/>
  <c r="C15" i="17"/>
  <c r="D16" i="17" s="1"/>
  <c r="E12" i="17"/>
  <c r="E10" i="17"/>
  <c r="D10" i="17"/>
  <c r="C10" i="17"/>
  <c r="D5" i="17"/>
  <c r="C5" i="17"/>
  <c r="E4" i="17"/>
  <c r="D4" i="17"/>
  <c r="C4" i="17"/>
  <c r="J39" i="9"/>
  <c r="E51" i="22" s="1"/>
  <c r="I39" i="9"/>
  <c r="I38" i="9"/>
  <c r="I37" i="9"/>
  <c r="I36" i="9"/>
  <c r="I35" i="9"/>
  <c r="R34" i="9"/>
  <c r="Q34" i="9"/>
  <c r="P34" i="9"/>
  <c r="O34" i="9"/>
  <c r="N34" i="9"/>
  <c r="M34" i="9"/>
  <c r="L34" i="9"/>
  <c r="K34" i="9"/>
  <c r="J34" i="9"/>
  <c r="R33" i="9"/>
  <c r="Q33" i="9"/>
  <c r="P33" i="9"/>
  <c r="L33" i="9"/>
  <c r="K33" i="9"/>
  <c r="J33" i="9"/>
  <c r="I29" i="9"/>
  <c r="I28" i="9"/>
  <c r="I27" i="9"/>
  <c r="I26" i="9"/>
  <c r="I25" i="9"/>
  <c r="R24" i="9"/>
  <c r="Q24" i="9"/>
  <c r="P24" i="9"/>
  <c r="O24" i="9"/>
  <c r="N24" i="9"/>
  <c r="M24" i="9"/>
  <c r="L24" i="9"/>
  <c r="K24" i="9"/>
  <c r="J24" i="9"/>
  <c r="R23" i="9"/>
  <c r="Q23" i="9"/>
  <c r="P23" i="9"/>
  <c r="O23" i="9"/>
  <c r="N23" i="9"/>
  <c r="M23" i="9"/>
  <c r="L23" i="9"/>
  <c r="K23" i="9"/>
  <c r="J23" i="9"/>
  <c r="T14" i="9"/>
  <c r="L9" i="9"/>
  <c r="K9" i="9"/>
  <c r="I9" i="9"/>
  <c r="I8" i="9"/>
  <c r="L7" i="9"/>
  <c r="K7" i="9"/>
  <c r="I7" i="9"/>
  <c r="I6" i="9"/>
  <c r="L5" i="9"/>
  <c r="K5" i="9"/>
  <c r="I5" i="9"/>
  <c r="R4" i="9"/>
  <c r="Q4" i="9"/>
  <c r="P4" i="9"/>
  <c r="O4" i="9"/>
  <c r="N4" i="9"/>
  <c r="M4" i="9"/>
  <c r="L4" i="9"/>
  <c r="K4" i="9"/>
  <c r="J4" i="9"/>
  <c r="R3" i="9"/>
  <c r="Q3" i="9"/>
  <c r="P3" i="9"/>
  <c r="O3" i="9"/>
  <c r="N3" i="9"/>
  <c r="M3" i="9"/>
  <c r="L3" i="9"/>
  <c r="K3" i="9"/>
  <c r="J3" i="9"/>
  <c r="D2" i="9"/>
  <c r="C6" i="9" s="1"/>
  <c r="C2" i="9"/>
  <c r="P38" i="70"/>
  <c r="P37" i="70"/>
  <c r="P36" i="70"/>
  <c r="Q37" i="70"/>
  <c r="Q36" i="70"/>
  <c r="Q38" i="70"/>
  <c r="I75" i="66" l="1"/>
  <c r="I80" i="66"/>
  <c r="I202" i="66"/>
  <c r="I205" i="66"/>
  <c r="I220" i="66"/>
  <c r="I61" i="66"/>
  <c r="A115" i="66"/>
  <c r="I115" i="66" s="1"/>
  <c r="I78" i="66"/>
  <c r="I89" i="66"/>
  <c r="I196" i="66"/>
  <c r="I59" i="66"/>
  <c r="I203" i="66"/>
  <c r="I221" i="66"/>
  <c r="I76" i="66"/>
  <c r="I87" i="66"/>
  <c r="I92" i="66"/>
  <c r="I232" i="66"/>
  <c r="I243" i="66"/>
  <c r="I207" i="66"/>
  <c r="I52" i="66"/>
  <c r="I204" i="66"/>
  <c r="I219" i="66"/>
  <c r="I222" i="66"/>
  <c r="I60" i="66"/>
  <c r="I233" i="66"/>
  <c r="C71" i="74"/>
  <c r="C91" i="74"/>
  <c r="C83" i="74"/>
  <c r="C52" i="74"/>
  <c r="C76" i="74"/>
  <c r="C80" i="74"/>
  <c r="C94" i="74"/>
  <c r="C64" i="74"/>
  <c r="D16" i="34"/>
  <c r="A114" i="66"/>
  <c r="I114" i="66" s="1"/>
  <c r="A119" i="66"/>
  <c r="I119" i="66" s="1"/>
  <c r="A131" i="66"/>
  <c r="I131" i="66" s="1"/>
  <c r="A143" i="66"/>
  <c r="I143" i="66" s="1"/>
  <c r="A258" i="66"/>
  <c r="I258" i="66" s="1"/>
  <c r="A263" i="66"/>
  <c r="I263" i="66" s="1"/>
  <c r="A275" i="66"/>
  <c r="I275" i="66" s="1"/>
  <c r="A287" i="66"/>
  <c r="I287" i="66" s="1"/>
  <c r="I56" i="66"/>
  <c r="I73" i="66"/>
  <c r="I85" i="66"/>
  <c r="I97" i="66"/>
  <c r="A112" i="66"/>
  <c r="I112" i="66" s="1"/>
  <c r="A117" i="66"/>
  <c r="I117" i="66" s="1"/>
  <c r="A129" i="66"/>
  <c r="I129" i="66" s="1"/>
  <c r="A141" i="66"/>
  <c r="I141" i="66" s="1"/>
  <c r="I200" i="66"/>
  <c r="I217" i="66"/>
  <c r="I229" i="66"/>
  <c r="I241" i="66"/>
  <c r="A256" i="66"/>
  <c r="I256" i="66" s="1"/>
  <c r="A261" i="66"/>
  <c r="I261" i="66" s="1"/>
  <c r="A273" i="66"/>
  <c r="I273" i="66" s="1"/>
  <c r="A285" i="66"/>
  <c r="I285" i="66" s="1"/>
  <c r="A105" i="66"/>
  <c r="I105" i="66" s="1"/>
  <c r="A122" i="66"/>
  <c r="I122" i="66" s="1"/>
  <c r="A134" i="66"/>
  <c r="I134" i="66" s="1"/>
  <c r="A146" i="66"/>
  <c r="I146" i="66" s="1"/>
  <c r="A249" i="66"/>
  <c r="I249" i="66" s="1"/>
  <c r="A266" i="66"/>
  <c r="I266" i="66" s="1"/>
  <c r="A278" i="66"/>
  <c r="I278" i="66" s="1"/>
  <c r="A290" i="66"/>
  <c r="I290" i="66" s="1"/>
  <c r="A103" i="66"/>
  <c r="A110" i="66"/>
  <c r="I110" i="66" s="1"/>
  <c r="A127" i="66"/>
  <c r="I127" i="66" s="1"/>
  <c r="A139" i="66"/>
  <c r="I139" i="66" s="1"/>
  <c r="A247" i="66"/>
  <c r="A254" i="66"/>
  <c r="I254" i="66" s="1"/>
  <c r="A271" i="66"/>
  <c r="I271" i="66" s="1"/>
  <c r="A283" i="66"/>
  <c r="I283" i="66" s="1"/>
  <c r="A144" i="66"/>
  <c r="I144" i="66" s="1"/>
  <c r="A264" i="66"/>
  <c r="I264" i="66" s="1"/>
  <c r="A276" i="66"/>
  <c r="I276" i="66" s="1"/>
  <c r="A113" i="66"/>
  <c r="I113" i="66" s="1"/>
  <c r="A118" i="66"/>
  <c r="I118" i="66" s="1"/>
  <c r="A130" i="66"/>
  <c r="I130" i="66" s="1"/>
  <c r="A142" i="66"/>
  <c r="I142" i="66" s="1"/>
  <c r="A257" i="66"/>
  <c r="I257" i="66" s="1"/>
  <c r="A262" i="66"/>
  <c r="I262" i="66" s="1"/>
  <c r="A274" i="66"/>
  <c r="I274" i="66" s="1"/>
  <c r="A286" i="66"/>
  <c r="I286" i="66" s="1"/>
  <c r="I55" i="66"/>
  <c r="I199" i="66"/>
  <c r="A259" i="66"/>
  <c r="I259" i="66" s="1"/>
  <c r="I72" i="66"/>
  <c r="I84" i="66"/>
  <c r="I240" i="66"/>
  <c r="G7" i="76"/>
  <c r="G50" i="39"/>
  <c r="C58" i="74"/>
  <c r="C88" i="74"/>
  <c r="C67" i="74"/>
  <c r="C59" i="74"/>
  <c r="C70" i="74"/>
  <c r="C92" i="74"/>
  <c r="C68" i="74"/>
  <c r="C79" i="74"/>
  <c r="C95" i="74"/>
  <c r="C283" i="38"/>
  <c r="C289" i="38" s="1"/>
  <c r="C301" i="38" s="1"/>
  <c r="C313" i="38" s="1"/>
  <c r="C325" i="38" s="1"/>
  <c r="C337" i="38" s="1"/>
  <c r="C349" i="38" s="1"/>
  <c r="F3" i="76"/>
  <c r="F5" i="76"/>
  <c r="F26" i="76"/>
  <c r="F14" i="76"/>
  <c r="F22" i="76"/>
  <c r="F16" i="76"/>
  <c r="F18" i="76"/>
  <c r="F30" i="76"/>
  <c r="F15" i="76"/>
  <c r="F29" i="76"/>
  <c r="C5" i="34"/>
  <c r="G44" i="39"/>
  <c r="G47" i="39"/>
  <c r="C66" i="74"/>
  <c r="C78" i="74"/>
  <c r="C90" i="74"/>
  <c r="A105" i="74"/>
  <c r="C105" i="74" s="1"/>
  <c r="A117" i="74"/>
  <c r="C117" i="74" s="1"/>
  <c r="A129" i="74"/>
  <c r="C129" i="74" s="1"/>
  <c r="A141" i="74"/>
  <c r="C141" i="74" s="1"/>
  <c r="A103" i="74"/>
  <c r="A110" i="74"/>
  <c r="C110" i="74" s="1"/>
  <c r="A122" i="74"/>
  <c r="C122" i="74" s="1"/>
  <c r="A134" i="74"/>
  <c r="C134" i="74" s="1"/>
  <c r="A146" i="74"/>
  <c r="C146" i="74" s="1"/>
  <c r="X6" i="20"/>
  <c r="C52" i="20"/>
  <c r="C17" i="34"/>
  <c r="D17" i="34" s="1"/>
  <c r="O50" i="39"/>
  <c r="C55" i="74"/>
  <c r="A101" i="74"/>
  <c r="C101" i="74" s="1"/>
  <c r="A108" i="74"/>
  <c r="C108" i="74" s="1"/>
  <c r="A120" i="74"/>
  <c r="C120" i="74" s="1"/>
  <c r="A132" i="74"/>
  <c r="C132" i="74" s="1"/>
  <c r="A144" i="74"/>
  <c r="C144" i="74" s="1"/>
  <c r="P20" i="39"/>
  <c r="Q20" i="39" s="1"/>
  <c r="A113" i="74"/>
  <c r="C113" i="74" s="1"/>
  <c r="A125" i="74"/>
  <c r="C125" i="74" s="1"/>
  <c r="A137" i="74"/>
  <c r="C137" i="74" s="1"/>
  <c r="G40" i="39"/>
  <c r="B61" i="26"/>
  <c r="A111" i="74"/>
  <c r="C111" i="74" s="1"/>
  <c r="A123" i="74"/>
  <c r="C123" i="74" s="1"/>
  <c r="A135" i="74"/>
  <c r="C135" i="74" s="1"/>
  <c r="A147" i="74"/>
  <c r="C147" i="74" s="1"/>
  <c r="G9" i="76"/>
  <c r="C198" i="38"/>
  <c r="C213" i="38" s="1"/>
  <c r="C228" i="38" s="1"/>
  <c r="C243" i="38" s="1"/>
  <c r="A102" i="74"/>
  <c r="C102" i="74" s="1"/>
  <c r="A109" i="74"/>
  <c r="C109" i="74" s="1"/>
  <c r="A121" i="74"/>
  <c r="C121" i="74" s="1"/>
  <c r="A133" i="74"/>
  <c r="C133" i="74" s="1"/>
  <c r="A145" i="74"/>
  <c r="C145" i="74" s="1"/>
  <c r="E250" i="72"/>
  <c r="G52" i="39"/>
  <c r="A2" i="53"/>
  <c r="A8" i="53" s="1"/>
  <c r="C15" i="34"/>
  <c r="O53" i="39"/>
  <c r="C7" i="34"/>
  <c r="E7" i="34" s="1"/>
  <c r="D7" i="34" s="1"/>
  <c r="P19" i="39"/>
  <c r="Q19" i="39" s="1"/>
  <c r="O52" i="39"/>
  <c r="O43" i="39"/>
  <c r="G48" i="39"/>
  <c r="C194" i="38"/>
  <c r="C209" i="38" s="1"/>
  <c r="C224" i="38" s="1"/>
  <c r="O46" i="39"/>
  <c r="P18" i="39"/>
  <c r="Q18" i="39" s="1"/>
  <c r="G49" i="39"/>
  <c r="G55" i="39"/>
  <c r="J8" i="58"/>
  <c r="I8" i="58"/>
  <c r="I9" i="58"/>
  <c r="G240" i="66" s="1"/>
  <c r="I10" i="58"/>
  <c r="I7" i="37"/>
  <c r="G80" i="66" s="1"/>
  <c r="H9" i="58"/>
  <c r="G192" i="66" s="1"/>
  <c r="H25" i="37"/>
  <c r="H7" i="37"/>
  <c r="G32" i="66" s="1"/>
  <c r="J10" i="58"/>
  <c r="I6" i="37"/>
  <c r="J7" i="37"/>
  <c r="G128" i="66" s="1"/>
  <c r="H6" i="37"/>
  <c r="E10" i="34"/>
  <c r="D10" i="34" s="1"/>
  <c r="A9" i="53"/>
  <c r="C286" i="38"/>
  <c r="C298" i="38" s="1"/>
  <c r="C292" i="38"/>
  <c r="C304" i="38" s="1"/>
  <c r="D4" i="34"/>
  <c r="C288" i="38"/>
  <c r="C294" i="38"/>
  <c r="C188" i="38"/>
  <c r="C203" i="38" s="1"/>
  <c r="A16" i="41"/>
  <c r="O42" i="39"/>
  <c r="I7" i="58"/>
  <c r="G224" i="66" s="1"/>
  <c r="E95" i="72"/>
  <c r="P22" i="39"/>
  <c r="Q22" i="39" s="1"/>
  <c r="P24" i="39"/>
  <c r="Q24" i="39" s="1"/>
  <c r="G54" i="39"/>
  <c r="C189" i="38"/>
  <c r="C204" i="38" s="1"/>
  <c r="C195" i="38"/>
  <c r="C210" i="38" s="1"/>
  <c r="C225" i="38" s="1"/>
  <c r="C201" i="38"/>
  <c r="C216" i="38" s="1"/>
  <c r="A4" i="53"/>
  <c r="A10" i="53" s="1"/>
  <c r="A16" i="53" s="1"/>
  <c r="H5" i="37"/>
  <c r="G21" i="66" s="1"/>
  <c r="J6" i="37"/>
  <c r="D437" i="41"/>
  <c r="C274" i="66" s="1"/>
  <c r="P274" i="66" s="1"/>
  <c r="G39" i="39"/>
  <c r="G41" i="39"/>
  <c r="G53" i="39"/>
  <c r="O55" i="39"/>
  <c r="I5" i="37"/>
  <c r="G69" i="66" s="1"/>
  <c r="D431" i="41"/>
  <c r="J9" i="58"/>
  <c r="G288" i="66" s="1"/>
  <c r="B21" i="41"/>
  <c r="C59" i="26"/>
  <c r="E188" i="72"/>
  <c r="C8" i="34"/>
  <c r="C12" i="34"/>
  <c r="E64" i="72"/>
  <c r="C196" i="38"/>
  <c r="C211" i="38" s="1"/>
  <c r="C226" i="38" s="1"/>
  <c r="C241" i="38" s="1"/>
  <c r="C278" i="38"/>
  <c r="G70" i="66"/>
  <c r="G49" i="66"/>
  <c r="G145" i="66"/>
  <c r="G64" i="66"/>
  <c r="G97" i="66"/>
  <c r="G16" i="66"/>
  <c r="G123" i="66"/>
  <c r="F3" i="41"/>
  <c r="J5" i="37"/>
  <c r="G117" i="66" s="1"/>
  <c r="H10" i="37"/>
  <c r="A436" i="41"/>
  <c r="J7" i="58"/>
  <c r="G272" i="66" s="1"/>
  <c r="H7" i="58"/>
  <c r="E157" i="72"/>
  <c r="A6" i="53"/>
  <c r="A12" i="53" s="1"/>
  <c r="A430" i="41"/>
  <c r="A494" i="41"/>
  <c r="A4" i="41"/>
  <c r="G45" i="39"/>
  <c r="O48" i="39"/>
  <c r="I10" i="37"/>
  <c r="E281" i="72"/>
  <c r="C191" i="38"/>
  <c r="C206" i="38" s="1"/>
  <c r="C221" i="38" s="1"/>
  <c r="C279" i="38"/>
  <c r="C291" i="38" s="1"/>
  <c r="H9" i="37"/>
  <c r="G48" i="66" s="1"/>
  <c r="J10" i="37"/>
  <c r="J6" i="58"/>
  <c r="F5" i="41"/>
  <c r="E33" i="72"/>
  <c r="O54" i="39"/>
  <c r="A17" i="8"/>
  <c r="A7" i="53"/>
  <c r="I9" i="37"/>
  <c r="G96" i="66" s="1"/>
  <c r="J3" i="58"/>
  <c r="G51" i="39"/>
  <c r="A18" i="8"/>
  <c r="H8" i="37"/>
  <c r="J9" i="37"/>
  <c r="G144" i="66" s="1"/>
  <c r="H8" i="58"/>
  <c r="J3" i="37"/>
  <c r="A19" i="8"/>
  <c r="I8" i="37"/>
  <c r="A32" i="41"/>
  <c r="E126" i="72"/>
  <c r="C14" i="34"/>
  <c r="E2" i="72"/>
  <c r="J8" i="37"/>
  <c r="H49" i="37"/>
  <c r="H61" i="37"/>
  <c r="H85" i="37"/>
  <c r="A429" i="41"/>
  <c r="E219" i="72"/>
  <c r="J5" i="58"/>
  <c r="H10" i="58"/>
  <c r="H6" i="58"/>
  <c r="I6" i="58"/>
  <c r="H5" i="58"/>
  <c r="I5" i="58"/>
  <c r="G219" i="66"/>
  <c r="G160" i="66"/>
  <c r="G214" i="66"/>
  <c r="G241" i="66"/>
  <c r="G193" i="66"/>
  <c r="G289" i="66"/>
  <c r="G166" i="66"/>
  <c r="G208" i="66"/>
  <c r="C51" i="20"/>
  <c r="P20" i="18" s="1"/>
  <c r="P31" i="18"/>
  <c r="G262" i="66"/>
  <c r="R36" i="70"/>
  <c r="R38" i="70"/>
  <c r="R37" i="70"/>
  <c r="F4" i="76"/>
  <c r="C306" i="38"/>
  <c r="D9" i="34"/>
  <c r="J25" i="9"/>
  <c r="J29" i="9"/>
  <c r="F12" i="76"/>
  <c r="F21" i="76"/>
  <c r="F25" i="76"/>
  <c r="D6" i="34"/>
  <c r="D13" i="17"/>
  <c r="F17" i="76"/>
  <c r="D3" i="34"/>
  <c r="D13" i="34"/>
  <c r="E12" i="38"/>
  <c r="E24" i="38"/>
  <c r="E36" i="38"/>
  <c r="E48" i="38"/>
  <c r="E60" i="38"/>
  <c r="E72" i="38"/>
  <c r="E84" i="38"/>
  <c r="C235" i="38"/>
  <c r="E6" i="38"/>
  <c r="E18" i="38"/>
  <c r="E30" i="38"/>
  <c r="E42" i="38"/>
  <c r="E54" i="38"/>
  <c r="E66" i="38"/>
  <c r="E78" i="38"/>
  <c r="E7" i="38"/>
  <c r="E13" i="38"/>
  <c r="E19" i="38"/>
  <c r="E25" i="38"/>
  <c r="E31" i="38"/>
  <c r="E37" i="38"/>
  <c r="E43" i="38"/>
  <c r="E49" i="38"/>
  <c r="E55" i="38"/>
  <c r="E61" i="38"/>
  <c r="E67" i="38"/>
  <c r="E73" i="38"/>
  <c r="E79" i="38"/>
  <c r="E85" i="38"/>
  <c r="C223" i="38"/>
  <c r="C229" i="38"/>
  <c r="C218" i="38"/>
  <c r="C237" i="38"/>
  <c r="C245" i="38"/>
  <c r="E8" i="38"/>
  <c r="E20" i="38"/>
  <c r="E32" i="38"/>
  <c r="E56" i="38"/>
  <c r="E68" i="38"/>
  <c r="E80" i="38"/>
  <c r="J27" i="9"/>
  <c r="H109" i="58"/>
  <c r="H103" i="58"/>
  <c r="H97" i="58"/>
  <c r="H135" i="58"/>
  <c r="H129" i="58"/>
  <c r="H123" i="58"/>
  <c r="H117" i="58"/>
  <c r="H110" i="58"/>
  <c r="H104" i="58"/>
  <c r="H98" i="58"/>
  <c r="H136" i="58"/>
  <c r="H130" i="58"/>
  <c r="H124" i="58"/>
  <c r="H118" i="58"/>
  <c r="H111" i="58"/>
  <c r="H105" i="58"/>
  <c r="H99" i="58"/>
  <c r="H137" i="58"/>
  <c r="H131" i="58"/>
  <c r="H125" i="58"/>
  <c r="H119" i="58"/>
  <c r="H112" i="58"/>
  <c r="H106" i="58"/>
  <c r="H100" i="58"/>
  <c r="H138" i="58"/>
  <c r="H132" i="58"/>
  <c r="H126" i="58"/>
  <c r="H120" i="58"/>
  <c r="H113" i="58"/>
  <c r="H107" i="58"/>
  <c r="H101" i="58"/>
  <c r="H95" i="58"/>
  <c r="H114" i="58"/>
  <c r="H108" i="58"/>
  <c r="H102" i="58"/>
  <c r="H96" i="58"/>
  <c r="H140" i="58"/>
  <c r="H115" i="58"/>
  <c r="H138" i="37"/>
  <c r="H132" i="37"/>
  <c r="H126" i="37"/>
  <c r="H121" i="58"/>
  <c r="H127" i="58"/>
  <c r="H116" i="58"/>
  <c r="H133" i="58"/>
  <c r="H122" i="58"/>
  <c r="H139" i="58"/>
  <c r="H128" i="58"/>
  <c r="H134" i="58"/>
  <c r="H133" i="37"/>
  <c r="H101" i="37"/>
  <c r="H96" i="37"/>
  <c r="H125" i="37"/>
  <c r="H106" i="37"/>
  <c r="H129" i="37"/>
  <c r="H121" i="37"/>
  <c r="H116" i="37"/>
  <c r="H111" i="37"/>
  <c r="H102" i="37"/>
  <c r="H97" i="37"/>
  <c r="H107" i="37"/>
  <c r="H134" i="37"/>
  <c r="H130" i="37"/>
  <c r="H112" i="37"/>
  <c r="H139" i="37"/>
  <c r="H117" i="37"/>
  <c r="H108" i="37"/>
  <c r="H103" i="37"/>
  <c r="H98" i="37"/>
  <c r="H131" i="37"/>
  <c r="H122" i="37"/>
  <c r="H113" i="37"/>
  <c r="H135" i="37"/>
  <c r="H127" i="37"/>
  <c r="H118" i="37"/>
  <c r="H114" i="37"/>
  <c r="H109" i="37"/>
  <c r="H104" i="37"/>
  <c r="H99" i="37"/>
  <c r="H140" i="37"/>
  <c r="H136" i="37"/>
  <c r="H123" i="37"/>
  <c r="H119" i="37"/>
  <c r="H100" i="37"/>
  <c r="H95" i="37"/>
  <c r="H137" i="37"/>
  <c r="H128" i="37"/>
  <c r="H124" i="37"/>
  <c r="H120" i="37"/>
  <c r="H115" i="37"/>
  <c r="H110" i="37"/>
  <c r="H105" i="37"/>
  <c r="F27" i="76"/>
  <c r="E2" i="38"/>
  <c r="E14" i="38"/>
  <c r="E26" i="38"/>
  <c r="E38" i="38"/>
  <c r="E50" i="38"/>
  <c r="E62" i="38"/>
  <c r="E74" i="38"/>
  <c r="E117" i="38"/>
  <c r="I472" i="37" s="1"/>
  <c r="E100" i="38"/>
  <c r="H472" i="37" s="1"/>
  <c r="G202" i="35"/>
  <c r="G196" i="35"/>
  <c r="G190" i="35"/>
  <c r="G201" i="35"/>
  <c r="G195" i="35"/>
  <c r="G189" i="35"/>
  <c r="G205" i="35"/>
  <c r="G199" i="35"/>
  <c r="G193" i="35"/>
  <c r="G187" i="35"/>
  <c r="G204" i="35"/>
  <c r="G198" i="35"/>
  <c r="G192" i="35"/>
  <c r="G186" i="35"/>
  <c r="E3" i="38"/>
  <c r="E9" i="38"/>
  <c r="E15" i="38"/>
  <c r="E21" i="38"/>
  <c r="E27" i="38"/>
  <c r="E33" i="38"/>
  <c r="E39" i="38"/>
  <c r="E45" i="38"/>
  <c r="E51" i="38"/>
  <c r="E57" i="38"/>
  <c r="E63" i="38"/>
  <c r="E69" i="38"/>
  <c r="E75" i="38"/>
  <c r="E81" i="38"/>
  <c r="C231" i="38"/>
  <c r="C239" i="38"/>
  <c r="C247" i="38"/>
  <c r="D11" i="17"/>
  <c r="F23" i="76"/>
  <c r="D11" i="34"/>
  <c r="D5" i="34"/>
  <c r="G191" i="35"/>
  <c r="G200" i="35"/>
  <c r="F6" i="76"/>
  <c r="F19" i="76"/>
  <c r="F31" i="76"/>
  <c r="D12" i="17"/>
  <c r="F11" i="76"/>
  <c r="F20" i="76"/>
  <c r="F24" i="76"/>
  <c r="F28" i="76"/>
  <c r="E4" i="38"/>
  <c r="E16" i="38"/>
  <c r="E28" i="38"/>
  <c r="E40" i="38"/>
  <c r="E52" i="38"/>
  <c r="E64" i="38"/>
  <c r="E76" i="38"/>
  <c r="E134" i="38"/>
  <c r="J472" i="37" s="1"/>
  <c r="E168" i="38"/>
  <c r="I472" i="58" s="1"/>
  <c r="E151" i="38"/>
  <c r="H472" i="58" s="1"/>
  <c r="E10" i="38"/>
  <c r="E22" i="38"/>
  <c r="E34" i="38"/>
  <c r="E46" i="38"/>
  <c r="E58" i="38"/>
  <c r="E70" i="38"/>
  <c r="E82" i="38"/>
  <c r="E185" i="38"/>
  <c r="J472" i="58" s="1"/>
  <c r="E5" i="38"/>
  <c r="E11" i="38"/>
  <c r="E17" i="38"/>
  <c r="E23" i="38"/>
  <c r="E29" i="38"/>
  <c r="E35" i="38"/>
  <c r="E41" i="38"/>
  <c r="E47" i="38"/>
  <c r="E53" i="38"/>
  <c r="E59" i="38"/>
  <c r="E65" i="38"/>
  <c r="E71" i="38"/>
  <c r="E77" i="38"/>
  <c r="E83" i="38"/>
  <c r="C227" i="38"/>
  <c r="C303" i="38"/>
  <c r="C310" i="38"/>
  <c r="C285" i="38"/>
  <c r="C295" i="38"/>
  <c r="C307" i="38" s="1"/>
  <c r="C319" i="38" s="1"/>
  <c r="C331" i="38" s="1"/>
  <c r="C343" i="38" s="1"/>
  <c r="E44" i="38"/>
  <c r="C300" i="38"/>
  <c r="A15" i="53"/>
  <c r="G27" i="66"/>
  <c r="G22" i="66"/>
  <c r="I19" i="74"/>
  <c r="G75" i="66"/>
  <c r="G112" i="66"/>
  <c r="I137" i="74"/>
  <c r="I147" i="74"/>
  <c r="G118" i="66"/>
  <c r="I14" i="74"/>
  <c r="G171" i="66"/>
  <c r="G267" i="66"/>
  <c r="G256" i="66"/>
  <c r="I71" i="74"/>
  <c r="I6" i="74"/>
  <c r="I57" i="74"/>
  <c r="P3" i="18"/>
  <c r="X4" i="20"/>
  <c r="I125" i="74"/>
  <c r="I107" i="74"/>
  <c r="I104" i="74"/>
  <c r="P12" i="18"/>
  <c r="X7" i="20"/>
  <c r="P13" i="18"/>
  <c r="C26" i="20"/>
  <c r="X8" i="20"/>
  <c r="F16" i="63"/>
  <c r="F26" i="63" s="1"/>
  <c r="F36" i="63" s="1"/>
  <c r="F46" i="63" s="1"/>
  <c r="F56" i="63" s="1"/>
  <c r="F14" i="63"/>
  <c r="F24" i="63" s="1"/>
  <c r="F34" i="63" s="1"/>
  <c r="F44" i="63" s="1"/>
  <c r="F54" i="63" s="1"/>
  <c r="F15" i="63"/>
  <c r="F25" i="63" s="1"/>
  <c r="F35" i="63" s="1"/>
  <c r="F45" i="63" s="1"/>
  <c r="F55" i="63" s="1"/>
  <c r="I140" i="74"/>
  <c r="I123" i="74"/>
  <c r="C24" i="20"/>
  <c r="P11" i="18"/>
  <c r="I94" i="74" l="1"/>
  <c r="I62" i="74"/>
  <c r="I7" i="74"/>
  <c r="I31" i="74"/>
  <c r="I22" i="74"/>
  <c r="I50" i="74"/>
  <c r="I93" i="74"/>
  <c r="I59" i="74"/>
  <c r="I108" i="74"/>
  <c r="I91" i="74"/>
  <c r="I15" i="74"/>
  <c r="I95" i="74"/>
  <c r="I76" i="74"/>
  <c r="I72" i="74"/>
  <c r="I29" i="74"/>
  <c r="I26" i="74"/>
  <c r="I92" i="74"/>
  <c r="I67" i="74"/>
  <c r="I115" i="74"/>
  <c r="I8" i="74"/>
  <c r="I100" i="74"/>
  <c r="I17" i="74"/>
  <c r="I35" i="74"/>
  <c r="I10" i="74"/>
  <c r="I77" i="74"/>
  <c r="I37" i="74"/>
  <c r="I138" i="74"/>
  <c r="C42" i="66"/>
  <c r="C79" i="66"/>
  <c r="P79" i="66" s="1"/>
  <c r="C180" i="66"/>
  <c r="F7" i="76"/>
  <c r="G8" i="76"/>
  <c r="C190" i="66"/>
  <c r="I143" i="74"/>
  <c r="I6" i="41"/>
  <c r="I134" i="74"/>
  <c r="E12" i="34"/>
  <c r="D12" i="34" s="1"/>
  <c r="I142" i="74"/>
  <c r="E6" i="53"/>
  <c r="F9" i="76"/>
  <c r="I122" i="74"/>
  <c r="I131" i="74"/>
  <c r="I129" i="74"/>
  <c r="I114" i="74"/>
  <c r="I118" i="74"/>
  <c r="I73" i="74"/>
  <c r="I85" i="74"/>
  <c r="I56" i="74"/>
  <c r="I130" i="74"/>
  <c r="I110" i="74"/>
  <c r="I141" i="74"/>
  <c r="I97" i="74"/>
  <c r="H9" i="41"/>
  <c r="K55" i="39" s="1"/>
  <c r="E153" i="38" s="1"/>
  <c r="C60" i="66"/>
  <c r="C287" i="66"/>
  <c r="P287" i="66" s="1"/>
  <c r="R287" i="66" s="1"/>
  <c r="C73" i="66"/>
  <c r="P73" i="66" s="1"/>
  <c r="R73" i="66" s="1"/>
  <c r="D108" i="74"/>
  <c r="C89" i="66"/>
  <c r="D81" i="74"/>
  <c r="P81" i="74" s="1"/>
  <c r="R81" i="74" s="1"/>
  <c r="C5" i="66"/>
  <c r="P5" i="66" s="1"/>
  <c r="V5" i="66" s="1"/>
  <c r="C48" i="66"/>
  <c r="C90" i="66"/>
  <c r="C132" i="66"/>
  <c r="C157" i="66"/>
  <c r="P157" i="66" s="1"/>
  <c r="V157" i="66" s="1"/>
  <c r="C8" i="66"/>
  <c r="P8" i="66" s="1"/>
  <c r="V8" i="66" s="1"/>
  <c r="C210" i="66"/>
  <c r="P210" i="66" s="1"/>
  <c r="R210" i="66" s="1"/>
  <c r="C56" i="66"/>
  <c r="P56" i="66" s="1"/>
  <c r="V56" i="66" s="1"/>
  <c r="I98" i="74"/>
  <c r="I34" i="74"/>
  <c r="I89" i="74"/>
  <c r="I40" i="74"/>
  <c r="I133" i="74"/>
  <c r="I146" i="74"/>
  <c r="I38" i="74"/>
  <c r="I55" i="74"/>
  <c r="I121" i="74"/>
  <c r="I45" i="74"/>
  <c r="I136" i="74"/>
  <c r="I119" i="74"/>
  <c r="I124" i="74"/>
  <c r="I99" i="74"/>
  <c r="I128" i="74"/>
  <c r="I33" i="74"/>
  <c r="I82" i="74"/>
  <c r="I5" i="74"/>
  <c r="I25" i="74"/>
  <c r="I51" i="74"/>
  <c r="I47" i="74"/>
  <c r="I86" i="74"/>
  <c r="I18" i="74"/>
  <c r="I120" i="74"/>
  <c r="G70" i="74"/>
  <c r="S103" i="66"/>
  <c r="I103" i="66"/>
  <c r="I111" i="74"/>
  <c r="I106" i="74"/>
  <c r="I54" i="74"/>
  <c r="I69" i="74"/>
  <c r="I27" i="74"/>
  <c r="I46" i="74"/>
  <c r="I135" i="74"/>
  <c r="I44" i="74"/>
  <c r="I81" i="74"/>
  <c r="I32" i="74"/>
  <c r="C139" i="66"/>
  <c r="P139" i="66" s="1"/>
  <c r="V139" i="66" s="1"/>
  <c r="I75" i="74"/>
  <c r="I139" i="74"/>
  <c r="I79" i="74"/>
  <c r="I70" i="74"/>
  <c r="I53" i="74"/>
  <c r="I87" i="74"/>
  <c r="I63" i="74"/>
  <c r="I24" i="74"/>
  <c r="I117" i="74"/>
  <c r="I65" i="74"/>
  <c r="I23" i="74"/>
  <c r="I127" i="74"/>
  <c r="I64" i="74"/>
  <c r="I144" i="74"/>
  <c r="I42" i="74"/>
  <c r="I80" i="74"/>
  <c r="I4" i="74"/>
  <c r="I41" i="74"/>
  <c r="I9" i="74"/>
  <c r="I113" i="74"/>
  <c r="I13" i="74"/>
  <c r="I101" i="74"/>
  <c r="I16" i="74"/>
  <c r="I49" i="74"/>
  <c r="I105" i="74"/>
  <c r="I61" i="74"/>
  <c r="I30" i="74"/>
  <c r="I58" i="74"/>
  <c r="I52" i="74"/>
  <c r="I66" i="74"/>
  <c r="I39" i="74"/>
  <c r="I102" i="74"/>
  <c r="I43" i="74"/>
  <c r="I96" i="74"/>
  <c r="I90" i="74"/>
  <c r="I48" i="74"/>
  <c r="I109" i="74"/>
  <c r="I78" i="74"/>
  <c r="I12" i="74"/>
  <c r="I132" i="74"/>
  <c r="I112" i="74"/>
  <c r="I36" i="74"/>
  <c r="I74" i="74"/>
  <c r="I21" i="74"/>
  <c r="I83" i="74"/>
  <c r="I145" i="74"/>
  <c r="I84" i="74"/>
  <c r="I88" i="74"/>
  <c r="I11" i="74"/>
  <c r="I126" i="74"/>
  <c r="I60" i="74"/>
  <c r="I28" i="74"/>
  <c r="S247" i="66"/>
  <c r="I247" i="66"/>
  <c r="G144" i="74"/>
  <c r="G48" i="74"/>
  <c r="G97" i="74"/>
  <c r="H137" i="41"/>
  <c r="C12" i="66"/>
  <c r="G49" i="74"/>
  <c r="J9" i="41"/>
  <c r="M55" i="39" s="1"/>
  <c r="E187" i="38" s="1"/>
  <c r="C47" i="63"/>
  <c r="I9" i="41"/>
  <c r="D55" i="39" s="1"/>
  <c r="E119" i="38" s="1"/>
  <c r="I469" i="37" s="1"/>
  <c r="I10" i="41"/>
  <c r="H5" i="41"/>
  <c r="K52" i="39" s="1"/>
  <c r="E150" i="38" s="1"/>
  <c r="G123" i="74"/>
  <c r="G16" i="74"/>
  <c r="G75" i="74"/>
  <c r="C7" i="63"/>
  <c r="G128" i="74"/>
  <c r="C31" i="66"/>
  <c r="P31" i="66" s="1"/>
  <c r="V31" i="66" s="1"/>
  <c r="C109" i="66"/>
  <c r="P109" i="66" s="1"/>
  <c r="V109" i="66" s="1"/>
  <c r="C119" i="66"/>
  <c r="C28" i="66"/>
  <c r="C95" i="66"/>
  <c r="P95" i="66" s="1"/>
  <c r="V95" i="66" s="1"/>
  <c r="C131" i="66"/>
  <c r="C161" i="66"/>
  <c r="C192" i="66"/>
  <c r="D17" i="74"/>
  <c r="D53" i="74"/>
  <c r="P53" i="74" s="1"/>
  <c r="V53" i="74" s="1"/>
  <c r="C32" i="66"/>
  <c r="C75" i="66"/>
  <c r="P75" i="66" s="1"/>
  <c r="R75" i="66" s="1"/>
  <c r="C41" i="66"/>
  <c r="C70" i="66"/>
  <c r="P70" i="66" s="1"/>
  <c r="R70" i="66" s="1"/>
  <c r="C105" i="66"/>
  <c r="C147" i="66"/>
  <c r="P147" i="66" s="1"/>
  <c r="R147" i="66" s="1"/>
  <c r="C233" i="66"/>
  <c r="C209" i="66"/>
  <c r="D54" i="74"/>
  <c r="D95" i="74"/>
  <c r="P95" i="74" s="1"/>
  <c r="R95" i="74" s="1"/>
  <c r="C7" i="66"/>
  <c r="C67" i="66"/>
  <c r="P67" i="66" s="1"/>
  <c r="V67" i="66" s="1"/>
  <c r="C86" i="66"/>
  <c r="P86" i="66" s="1"/>
  <c r="V86" i="66" s="1"/>
  <c r="C78" i="66"/>
  <c r="C155" i="66"/>
  <c r="P155" i="66" s="1"/>
  <c r="R155" i="66" s="1"/>
  <c r="C175" i="66"/>
  <c r="P175" i="66" s="1"/>
  <c r="R175" i="66" s="1"/>
  <c r="C129" i="66"/>
  <c r="P129" i="66" s="1"/>
  <c r="V129" i="66" s="1"/>
  <c r="C264" i="66"/>
  <c r="P264" i="66" s="1"/>
  <c r="R264" i="66" s="1"/>
  <c r="D9" i="74"/>
  <c r="D122" i="74"/>
  <c r="C10" i="66"/>
  <c r="C9" i="66"/>
  <c r="C72" i="66"/>
  <c r="P72" i="66" s="1"/>
  <c r="R72" i="66" s="1"/>
  <c r="C63" i="66"/>
  <c r="P63" i="66" s="1"/>
  <c r="V63" i="66" s="1"/>
  <c r="C83" i="66"/>
  <c r="C97" i="66"/>
  <c r="C146" i="66"/>
  <c r="C141" i="66"/>
  <c r="C223" i="66"/>
  <c r="P223" i="66" s="1"/>
  <c r="R223" i="66" s="1"/>
  <c r="D61" i="74"/>
  <c r="P61" i="74" s="1"/>
  <c r="R61" i="74" s="1"/>
  <c r="D114" i="74"/>
  <c r="P114" i="74" s="1"/>
  <c r="V114" i="74" s="1"/>
  <c r="C16" i="66"/>
  <c r="C23" i="66"/>
  <c r="C76" i="66"/>
  <c r="C124" i="66"/>
  <c r="C116" i="66"/>
  <c r="C199" i="66"/>
  <c r="C154" i="66"/>
  <c r="C178" i="66"/>
  <c r="P178" i="66" s="1"/>
  <c r="R178" i="66" s="1"/>
  <c r="C257" i="66"/>
  <c r="D72" i="74"/>
  <c r="P72" i="74" s="1"/>
  <c r="R72" i="74" s="1"/>
  <c r="D112" i="74"/>
  <c r="C22" i="66"/>
  <c r="P22" i="66" s="1"/>
  <c r="R22" i="66" s="1"/>
  <c r="C46" i="66"/>
  <c r="C144" i="66"/>
  <c r="C91" i="66"/>
  <c r="P91" i="66" s="1"/>
  <c r="V91" i="66" s="1"/>
  <c r="C103" i="66"/>
  <c r="C13" i="66"/>
  <c r="P13" i="66" s="1"/>
  <c r="V13" i="66" s="1"/>
  <c r="C53" i="66"/>
  <c r="P53" i="66" s="1"/>
  <c r="R53" i="66" s="1"/>
  <c r="C239" i="66"/>
  <c r="P239" i="66" s="1"/>
  <c r="V239" i="66" s="1"/>
  <c r="C236" i="66"/>
  <c r="P236" i="66" s="1"/>
  <c r="V236" i="66" s="1"/>
  <c r="D106" i="74"/>
  <c r="D129" i="74"/>
  <c r="P129" i="74" s="1"/>
  <c r="V129" i="74" s="1"/>
  <c r="C55" i="66"/>
  <c r="C17" i="66"/>
  <c r="C65" i="66"/>
  <c r="C94" i="66"/>
  <c r="C80" i="66"/>
  <c r="C25" i="66"/>
  <c r="P25" i="66" s="1"/>
  <c r="V25" i="66" s="1"/>
  <c r="C123" i="66"/>
  <c r="P123" i="66" s="1"/>
  <c r="V123" i="66" s="1"/>
  <c r="C197" i="66"/>
  <c r="P197" i="66" s="1"/>
  <c r="V197" i="66" s="1"/>
  <c r="D12" i="74"/>
  <c r="D46" i="74"/>
  <c r="D121" i="74"/>
  <c r="P121" i="74" s="1"/>
  <c r="V121" i="74" s="1"/>
  <c r="C29" i="66"/>
  <c r="P29" i="66" s="1"/>
  <c r="R29" i="66" s="1"/>
  <c r="C19" i="66"/>
  <c r="P19" i="66" s="1"/>
  <c r="R19" i="66" s="1"/>
  <c r="C82" i="66"/>
  <c r="P82" i="66" s="1"/>
  <c r="V82" i="66" s="1"/>
  <c r="C66" i="66"/>
  <c r="P66" i="66" s="1"/>
  <c r="R66" i="66" s="1"/>
  <c r="C85" i="66"/>
  <c r="C112" i="66"/>
  <c r="C138" i="66"/>
  <c r="C207" i="66"/>
  <c r="P207" i="66" s="1"/>
  <c r="R207" i="66" s="1"/>
  <c r="D18" i="74"/>
  <c r="P18" i="74" s="1"/>
  <c r="V18" i="74" s="1"/>
  <c r="D23" i="74"/>
  <c r="D146" i="74"/>
  <c r="C114" i="66"/>
  <c r="P114" i="66" s="1"/>
  <c r="R114" i="66" s="1"/>
  <c r="C21" i="66"/>
  <c r="C24" i="66"/>
  <c r="P24" i="66" s="1"/>
  <c r="R24" i="66" s="1"/>
  <c r="C71" i="66"/>
  <c r="C98" i="66"/>
  <c r="C128" i="66"/>
  <c r="C134" i="66"/>
  <c r="P134" i="66" s="1"/>
  <c r="R134" i="66" s="1"/>
  <c r="C271" i="66"/>
  <c r="P271" i="66" s="1"/>
  <c r="V271" i="66" s="1"/>
  <c r="C250" i="66"/>
  <c r="D24" i="74"/>
  <c r="P24" i="74" s="1"/>
  <c r="R24" i="74" s="1"/>
  <c r="D120" i="74"/>
  <c r="P120" i="74" s="1"/>
  <c r="V120" i="74" s="1"/>
  <c r="C49" i="66"/>
  <c r="C34" i="66"/>
  <c r="P34" i="66" s="1"/>
  <c r="R34" i="66" s="1"/>
  <c r="C44" i="66"/>
  <c r="P44" i="66" s="1"/>
  <c r="R44" i="66" s="1"/>
  <c r="C88" i="66"/>
  <c r="P88" i="66" s="1"/>
  <c r="V88" i="66" s="1"/>
  <c r="C126" i="66"/>
  <c r="C104" i="66"/>
  <c r="P104" i="66" s="1"/>
  <c r="R104" i="66" s="1"/>
  <c r="C162" i="66"/>
  <c r="P162" i="66" s="1"/>
  <c r="V162" i="66" s="1"/>
  <c r="C286" i="66"/>
  <c r="C266" i="66"/>
  <c r="D102" i="74"/>
  <c r="H135" i="41"/>
  <c r="H113" i="41"/>
  <c r="C27" i="63"/>
  <c r="J8" i="41"/>
  <c r="H8" i="41"/>
  <c r="G64" i="74"/>
  <c r="H129" i="41"/>
  <c r="C69" i="66"/>
  <c r="C35" i="66"/>
  <c r="C101" i="66"/>
  <c r="P101" i="66" s="1"/>
  <c r="R101" i="66" s="1"/>
  <c r="C150" i="66"/>
  <c r="C111" i="66"/>
  <c r="P111" i="66" s="1"/>
  <c r="V111" i="66" s="1"/>
  <c r="C113" i="66"/>
  <c r="C120" i="66"/>
  <c r="P120" i="66" s="1"/>
  <c r="V120" i="66" s="1"/>
  <c r="C107" i="66"/>
  <c r="P107" i="66" s="1"/>
  <c r="V107" i="66" s="1"/>
  <c r="C130" i="66"/>
  <c r="P130" i="66" s="1"/>
  <c r="V130" i="66" s="1"/>
  <c r="C229" i="66"/>
  <c r="C216" i="66"/>
  <c r="P216" i="66" s="1"/>
  <c r="V216" i="66" s="1"/>
  <c r="C133" i="66"/>
  <c r="C121" i="66"/>
  <c r="P121" i="66" s="1"/>
  <c r="V121" i="66" s="1"/>
  <c r="C238" i="66"/>
  <c r="C196" i="66"/>
  <c r="P196" i="66" s="1"/>
  <c r="R196" i="66" s="1"/>
  <c r="C285" i="66"/>
  <c r="C189" i="66"/>
  <c r="C203" i="66"/>
  <c r="P203" i="66" s="1"/>
  <c r="V203" i="66" s="1"/>
  <c r="C222" i="66"/>
  <c r="C230" i="66"/>
  <c r="P230" i="66" s="1"/>
  <c r="V230" i="66" s="1"/>
  <c r="D16" i="74"/>
  <c r="C265" i="66"/>
  <c r="P265" i="66" s="1"/>
  <c r="V265" i="66" s="1"/>
  <c r="C280" i="66"/>
  <c r="P280" i="66" s="1"/>
  <c r="V280" i="66" s="1"/>
  <c r="D32" i="74"/>
  <c r="D57" i="74"/>
  <c r="D44" i="74"/>
  <c r="P44" i="74" s="1"/>
  <c r="V44" i="74" s="1"/>
  <c r="D92" i="74"/>
  <c r="P92" i="74" s="1"/>
  <c r="R92" i="74" s="1"/>
  <c r="D88" i="74"/>
  <c r="P88" i="74" s="1"/>
  <c r="V88" i="74" s="1"/>
  <c r="D75" i="74"/>
  <c r="P75" i="74" s="1"/>
  <c r="V75" i="74" s="1"/>
  <c r="D101" i="74"/>
  <c r="P101" i="74" s="1"/>
  <c r="V101" i="74" s="1"/>
  <c r="D117" i="74"/>
  <c r="D130" i="74"/>
  <c r="P130" i="74" s="1"/>
  <c r="R130" i="74" s="1"/>
  <c r="D141" i="74"/>
  <c r="G165" i="66"/>
  <c r="G21" i="74" s="1"/>
  <c r="C30" i="66"/>
  <c r="C15" i="66"/>
  <c r="P15" i="66" s="1"/>
  <c r="R15" i="66" s="1"/>
  <c r="C43" i="66"/>
  <c r="P43" i="66" s="1"/>
  <c r="V43" i="66" s="1"/>
  <c r="C47" i="66"/>
  <c r="P47" i="66" s="1"/>
  <c r="R47" i="66" s="1"/>
  <c r="C68" i="66"/>
  <c r="C20" i="66"/>
  <c r="C125" i="66"/>
  <c r="P125" i="66" s="1"/>
  <c r="V125" i="66" s="1"/>
  <c r="C36" i="66"/>
  <c r="C92" i="66"/>
  <c r="P92" i="66" s="1"/>
  <c r="R92" i="66" s="1"/>
  <c r="C117" i="66"/>
  <c r="C143" i="66"/>
  <c r="P143" i="66" s="1"/>
  <c r="V143" i="66" s="1"/>
  <c r="C122" i="66"/>
  <c r="C158" i="66"/>
  <c r="P158" i="66" s="1"/>
  <c r="V158" i="66" s="1"/>
  <c r="C145" i="66"/>
  <c r="C135" i="66"/>
  <c r="P135" i="66" s="1"/>
  <c r="R135" i="66" s="1"/>
  <c r="C177" i="66"/>
  <c r="P177" i="66" s="1"/>
  <c r="V177" i="66" s="1"/>
  <c r="C272" i="66"/>
  <c r="C290" i="66"/>
  <c r="C191" i="66"/>
  <c r="P191" i="66" s="1"/>
  <c r="R191" i="66" s="1"/>
  <c r="C215" i="66"/>
  <c r="C253" i="66"/>
  <c r="P253" i="66" s="1"/>
  <c r="R253" i="66" s="1"/>
  <c r="C242" i="66"/>
  <c r="C246" i="66"/>
  <c r="C273" i="66"/>
  <c r="P273" i="66" s="1"/>
  <c r="R273" i="66" s="1"/>
  <c r="C291" i="66"/>
  <c r="P291" i="66" s="1"/>
  <c r="R291" i="66" s="1"/>
  <c r="C288" i="66"/>
  <c r="D65" i="74"/>
  <c r="D45" i="74"/>
  <c r="D69" i="74"/>
  <c r="D105" i="74"/>
  <c r="D93" i="74"/>
  <c r="D97" i="74"/>
  <c r="D111" i="74"/>
  <c r="P111" i="74" s="1"/>
  <c r="V111" i="74" s="1"/>
  <c r="D144" i="74"/>
  <c r="D147" i="74"/>
  <c r="P147" i="74" s="1"/>
  <c r="V147" i="74" s="1"/>
  <c r="S103" i="74"/>
  <c r="C103" i="74"/>
  <c r="H6" i="41"/>
  <c r="C40" i="66"/>
  <c r="P40" i="66" s="1"/>
  <c r="R40" i="66" s="1"/>
  <c r="C38" i="66"/>
  <c r="P38" i="66" s="1"/>
  <c r="V38" i="66" s="1"/>
  <c r="C58" i="66"/>
  <c r="C115" i="66"/>
  <c r="P115" i="66" s="1"/>
  <c r="V115" i="66" s="1"/>
  <c r="C136" i="66"/>
  <c r="P136" i="66" s="1"/>
  <c r="V136" i="66" s="1"/>
  <c r="C149" i="66"/>
  <c r="P149" i="66" s="1"/>
  <c r="R149" i="66" s="1"/>
  <c r="C152" i="66"/>
  <c r="P152" i="66" s="1"/>
  <c r="R152" i="66" s="1"/>
  <c r="C169" i="66"/>
  <c r="P169" i="66" s="1"/>
  <c r="V169" i="66" s="1"/>
  <c r="C167" i="66"/>
  <c r="C165" i="66"/>
  <c r="C201" i="66"/>
  <c r="C248" i="66"/>
  <c r="P248" i="66" s="1"/>
  <c r="V248" i="66" s="1"/>
  <c r="C181" i="66"/>
  <c r="C193" i="66"/>
  <c r="C240" i="66"/>
  <c r="D10" i="74"/>
  <c r="C243" i="66"/>
  <c r="P243" i="66" s="1"/>
  <c r="R243" i="66" s="1"/>
  <c r="C256" i="66"/>
  <c r="C267" i="66"/>
  <c r="P267" i="66" s="1"/>
  <c r="R267" i="66" s="1"/>
  <c r="D6" i="74"/>
  <c r="D15" i="74"/>
  <c r="P15" i="74" s="1"/>
  <c r="V15" i="74" s="1"/>
  <c r="D78" i="74"/>
  <c r="D47" i="74"/>
  <c r="P47" i="74" s="1"/>
  <c r="V47" i="74" s="1"/>
  <c r="D25" i="74"/>
  <c r="P25" i="74" s="1"/>
  <c r="R25" i="74" s="1"/>
  <c r="D115" i="74"/>
  <c r="P115" i="74" s="1"/>
  <c r="R115" i="74" s="1"/>
  <c r="D68" i="74"/>
  <c r="D132" i="74"/>
  <c r="D113" i="74"/>
  <c r="D124" i="74"/>
  <c r="D126" i="74"/>
  <c r="C84" i="66"/>
  <c r="C39" i="66"/>
  <c r="P39" i="66" s="1"/>
  <c r="R39" i="66" s="1"/>
  <c r="C52" i="66"/>
  <c r="P52" i="66" s="1"/>
  <c r="R52" i="66" s="1"/>
  <c r="C50" i="66"/>
  <c r="C74" i="66"/>
  <c r="C127" i="66"/>
  <c r="P127" i="66" s="1"/>
  <c r="R127" i="66" s="1"/>
  <c r="C137" i="66"/>
  <c r="C159" i="66"/>
  <c r="P159" i="66" s="1"/>
  <c r="R159" i="66" s="1"/>
  <c r="C198" i="66"/>
  <c r="C100" i="66"/>
  <c r="P100" i="66" s="1"/>
  <c r="V100" i="66" s="1"/>
  <c r="C213" i="66"/>
  <c r="C171" i="66"/>
  <c r="P171" i="66" s="1"/>
  <c r="V171" i="66" s="1"/>
  <c r="C151" i="66"/>
  <c r="C252" i="66"/>
  <c r="C182" i="66"/>
  <c r="P182" i="66" s="1"/>
  <c r="R182" i="66" s="1"/>
  <c r="C194" i="66"/>
  <c r="C259" i="66"/>
  <c r="P259" i="66" s="1"/>
  <c r="V259" i="66" s="1"/>
  <c r="D19" i="74"/>
  <c r="P19" i="74" s="1"/>
  <c r="V19" i="74" s="1"/>
  <c r="C245" i="66"/>
  <c r="P245" i="66" s="1"/>
  <c r="R245" i="66" s="1"/>
  <c r="C262" i="66"/>
  <c r="P262" i="66" s="1"/>
  <c r="R262" i="66" s="1"/>
  <c r="C275" i="66"/>
  <c r="D56" i="74"/>
  <c r="P56" i="74" s="1"/>
  <c r="V56" i="74" s="1"/>
  <c r="D21" i="74"/>
  <c r="D100" i="74"/>
  <c r="P100" i="74" s="1"/>
  <c r="R100" i="74" s="1"/>
  <c r="D48" i="74"/>
  <c r="D26" i="74"/>
  <c r="D135" i="74"/>
  <c r="P135" i="74" s="1"/>
  <c r="R135" i="74" s="1"/>
  <c r="D85" i="74"/>
  <c r="D59" i="74"/>
  <c r="P59" i="74" s="1"/>
  <c r="R59" i="74" s="1"/>
  <c r="D123" i="74"/>
  <c r="P123" i="74" s="1"/>
  <c r="D136" i="74"/>
  <c r="P136" i="74" s="1"/>
  <c r="V136" i="74" s="1"/>
  <c r="D138" i="74"/>
  <c r="C37" i="66"/>
  <c r="H123" i="41"/>
  <c r="C51" i="66"/>
  <c r="P51" i="66" s="1"/>
  <c r="R51" i="66" s="1"/>
  <c r="C62" i="66"/>
  <c r="P62" i="66" s="1"/>
  <c r="R62" i="66" s="1"/>
  <c r="C81" i="66"/>
  <c r="P81" i="66" s="1"/>
  <c r="V81" i="66" s="1"/>
  <c r="C106" i="66"/>
  <c r="C61" i="66"/>
  <c r="P61" i="66" s="1"/>
  <c r="R61" i="66" s="1"/>
  <c r="C54" i="66"/>
  <c r="C59" i="66"/>
  <c r="P59" i="66" s="1"/>
  <c r="R59" i="66" s="1"/>
  <c r="C77" i="66"/>
  <c r="P77" i="66" s="1"/>
  <c r="V77" i="66" s="1"/>
  <c r="C140" i="66"/>
  <c r="P140" i="66" s="1"/>
  <c r="R140" i="66" s="1"/>
  <c r="C102" i="66"/>
  <c r="C168" i="66"/>
  <c r="P168" i="66" s="1"/>
  <c r="V168" i="66" s="1"/>
  <c r="C206" i="66"/>
  <c r="P206" i="66" s="1"/>
  <c r="V206" i="66" s="1"/>
  <c r="C153" i="66"/>
  <c r="C218" i="66"/>
  <c r="C179" i="66"/>
  <c r="C176" i="66"/>
  <c r="C258" i="66"/>
  <c r="P258" i="66" s="1"/>
  <c r="V258" i="66" s="1"/>
  <c r="C183" i="66"/>
  <c r="P183" i="66" s="1"/>
  <c r="V183" i="66" s="1"/>
  <c r="C195" i="66"/>
  <c r="P195" i="66" s="1"/>
  <c r="V195" i="66" s="1"/>
  <c r="C270" i="66"/>
  <c r="D8" i="74"/>
  <c r="P8" i="74" s="1"/>
  <c r="C247" i="66"/>
  <c r="C268" i="66"/>
  <c r="C276" i="66"/>
  <c r="D62" i="74"/>
  <c r="P62" i="74" s="1"/>
  <c r="V62" i="74" s="1"/>
  <c r="D33" i="74"/>
  <c r="P33" i="74" s="1"/>
  <c r="V33" i="74" s="1"/>
  <c r="D104" i="74"/>
  <c r="P104" i="74" s="1"/>
  <c r="D49" i="74"/>
  <c r="D27" i="74"/>
  <c r="P27" i="74" s="1"/>
  <c r="R27" i="74" s="1"/>
  <c r="D51" i="74"/>
  <c r="P51" i="74" s="1"/>
  <c r="D89" i="74"/>
  <c r="D71" i="74"/>
  <c r="D109" i="74"/>
  <c r="P109" i="74" s="1"/>
  <c r="R109" i="74" s="1"/>
  <c r="D99" i="74"/>
  <c r="P99" i="74" s="1"/>
  <c r="R99" i="74" s="1"/>
  <c r="D91" i="74"/>
  <c r="P91" i="74" s="1"/>
  <c r="V91" i="74" s="1"/>
  <c r="C156" i="66"/>
  <c r="C160" i="66"/>
  <c r="C244" i="66"/>
  <c r="P244" i="66" s="1"/>
  <c r="R244" i="66" s="1"/>
  <c r="C212" i="66"/>
  <c r="C219" i="66"/>
  <c r="P219" i="66" s="1"/>
  <c r="V219" i="66" s="1"/>
  <c r="C263" i="66"/>
  <c r="C184" i="66"/>
  <c r="P184" i="66" s="1"/>
  <c r="R184" i="66" s="1"/>
  <c r="C202" i="66"/>
  <c r="C205" i="66"/>
  <c r="P205" i="66" s="1"/>
  <c r="V205" i="66" s="1"/>
  <c r="C254" i="66"/>
  <c r="P254" i="66" s="1"/>
  <c r="R254" i="66" s="1"/>
  <c r="C249" i="66"/>
  <c r="D4" i="74"/>
  <c r="P4" i="74" s="1"/>
  <c r="V4" i="74" s="1"/>
  <c r="C277" i="66"/>
  <c r="D74" i="74"/>
  <c r="D34" i="74"/>
  <c r="P34" i="74" s="1"/>
  <c r="V34" i="74" s="1"/>
  <c r="D39" i="74"/>
  <c r="P39" i="74" s="1"/>
  <c r="R39" i="74" s="1"/>
  <c r="D52" i="74"/>
  <c r="P52" i="74" s="1"/>
  <c r="V52" i="74" s="1"/>
  <c r="D80" i="74"/>
  <c r="D58" i="74"/>
  <c r="D98" i="74"/>
  <c r="D77" i="74"/>
  <c r="P77" i="74" s="1"/>
  <c r="R77" i="74" s="1"/>
  <c r="D110" i="74"/>
  <c r="P110" i="74" s="1"/>
  <c r="V110" i="74" s="1"/>
  <c r="D128" i="74"/>
  <c r="D103" i="74"/>
  <c r="J3" i="41"/>
  <c r="C164" i="66"/>
  <c r="C172" i="66"/>
  <c r="C231" i="66"/>
  <c r="P231" i="66" s="1"/>
  <c r="V231" i="66" s="1"/>
  <c r="C251" i="66"/>
  <c r="P251" i="66" s="1"/>
  <c r="R251" i="66" s="1"/>
  <c r="C204" i="66"/>
  <c r="C281" i="66"/>
  <c r="C185" i="66"/>
  <c r="C208" i="66"/>
  <c r="C211" i="66"/>
  <c r="P211" i="66" s="1"/>
  <c r="V211" i="66" s="1"/>
  <c r="C260" i="66"/>
  <c r="C255" i="66"/>
  <c r="P255" i="66" s="1"/>
  <c r="V255" i="66" s="1"/>
  <c r="D20" i="74"/>
  <c r="C278" i="66"/>
  <c r="P278" i="66" s="1"/>
  <c r="V278" i="66" s="1"/>
  <c r="D28" i="74"/>
  <c r="D35" i="74"/>
  <c r="D40" i="74"/>
  <c r="P40" i="74" s="1"/>
  <c r="R40" i="74" s="1"/>
  <c r="D60" i="74"/>
  <c r="D83" i="74"/>
  <c r="D70" i="74"/>
  <c r="P70" i="74" s="1"/>
  <c r="R70" i="74" s="1"/>
  <c r="D116" i="74"/>
  <c r="D82" i="74"/>
  <c r="P82" i="74" s="1"/>
  <c r="V82" i="74" s="1"/>
  <c r="D131" i="74"/>
  <c r="D140" i="74"/>
  <c r="P140" i="74" s="1"/>
  <c r="R140" i="74" s="1"/>
  <c r="D107" i="74"/>
  <c r="P107" i="74" s="1"/>
  <c r="V107" i="74" s="1"/>
  <c r="C6" i="66"/>
  <c r="P21" i="18"/>
  <c r="C7" i="17"/>
  <c r="C225" i="66"/>
  <c r="P225" i="66" s="1"/>
  <c r="V225" i="66" s="1"/>
  <c r="C282" i="66"/>
  <c r="C186" i="66"/>
  <c r="C214" i="66"/>
  <c r="P214" i="66" s="1"/>
  <c r="V214" i="66" s="1"/>
  <c r="C217" i="66"/>
  <c r="P217" i="66" s="1"/>
  <c r="R217" i="66" s="1"/>
  <c r="D5" i="74"/>
  <c r="P5" i="74" s="1"/>
  <c r="R5" i="74" s="1"/>
  <c r="C261" i="66"/>
  <c r="D22" i="74"/>
  <c r="P22" i="74" s="1"/>
  <c r="R22" i="74" s="1"/>
  <c r="D13" i="74"/>
  <c r="P13" i="74" s="1"/>
  <c r="R13" i="74" s="1"/>
  <c r="D29" i="74"/>
  <c r="P29" i="74" s="1"/>
  <c r="V29" i="74" s="1"/>
  <c r="D36" i="74"/>
  <c r="D41" i="74"/>
  <c r="D118" i="74"/>
  <c r="P118" i="74" s="1"/>
  <c r="R118" i="74" s="1"/>
  <c r="D87" i="74"/>
  <c r="P87" i="74" s="1"/>
  <c r="V87" i="74" s="1"/>
  <c r="D76" i="74"/>
  <c r="D73" i="74"/>
  <c r="P73" i="74" s="1"/>
  <c r="V73" i="74" s="1"/>
  <c r="D86" i="74"/>
  <c r="P86" i="74" s="1"/>
  <c r="R86" i="74" s="1"/>
  <c r="D139" i="74"/>
  <c r="P139" i="74" s="1"/>
  <c r="V139" i="74" s="1"/>
  <c r="D142" i="74"/>
  <c r="D119" i="74"/>
  <c r="C4" i="66"/>
  <c r="P4" i="66" s="1"/>
  <c r="R4" i="66" s="1"/>
  <c r="C14" i="66"/>
  <c r="P14" i="66" s="1"/>
  <c r="C64" i="66"/>
  <c r="C96" i="66"/>
  <c r="C108" i="66"/>
  <c r="C110" i="66"/>
  <c r="P110" i="66" s="1"/>
  <c r="R110" i="66" s="1"/>
  <c r="C33" i="66"/>
  <c r="P33" i="66" s="1"/>
  <c r="V33" i="66" s="1"/>
  <c r="C163" i="66"/>
  <c r="P163" i="66" s="1"/>
  <c r="R163" i="66" s="1"/>
  <c r="C166" i="66"/>
  <c r="P166" i="66" s="1"/>
  <c r="R166" i="66" s="1"/>
  <c r="C148" i="66"/>
  <c r="P148" i="66" s="1"/>
  <c r="R148" i="66" s="1"/>
  <c r="C174" i="66"/>
  <c r="C226" i="66"/>
  <c r="P226" i="66" s="1"/>
  <c r="V226" i="66" s="1"/>
  <c r="C228" i="66"/>
  <c r="C232" i="66"/>
  <c r="P232" i="66" s="1"/>
  <c r="R232" i="66" s="1"/>
  <c r="C283" i="66"/>
  <c r="P283" i="66" s="1"/>
  <c r="V283" i="66" s="1"/>
  <c r="C187" i="66"/>
  <c r="P187" i="66" s="1"/>
  <c r="V187" i="66" s="1"/>
  <c r="C241" i="66"/>
  <c r="C220" i="66"/>
  <c r="D7" i="74"/>
  <c r="C289" i="66"/>
  <c r="D11" i="74"/>
  <c r="P11" i="74" s="1"/>
  <c r="R11" i="74" s="1"/>
  <c r="D55" i="74"/>
  <c r="D30" i="74"/>
  <c r="D37" i="74"/>
  <c r="D42" i="74"/>
  <c r="D64" i="74"/>
  <c r="D127" i="74"/>
  <c r="P127" i="74" s="1"/>
  <c r="R127" i="74" s="1"/>
  <c r="D50" i="74"/>
  <c r="D79" i="74"/>
  <c r="P79" i="74" s="1"/>
  <c r="V79" i="74" s="1"/>
  <c r="D90" i="74"/>
  <c r="D143" i="74"/>
  <c r="P143" i="74" s="1"/>
  <c r="R143" i="74" s="1"/>
  <c r="D145" i="74"/>
  <c r="D125" i="74"/>
  <c r="P125" i="74" s="1"/>
  <c r="R125" i="74" s="1"/>
  <c r="C27" i="66"/>
  <c r="P27" i="66" s="1"/>
  <c r="V27" i="66" s="1"/>
  <c r="C18" i="66"/>
  <c r="P18" i="66" s="1"/>
  <c r="R18" i="66" s="1"/>
  <c r="C11" i="66"/>
  <c r="P11" i="66" s="1"/>
  <c r="R11" i="66" s="1"/>
  <c r="C57" i="66"/>
  <c r="C26" i="66"/>
  <c r="C87" i="66"/>
  <c r="P87" i="66" s="1"/>
  <c r="V87" i="66" s="1"/>
  <c r="C93" i="66"/>
  <c r="C99" i="66"/>
  <c r="P99" i="66" s="1"/>
  <c r="R99" i="66" s="1"/>
  <c r="C118" i="66"/>
  <c r="P118" i="66" s="1"/>
  <c r="V118" i="66" s="1"/>
  <c r="C142" i="66"/>
  <c r="C45" i="66"/>
  <c r="C170" i="66"/>
  <c r="C173" i="66"/>
  <c r="P173" i="66" s="1"/>
  <c r="R173" i="66" s="1"/>
  <c r="C200" i="66"/>
  <c r="P200" i="66" s="1"/>
  <c r="R200" i="66" s="1"/>
  <c r="C227" i="66"/>
  <c r="C235" i="66"/>
  <c r="P235" i="66" s="1"/>
  <c r="R235" i="66" s="1"/>
  <c r="C237" i="66"/>
  <c r="C234" i="66"/>
  <c r="C284" i="66"/>
  <c r="P284" i="66" s="1"/>
  <c r="R284" i="66" s="1"/>
  <c r="C188" i="66"/>
  <c r="P188" i="66" s="1"/>
  <c r="V188" i="66" s="1"/>
  <c r="C269" i="66"/>
  <c r="P269" i="66" s="1"/>
  <c r="R269" i="66" s="1"/>
  <c r="C221" i="66"/>
  <c r="P221" i="66" s="1"/>
  <c r="V221" i="66" s="1"/>
  <c r="C224" i="66"/>
  <c r="D14" i="74"/>
  <c r="P14" i="74" s="1"/>
  <c r="R14" i="74" s="1"/>
  <c r="D66" i="74"/>
  <c r="P66" i="74" s="1"/>
  <c r="V66" i="74" s="1"/>
  <c r="C279" i="66"/>
  <c r="P279" i="66" s="1"/>
  <c r="V279" i="66" s="1"/>
  <c r="D31" i="74"/>
  <c r="P31" i="74" s="1"/>
  <c r="R31" i="74" s="1"/>
  <c r="D38" i="74"/>
  <c r="P38" i="74" s="1"/>
  <c r="R38" i="74" s="1"/>
  <c r="D43" i="74"/>
  <c r="P43" i="74" s="1"/>
  <c r="V43" i="74" s="1"/>
  <c r="D67" i="74"/>
  <c r="P67" i="74" s="1"/>
  <c r="V67" i="74" s="1"/>
  <c r="D84" i="74"/>
  <c r="D63" i="74"/>
  <c r="P63" i="74" s="1"/>
  <c r="R63" i="74" s="1"/>
  <c r="D94" i="74"/>
  <c r="D96" i="74"/>
  <c r="D134" i="74"/>
  <c r="P134" i="74" s="1"/>
  <c r="R134" i="74" s="1"/>
  <c r="D133" i="74"/>
  <c r="D137" i="74"/>
  <c r="H97" i="41"/>
  <c r="C18" i="34"/>
  <c r="G156" i="66"/>
  <c r="C17" i="63"/>
  <c r="G190" i="66"/>
  <c r="H103" i="41"/>
  <c r="G4" i="66"/>
  <c r="H118" i="41"/>
  <c r="H110" i="41"/>
  <c r="G145" i="74"/>
  <c r="D8" i="34"/>
  <c r="J10" i="41"/>
  <c r="G118" i="74"/>
  <c r="H105" i="41"/>
  <c r="H111" i="41"/>
  <c r="H127" i="41"/>
  <c r="C37" i="63"/>
  <c r="H477" i="58"/>
  <c r="E370" i="38" s="1"/>
  <c r="H139" i="41"/>
  <c r="G96" i="74"/>
  <c r="H107" i="41"/>
  <c r="I8" i="41"/>
  <c r="H124" i="41"/>
  <c r="H114" i="41"/>
  <c r="G38" i="66"/>
  <c r="H106" i="41"/>
  <c r="J7" i="41"/>
  <c r="M54" i="39" s="1"/>
  <c r="E186" i="38" s="1"/>
  <c r="G80" i="74"/>
  <c r="H119" i="41"/>
  <c r="H134" i="41"/>
  <c r="G22" i="74"/>
  <c r="G27" i="74"/>
  <c r="H136" i="41"/>
  <c r="H108" i="41"/>
  <c r="H116" i="41"/>
  <c r="M5" i="41" s="1"/>
  <c r="H121" i="41"/>
  <c r="G154" i="66"/>
  <c r="H477" i="37"/>
  <c r="E197" i="38"/>
  <c r="E202" i="38"/>
  <c r="G148" i="66"/>
  <c r="H138" i="41"/>
  <c r="H115" i="41"/>
  <c r="E196" i="38"/>
  <c r="H120" i="41"/>
  <c r="H140" i="41"/>
  <c r="G10" i="66"/>
  <c r="H122" i="41"/>
  <c r="G28" i="66"/>
  <c r="H104" i="41"/>
  <c r="H131" i="41"/>
  <c r="H98" i="41"/>
  <c r="H102" i="41"/>
  <c r="H117" i="41"/>
  <c r="H132" i="41"/>
  <c r="H33" i="37"/>
  <c r="H77" i="37"/>
  <c r="H73" i="37"/>
  <c r="H17" i="37"/>
  <c r="H57" i="37"/>
  <c r="J472" i="41"/>
  <c r="H37" i="37"/>
  <c r="H41" i="37"/>
  <c r="H81" i="37"/>
  <c r="H65" i="37"/>
  <c r="H89" i="37"/>
  <c r="C22" i="17"/>
  <c r="D22" i="17" s="1"/>
  <c r="H21" i="37"/>
  <c r="H45" i="37"/>
  <c r="G112" i="74"/>
  <c r="H69" i="37"/>
  <c r="H93" i="37"/>
  <c r="H29" i="37"/>
  <c r="H95" i="41"/>
  <c r="H433" i="37"/>
  <c r="H432" i="37"/>
  <c r="H430" i="37"/>
  <c r="H431" i="37"/>
  <c r="E201" i="38"/>
  <c r="H53" i="37"/>
  <c r="H109" i="41"/>
  <c r="H436" i="37"/>
  <c r="H437" i="37"/>
  <c r="H434" i="37"/>
  <c r="H435" i="37"/>
  <c r="C45" i="17"/>
  <c r="H438" i="58"/>
  <c r="G157" i="66" s="1"/>
  <c r="H439" i="58"/>
  <c r="I3" i="58"/>
  <c r="I3" i="37"/>
  <c r="H112" i="41"/>
  <c r="H429" i="37"/>
  <c r="H427" i="37"/>
  <c r="H426" i="37"/>
  <c r="H428" i="37"/>
  <c r="H431" i="58"/>
  <c r="H433" i="58"/>
  <c r="H430" i="58"/>
  <c r="G191" i="66" s="1"/>
  <c r="H432" i="58"/>
  <c r="G182" i="66"/>
  <c r="H427" i="58"/>
  <c r="H429" i="58"/>
  <c r="G173" i="66" s="1"/>
  <c r="H428" i="58"/>
  <c r="H426" i="58"/>
  <c r="G175" i="66" s="1"/>
  <c r="J37" i="9"/>
  <c r="J7" i="9" s="1"/>
  <c r="T7" i="9" s="1"/>
  <c r="H436" i="58"/>
  <c r="H437" i="58"/>
  <c r="H435" i="58"/>
  <c r="H434" i="58"/>
  <c r="G177" i="66" s="1"/>
  <c r="C38" i="17"/>
  <c r="H125" i="41"/>
  <c r="H439" i="37"/>
  <c r="H438" i="37"/>
  <c r="H3" i="37"/>
  <c r="H3" i="58"/>
  <c r="L114" i="58"/>
  <c r="K41" i="39"/>
  <c r="E139" i="38" s="1"/>
  <c r="G172" i="66"/>
  <c r="C37" i="17"/>
  <c r="C61" i="26"/>
  <c r="D59" i="26"/>
  <c r="D61" i="26" s="1"/>
  <c r="I7" i="41"/>
  <c r="L54" i="39" s="1"/>
  <c r="E169" i="38" s="1"/>
  <c r="J35" i="9"/>
  <c r="J5" i="9" s="1"/>
  <c r="J6" i="41"/>
  <c r="C57" i="63"/>
  <c r="C284" i="38"/>
  <c r="C296" i="38" s="1"/>
  <c r="C308" i="38" s="1"/>
  <c r="C320" i="38" s="1"/>
  <c r="C290" i="38"/>
  <c r="C302" i="38" s="1"/>
  <c r="C314" i="38" s="1"/>
  <c r="I5" i="41"/>
  <c r="D52" i="39" s="1"/>
  <c r="E116" i="38" s="1"/>
  <c r="H10" i="41"/>
  <c r="J5" i="41"/>
  <c r="E52" i="39" s="1"/>
  <c r="E133" i="38" s="1"/>
  <c r="A13" i="53"/>
  <c r="G176" i="66"/>
  <c r="G32" i="74" s="1"/>
  <c r="G213" i="66"/>
  <c r="G69" i="74" s="1"/>
  <c r="G261" i="66"/>
  <c r="G117" i="74" s="1"/>
  <c r="H7" i="41"/>
  <c r="C54" i="39" s="1"/>
  <c r="E101" i="38" s="1"/>
  <c r="P4" i="18"/>
  <c r="X5" i="20"/>
  <c r="C8" i="17"/>
  <c r="V79" i="66"/>
  <c r="R79" i="66"/>
  <c r="P2" i="18"/>
  <c r="X3" i="20"/>
  <c r="C6" i="17"/>
  <c r="R274" i="66"/>
  <c r="V274" i="66"/>
  <c r="V123" i="74"/>
  <c r="R123" i="74"/>
  <c r="R8" i="74"/>
  <c r="V8" i="74"/>
  <c r="V104" i="74"/>
  <c r="R104" i="74"/>
  <c r="C312" i="38"/>
  <c r="E199" i="38"/>
  <c r="C246" i="38"/>
  <c r="G12" i="66"/>
  <c r="H126" i="41"/>
  <c r="C41" i="39"/>
  <c r="E88" i="38" s="1"/>
  <c r="E4" i="22"/>
  <c r="C22" i="26"/>
  <c r="C238" i="38"/>
  <c r="A22" i="53"/>
  <c r="C240" i="38"/>
  <c r="V51" i="74"/>
  <c r="R51" i="74"/>
  <c r="H472" i="41"/>
  <c r="A18" i="53"/>
  <c r="E6" i="22"/>
  <c r="J9" i="9"/>
  <c r="T9" i="9" s="1"/>
  <c r="E188" i="38"/>
  <c r="C297" i="38"/>
  <c r="E193" i="38"/>
  <c r="E189" i="38"/>
  <c r="E2" i="22"/>
  <c r="C219" i="38"/>
  <c r="D16" i="53" s="1"/>
  <c r="C322" i="38"/>
  <c r="E241" i="38"/>
  <c r="C256" i="38"/>
  <c r="G46" i="66"/>
  <c r="H96" i="41"/>
  <c r="E245" i="38"/>
  <c r="C260" i="38"/>
  <c r="E243" i="38"/>
  <c r="C258" i="38"/>
  <c r="C315" i="38"/>
  <c r="A14" i="53"/>
  <c r="H130" i="41"/>
  <c r="C3" i="63"/>
  <c r="H101" i="41"/>
  <c r="C33" i="63"/>
  <c r="E237" i="38"/>
  <c r="C252" i="38"/>
  <c r="E235" i="38"/>
  <c r="C250" i="38"/>
  <c r="C318" i="38"/>
  <c r="H99" i="41"/>
  <c r="R189" i="38"/>
  <c r="C242" i="38"/>
  <c r="E12" i="53"/>
  <c r="E190" i="38"/>
  <c r="E247" i="38"/>
  <c r="C262" i="38"/>
  <c r="E200" i="38"/>
  <c r="C233" i="38"/>
  <c r="G10" i="76"/>
  <c r="F8" i="76"/>
  <c r="I472" i="41"/>
  <c r="A21" i="53"/>
  <c r="C316" i="38"/>
  <c r="C236" i="38"/>
  <c r="E194" i="38"/>
  <c r="H128" i="41"/>
  <c r="H100" i="41"/>
  <c r="C244" i="38"/>
  <c r="E198" i="38"/>
  <c r="E191" i="38"/>
  <c r="E239" i="38"/>
  <c r="C254" i="38"/>
  <c r="H133" i="41"/>
  <c r="E192" i="38"/>
  <c r="E195" i="38"/>
  <c r="R147" i="74" l="1"/>
  <c r="V73" i="66"/>
  <c r="V81" i="74"/>
  <c r="V99" i="74"/>
  <c r="C55" i="39"/>
  <c r="E102" i="38" s="1"/>
  <c r="H469" i="37" s="1"/>
  <c r="R157" i="66"/>
  <c r="V210" i="66"/>
  <c r="C20" i="34"/>
  <c r="C21" i="34" s="1"/>
  <c r="R143" i="66"/>
  <c r="R130" i="66"/>
  <c r="V44" i="66"/>
  <c r="R129" i="74"/>
  <c r="V273" i="66"/>
  <c r="V72" i="74"/>
  <c r="R265" i="66"/>
  <c r="V223" i="66"/>
  <c r="V29" i="66"/>
  <c r="E55" i="39"/>
  <c r="E136" i="38" s="1"/>
  <c r="R129" i="66"/>
  <c r="V178" i="66"/>
  <c r="R121" i="74"/>
  <c r="R15" i="74"/>
  <c r="R139" i="66"/>
  <c r="V110" i="66"/>
  <c r="R87" i="74"/>
  <c r="V287" i="66"/>
  <c r="R56" i="66"/>
  <c r="R120" i="74"/>
  <c r="V75" i="66"/>
  <c r="V291" i="66"/>
  <c r="R88" i="66"/>
  <c r="R5" i="66"/>
  <c r="V147" i="66"/>
  <c r="R216" i="66"/>
  <c r="V243" i="66"/>
  <c r="R75" i="74"/>
  <c r="R8" i="66"/>
  <c r="D15" i="53"/>
  <c r="I103" i="74"/>
  <c r="R118" i="66"/>
  <c r="V269" i="66"/>
  <c r="R114" i="74"/>
  <c r="V86" i="74"/>
  <c r="R158" i="66"/>
  <c r="V70" i="74"/>
  <c r="L55" i="39"/>
  <c r="E170" i="38" s="1"/>
  <c r="I469" i="58" s="1"/>
  <c r="I469" i="41" s="1"/>
  <c r="R73" i="74"/>
  <c r="V134" i="74"/>
  <c r="R95" i="66"/>
  <c r="R280" i="66"/>
  <c r="V163" i="66"/>
  <c r="R82" i="66"/>
  <c r="R214" i="66"/>
  <c r="V22" i="66"/>
  <c r="R195" i="66"/>
  <c r="C52" i="39"/>
  <c r="E99" i="38" s="1"/>
  <c r="D6" i="53" s="1"/>
  <c r="F6" i="53" s="1"/>
  <c r="V61" i="74"/>
  <c r="V19" i="66"/>
  <c r="V264" i="66"/>
  <c r="V24" i="66"/>
  <c r="V143" i="74"/>
  <c r="R183" i="66"/>
  <c r="V92" i="74"/>
  <c r="R255" i="66"/>
  <c r="R271" i="66"/>
  <c r="R25" i="66"/>
  <c r="V101" i="66"/>
  <c r="V140" i="74"/>
  <c r="R91" i="74"/>
  <c r="V232" i="66"/>
  <c r="R197" i="66"/>
  <c r="V72" i="66"/>
  <c r="V196" i="66"/>
  <c r="V22" i="74"/>
  <c r="D5" i="53"/>
  <c r="R4" i="74"/>
  <c r="R168" i="66"/>
  <c r="R226" i="66"/>
  <c r="R219" i="66"/>
  <c r="V175" i="66"/>
  <c r="V114" i="66"/>
  <c r="R109" i="66"/>
  <c r="V70" i="66"/>
  <c r="R43" i="66"/>
  <c r="V34" i="66"/>
  <c r="R230" i="66"/>
  <c r="R139" i="74"/>
  <c r="V99" i="66"/>
  <c r="V251" i="66"/>
  <c r="V118" i="74"/>
  <c r="V11" i="66"/>
  <c r="V62" i="66"/>
  <c r="R67" i="74"/>
  <c r="R239" i="66"/>
  <c r="R283" i="66"/>
  <c r="R236" i="66"/>
  <c r="V155" i="66"/>
  <c r="R81" i="66"/>
  <c r="R120" i="66"/>
  <c r="V92" i="66"/>
  <c r="V253" i="66"/>
  <c r="R31" i="66"/>
  <c r="V127" i="66"/>
  <c r="V104" i="66"/>
  <c r="V166" i="66"/>
  <c r="V14" i="74"/>
  <c r="V125" i="74"/>
  <c r="V25" i="74"/>
  <c r="R77" i="66"/>
  <c r="V66" i="66"/>
  <c r="V15" i="66"/>
  <c r="V11" i="74"/>
  <c r="R205" i="66"/>
  <c r="V109" i="74"/>
  <c r="V245" i="66"/>
  <c r="V77" i="74"/>
  <c r="R19" i="74"/>
  <c r="V135" i="66"/>
  <c r="V5" i="74"/>
  <c r="V140" i="66"/>
  <c r="R248" i="66"/>
  <c r="V217" i="66"/>
  <c r="R121" i="66"/>
  <c r="V254" i="66"/>
  <c r="V40" i="66"/>
  <c r="V148" i="66"/>
  <c r="R110" i="74"/>
  <c r="R136" i="74"/>
  <c r="V159" i="66"/>
  <c r="R44" i="74"/>
  <c r="V18" i="66"/>
  <c r="R177" i="66"/>
  <c r="R66" i="74"/>
  <c r="R82" i="74"/>
  <c r="R162" i="66"/>
  <c r="R211" i="66"/>
  <c r="R27" i="66"/>
  <c r="V200" i="66"/>
  <c r="V115" i="74"/>
  <c r="V262" i="66"/>
  <c r="V134" i="66"/>
  <c r="V95" i="74"/>
  <c r="V173" i="66"/>
  <c r="R38" i="66"/>
  <c r="R91" i="66"/>
  <c r="V47" i="66"/>
  <c r="R279" i="66"/>
  <c r="R136" i="66"/>
  <c r="R43" i="74"/>
  <c r="R86" i="66"/>
  <c r="R278" i="66"/>
  <c r="V24" i="74"/>
  <c r="R18" i="74"/>
  <c r="R62" i="74"/>
  <c r="R111" i="66"/>
  <c r="V51" i="66"/>
  <c r="R125" i="66"/>
  <c r="R29" i="74"/>
  <c r="V191" i="66"/>
  <c r="V53" i="66"/>
  <c r="G38" i="74"/>
  <c r="R206" i="66"/>
  <c r="R53" i="74"/>
  <c r="R115" i="66"/>
  <c r="R107" i="74"/>
  <c r="R100" i="66"/>
  <c r="V235" i="66"/>
  <c r="R123" i="66"/>
  <c r="V38" i="74"/>
  <c r="V13" i="74"/>
  <c r="R56" i="74"/>
  <c r="R63" i="66"/>
  <c r="V4" i="66"/>
  <c r="V207" i="66"/>
  <c r="R13" i="66"/>
  <c r="R67" i="66"/>
  <c r="R88" i="74"/>
  <c r="B7" i="39"/>
  <c r="C43" i="39" s="1"/>
  <c r="E92" i="38" s="1"/>
  <c r="H463" i="37" s="1"/>
  <c r="R101" i="74"/>
  <c r="R87" i="66"/>
  <c r="R33" i="74"/>
  <c r="R171" i="66"/>
  <c r="V149" i="66"/>
  <c r="R188" i="66"/>
  <c r="V100" i="74"/>
  <c r="R203" i="66"/>
  <c r="V31" i="74"/>
  <c r="V244" i="66"/>
  <c r="R79" i="74"/>
  <c r="V127" i="74"/>
  <c r="B4" i="39"/>
  <c r="C40" i="39" s="1"/>
  <c r="E87" i="38" s="1"/>
  <c r="H461" i="37" s="1"/>
  <c r="R34" i="74"/>
  <c r="R111" i="74"/>
  <c r="V267" i="66"/>
  <c r="V284" i="66"/>
  <c r="R231" i="66"/>
  <c r="H477" i="41"/>
  <c r="C14" i="39"/>
  <c r="P14" i="39" s="1"/>
  <c r="Q14" i="39" s="1"/>
  <c r="V152" i="66"/>
  <c r="R187" i="66"/>
  <c r="V39" i="74"/>
  <c r="E352" i="38"/>
  <c r="R47" i="74"/>
  <c r="G4" i="74"/>
  <c r="R33" i="66"/>
  <c r="R107" i="66"/>
  <c r="V63" i="74"/>
  <c r="R225" i="66"/>
  <c r="R258" i="66"/>
  <c r="V61" i="66"/>
  <c r="V40" i="74"/>
  <c r="V59" i="74"/>
  <c r="R169" i="66"/>
  <c r="R14" i="66"/>
  <c r="V14" i="66"/>
  <c r="D3" i="53"/>
  <c r="V135" i="74"/>
  <c r="R259" i="66"/>
  <c r="V52" i="66"/>
  <c r="R221" i="66"/>
  <c r="V59" i="66"/>
  <c r="D7" i="17"/>
  <c r="G52" i="20" s="1"/>
  <c r="M52" i="39"/>
  <c r="E184" i="38" s="1"/>
  <c r="J470" i="58" s="1"/>
  <c r="D4" i="53"/>
  <c r="V130" i="74"/>
  <c r="B3" i="39"/>
  <c r="C39" i="39" s="1"/>
  <c r="E86" i="38" s="1"/>
  <c r="V27" i="74"/>
  <c r="V182" i="66"/>
  <c r="V39" i="66"/>
  <c r="R52" i="74"/>
  <c r="V184" i="66"/>
  <c r="H439" i="41"/>
  <c r="M4" i="41"/>
  <c r="G28" i="74"/>
  <c r="G10" i="74"/>
  <c r="E54" i="39"/>
  <c r="E135" i="38" s="1"/>
  <c r="J468" i="37" s="1"/>
  <c r="G187" i="66"/>
  <c r="M6" i="41"/>
  <c r="G167" i="66"/>
  <c r="H468" i="37"/>
  <c r="I468" i="58"/>
  <c r="I470" i="37"/>
  <c r="M39" i="9" a="1"/>
  <c r="M39" i="9" s="1"/>
  <c r="E66" i="22" s="1"/>
  <c r="K36" i="9"/>
  <c r="M46" i="20" s="1"/>
  <c r="L36" i="9"/>
  <c r="E46" i="20" s="1"/>
  <c r="N35" i="9" a="1"/>
  <c r="N35" i="9" s="1"/>
  <c r="L38" i="9"/>
  <c r="K38" i="9"/>
  <c r="N37" i="9" a="1"/>
  <c r="N37" i="9" s="1"/>
  <c r="E69" i="22" s="1"/>
  <c r="Q37" i="9" a="1"/>
  <c r="Q37" i="9" s="1"/>
  <c r="E84" i="22" s="1"/>
  <c r="N39" i="9" a="1"/>
  <c r="N39" i="9" s="1"/>
  <c r="E71" i="22" s="1"/>
  <c r="Q39" i="9" a="1"/>
  <c r="Q39" i="9" s="1"/>
  <c r="E86" i="22" s="1"/>
  <c r="R39" i="9" a="1"/>
  <c r="R39" i="9" s="1"/>
  <c r="E91" i="22" s="1"/>
  <c r="R35" i="9" a="1"/>
  <c r="R35" i="9" s="1"/>
  <c r="O39" i="9" a="1"/>
  <c r="O39" i="9" s="1"/>
  <c r="E76" i="22" s="1"/>
  <c r="O37" i="9" a="1"/>
  <c r="O37" i="9" s="1"/>
  <c r="E74" i="22" s="1"/>
  <c r="Q35" i="9" a="1"/>
  <c r="Q35" i="9" s="1"/>
  <c r="O35" i="9" a="1"/>
  <c r="O35" i="9" s="1"/>
  <c r="R37" i="9" a="1"/>
  <c r="R37" i="9" s="1"/>
  <c r="E89" i="22" s="1"/>
  <c r="P39" i="9" a="1"/>
  <c r="P39" i="9" s="1"/>
  <c r="E81" i="22" s="1"/>
  <c r="J470" i="37"/>
  <c r="G189" i="66"/>
  <c r="H462" i="58"/>
  <c r="H3" i="41"/>
  <c r="G45" i="66"/>
  <c r="C43" i="17"/>
  <c r="L28" i="9"/>
  <c r="K28" i="9"/>
  <c r="L52" i="39"/>
  <c r="E167" i="38" s="1"/>
  <c r="I3" i="41"/>
  <c r="D33" i="20"/>
  <c r="D54" i="39"/>
  <c r="E118" i="38" s="1"/>
  <c r="H435" i="41"/>
  <c r="C42" i="17"/>
  <c r="K54" i="39"/>
  <c r="E152" i="38" s="1"/>
  <c r="G188" i="66"/>
  <c r="G33" i="66"/>
  <c r="G33" i="74" s="1"/>
  <c r="H434" i="41"/>
  <c r="H431" i="41"/>
  <c r="G13" i="66"/>
  <c r="G13" i="74" s="1"/>
  <c r="H438" i="41"/>
  <c r="E49" i="22"/>
  <c r="P37" i="9" a="1"/>
  <c r="P37" i="9" s="1"/>
  <c r="E79" i="22" s="1"/>
  <c r="M37" i="9" a="1"/>
  <c r="M37" i="9" s="1"/>
  <c r="F22" i="26"/>
  <c r="H428" i="41"/>
  <c r="G23" i="66"/>
  <c r="C36" i="17"/>
  <c r="H437" i="41"/>
  <c r="H430" i="41"/>
  <c r="G47" i="66"/>
  <c r="G47" i="74" s="1"/>
  <c r="H426" i="41"/>
  <c r="G31" i="66"/>
  <c r="G31" i="74" s="1"/>
  <c r="H436" i="41"/>
  <c r="H432" i="41"/>
  <c r="G44" i="66"/>
  <c r="A19" i="53"/>
  <c r="H427" i="41"/>
  <c r="C32" i="17"/>
  <c r="C44" i="17"/>
  <c r="C33" i="17"/>
  <c r="H433" i="41"/>
  <c r="G43" i="66"/>
  <c r="M41" i="20"/>
  <c r="C41" i="17"/>
  <c r="G29" i="66"/>
  <c r="G29" i="74" s="1"/>
  <c r="H429" i="41"/>
  <c r="D44" i="20"/>
  <c r="C39" i="17"/>
  <c r="C35" i="17"/>
  <c r="C23" i="17"/>
  <c r="D23" i="17" s="1"/>
  <c r="M42" i="20"/>
  <c r="E47" i="22"/>
  <c r="M35" i="9" a="1"/>
  <c r="M35" i="9" s="1"/>
  <c r="P35" i="9" a="1"/>
  <c r="P35" i="9" s="1"/>
  <c r="C34" i="17"/>
  <c r="C40" i="17"/>
  <c r="M37" i="20"/>
  <c r="M36" i="20"/>
  <c r="C326" i="38"/>
  <c r="C330" i="38"/>
  <c r="C334" i="38"/>
  <c r="D18" i="53"/>
  <c r="A24" i="53"/>
  <c r="E18" i="53"/>
  <c r="E246" i="38"/>
  <c r="C261" i="38"/>
  <c r="D6" i="17"/>
  <c r="G51" i="20" s="1"/>
  <c r="C265" i="38"/>
  <c r="H470" i="58"/>
  <c r="A28" i="53"/>
  <c r="C277" i="38"/>
  <c r="H469" i="58"/>
  <c r="D8" i="17"/>
  <c r="G53" i="20" s="1"/>
  <c r="E242" i="38"/>
  <c r="C257" i="38"/>
  <c r="C273" i="38"/>
  <c r="C234" i="38"/>
  <c r="D29" i="53"/>
  <c r="A27" i="53"/>
  <c r="F10" i="76"/>
  <c r="D17" i="53"/>
  <c r="C328" i="38"/>
  <c r="C259" i="38"/>
  <c r="E244" i="38"/>
  <c r="C332" i="38"/>
  <c r="C267" i="38"/>
  <c r="C275" i="38"/>
  <c r="C324" i="38"/>
  <c r="C327" i="38"/>
  <c r="C309" i="38"/>
  <c r="T5" i="9"/>
  <c r="J469" i="37"/>
  <c r="C269" i="38"/>
  <c r="C251" i="38"/>
  <c r="E236" i="38"/>
  <c r="E233" i="38"/>
  <c r="C248" i="38"/>
  <c r="G46" i="74"/>
  <c r="C271" i="38"/>
  <c r="D22" i="26"/>
  <c r="D188" i="72" a="1"/>
  <c r="D188" i="72" s="1"/>
  <c r="D126" i="72" a="1"/>
  <c r="D126" i="72" s="1"/>
  <c r="D250" i="72" a="1"/>
  <c r="D250" i="72" s="1"/>
  <c r="D251" i="72" s="1" a="1"/>
  <c r="D251" i="72" s="1"/>
  <c r="D64" i="72" a="1"/>
  <c r="D64" i="72" s="1"/>
  <c r="D2" i="72" a="1"/>
  <c r="D2" i="72" s="1"/>
  <c r="B49" i="26"/>
  <c r="G185" i="35"/>
  <c r="D127" i="72" a="1"/>
  <c r="D127" i="72" s="1"/>
  <c r="D128" i="72" s="1" a="1"/>
  <c r="D128" i="72" s="1"/>
  <c r="H462" i="37"/>
  <c r="J469" i="58"/>
  <c r="E386" i="38"/>
  <c r="J468" i="58"/>
  <c r="A20" i="53"/>
  <c r="C255" i="38"/>
  <c r="E240" i="38"/>
  <c r="E238" i="38"/>
  <c r="C253" i="38"/>
  <c r="G12" i="74"/>
  <c r="H470" i="37" l="1"/>
  <c r="H470" i="41" s="1"/>
  <c r="E45" i="20"/>
  <c r="C13" i="39"/>
  <c r="O13" i="39" s="1"/>
  <c r="H460" i="37"/>
  <c r="D38" i="20"/>
  <c r="M35" i="20"/>
  <c r="M33" i="20"/>
  <c r="E34" i="20"/>
  <c r="N45" i="20"/>
  <c r="E33" i="20"/>
  <c r="D37" i="20"/>
  <c r="M44" i="20"/>
  <c r="D46" i="20"/>
  <c r="E38" i="20"/>
  <c r="O14" i="39"/>
  <c r="H476" i="37"/>
  <c r="E351" i="38" s="1"/>
  <c r="C16" i="39"/>
  <c r="P16" i="39" s="1"/>
  <c r="Q16" i="39" s="1"/>
  <c r="K40" i="39"/>
  <c r="E138" i="38" s="1"/>
  <c r="H460" i="58" s="1"/>
  <c r="H478" i="37"/>
  <c r="E353" i="38" s="1"/>
  <c r="K39" i="39"/>
  <c r="E137" i="38" s="1"/>
  <c r="H458" i="58" s="1"/>
  <c r="H478" i="58"/>
  <c r="E371" i="38" s="1"/>
  <c r="K43" i="39"/>
  <c r="E143" i="38" s="1"/>
  <c r="H463" i="58" s="1"/>
  <c r="H463" i="41" s="1"/>
  <c r="H476" i="58"/>
  <c r="E369" i="38" s="1"/>
  <c r="D39" i="20"/>
  <c r="E41" i="20"/>
  <c r="M45" i="20"/>
  <c r="D43" i="20"/>
  <c r="D35" i="20"/>
  <c r="D41" i="20"/>
  <c r="N40" i="20"/>
  <c r="N46" i="20"/>
  <c r="D36" i="20"/>
  <c r="D42" i="20"/>
  <c r="E44" i="20"/>
  <c r="C12" i="39"/>
  <c r="O12" i="39" s="1"/>
  <c r="H475" i="37"/>
  <c r="E350" i="38" s="1"/>
  <c r="H475" i="58"/>
  <c r="E368" i="38" s="1"/>
  <c r="N41" i="20"/>
  <c r="P33" i="18"/>
  <c r="D52" i="20"/>
  <c r="P24" i="18" s="1"/>
  <c r="N34" i="20"/>
  <c r="N33" i="20"/>
  <c r="D25" i="20"/>
  <c r="G25" i="20"/>
  <c r="H177" i="35"/>
  <c r="I118" i="37" s="1"/>
  <c r="H176" i="35"/>
  <c r="I110" i="58" s="1"/>
  <c r="H178" i="35"/>
  <c r="I118" i="58" s="1"/>
  <c r="H175" i="35"/>
  <c r="I110" i="37" s="1"/>
  <c r="N44" i="20"/>
  <c r="E43" i="20"/>
  <c r="E39" i="20"/>
  <c r="N43" i="20"/>
  <c r="E40" i="20"/>
  <c r="N39" i="20"/>
  <c r="C56" i="17"/>
  <c r="N37" i="20"/>
  <c r="N38" i="20"/>
  <c r="N35" i="20"/>
  <c r="E37" i="20"/>
  <c r="E35" i="20"/>
  <c r="G43" i="74"/>
  <c r="M39" i="20"/>
  <c r="D40" i="20"/>
  <c r="M38" i="20"/>
  <c r="M40" i="20"/>
  <c r="D45" i="20"/>
  <c r="M43" i="20"/>
  <c r="M34" i="20"/>
  <c r="D34" i="20"/>
  <c r="G23" i="74"/>
  <c r="H462" i="41"/>
  <c r="H469" i="41"/>
  <c r="G45" i="74"/>
  <c r="I470" i="58"/>
  <c r="I470" i="41" s="1"/>
  <c r="J470" i="41"/>
  <c r="H13" i="37"/>
  <c r="H12" i="37"/>
  <c r="H11" i="37"/>
  <c r="G44" i="74"/>
  <c r="H14" i="37"/>
  <c r="A25" i="53"/>
  <c r="H468" i="58"/>
  <c r="H468" i="41" s="1"/>
  <c r="E55" i="22"/>
  <c r="J38" i="9"/>
  <c r="C46" i="39"/>
  <c r="E91" i="38" s="1"/>
  <c r="K46" i="39"/>
  <c r="E142" i="38" s="1"/>
  <c r="E60" i="22"/>
  <c r="F18" i="53"/>
  <c r="G206" i="35"/>
  <c r="D157" i="72" a="1"/>
  <c r="D157" i="72" s="1"/>
  <c r="D158" i="72" s="1" a="1"/>
  <c r="D158" i="72" s="1"/>
  <c r="E49" i="26"/>
  <c r="H49" i="26" s="1"/>
  <c r="D281" i="72" a="1"/>
  <c r="D281" i="72" s="1"/>
  <c r="D219" i="72" a="1"/>
  <c r="D219" i="72" s="1"/>
  <c r="D33" i="72" a="1"/>
  <c r="D33" i="72" s="1"/>
  <c r="D34" i="72" s="1" a="1"/>
  <c r="D34" i="72" s="1"/>
  <c r="G22" i="26"/>
  <c r="D95" i="72" a="1"/>
  <c r="D95" i="72" s="1"/>
  <c r="F95" i="72" s="1"/>
  <c r="E72" i="22"/>
  <c r="E67" i="22"/>
  <c r="E64" i="22"/>
  <c r="E82" i="22"/>
  <c r="E58" i="22"/>
  <c r="L40" i="9"/>
  <c r="N42" i="20"/>
  <c r="E42" i="20"/>
  <c r="N36" i="20"/>
  <c r="E36" i="20"/>
  <c r="E77" i="22"/>
  <c r="B6" i="39"/>
  <c r="C15" i="39" s="1"/>
  <c r="E53" i="22"/>
  <c r="K40" i="9"/>
  <c r="J36" i="9"/>
  <c r="E10" i="22"/>
  <c r="K8" i="9"/>
  <c r="J28" i="9"/>
  <c r="E62" i="22"/>
  <c r="I468" i="37"/>
  <c r="I468" i="41" s="1"/>
  <c r="E15" i="22"/>
  <c r="L8" i="9"/>
  <c r="E87" i="22"/>
  <c r="D252" i="72" a="1"/>
  <c r="D252" i="72" s="1"/>
  <c r="D253" i="72" s="1" a="1"/>
  <c r="D253" i="72" s="1"/>
  <c r="N29" i="9" a="1"/>
  <c r="N29" i="9" s="1"/>
  <c r="O25" i="9" a="1"/>
  <c r="O25" i="9" s="1"/>
  <c r="O5" i="9" s="1"/>
  <c r="N25" i="9" a="1"/>
  <c r="N25" i="9" s="1"/>
  <c r="K26" i="9"/>
  <c r="O29" i="9" a="1"/>
  <c r="O29" i="9" s="1"/>
  <c r="Q27" i="9" a="1"/>
  <c r="Q27" i="9" s="1"/>
  <c r="L26" i="9"/>
  <c r="O27" i="9" a="1"/>
  <c r="O27" i="9" s="1"/>
  <c r="R29" i="9" a="1"/>
  <c r="R29" i="9" s="1"/>
  <c r="R25" i="9" a="1"/>
  <c r="R25" i="9" s="1"/>
  <c r="Q25" i="9" a="1"/>
  <c r="Q25" i="9" s="1"/>
  <c r="R27" i="9" a="1"/>
  <c r="R27" i="9" s="1"/>
  <c r="N27" i="9" a="1"/>
  <c r="N27" i="9" s="1"/>
  <c r="Q29" i="9" a="1"/>
  <c r="Q29" i="9" s="1"/>
  <c r="P25" i="9" a="1"/>
  <c r="P25" i="9" s="1"/>
  <c r="P27" i="9" a="1"/>
  <c r="P27" i="9" s="1"/>
  <c r="M25" i="9" a="1"/>
  <c r="M25" i="9" s="1"/>
  <c r="P29" i="9" a="1"/>
  <c r="P29" i="9" s="1"/>
  <c r="M29" i="9" a="1"/>
  <c r="M29" i="9" s="1"/>
  <c r="M27" i="9" a="1"/>
  <c r="M27" i="9" s="1"/>
  <c r="F64" i="72" s="1"/>
  <c r="C268" i="38"/>
  <c r="G26" i="20"/>
  <c r="D26" i="20"/>
  <c r="H179" i="35"/>
  <c r="H180" i="35"/>
  <c r="H182" i="35"/>
  <c r="H181" i="35"/>
  <c r="C346" i="38"/>
  <c r="H491" i="37"/>
  <c r="H492" i="37"/>
  <c r="H490" i="37"/>
  <c r="C263" i="38"/>
  <c r="C340" i="38"/>
  <c r="D27" i="53"/>
  <c r="A33" i="53"/>
  <c r="P34" i="18"/>
  <c r="D53" i="20"/>
  <c r="P25" i="18" s="1"/>
  <c r="C274" i="38"/>
  <c r="C272" i="38"/>
  <c r="A30" i="53"/>
  <c r="E24" i="53"/>
  <c r="C270" i="38"/>
  <c r="C342" i="38"/>
  <c r="D189" i="72" a="1"/>
  <c r="D189" i="72" s="1"/>
  <c r="C266" i="38"/>
  <c r="C321" i="38"/>
  <c r="D28" i="53"/>
  <c r="A34" i="53"/>
  <c r="C338" i="38"/>
  <c r="C276" i="38"/>
  <c r="D129" i="72" a="1"/>
  <c r="D129" i="72" s="1"/>
  <c r="D130" i="72" s="1" a="1"/>
  <c r="D130" i="72" s="1"/>
  <c r="C339" i="38"/>
  <c r="H12" i="53"/>
  <c r="H458" i="37"/>
  <c r="H459" i="37"/>
  <c r="C336" i="38"/>
  <c r="E234" i="38"/>
  <c r="C249" i="38"/>
  <c r="G24" i="20"/>
  <c r="D24" i="20"/>
  <c r="H172" i="35"/>
  <c r="H174" i="35"/>
  <c r="H171" i="35"/>
  <c r="H173" i="35"/>
  <c r="E22" i="26"/>
  <c r="C49" i="26"/>
  <c r="H185" i="35"/>
  <c r="P32" i="18"/>
  <c r="D51" i="20"/>
  <c r="P23" i="18" s="1"/>
  <c r="J468" i="41"/>
  <c r="A26" i="53"/>
  <c r="D3" i="72" a="1"/>
  <c r="D3" i="72" s="1"/>
  <c r="D65" i="72" a="1"/>
  <c r="D65" i="72" s="1"/>
  <c r="J469" i="41"/>
  <c r="C344" i="38"/>
  <c r="G339" i="18" l="1" a="1"/>
  <c r="G339" i="18" s="1"/>
  <c r="P13" i="39"/>
  <c r="Q13" i="39" s="1"/>
  <c r="H459" i="58"/>
  <c r="H460" i="41"/>
  <c r="AA3" i="39"/>
  <c r="G114" i="35" a="1"/>
  <c r="G114" i="35" s="1"/>
  <c r="G351" i="18" a="1"/>
  <c r="G351" i="18" s="1"/>
  <c r="G113" i="35" a="1"/>
  <c r="G113" i="35" s="1"/>
  <c r="G111" i="35" a="1"/>
  <c r="G111" i="35" s="1"/>
  <c r="G107" i="35" a="1"/>
  <c r="G107" i="35" s="1"/>
  <c r="G347" i="18" a="1"/>
  <c r="G347" i="18" s="1"/>
  <c r="I347" i="18" s="1"/>
  <c r="G105" i="35" a="1"/>
  <c r="G105" i="35" s="1"/>
  <c r="G101" i="35" a="1"/>
  <c r="G101" i="35" s="1"/>
  <c r="G109" i="35" a="1"/>
  <c r="G109" i="35" s="1"/>
  <c r="G102" i="35" a="1"/>
  <c r="G102" i="35" s="1"/>
  <c r="G108" i="35" a="1"/>
  <c r="G108" i="35" s="1"/>
  <c r="D47" i="20"/>
  <c r="G112" i="35" a="1"/>
  <c r="G112" i="35" s="1"/>
  <c r="G110" i="35" a="1"/>
  <c r="G110" i="35" s="1"/>
  <c r="G345" i="18" a="1"/>
  <c r="G345" i="18" s="1"/>
  <c r="G348" i="18" a="1"/>
  <c r="G348" i="18" s="1"/>
  <c r="H348" i="18" s="1"/>
  <c r="G346" i="18" a="1"/>
  <c r="G346" i="18" s="1"/>
  <c r="I346" i="18" s="1"/>
  <c r="F250" i="72"/>
  <c r="G106" i="35" a="1"/>
  <c r="G106" i="35" s="1"/>
  <c r="G103" i="35" a="1"/>
  <c r="G103" i="35" s="1"/>
  <c r="G344" i="18" a="1"/>
  <c r="G344" i="18" s="1"/>
  <c r="I344" i="18" s="1"/>
  <c r="G338" i="18" a="1"/>
  <c r="G338" i="18" s="1"/>
  <c r="H338" i="18" s="1"/>
  <c r="H461" i="58"/>
  <c r="H461" i="41" s="1"/>
  <c r="G143" i="35" a="1"/>
  <c r="G143" i="35" s="1"/>
  <c r="G349" i="18" a="1"/>
  <c r="G349" i="18" s="1"/>
  <c r="I349" i="18" s="1"/>
  <c r="G350" i="18" a="1"/>
  <c r="G350" i="18" s="1"/>
  <c r="I350" i="18" s="1"/>
  <c r="P12" i="39"/>
  <c r="Q12" i="39" s="1"/>
  <c r="O16" i="39"/>
  <c r="H478" i="41"/>
  <c r="H475" i="41"/>
  <c r="H476" i="41"/>
  <c r="D96" i="72" a="1"/>
  <c r="D96" i="72" s="1"/>
  <c r="D97" i="72" s="1" a="1"/>
  <c r="D97" i="72" s="1"/>
  <c r="D98" i="72" s="1" a="1"/>
  <c r="D98" i="72" s="1"/>
  <c r="G104" i="35" a="1"/>
  <c r="G104" i="35" s="1"/>
  <c r="G342" i="18" a="1"/>
  <c r="G342" i="18" s="1"/>
  <c r="I342" i="18" s="1"/>
  <c r="G152" i="35" a="1"/>
  <c r="G152" i="35" s="1"/>
  <c r="G341" i="18" a="1"/>
  <c r="G341" i="18" s="1"/>
  <c r="I341" i="18" s="1"/>
  <c r="G340" i="18" a="1"/>
  <c r="G340" i="18" s="1"/>
  <c r="I340" i="18" s="1"/>
  <c r="G343" i="18" a="1"/>
  <c r="G343" i="18" s="1"/>
  <c r="H343" i="18" s="1"/>
  <c r="G467" i="18" a="1"/>
  <c r="G467" i="18" s="1"/>
  <c r="I109" i="37"/>
  <c r="I111" i="37"/>
  <c r="I113" i="37"/>
  <c r="I115" i="37"/>
  <c r="I112" i="37"/>
  <c r="I114" i="37"/>
  <c r="I116" i="37"/>
  <c r="I124" i="58"/>
  <c r="I122" i="58"/>
  <c r="I123" i="58"/>
  <c r="I117" i="58"/>
  <c r="I121" i="58"/>
  <c r="I120" i="58"/>
  <c r="I119" i="58"/>
  <c r="I116" i="58"/>
  <c r="I114" i="58"/>
  <c r="I112" i="58"/>
  <c r="I111" i="58"/>
  <c r="I109" i="58"/>
  <c r="I113" i="58"/>
  <c r="I115" i="58"/>
  <c r="I124" i="37"/>
  <c r="I123" i="37"/>
  <c r="I119" i="37"/>
  <c r="I121" i="37"/>
  <c r="I120" i="37"/>
  <c r="I117" i="37"/>
  <c r="I122" i="37"/>
  <c r="P15" i="18"/>
  <c r="Y7" i="20"/>
  <c r="P6" i="18"/>
  <c r="Y4" i="20"/>
  <c r="I178" i="35"/>
  <c r="I175" i="35"/>
  <c r="I177" i="35"/>
  <c r="I176" i="35"/>
  <c r="E25" i="20"/>
  <c r="H25" i="20"/>
  <c r="H52" i="20"/>
  <c r="G391" i="18" a="1"/>
  <c r="G391" i="18" s="1"/>
  <c r="H391" i="18" s="1"/>
  <c r="G432" i="18" a="1"/>
  <c r="G432" i="18" s="1"/>
  <c r="I432" i="18" s="1"/>
  <c r="G386" i="18" a="1"/>
  <c r="G386" i="18" s="1"/>
  <c r="I386" i="18" s="1"/>
  <c r="G388" i="18" a="1"/>
  <c r="G388" i="18" s="1"/>
  <c r="H388" i="18" s="1"/>
  <c r="G146" i="35" a="1"/>
  <c r="G146" i="35" s="1"/>
  <c r="G156" i="35" a="1"/>
  <c r="G156" i="35" s="1"/>
  <c r="G382" i="18" a="1"/>
  <c r="G382" i="18" s="1"/>
  <c r="G155" i="35" a="1"/>
  <c r="G155" i="35" s="1"/>
  <c r="G393" i="18" a="1"/>
  <c r="G393" i="18" s="1"/>
  <c r="F188" i="72"/>
  <c r="G476" i="18" a="1"/>
  <c r="G476" i="18" s="1"/>
  <c r="I476" i="18" s="1"/>
  <c r="G150" i="35" a="1"/>
  <c r="G150" i="35" s="1"/>
  <c r="M47" i="20"/>
  <c r="G151" i="35" a="1"/>
  <c r="G151" i="35" s="1"/>
  <c r="G153" i="35" a="1"/>
  <c r="G153" i="35" s="1"/>
  <c r="F126" i="72"/>
  <c r="H24" i="53"/>
  <c r="G154" i="35" a="1"/>
  <c r="G154" i="35" s="1"/>
  <c r="G380" i="18" a="1"/>
  <c r="G380" i="18" s="1"/>
  <c r="H380" i="18" s="1"/>
  <c r="G147" i="35" a="1"/>
  <c r="G147" i="35" s="1"/>
  <c r="G381" i="18" a="1"/>
  <c r="G381" i="18" s="1"/>
  <c r="H381" i="18" s="1"/>
  <c r="G385" i="18" a="1"/>
  <c r="G385" i="18" s="1"/>
  <c r="H385" i="18" s="1"/>
  <c r="F2" i="72"/>
  <c r="G383" i="18" a="1"/>
  <c r="G383" i="18" s="1"/>
  <c r="I383" i="18" s="1"/>
  <c r="G422" i="18" a="1"/>
  <c r="G422" i="18" s="1"/>
  <c r="H422" i="18" s="1"/>
  <c r="G384" i="18" a="1"/>
  <c r="G384" i="18" s="1"/>
  <c r="I384" i="18" s="1"/>
  <c r="G144" i="35" a="1"/>
  <c r="G144" i="35" s="1"/>
  <c r="G387" i="18" a="1"/>
  <c r="G387" i="18" s="1"/>
  <c r="H387" i="18" s="1"/>
  <c r="G425" i="18" a="1"/>
  <c r="G425" i="18" s="1"/>
  <c r="I425" i="18" s="1"/>
  <c r="G390" i="18" a="1"/>
  <c r="G390" i="18" s="1"/>
  <c r="I390" i="18" s="1"/>
  <c r="G389" i="18" a="1"/>
  <c r="G389" i="18" s="1"/>
  <c r="I389" i="18" s="1"/>
  <c r="G149" i="35" a="1"/>
  <c r="G149" i="35" s="1"/>
  <c r="G145" i="35" a="1"/>
  <c r="G145" i="35" s="1"/>
  <c r="G148" i="35" a="1"/>
  <c r="G148" i="35" s="1"/>
  <c r="G392" i="18" a="1"/>
  <c r="G392" i="18" s="1"/>
  <c r="I392" i="18" s="1"/>
  <c r="D254" i="72" a="1"/>
  <c r="D254" i="72" s="1"/>
  <c r="D255" i="72" s="1" a="1"/>
  <c r="D255" i="72" s="1"/>
  <c r="D256" i="72" s="1" a="1"/>
  <c r="D256" i="72" s="1"/>
  <c r="D257" i="72" s="1" a="1"/>
  <c r="D257" i="72" s="1"/>
  <c r="D258" i="72" s="1" a="1"/>
  <c r="D258" i="72" s="1"/>
  <c r="I467" i="18"/>
  <c r="H467" i="18"/>
  <c r="I97" i="37"/>
  <c r="I100" i="37"/>
  <c r="I98" i="37"/>
  <c r="I99" i="37"/>
  <c r="I101" i="37"/>
  <c r="I95" i="37"/>
  <c r="I96" i="37"/>
  <c r="E44" i="22"/>
  <c r="R7" i="9"/>
  <c r="H52" i="37"/>
  <c r="G165" i="35" a="1"/>
  <c r="G165" i="35" s="1"/>
  <c r="G169" i="35" a="1"/>
  <c r="G169" i="35" s="1"/>
  <c r="G126" i="35" a="1"/>
  <c r="G126" i="35" s="1"/>
  <c r="G428" i="18" a="1"/>
  <c r="G428" i="18" s="1"/>
  <c r="G118" i="35" a="1"/>
  <c r="G118" i="35" s="1"/>
  <c r="H44" i="37"/>
  <c r="A31" i="53"/>
  <c r="I104" i="58"/>
  <c r="I105" i="58"/>
  <c r="I106" i="58"/>
  <c r="I107" i="58"/>
  <c r="I102" i="58"/>
  <c r="I103" i="58"/>
  <c r="I108" i="58"/>
  <c r="D131" i="72" a="1"/>
  <c r="D131" i="72" s="1"/>
  <c r="D132" i="72" s="1" a="1"/>
  <c r="D132" i="72" s="1"/>
  <c r="E37" i="22"/>
  <c r="Q5" i="9"/>
  <c r="H64" i="37"/>
  <c r="H76" i="37"/>
  <c r="H88" i="37"/>
  <c r="G471" i="18" a="1"/>
  <c r="G471" i="18" s="1"/>
  <c r="G475" i="18" a="1"/>
  <c r="G475" i="18" s="1"/>
  <c r="G123" i="35" a="1"/>
  <c r="G123" i="35" s="1"/>
  <c r="G430" i="18" a="1"/>
  <c r="G430" i="18" s="1"/>
  <c r="G423" i="18" a="1"/>
  <c r="G423" i="18" s="1"/>
  <c r="H467" i="58"/>
  <c r="E50" i="22"/>
  <c r="M38" i="9" a="1"/>
  <c r="M38" i="9" s="1"/>
  <c r="E65" i="22" s="1"/>
  <c r="P38" i="9" a="1"/>
  <c r="P38" i="9" s="1"/>
  <c r="E80" i="22" s="1"/>
  <c r="C8" i="63"/>
  <c r="H72" i="37"/>
  <c r="I98" i="58"/>
  <c r="I99" i="58"/>
  <c r="I100" i="58"/>
  <c r="I96" i="58"/>
  <c r="I95" i="58"/>
  <c r="I97" i="58"/>
  <c r="I101" i="58"/>
  <c r="E42" i="22"/>
  <c r="R5" i="9"/>
  <c r="H48" i="37"/>
  <c r="G160" i="35" a="1"/>
  <c r="G160" i="35" s="1"/>
  <c r="G469" i="18" a="1"/>
  <c r="G469" i="18" s="1"/>
  <c r="F49" i="26"/>
  <c r="I49" i="26" s="1"/>
  <c r="H22" i="26"/>
  <c r="AL126" i="72" s="1"/>
  <c r="H206" i="35"/>
  <c r="G119" i="35" a="1"/>
  <c r="G119" i="35" s="1"/>
  <c r="G120" i="35" a="1"/>
  <c r="G120" i="35" s="1"/>
  <c r="G435" i="18" a="1"/>
  <c r="G435" i="18" s="1"/>
  <c r="H467" i="37"/>
  <c r="E46" i="22"/>
  <c r="R9" i="9"/>
  <c r="I345" i="18"/>
  <c r="H345" i="18"/>
  <c r="E5" i="22"/>
  <c r="M28" i="9" a="1"/>
  <c r="M28" i="9" s="1"/>
  <c r="P28" i="9" a="1"/>
  <c r="P28" i="9" s="1"/>
  <c r="J8" i="9"/>
  <c r="T8" i="9" s="1"/>
  <c r="H20" i="37"/>
  <c r="G473" i="18" a="1"/>
  <c r="G473" i="18" s="1"/>
  <c r="G164" i="35" a="1"/>
  <c r="G164" i="35" s="1"/>
  <c r="G464" i="18" a="1"/>
  <c r="G464" i="18" s="1"/>
  <c r="F281" i="72"/>
  <c r="D282" i="72" a="1"/>
  <c r="D282" i="72" s="1"/>
  <c r="G117" i="35" a="1"/>
  <c r="G117" i="35" s="1"/>
  <c r="G127" i="35" a="1"/>
  <c r="G127" i="35" s="1"/>
  <c r="G122" i="35" a="1"/>
  <c r="G122" i="35" s="1"/>
  <c r="E19" i="22"/>
  <c r="M7" i="9"/>
  <c r="E29" i="22"/>
  <c r="O7" i="9"/>
  <c r="H28" i="37"/>
  <c r="G158" i="35" a="1"/>
  <c r="G158" i="35" s="1"/>
  <c r="G161" i="35" a="1"/>
  <c r="G161" i="35" s="1"/>
  <c r="G168" i="35" a="1"/>
  <c r="G168" i="35" s="1"/>
  <c r="D35" i="72" a="1"/>
  <c r="D35" i="72" s="1"/>
  <c r="F33" i="72"/>
  <c r="G115" i="35" a="1"/>
  <c r="G115" i="35" s="1"/>
  <c r="G128" i="35" a="1"/>
  <c r="G128" i="35" s="1"/>
  <c r="H36" i="37"/>
  <c r="M9" i="9"/>
  <c r="E21" i="22"/>
  <c r="E13" i="22"/>
  <c r="L6" i="9"/>
  <c r="D3" i="9" s="1"/>
  <c r="L30" i="9"/>
  <c r="E12" i="20"/>
  <c r="N12" i="20"/>
  <c r="E17" i="20"/>
  <c r="E18" i="20"/>
  <c r="E19" i="20"/>
  <c r="E15" i="20"/>
  <c r="E10" i="20"/>
  <c r="N14" i="20"/>
  <c r="N16" i="20"/>
  <c r="N8" i="20"/>
  <c r="N19" i="20"/>
  <c r="N10" i="20"/>
  <c r="E6" i="20"/>
  <c r="E14" i="20"/>
  <c r="N15" i="20"/>
  <c r="E8" i="20"/>
  <c r="N13" i="20"/>
  <c r="N6" i="20"/>
  <c r="E16" i="20"/>
  <c r="N11" i="20"/>
  <c r="E11" i="20"/>
  <c r="E13" i="20"/>
  <c r="N9" i="20"/>
  <c r="N17" i="20"/>
  <c r="N7" i="20"/>
  <c r="E9" i="20"/>
  <c r="E7" i="20"/>
  <c r="N18" i="20"/>
  <c r="L42" i="20"/>
  <c r="C46" i="20"/>
  <c r="M36" i="9" a="1"/>
  <c r="M36" i="9" s="1"/>
  <c r="C38" i="20"/>
  <c r="C34" i="20"/>
  <c r="L44" i="20"/>
  <c r="P36" i="9" a="1"/>
  <c r="P36" i="9" s="1"/>
  <c r="E48" i="22"/>
  <c r="C42" i="20"/>
  <c r="L45" i="20"/>
  <c r="L35" i="20"/>
  <c r="L37" i="20"/>
  <c r="C35" i="20"/>
  <c r="C37" i="20"/>
  <c r="J40" i="9"/>
  <c r="C36" i="20"/>
  <c r="L38" i="20"/>
  <c r="L39" i="20"/>
  <c r="C33" i="20"/>
  <c r="L41" i="20"/>
  <c r="L46" i="20"/>
  <c r="L36" i="20"/>
  <c r="C39" i="20"/>
  <c r="L34" i="20"/>
  <c r="L33" i="20"/>
  <c r="C41" i="20"/>
  <c r="C44" i="20"/>
  <c r="C43" i="20"/>
  <c r="C40" i="20"/>
  <c r="C45" i="20"/>
  <c r="L43" i="20"/>
  <c r="L40" i="20"/>
  <c r="G163" i="35" a="1"/>
  <c r="G163" i="35" s="1"/>
  <c r="G472" i="18" a="1"/>
  <c r="G472" i="18" s="1"/>
  <c r="G167" i="35" a="1"/>
  <c r="G167" i="35" s="1"/>
  <c r="G431" i="18" a="1"/>
  <c r="G431" i="18" s="1"/>
  <c r="G125" i="35" a="1"/>
  <c r="G125" i="35" s="1"/>
  <c r="E36" i="22"/>
  <c r="P9" i="9"/>
  <c r="E39" i="22"/>
  <c r="Q7" i="9"/>
  <c r="H56" i="37"/>
  <c r="H92" i="37"/>
  <c r="G162" i="35" a="1"/>
  <c r="G162" i="35" s="1"/>
  <c r="G468" i="18" a="1"/>
  <c r="G468" i="18" s="1"/>
  <c r="G426" i="18" a="1"/>
  <c r="G426" i="18" s="1"/>
  <c r="G427" i="18" a="1"/>
  <c r="G427" i="18" s="1"/>
  <c r="D66" i="72" a="1"/>
  <c r="D66" i="72" s="1"/>
  <c r="I140" i="37"/>
  <c r="I134" i="37"/>
  <c r="I138" i="37"/>
  <c r="I136" i="37"/>
  <c r="I139" i="37"/>
  <c r="I133" i="37"/>
  <c r="I137" i="37"/>
  <c r="I135" i="37"/>
  <c r="E17" i="22"/>
  <c r="M5" i="9"/>
  <c r="E31" i="22"/>
  <c r="O9" i="9"/>
  <c r="H84" i="37"/>
  <c r="N47" i="20"/>
  <c r="G159" i="35" a="1"/>
  <c r="G159" i="35" s="1"/>
  <c r="D220" i="72" a="1"/>
  <c r="D220" i="72" s="1"/>
  <c r="F219" i="72"/>
  <c r="F157" i="72"/>
  <c r="D159" i="72" a="1"/>
  <c r="D159" i="72" s="1"/>
  <c r="G124" i="35" a="1"/>
  <c r="G124" i="35" s="1"/>
  <c r="G429" i="18" a="1"/>
  <c r="G429" i="18" s="1"/>
  <c r="I139" i="58"/>
  <c r="I136" i="58"/>
  <c r="I137" i="58"/>
  <c r="I140" i="58"/>
  <c r="I135" i="58"/>
  <c r="I138" i="58"/>
  <c r="I134" i="58"/>
  <c r="I133" i="58"/>
  <c r="E34" i="22"/>
  <c r="P7" i="9"/>
  <c r="E8" i="22"/>
  <c r="K6" i="9"/>
  <c r="D4" i="9" s="1"/>
  <c r="K30" i="9"/>
  <c r="M19" i="20"/>
  <c r="M8" i="20"/>
  <c r="D8" i="20"/>
  <c r="J26" i="9"/>
  <c r="D19" i="20"/>
  <c r="M6" i="20"/>
  <c r="D14" i="20"/>
  <c r="M17" i="20"/>
  <c r="D17" i="20"/>
  <c r="D6" i="20"/>
  <c r="M15" i="20"/>
  <c r="D12" i="20"/>
  <c r="M13" i="20"/>
  <c r="D15" i="20"/>
  <c r="M12" i="20"/>
  <c r="M10" i="20"/>
  <c r="M18" i="20"/>
  <c r="M7" i="20"/>
  <c r="M11" i="20"/>
  <c r="M16" i="20"/>
  <c r="D10" i="20"/>
  <c r="D18" i="20"/>
  <c r="D7" i="20"/>
  <c r="M14" i="20"/>
  <c r="D11" i="20"/>
  <c r="D9" i="20"/>
  <c r="D13" i="20"/>
  <c r="M9" i="20"/>
  <c r="D16" i="20"/>
  <c r="I351" i="18"/>
  <c r="H351" i="18"/>
  <c r="H68" i="37"/>
  <c r="P15" i="39"/>
  <c r="Q15" i="39" s="1"/>
  <c r="O15" i="39"/>
  <c r="G166" i="35" a="1"/>
  <c r="G166" i="35" s="1"/>
  <c r="G477" i="18" a="1"/>
  <c r="G477" i="18" s="1"/>
  <c r="H11" i="58"/>
  <c r="H11" i="41" s="1"/>
  <c r="H12" i="58"/>
  <c r="H12" i="41" s="1"/>
  <c r="H14" i="58"/>
  <c r="H13" i="58"/>
  <c r="G434" i="18" a="1"/>
  <c r="G434" i="18" s="1"/>
  <c r="G424" i="18" a="1"/>
  <c r="G424" i="18" s="1"/>
  <c r="H349" i="18"/>
  <c r="G474" i="18" a="1"/>
  <c r="G474" i="18" s="1"/>
  <c r="D4" i="72" a="1"/>
  <c r="D4" i="72" s="1"/>
  <c r="I126" i="58"/>
  <c r="I127" i="58"/>
  <c r="I130" i="58"/>
  <c r="I131" i="58"/>
  <c r="I129" i="58"/>
  <c r="I132" i="58"/>
  <c r="I128" i="58"/>
  <c r="I125" i="58"/>
  <c r="E32" i="22"/>
  <c r="P5" i="9"/>
  <c r="E22" i="22"/>
  <c r="N5" i="9"/>
  <c r="H24" i="37"/>
  <c r="K42" i="39"/>
  <c r="C6" i="39"/>
  <c r="D6" i="39" s="1"/>
  <c r="C42" i="39"/>
  <c r="G466" i="18" a="1"/>
  <c r="G466" i="18" s="1"/>
  <c r="G157" i="35" a="1"/>
  <c r="G157" i="35" s="1"/>
  <c r="G433" i="18" a="1"/>
  <c r="G433" i="18" s="1"/>
  <c r="G121" i="35" a="1"/>
  <c r="G121" i="35" s="1"/>
  <c r="I129" i="37"/>
  <c r="I130" i="37"/>
  <c r="I128" i="37"/>
  <c r="I125" i="37"/>
  <c r="I132" i="37"/>
  <c r="I131" i="37"/>
  <c r="I126" i="37"/>
  <c r="I127" i="37"/>
  <c r="E41" i="22"/>
  <c r="Q9" i="9"/>
  <c r="E27" i="22"/>
  <c r="I339" i="18"/>
  <c r="H339" i="18"/>
  <c r="H16" i="37"/>
  <c r="G170" i="35" a="1"/>
  <c r="G170" i="35" s="1"/>
  <c r="G465" i="18" a="1"/>
  <c r="G465" i="18" s="1"/>
  <c r="H60" i="37"/>
  <c r="G116" i="35" a="1"/>
  <c r="G116" i="35" s="1"/>
  <c r="E47" i="20"/>
  <c r="H40" i="37"/>
  <c r="I14" i="37"/>
  <c r="I11" i="37"/>
  <c r="I13" i="37"/>
  <c r="I12" i="37"/>
  <c r="I103" i="37"/>
  <c r="I104" i="37"/>
  <c r="I106" i="37"/>
  <c r="I102" i="37"/>
  <c r="I107" i="37"/>
  <c r="I105" i="37"/>
  <c r="I108" i="37"/>
  <c r="E24" i="22"/>
  <c r="N7" i="9"/>
  <c r="E26" i="22"/>
  <c r="N9" i="9"/>
  <c r="G470" i="18" a="1"/>
  <c r="G470" i="18" s="1"/>
  <c r="H80" i="37"/>
  <c r="H32" i="37"/>
  <c r="H393" i="18"/>
  <c r="I393" i="18"/>
  <c r="D190" i="72" a="1"/>
  <c r="D190" i="72" s="1"/>
  <c r="D191" i="72" s="1" a="1"/>
  <c r="D191" i="72" s="1"/>
  <c r="A32" i="53"/>
  <c r="P5" i="18"/>
  <c r="Y3" i="20"/>
  <c r="P14" i="18"/>
  <c r="Y6" i="20"/>
  <c r="I110" i="41"/>
  <c r="D40" i="39"/>
  <c r="E104" i="38" s="1"/>
  <c r="I476" i="37"/>
  <c r="G76" i="66"/>
  <c r="I172" i="35"/>
  <c r="I174" i="35"/>
  <c r="I171" i="35"/>
  <c r="I173" i="35"/>
  <c r="H24" i="20"/>
  <c r="E24" i="20"/>
  <c r="H51" i="20"/>
  <c r="C264" i="38"/>
  <c r="L40" i="39"/>
  <c r="E155" i="38" s="1"/>
  <c r="I476" i="58"/>
  <c r="E375" i="38" s="1"/>
  <c r="G220" i="66"/>
  <c r="I118" i="41"/>
  <c r="A36" i="53"/>
  <c r="D30" i="53"/>
  <c r="E30" i="53"/>
  <c r="C10" i="63"/>
  <c r="H459" i="41"/>
  <c r="P7" i="18"/>
  <c r="Y5" i="20"/>
  <c r="D49" i="26"/>
  <c r="I185" i="35"/>
  <c r="C348" i="38"/>
  <c r="H458" i="41"/>
  <c r="G18" i="66"/>
  <c r="Y8" i="20"/>
  <c r="P16" i="18"/>
  <c r="D22" i="53"/>
  <c r="C333" i="38"/>
  <c r="G9" i="66"/>
  <c r="C44" i="39"/>
  <c r="E93" i="38" s="1"/>
  <c r="I179" i="35"/>
  <c r="I181" i="35"/>
  <c r="I180" i="35"/>
  <c r="I182" i="35"/>
  <c r="E26" i="20"/>
  <c r="H26" i="20"/>
  <c r="H53" i="20"/>
  <c r="G11" i="66"/>
  <c r="I385" i="18" l="1"/>
  <c r="I348" i="18"/>
  <c r="H392" i="18"/>
  <c r="I381" i="18"/>
  <c r="H346" i="18"/>
  <c r="I391" i="18"/>
  <c r="H347" i="18"/>
  <c r="H383" i="18"/>
  <c r="I422" i="18"/>
  <c r="F422" i="18" s="1"/>
  <c r="K10" i="9"/>
  <c r="I102" i="41"/>
  <c r="I338" i="18"/>
  <c r="J338" i="18" s="1"/>
  <c r="I387" i="18"/>
  <c r="F387" i="18" s="1"/>
  <c r="H342" i="18"/>
  <c r="J342" i="18" s="1"/>
  <c r="I388" i="18"/>
  <c r="J388" i="18" s="1"/>
  <c r="H432" i="18"/>
  <c r="H384" i="18"/>
  <c r="J384" i="18" s="1"/>
  <c r="I103" i="41"/>
  <c r="H344" i="18"/>
  <c r="J344" i="18" s="1"/>
  <c r="H386" i="18"/>
  <c r="J386" i="18" s="1"/>
  <c r="H425" i="18"/>
  <c r="J425" i="18" s="1"/>
  <c r="C40" i="63"/>
  <c r="H390" i="18"/>
  <c r="H340" i="18"/>
  <c r="H350" i="18"/>
  <c r="J350" i="18" s="1"/>
  <c r="I122" i="41"/>
  <c r="H341" i="18"/>
  <c r="I343" i="18"/>
  <c r="J343" i="18" s="1"/>
  <c r="V7" i="9"/>
  <c r="I107" i="41"/>
  <c r="I121" i="41"/>
  <c r="I120" i="41"/>
  <c r="I105" i="41"/>
  <c r="I104" i="41"/>
  <c r="M114" i="58"/>
  <c r="I111" i="41"/>
  <c r="I123" i="41"/>
  <c r="I115" i="41"/>
  <c r="J122" i="37"/>
  <c r="J123" i="37"/>
  <c r="J119" i="37"/>
  <c r="J121" i="37"/>
  <c r="J120" i="37"/>
  <c r="J117" i="37"/>
  <c r="J124" i="37"/>
  <c r="J118" i="37"/>
  <c r="J111" i="37"/>
  <c r="J112" i="37"/>
  <c r="J116" i="37"/>
  <c r="J113" i="37"/>
  <c r="J109" i="37"/>
  <c r="J114" i="37"/>
  <c r="J115" i="37"/>
  <c r="J110" i="37"/>
  <c r="J123" i="58"/>
  <c r="J119" i="58"/>
  <c r="J117" i="58"/>
  <c r="J120" i="58"/>
  <c r="J122" i="58"/>
  <c r="J121" i="58"/>
  <c r="J124" i="58"/>
  <c r="J118" i="58"/>
  <c r="H389" i="18"/>
  <c r="J389" i="18" s="1"/>
  <c r="I124" i="41"/>
  <c r="I436" i="58"/>
  <c r="I437" i="58"/>
  <c r="I435" i="58"/>
  <c r="I434" i="58"/>
  <c r="G225" i="66" s="1"/>
  <c r="I116" i="41"/>
  <c r="I380" i="18"/>
  <c r="F380" i="18" s="1"/>
  <c r="I114" i="41"/>
  <c r="I429" i="58"/>
  <c r="G221" i="66" s="1"/>
  <c r="G230" i="66"/>
  <c r="I428" i="58"/>
  <c r="I427" i="58"/>
  <c r="G237" i="66" s="1"/>
  <c r="I426" i="58"/>
  <c r="G223" i="66" s="1"/>
  <c r="I427" i="37"/>
  <c r="D42" i="39" s="1"/>
  <c r="E106" i="38" s="1"/>
  <c r="I428" i="37"/>
  <c r="I429" i="37"/>
  <c r="G86" i="66"/>
  <c r="I112" i="41"/>
  <c r="I426" i="37"/>
  <c r="E52" i="20"/>
  <c r="P27" i="18" s="1"/>
  <c r="P36" i="18"/>
  <c r="I117" i="41"/>
  <c r="I113" i="41"/>
  <c r="P18" i="18"/>
  <c r="Z7" i="20"/>
  <c r="P9" i="18"/>
  <c r="I434" i="37"/>
  <c r="I436" i="37"/>
  <c r="I435" i="37"/>
  <c r="I437" i="37"/>
  <c r="I109" i="41"/>
  <c r="J113" i="58"/>
  <c r="J116" i="58"/>
  <c r="J114" i="58"/>
  <c r="J109" i="58"/>
  <c r="J115" i="58"/>
  <c r="J112" i="58"/>
  <c r="J111" i="58"/>
  <c r="J110" i="58"/>
  <c r="I119" i="41"/>
  <c r="I106" i="41"/>
  <c r="G222" i="18" a="1"/>
  <c r="G222" i="18" s="1"/>
  <c r="H222" i="18" s="1"/>
  <c r="H476" i="18"/>
  <c r="J476" i="18" s="1"/>
  <c r="I382" i="18"/>
  <c r="H382" i="18"/>
  <c r="D133" i="72" a="1"/>
  <c r="D133" i="72" s="1"/>
  <c r="D134" i="72" s="1" a="1"/>
  <c r="D134" i="72" s="1"/>
  <c r="D135" i="72" s="1" a="1"/>
  <c r="D135" i="72" s="1"/>
  <c r="E249" i="38"/>
  <c r="I441" i="58" s="1"/>
  <c r="I132" i="41"/>
  <c r="F30" i="53"/>
  <c r="I131" i="41"/>
  <c r="I130" i="41"/>
  <c r="I129" i="41"/>
  <c r="G196" i="66"/>
  <c r="I136" i="41"/>
  <c r="I134" i="41"/>
  <c r="H441" i="58"/>
  <c r="D23" i="53"/>
  <c r="J95" i="37"/>
  <c r="J97" i="37"/>
  <c r="J99" i="37"/>
  <c r="J98" i="37"/>
  <c r="J100" i="37"/>
  <c r="J96" i="37"/>
  <c r="J101" i="37"/>
  <c r="H451" i="37"/>
  <c r="H59" i="37"/>
  <c r="H454" i="58"/>
  <c r="D24" i="53"/>
  <c r="F24" i="53" s="1"/>
  <c r="I439" i="58"/>
  <c r="I438" i="58"/>
  <c r="G205" i="66" s="1"/>
  <c r="F388" i="18"/>
  <c r="J6" i="9"/>
  <c r="E3" i="22"/>
  <c r="M26" i="9" a="1"/>
  <c r="M26" i="9" s="1"/>
  <c r="P26" i="9" a="1"/>
  <c r="P26" i="9" s="1"/>
  <c r="L8" i="20"/>
  <c r="J30" i="9"/>
  <c r="C8" i="20"/>
  <c r="L14" i="20"/>
  <c r="C13" i="20"/>
  <c r="C14" i="20"/>
  <c r="C12" i="20"/>
  <c r="C9" i="20"/>
  <c r="L18" i="20"/>
  <c r="L12" i="20"/>
  <c r="L9" i="20"/>
  <c r="C18" i="20"/>
  <c r="C15" i="20"/>
  <c r="C17" i="20"/>
  <c r="L6" i="20"/>
  <c r="L15" i="20"/>
  <c r="C19" i="20"/>
  <c r="L17" i="20"/>
  <c r="C6" i="20"/>
  <c r="L19" i="20"/>
  <c r="C16" i="20"/>
  <c r="C11" i="20"/>
  <c r="L10" i="20"/>
  <c r="L16" i="20"/>
  <c r="L11" i="20"/>
  <c r="C10" i="20"/>
  <c r="C7" i="20"/>
  <c r="L7" i="20"/>
  <c r="L13" i="20"/>
  <c r="I138" i="41"/>
  <c r="I468" i="18"/>
  <c r="H468" i="18"/>
  <c r="I431" i="18"/>
  <c r="H431" i="18"/>
  <c r="G257" i="18" a="1"/>
  <c r="G257" i="18" s="1"/>
  <c r="G262" i="18" a="1"/>
  <c r="G262" i="18" s="1"/>
  <c r="G260" i="18" a="1"/>
  <c r="G260" i="18" s="1"/>
  <c r="G265" i="18" a="1"/>
  <c r="G265" i="18" s="1"/>
  <c r="G87" i="35" a="1"/>
  <c r="G87" i="35" s="1"/>
  <c r="G94" i="35" a="1"/>
  <c r="G94" i="35" s="1"/>
  <c r="G255" i="18" a="1"/>
  <c r="G255" i="18" s="1"/>
  <c r="G100" i="35" a="1"/>
  <c r="G100" i="35" s="1"/>
  <c r="G90" i="35" a="1"/>
  <c r="G90" i="35" s="1"/>
  <c r="G264" i="18" a="1"/>
  <c r="G264" i="18" s="1"/>
  <c r="G88" i="35" a="1"/>
  <c r="G88" i="35" s="1"/>
  <c r="G254" i="18" a="1"/>
  <c r="G254" i="18" s="1"/>
  <c r="G99" i="35" a="1"/>
  <c r="G99" i="35" s="1"/>
  <c r="G261" i="18" a="1"/>
  <c r="G261" i="18" s="1"/>
  <c r="G256" i="18" a="1"/>
  <c r="G256" i="18" s="1"/>
  <c r="G92" i="35" a="1"/>
  <c r="G92" i="35" s="1"/>
  <c r="G263" i="18" a="1"/>
  <c r="G263" i="18" s="1"/>
  <c r="G96" i="35" a="1"/>
  <c r="G96" i="35" s="1"/>
  <c r="G266" i="18" a="1"/>
  <c r="G266" i="18" s="1"/>
  <c r="G91" i="35" a="1"/>
  <c r="G91" i="35" s="1"/>
  <c r="G93" i="35" a="1"/>
  <c r="G93" i="35" s="1"/>
  <c r="G89" i="35" a="1"/>
  <c r="G89" i="35" s="1"/>
  <c r="G95" i="35" a="1"/>
  <c r="G95" i="35" s="1"/>
  <c r="G98" i="35" a="1"/>
  <c r="G98" i="35" s="1"/>
  <c r="G259" i="18" a="1"/>
  <c r="G259" i="18" s="1"/>
  <c r="G258" i="18" a="1"/>
  <c r="G258" i="18" s="1"/>
  <c r="C47" i="20"/>
  <c r="G97" i="35" a="1"/>
  <c r="G97" i="35" s="1"/>
  <c r="G267" i="18" a="1"/>
  <c r="G267" i="18" s="1"/>
  <c r="E78" i="22"/>
  <c r="P40" i="9"/>
  <c r="J347" i="18"/>
  <c r="F347" i="18"/>
  <c r="H63" i="37"/>
  <c r="E258" i="38"/>
  <c r="E252" i="38"/>
  <c r="E256" i="38"/>
  <c r="E250" i="38"/>
  <c r="E254" i="38"/>
  <c r="E262" i="38"/>
  <c r="E248" i="38"/>
  <c r="E261" i="38"/>
  <c r="E257" i="38"/>
  <c r="E253" i="38"/>
  <c r="E255" i="38"/>
  <c r="E251" i="38"/>
  <c r="H430" i="18"/>
  <c r="I430" i="18"/>
  <c r="H51" i="37"/>
  <c r="D99" i="72" a="1"/>
  <c r="D99" i="72" s="1"/>
  <c r="H75" i="37"/>
  <c r="J135" i="58"/>
  <c r="J140" i="58"/>
  <c r="J137" i="58"/>
  <c r="J138" i="58"/>
  <c r="J136" i="58"/>
  <c r="J139" i="58"/>
  <c r="J134" i="58"/>
  <c r="J133" i="58"/>
  <c r="J108" i="58"/>
  <c r="J105" i="58"/>
  <c r="J106" i="58"/>
  <c r="J102" i="58"/>
  <c r="J104" i="58"/>
  <c r="J103" i="58"/>
  <c r="J107" i="58"/>
  <c r="F393" i="18"/>
  <c r="J393" i="18"/>
  <c r="H453" i="37"/>
  <c r="E89" i="38"/>
  <c r="J392" i="18"/>
  <c r="F392" i="18"/>
  <c r="H443" i="37"/>
  <c r="G224" i="18" a="1"/>
  <c r="G224" i="18" s="1"/>
  <c r="U7" i="9"/>
  <c r="I469" i="18"/>
  <c r="H469" i="18"/>
  <c r="A37" i="53"/>
  <c r="H451" i="58"/>
  <c r="J13" i="37"/>
  <c r="J11" i="37"/>
  <c r="J14" i="37"/>
  <c r="J12" i="37"/>
  <c r="J129" i="58"/>
  <c r="J131" i="58"/>
  <c r="J132" i="58"/>
  <c r="J130" i="58"/>
  <c r="J125" i="58"/>
  <c r="J126" i="58"/>
  <c r="J128" i="58"/>
  <c r="J127" i="58"/>
  <c r="D35" i="53"/>
  <c r="D10" i="53"/>
  <c r="J99" i="58"/>
  <c r="J100" i="58"/>
  <c r="J96" i="58"/>
  <c r="J98" i="58"/>
  <c r="J97" i="58"/>
  <c r="J101" i="58"/>
  <c r="J95" i="58"/>
  <c r="H43" i="37"/>
  <c r="I465" i="18"/>
  <c r="H465" i="18"/>
  <c r="H445" i="37"/>
  <c r="H444" i="58"/>
  <c r="H39" i="37"/>
  <c r="F386" i="18"/>
  <c r="I140" i="41"/>
  <c r="L10" i="9"/>
  <c r="H71" i="37"/>
  <c r="G94" i="66"/>
  <c r="I475" i="37"/>
  <c r="I96" i="41"/>
  <c r="D39" i="39"/>
  <c r="H14" i="41"/>
  <c r="I470" i="18"/>
  <c r="H470" i="18"/>
  <c r="H448" i="37"/>
  <c r="E140" i="38"/>
  <c r="H448" i="58"/>
  <c r="H441" i="37"/>
  <c r="F389" i="18"/>
  <c r="I472" i="18"/>
  <c r="H472" i="18"/>
  <c r="H19" i="37"/>
  <c r="E35" i="22"/>
  <c r="P8" i="9"/>
  <c r="H13" i="41"/>
  <c r="I475" i="18"/>
  <c r="H475" i="18"/>
  <c r="I95" i="41"/>
  <c r="I433" i="37"/>
  <c r="I430" i="37"/>
  <c r="I431" i="37"/>
  <c r="I432" i="37"/>
  <c r="J127" i="37"/>
  <c r="J130" i="37"/>
  <c r="J126" i="37"/>
  <c r="J129" i="37"/>
  <c r="J132" i="37"/>
  <c r="J128" i="37"/>
  <c r="J125" i="37"/>
  <c r="J131" i="37"/>
  <c r="D21" i="53"/>
  <c r="D11" i="53"/>
  <c r="H443" i="58"/>
  <c r="I127" i="41"/>
  <c r="J349" i="18"/>
  <c r="F349" i="18"/>
  <c r="I477" i="18"/>
  <c r="H477" i="18"/>
  <c r="G133" i="18" a="1"/>
  <c r="G133" i="18" s="1"/>
  <c r="H91" i="37"/>
  <c r="F344" i="18"/>
  <c r="E63" i="22"/>
  <c r="M40" i="9"/>
  <c r="F384" i="18"/>
  <c r="E20" i="22"/>
  <c r="M8" i="9"/>
  <c r="H467" i="41"/>
  <c r="I471" i="18"/>
  <c r="H471" i="18"/>
  <c r="C13" i="63"/>
  <c r="I101" i="41"/>
  <c r="F476" i="18"/>
  <c r="J134" i="37"/>
  <c r="J133" i="37"/>
  <c r="J135" i="37"/>
  <c r="J136" i="37"/>
  <c r="J139" i="37"/>
  <c r="J138" i="37"/>
  <c r="J137" i="37"/>
  <c r="J140" i="37"/>
  <c r="H453" i="58"/>
  <c r="J383" i="18"/>
  <c r="F383" i="18"/>
  <c r="I477" i="37"/>
  <c r="G60" i="66"/>
  <c r="I126" i="41"/>
  <c r="D41" i="39"/>
  <c r="E105" i="38" s="1"/>
  <c r="I433" i="18"/>
  <c r="H433" i="18"/>
  <c r="H67" i="37"/>
  <c r="D160" i="72" a="1"/>
  <c r="D160" i="72" s="1"/>
  <c r="U5" i="9"/>
  <c r="F390" i="18"/>
  <c r="J390" i="18"/>
  <c r="U9" i="9"/>
  <c r="H447" i="58"/>
  <c r="H450" i="37"/>
  <c r="I99" i="41"/>
  <c r="E216" i="38"/>
  <c r="E207" i="38"/>
  <c r="E212" i="38"/>
  <c r="E213" i="38"/>
  <c r="E209" i="38"/>
  <c r="E206" i="38"/>
  <c r="E210" i="38"/>
  <c r="E211" i="38"/>
  <c r="E208" i="38"/>
  <c r="E203" i="38"/>
  <c r="E205" i="38"/>
  <c r="E204" i="38"/>
  <c r="E217" i="38"/>
  <c r="D33" i="53"/>
  <c r="F425" i="18"/>
  <c r="H83" i="37"/>
  <c r="H23" i="37"/>
  <c r="G93" i="18" a="1"/>
  <c r="G93" i="18" s="1"/>
  <c r="G86" i="18" a="1"/>
  <c r="G86" i="18" s="1"/>
  <c r="G96" i="18" a="1"/>
  <c r="G96" i="18" s="1"/>
  <c r="G88" i="18" a="1"/>
  <c r="G88" i="18" s="1"/>
  <c r="G98" i="18" a="1"/>
  <c r="G98" i="18" s="1"/>
  <c r="G94" i="18" a="1"/>
  <c r="G94" i="18" s="1"/>
  <c r="G87" i="18" a="1"/>
  <c r="G87" i="18" s="1"/>
  <c r="G99" i="18" a="1"/>
  <c r="G99" i="18" s="1"/>
  <c r="G19" i="35" a="1"/>
  <c r="G19" i="35" s="1"/>
  <c r="D20" i="20"/>
  <c r="G22" i="35" a="1"/>
  <c r="G22" i="35" s="1"/>
  <c r="G27" i="35" a="1"/>
  <c r="G27" i="35" s="1"/>
  <c r="G25" i="35" a="1"/>
  <c r="G25" i="35" s="1"/>
  <c r="G24" i="35" a="1"/>
  <c r="G24" i="35" s="1"/>
  <c r="G28" i="35" a="1"/>
  <c r="G28" i="35" s="1"/>
  <c r="G21" i="35" a="1"/>
  <c r="G21" i="35" s="1"/>
  <c r="G89" i="18" a="1"/>
  <c r="G89" i="18" s="1"/>
  <c r="G18" i="35" a="1"/>
  <c r="G18" i="35" s="1"/>
  <c r="G97" i="18" a="1"/>
  <c r="G97" i="18" s="1"/>
  <c r="G90" i="18" a="1"/>
  <c r="G90" i="18" s="1"/>
  <c r="G29" i="35" a="1"/>
  <c r="G29" i="35" s="1"/>
  <c r="G26" i="35" a="1"/>
  <c r="G26" i="35" s="1"/>
  <c r="G23" i="35" a="1"/>
  <c r="G23" i="35" s="1"/>
  <c r="G92" i="18" a="1"/>
  <c r="G92" i="18" s="1"/>
  <c r="G20" i="35" a="1"/>
  <c r="G20" i="35" s="1"/>
  <c r="G91" i="18" a="1"/>
  <c r="G91" i="18" s="1"/>
  <c r="G17" i="35" a="1"/>
  <c r="G17" i="35" s="1"/>
  <c r="G30" i="35" a="1"/>
  <c r="G30" i="35" s="1"/>
  <c r="H27" i="37"/>
  <c r="G306" i="18" a="1"/>
  <c r="G306" i="18" s="1"/>
  <c r="G299" i="18" a="1"/>
  <c r="G299" i="18" s="1"/>
  <c r="G307" i="18" a="1"/>
  <c r="G307" i="18" s="1"/>
  <c r="G130" i="35" a="1"/>
  <c r="G130" i="35" s="1"/>
  <c r="G140" i="35" a="1"/>
  <c r="G140" i="35" s="1"/>
  <c r="G298" i="18" a="1"/>
  <c r="G298" i="18" s="1"/>
  <c r="G136" i="35" a="1"/>
  <c r="G136" i="35" s="1"/>
  <c r="G303" i="18" a="1"/>
  <c r="G303" i="18" s="1"/>
  <c r="G132" i="35" a="1"/>
  <c r="G132" i="35" s="1"/>
  <c r="L47" i="20"/>
  <c r="G142" i="35" a="1"/>
  <c r="G142" i="35" s="1"/>
  <c r="G296" i="18" a="1"/>
  <c r="G296" i="18" s="1"/>
  <c r="G139" i="35" a="1"/>
  <c r="G139" i="35" s="1"/>
  <c r="G138" i="35" a="1"/>
  <c r="G138" i="35" s="1"/>
  <c r="G297" i="18" a="1"/>
  <c r="G297" i="18" s="1"/>
  <c r="G300" i="18" a="1"/>
  <c r="G300" i="18" s="1"/>
  <c r="G308" i="18" a="1"/>
  <c r="G308" i="18" s="1"/>
  <c r="G131" i="35" a="1"/>
  <c r="G131" i="35" s="1"/>
  <c r="G129" i="35" a="1"/>
  <c r="G129" i="35" s="1"/>
  <c r="G309" i="18" a="1"/>
  <c r="G309" i="18" s="1"/>
  <c r="G305" i="18" a="1"/>
  <c r="G305" i="18" s="1"/>
  <c r="G133" i="35" a="1"/>
  <c r="G133" i="35" s="1"/>
  <c r="G135" i="35" a="1"/>
  <c r="G135" i="35" s="1"/>
  <c r="G137" i="35" a="1"/>
  <c r="G137" i="35" s="1"/>
  <c r="G301" i="18" a="1"/>
  <c r="G301" i="18" s="1"/>
  <c r="G134" i="35" a="1"/>
  <c r="G134" i="35" s="1"/>
  <c r="G141" i="35" a="1"/>
  <c r="G141" i="35" s="1"/>
  <c r="G302" i="18" a="1"/>
  <c r="G302" i="18" s="1"/>
  <c r="G304" i="18" a="1"/>
  <c r="G304" i="18" s="1"/>
  <c r="G219" i="18" a="1"/>
  <c r="G219" i="18" s="1"/>
  <c r="G221" i="18" a="1"/>
  <c r="G221" i="18" s="1"/>
  <c r="G223" i="18" a="1"/>
  <c r="G223" i="18" s="1"/>
  <c r="N20" i="20"/>
  <c r="G84" i="35" a="1"/>
  <c r="G84" i="35" s="1"/>
  <c r="G75" i="35" a="1"/>
  <c r="G75" i="35" s="1"/>
  <c r="G77" i="35" a="1"/>
  <c r="G77" i="35" s="1"/>
  <c r="G220" i="18" a="1"/>
  <c r="G220" i="18" s="1"/>
  <c r="G225" i="18" a="1"/>
  <c r="G225" i="18" s="1"/>
  <c r="G80" i="35" a="1"/>
  <c r="G80" i="35" s="1"/>
  <c r="G85" i="35" a="1"/>
  <c r="G85" i="35" s="1"/>
  <c r="G218" i="18" a="1"/>
  <c r="G218" i="18" s="1"/>
  <c r="G76" i="35" a="1"/>
  <c r="G76" i="35" s="1"/>
  <c r="G81" i="35" a="1"/>
  <c r="G81" i="35" s="1"/>
  <c r="G79" i="35" a="1"/>
  <c r="G79" i="35" s="1"/>
  <c r="G213" i="18" a="1"/>
  <c r="G213" i="18" s="1"/>
  <c r="G86" i="35" a="1"/>
  <c r="G86" i="35" s="1"/>
  <c r="G82" i="35" a="1"/>
  <c r="G82" i="35" s="1"/>
  <c r="G215" i="18" a="1"/>
  <c r="G215" i="18" s="1"/>
  <c r="G78" i="35" a="1"/>
  <c r="G78" i="35" s="1"/>
  <c r="G214" i="18" a="1"/>
  <c r="G214" i="18" s="1"/>
  <c r="G217" i="18" a="1"/>
  <c r="G217" i="18" s="1"/>
  <c r="G74" i="35" a="1"/>
  <c r="G74" i="35" s="1"/>
  <c r="G212" i="18" a="1"/>
  <c r="G212" i="18" s="1"/>
  <c r="G83" i="35" a="1"/>
  <c r="G83" i="35" s="1"/>
  <c r="G216" i="18" a="1"/>
  <c r="G216" i="18" s="1"/>
  <c r="G73" i="35" a="1"/>
  <c r="G73" i="35" s="1"/>
  <c r="D67" i="72" a="1"/>
  <c r="D67" i="72" s="1"/>
  <c r="H440" i="37"/>
  <c r="H446" i="58"/>
  <c r="I435" i="18"/>
  <c r="H435" i="18"/>
  <c r="D5" i="72" a="1"/>
  <c r="D5" i="72" s="1"/>
  <c r="H87" i="37"/>
  <c r="I98" i="41"/>
  <c r="H452" i="37"/>
  <c r="J432" i="18"/>
  <c r="F432" i="18"/>
  <c r="I466" i="18"/>
  <c r="H466" i="18"/>
  <c r="I477" i="58"/>
  <c r="E376" i="38" s="1"/>
  <c r="G204" i="66"/>
  <c r="L41" i="39"/>
  <c r="E156" i="38" s="1"/>
  <c r="D221" i="72" a="1"/>
  <c r="D221" i="72" s="1"/>
  <c r="D222" i="72" s="1" a="1"/>
  <c r="D222" i="72" s="1"/>
  <c r="I135" i="41"/>
  <c r="V9" i="9"/>
  <c r="H35" i="37"/>
  <c r="I464" i="18"/>
  <c r="H464" i="18"/>
  <c r="C43" i="63"/>
  <c r="H449" i="58"/>
  <c r="D192" i="72" a="1"/>
  <c r="D192" i="72" s="1"/>
  <c r="D193" i="72" s="1" a="1"/>
  <c r="D193" i="72" s="1"/>
  <c r="I428" i="18"/>
  <c r="H428" i="18"/>
  <c r="F350" i="18"/>
  <c r="I100" i="41"/>
  <c r="E389" i="38"/>
  <c r="I439" i="37"/>
  <c r="I438" i="37"/>
  <c r="I125" i="41"/>
  <c r="I137" i="41"/>
  <c r="H440" i="58"/>
  <c r="F385" i="18"/>
  <c r="J385" i="18"/>
  <c r="F345" i="18"/>
  <c r="J345" i="18"/>
  <c r="I478" i="58"/>
  <c r="E377" i="38" s="1"/>
  <c r="G202" i="66"/>
  <c r="L43" i="39"/>
  <c r="E160" i="38" s="1"/>
  <c r="G58" i="66"/>
  <c r="I478" i="37"/>
  <c r="I97" i="41"/>
  <c r="D43" i="39"/>
  <c r="E109" i="38" s="1"/>
  <c r="F467" i="18"/>
  <c r="J467" i="18"/>
  <c r="D13" i="39"/>
  <c r="H79" i="37"/>
  <c r="G52" i="66"/>
  <c r="I128" i="41"/>
  <c r="H424" i="18"/>
  <c r="I424" i="18"/>
  <c r="H454" i="37"/>
  <c r="G95" i="18" a="1"/>
  <c r="G95" i="18" s="1"/>
  <c r="I133" i="41"/>
  <c r="I427" i="18"/>
  <c r="H427" i="18"/>
  <c r="H55" i="37"/>
  <c r="G172" i="18" a="1"/>
  <c r="G172" i="18" s="1"/>
  <c r="I473" i="18"/>
  <c r="H473" i="18"/>
  <c r="F348" i="18"/>
  <c r="J348" i="18"/>
  <c r="H446" i="37"/>
  <c r="F340" i="18"/>
  <c r="J340" i="18"/>
  <c r="I431" i="58"/>
  <c r="I430" i="58"/>
  <c r="G239" i="66" s="1"/>
  <c r="I433" i="58"/>
  <c r="I432" i="58"/>
  <c r="H47" i="37"/>
  <c r="F342" i="18"/>
  <c r="H31" i="37"/>
  <c r="H15" i="37"/>
  <c r="V5" i="9"/>
  <c r="I474" i="18"/>
  <c r="H474" i="18"/>
  <c r="H434" i="18"/>
  <c r="I434" i="18"/>
  <c r="H447" i="37"/>
  <c r="F351" i="18"/>
  <c r="J351" i="18"/>
  <c r="G134" i="18" a="1"/>
  <c r="G134" i="18" s="1"/>
  <c r="G129" i="18" a="1"/>
  <c r="G129" i="18" s="1"/>
  <c r="M20" i="20"/>
  <c r="G141" i="18" a="1"/>
  <c r="G141" i="18" s="1"/>
  <c r="G139" i="18" a="1"/>
  <c r="G139" i="18" s="1"/>
  <c r="G128" i="18" a="1"/>
  <c r="G128" i="18" s="1"/>
  <c r="G131" i="18" a="1"/>
  <c r="G131" i="18" s="1"/>
  <c r="G130" i="18" a="1"/>
  <c r="G130" i="18" s="1"/>
  <c r="G138" i="18" a="1"/>
  <c r="G138" i="18" s="1"/>
  <c r="G140" i="18" a="1"/>
  <c r="G140" i="18" s="1"/>
  <c r="G68" i="35" a="1"/>
  <c r="G68" i="35" s="1"/>
  <c r="G62" i="35" a="1"/>
  <c r="G62" i="35" s="1"/>
  <c r="G64" i="35" a="1"/>
  <c r="G64" i="35" s="1"/>
  <c r="G69" i="35" a="1"/>
  <c r="G69" i="35" s="1"/>
  <c r="G67" i="35" a="1"/>
  <c r="G67" i="35" s="1"/>
  <c r="G136" i="18" a="1"/>
  <c r="G136" i="18" s="1"/>
  <c r="G59" i="35" a="1"/>
  <c r="G59" i="35" s="1"/>
  <c r="G71" i="35" a="1"/>
  <c r="G71" i="35" s="1"/>
  <c r="G61" i="35" a="1"/>
  <c r="G61" i="35" s="1"/>
  <c r="G70" i="35" a="1"/>
  <c r="G70" i="35" s="1"/>
  <c r="G60" i="35" a="1"/>
  <c r="G60" i="35" s="1"/>
  <c r="G66" i="35" a="1"/>
  <c r="G66" i="35" s="1"/>
  <c r="G72" i="35" a="1"/>
  <c r="G72" i="35" s="1"/>
  <c r="G137" i="18" a="1"/>
  <c r="G137" i="18" s="1"/>
  <c r="G132" i="18" a="1"/>
  <c r="G132" i="18" s="1"/>
  <c r="G63" i="35" a="1"/>
  <c r="G63" i="35" s="1"/>
  <c r="G65" i="35" a="1"/>
  <c r="G65" i="35" s="1"/>
  <c r="G135" i="18" a="1"/>
  <c r="G135" i="18" s="1"/>
  <c r="I139" i="41"/>
  <c r="H426" i="18"/>
  <c r="I426" i="18"/>
  <c r="F381" i="18"/>
  <c r="J381" i="18"/>
  <c r="H452" i="58"/>
  <c r="I11" i="58"/>
  <c r="I11" i="41" s="1"/>
  <c r="I13" i="58"/>
  <c r="I12" i="58"/>
  <c r="I12" i="41" s="1"/>
  <c r="I14" i="58"/>
  <c r="I14" i="41" s="1"/>
  <c r="I475" i="58"/>
  <c r="E374" i="38" s="1"/>
  <c r="G238" i="66"/>
  <c r="L39" i="39"/>
  <c r="I108" i="41"/>
  <c r="J102" i="37"/>
  <c r="J108" i="37"/>
  <c r="J103" i="37"/>
  <c r="J104" i="37"/>
  <c r="J107" i="37"/>
  <c r="J106" i="37"/>
  <c r="J105" i="37"/>
  <c r="H442" i="37"/>
  <c r="H449" i="37"/>
  <c r="F339" i="18"/>
  <c r="J339" i="18"/>
  <c r="D12" i="53"/>
  <c r="F12" i="53" s="1"/>
  <c r="F391" i="18"/>
  <c r="J391" i="18"/>
  <c r="I429" i="18"/>
  <c r="H429" i="18"/>
  <c r="H444" i="37"/>
  <c r="J346" i="18"/>
  <c r="F346" i="18"/>
  <c r="G183" i="18" a="1"/>
  <c r="G183" i="18" s="1"/>
  <c r="G182" i="18" a="1"/>
  <c r="G182" i="18" s="1"/>
  <c r="G181" i="18" a="1"/>
  <c r="G181" i="18" s="1"/>
  <c r="G40" i="35" a="1"/>
  <c r="G40" i="35" s="1"/>
  <c r="G170" i="18" a="1"/>
  <c r="G170" i="18" s="1"/>
  <c r="G179" i="18" a="1"/>
  <c r="G179" i="18" s="1"/>
  <c r="G35" i="35" a="1"/>
  <c r="G35" i="35" s="1"/>
  <c r="G176" i="18" a="1"/>
  <c r="G176" i="18" s="1"/>
  <c r="G43" i="35" a="1"/>
  <c r="G43" i="35" s="1"/>
  <c r="E20" i="20"/>
  <c r="G39" i="35" a="1"/>
  <c r="G39" i="35" s="1"/>
  <c r="G174" i="18" a="1"/>
  <c r="G174" i="18" s="1"/>
  <c r="G180" i="18" a="1"/>
  <c r="G180" i="18" s="1"/>
  <c r="G171" i="18" a="1"/>
  <c r="G171" i="18" s="1"/>
  <c r="G41" i="35" a="1"/>
  <c r="G41" i="35" s="1"/>
  <c r="G36" i="35" a="1"/>
  <c r="G36" i="35" s="1"/>
  <c r="G33" i="35" a="1"/>
  <c r="G33" i="35" s="1"/>
  <c r="G42" i="35" a="1"/>
  <c r="G42" i="35" s="1"/>
  <c r="G37" i="35" a="1"/>
  <c r="G37" i="35" s="1"/>
  <c r="G173" i="18" a="1"/>
  <c r="G173" i="18" s="1"/>
  <c r="G178" i="18" a="1"/>
  <c r="G178" i="18" s="1"/>
  <c r="G32" i="35" a="1"/>
  <c r="G32" i="35" s="1"/>
  <c r="G38" i="35" a="1"/>
  <c r="G38" i="35" s="1"/>
  <c r="G44" i="35" a="1"/>
  <c r="G44" i="35" s="1"/>
  <c r="G175" i="18" a="1"/>
  <c r="G175" i="18" s="1"/>
  <c r="G34" i="35" a="1"/>
  <c r="G34" i="35" s="1"/>
  <c r="G31" i="35" a="1"/>
  <c r="G31" i="35" s="1"/>
  <c r="G177" i="18" a="1"/>
  <c r="G177" i="18" s="1"/>
  <c r="H450" i="58"/>
  <c r="G49" i="26"/>
  <c r="J49" i="26" s="1"/>
  <c r="I206" i="35"/>
  <c r="J341" i="18"/>
  <c r="F341" i="18"/>
  <c r="I423" i="18"/>
  <c r="H423" i="18"/>
  <c r="H442" i="58"/>
  <c r="H445" i="58"/>
  <c r="D36" i="72" a="1"/>
  <c r="D36" i="72" s="1"/>
  <c r="D37" i="72" s="1" a="1"/>
  <c r="D37" i="72" s="1"/>
  <c r="D283" i="72" a="1"/>
  <c r="D283" i="72" s="1"/>
  <c r="I476" i="41"/>
  <c r="E357" i="38"/>
  <c r="P8" i="18"/>
  <c r="I461" i="37"/>
  <c r="I460" i="37"/>
  <c r="I451" i="41"/>
  <c r="P17" i="18"/>
  <c r="Z6" i="20"/>
  <c r="P35" i="18"/>
  <c r="E51" i="20"/>
  <c r="P26" i="18" s="1"/>
  <c r="H471" i="37"/>
  <c r="E36" i="53"/>
  <c r="D36" i="53"/>
  <c r="C345" i="38"/>
  <c r="H20" i="66" s="1"/>
  <c r="D34" i="53"/>
  <c r="I461" i="58"/>
  <c r="I460" i="58"/>
  <c r="P37" i="18"/>
  <c r="E53" i="20"/>
  <c r="P28" i="18" s="1"/>
  <c r="P19" i="18"/>
  <c r="Z8" i="20"/>
  <c r="I452" i="41"/>
  <c r="D9" i="53"/>
  <c r="P10" i="18"/>
  <c r="G76" i="74"/>
  <c r="D259" i="72" a="1"/>
  <c r="D259" i="72" s="1"/>
  <c r="D260" i="72" s="1" a="1"/>
  <c r="D260" i="72" s="1"/>
  <c r="J422" i="18" l="1"/>
  <c r="F338" i="18"/>
  <c r="J387" i="18"/>
  <c r="F343" i="18"/>
  <c r="M4" i="66"/>
  <c r="J103" i="41"/>
  <c r="D20" i="34"/>
  <c r="D12" i="39"/>
  <c r="L31" i="66"/>
  <c r="J111" i="41"/>
  <c r="J380" i="18"/>
  <c r="J130" i="41"/>
  <c r="M115" i="66"/>
  <c r="J133" i="41"/>
  <c r="M56" i="66"/>
  <c r="M197" i="66"/>
  <c r="K99" i="66"/>
  <c r="X99" i="66" s="1"/>
  <c r="K37" i="66"/>
  <c r="X37" i="66" s="1"/>
  <c r="N256" i="66"/>
  <c r="H225" i="66"/>
  <c r="L42" i="39"/>
  <c r="E157" i="38" s="1"/>
  <c r="K237" i="66" s="1"/>
  <c r="J138" i="41"/>
  <c r="J139" i="41"/>
  <c r="J115" i="41"/>
  <c r="G236" i="66"/>
  <c r="I436" i="41"/>
  <c r="I435" i="41"/>
  <c r="G52" i="74"/>
  <c r="H453" i="41"/>
  <c r="M230" i="66"/>
  <c r="N133" i="66"/>
  <c r="H23" i="66"/>
  <c r="K114" i="66"/>
  <c r="X114" i="66" s="1"/>
  <c r="N161" i="66"/>
  <c r="N110" i="66"/>
  <c r="M76" i="66"/>
  <c r="I461" i="41"/>
  <c r="H447" i="41"/>
  <c r="J137" i="41"/>
  <c r="H451" i="41"/>
  <c r="J123" i="41"/>
  <c r="J106" i="41"/>
  <c r="G235" i="66"/>
  <c r="I437" i="41"/>
  <c r="J120" i="41"/>
  <c r="J119" i="41"/>
  <c r="J113" i="41"/>
  <c r="K176" i="66"/>
  <c r="T176" i="66" s="1"/>
  <c r="J122" i="41"/>
  <c r="J428" i="37"/>
  <c r="J427" i="37"/>
  <c r="J112" i="41"/>
  <c r="J429" i="37"/>
  <c r="J426" i="37"/>
  <c r="G134" i="66"/>
  <c r="I426" i="41"/>
  <c r="G79" i="66"/>
  <c r="G79" i="74" s="1"/>
  <c r="K4" i="66"/>
  <c r="H36" i="53"/>
  <c r="M40" i="39"/>
  <c r="E172" i="38" s="1"/>
  <c r="K268" i="66" s="1"/>
  <c r="J476" i="58"/>
  <c r="E381" i="38" s="1"/>
  <c r="L268" i="66" s="1"/>
  <c r="G268" i="66"/>
  <c r="G86" i="74"/>
  <c r="N5" i="41"/>
  <c r="G81" i="66"/>
  <c r="G81" i="74" s="1"/>
  <c r="I434" i="41"/>
  <c r="I429" i="41"/>
  <c r="G77" i="66"/>
  <c r="G77" i="74" s="1"/>
  <c r="J118" i="41"/>
  <c r="G278" i="66"/>
  <c r="J428" i="58"/>
  <c r="J427" i="58"/>
  <c r="J429" i="58"/>
  <c r="G269" i="66" s="1"/>
  <c r="J426" i="58"/>
  <c r="G271" i="66" s="1"/>
  <c r="Z4" i="20"/>
  <c r="I428" i="41"/>
  <c r="J124" i="41"/>
  <c r="J140" i="41"/>
  <c r="I427" i="41"/>
  <c r="D15" i="39" s="1"/>
  <c r="G93" i="66"/>
  <c r="G93" i="74" s="1"/>
  <c r="J436" i="37"/>
  <c r="J117" i="41"/>
  <c r="I222" i="18"/>
  <c r="J222" i="18" s="1"/>
  <c r="J109" i="41"/>
  <c r="J435" i="58"/>
  <c r="J436" i="58"/>
  <c r="J437" i="58"/>
  <c r="J434" i="58"/>
  <c r="G273" i="66" s="1"/>
  <c r="J114" i="41"/>
  <c r="N114" i="58"/>
  <c r="J110" i="41"/>
  <c r="E40" i="39"/>
  <c r="E121" i="38" s="1"/>
  <c r="K124" i="66" s="1"/>
  <c r="J476" i="37"/>
  <c r="G124" i="66"/>
  <c r="J121" i="41"/>
  <c r="J116" i="41"/>
  <c r="J435" i="37"/>
  <c r="J435" i="41" s="1"/>
  <c r="J434" i="37"/>
  <c r="J437" i="37"/>
  <c r="J132" i="41"/>
  <c r="N6" i="41"/>
  <c r="G244" i="66"/>
  <c r="I439" i="41"/>
  <c r="G215" i="66"/>
  <c r="J136" i="41"/>
  <c r="J134" i="41"/>
  <c r="J129" i="41"/>
  <c r="H25" i="66"/>
  <c r="E264" i="38"/>
  <c r="J441" i="58" s="1"/>
  <c r="F382" i="18"/>
  <c r="J382" i="18"/>
  <c r="J131" i="41"/>
  <c r="K157" i="66"/>
  <c r="T157" i="66" s="1"/>
  <c r="K132" i="66"/>
  <c r="T132" i="66" s="1"/>
  <c r="J107" i="41"/>
  <c r="D16" i="39"/>
  <c r="D194" i="72" a="1"/>
  <c r="D194" i="72" s="1"/>
  <c r="D195" i="72" s="1" a="1"/>
  <c r="D195" i="72" s="1"/>
  <c r="D196" i="72" s="1" a="1"/>
  <c r="D196" i="72" s="1"/>
  <c r="D197" i="72" s="1" a="1"/>
  <c r="D197" i="72" s="1"/>
  <c r="D198" i="72" s="1" a="1"/>
  <c r="D198" i="72" s="1"/>
  <c r="J105" i="41"/>
  <c r="D14" i="39"/>
  <c r="J108" i="41"/>
  <c r="J102" i="41"/>
  <c r="J127" i="41"/>
  <c r="C53" i="63"/>
  <c r="H452" i="41"/>
  <c r="H444" i="41"/>
  <c r="H448" i="41"/>
  <c r="J104" i="41"/>
  <c r="H449" i="41"/>
  <c r="J135" i="41"/>
  <c r="G71" i="66"/>
  <c r="K82" i="66"/>
  <c r="X82" i="66" s="1"/>
  <c r="K34" i="66"/>
  <c r="X34" i="66" s="1"/>
  <c r="M30" i="66"/>
  <c r="H194" i="66"/>
  <c r="M184" i="66"/>
  <c r="M216" i="66"/>
  <c r="H278" i="66"/>
  <c r="K76" i="66"/>
  <c r="X76" i="66" s="1"/>
  <c r="I175" i="18"/>
  <c r="H175" i="18"/>
  <c r="I180" i="18"/>
  <c r="H180" i="18"/>
  <c r="I183" i="18"/>
  <c r="H183" i="18"/>
  <c r="F429" i="18"/>
  <c r="J429" i="18"/>
  <c r="H442" i="41"/>
  <c r="K167" i="66"/>
  <c r="H424" i="37"/>
  <c r="H423" i="37"/>
  <c r="H446" i="41"/>
  <c r="F427" i="18"/>
  <c r="J427" i="18"/>
  <c r="K288" i="66"/>
  <c r="K32" i="66"/>
  <c r="I220" i="18"/>
  <c r="H220" i="18"/>
  <c r="H301" i="18"/>
  <c r="I301" i="18"/>
  <c r="I306" i="18"/>
  <c r="H306" i="18"/>
  <c r="I92" i="18"/>
  <c r="H92" i="18"/>
  <c r="H77" i="66"/>
  <c r="I450" i="37"/>
  <c r="H192" i="66"/>
  <c r="J125" i="41"/>
  <c r="J439" i="37"/>
  <c r="J438" i="37"/>
  <c r="D161" i="72" a="1"/>
  <c r="D161" i="72" s="1"/>
  <c r="J478" i="58"/>
  <c r="E383" i="38" s="1"/>
  <c r="L250" i="66" s="1"/>
  <c r="G250" i="66"/>
  <c r="M43" i="39"/>
  <c r="E177" i="38" s="1"/>
  <c r="J439" i="58"/>
  <c r="J438" i="58"/>
  <c r="G253" i="66" s="1"/>
  <c r="H443" i="41"/>
  <c r="F430" i="18"/>
  <c r="J430" i="18"/>
  <c r="H217" i="66"/>
  <c r="I442" i="58"/>
  <c r="F468" i="18"/>
  <c r="J468" i="18"/>
  <c r="H441" i="41"/>
  <c r="N264" i="66"/>
  <c r="L102" i="66"/>
  <c r="M22" i="66"/>
  <c r="M39" i="66"/>
  <c r="N189" i="66"/>
  <c r="K220" i="66"/>
  <c r="X220" i="66" s="1"/>
  <c r="L262" i="66"/>
  <c r="N79" i="66"/>
  <c r="M265" i="66"/>
  <c r="D284" i="72" a="1"/>
  <c r="D284" i="72" s="1"/>
  <c r="J11" i="58"/>
  <c r="J11" i="41" s="1"/>
  <c r="J12" i="58"/>
  <c r="J12" i="41" s="1"/>
  <c r="J13" i="58"/>
  <c r="J13" i="41" s="1"/>
  <c r="J14" i="58"/>
  <c r="J14" i="41" s="1"/>
  <c r="I174" i="18"/>
  <c r="H174" i="18"/>
  <c r="H129" i="18"/>
  <c r="I129" i="18"/>
  <c r="H18" i="37"/>
  <c r="H34" i="37"/>
  <c r="H174" i="66"/>
  <c r="H492" i="58"/>
  <c r="H490" i="58"/>
  <c r="H491" i="58"/>
  <c r="I215" i="18"/>
  <c r="H215" i="18"/>
  <c r="I296" i="18"/>
  <c r="H296" i="18"/>
  <c r="H26" i="37"/>
  <c r="H11" i="66"/>
  <c r="H65" i="66"/>
  <c r="I449" i="37"/>
  <c r="N4" i="41"/>
  <c r="K154" i="66"/>
  <c r="J128" i="41"/>
  <c r="G100" i="66"/>
  <c r="H224" i="66"/>
  <c r="I448" i="58"/>
  <c r="C55" i="17"/>
  <c r="T6" i="9"/>
  <c r="J10" i="9"/>
  <c r="H62" i="37"/>
  <c r="D38" i="72" a="1"/>
  <c r="D38" i="72" s="1"/>
  <c r="D39" i="72" s="1" a="1"/>
  <c r="D39" i="72" s="1"/>
  <c r="E154" i="38"/>
  <c r="I132" i="18"/>
  <c r="H132" i="18"/>
  <c r="I134" i="18"/>
  <c r="H134" i="18"/>
  <c r="H26" i="66"/>
  <c r="K202" i="66"/>
  <c r="I463" i="58"/>
  <c r="H161" i="66"/>
  <c r="F464" i="18"/>
  <c r="J464" i="18"/>
  <c r="H30" i="37"/>
  <c r="I444" i="37"/>
  <c r="H90" i="66"/>
  <c r="H48" i="66"/>
  <c r="H70" i="37"/>
  <c r="H162" i="66"/>
  <c r="M39" i="39"/>
  <c r="G286" i="66"/>
  <c r="J475" i="58"/>
  <c r="E380" i="38" s="1"/>
  <c r="L286" i="66" s="1"/>
  <c r="I443" i="58"/>
  <c r="H197" i="66"/>
  <c r="I444" i="58"/>
  <c r="H234" i="66"/>
  <c r="I266" i="18"/>
  <c r="H266" i="18"/>
  <c r="I255" i="18"/>
  <c r="H255" i="18"/>
  <c r="H188" i="66"/>
  <c r="Z5" i="20"/>
  <c r="M278" i="66"/>
  <c r="N149" i="66"/>
  <c r="M177" i="66"/>
  <c r="G12" i="53"/>
  <c r="H6" i="53"/>
  <c r="G6" i="53" s="1"/>
  <c r="I137" i="18"/>
  <c r="H137" i="18"/>
  <c r="D223" i="72" a="1"/>
  <c r="D223" i="72" s="1"/>
  <c r="K69" i="66"/>
  <c r="H86" i="37"/>
  <c r="I454" i="37"/>
  <c r="H70" i="66"/>
  <c r="H149" i="66"/>
  <c r="F470" i="18"/>
  <c r="J470" i="18"/>
  <c r="H42" i="37"/>
  <c r="H240" i="66"/>
  <c r="I447" i="58"/>
  <c r="I450" i="58"/>
  <c r="H221" i="66"/>
  <c r="G2" i="18" a="1"/>
  <c r="G2" i="18" s="1"/>
  <c r="G14" i="18" a="1"/>
  <c r="G14" i="18" s="1"/>
  <c r="G4" i="18" a="1"/>
  <c r="G4" i="18" s="1"/>
  <c r="G15" i="18" a="1"/>
  <c r="G15" i="18" s="1"/>
  <c r="G13" i="18" a="1"/>
  <c r="G13" i="18" s="1"/>
  <c r="G7" i="18" a="1"/>
  <c r="G7" i="18" s="1"/>
  <c r="G9" i="18" a="1"/>
  <c r="G9" i="18" s="1"/>
  <c r="G10" i="18" a="1"/>
  <c r="G10" i="18" s="1"/>
  <c r="G12" i="18" a="1"/>
  <c r="G12" i="18" s="1"/>
  <c r="G5" i="18" a="1"/>
  <c r="G5" i="18" s="1"/>
  <c r="G3" i="18" a="1"/>
  <c r="G3" i="18" s="1"/>
  <c r="G8" i="18" a="1"/>
  <c r="G8" i="18" s="1"/>
  <c r="G6" i="18" a="1"/>
  <c r="G6" i="18" s="1"/>
  <c r="G11" i="18" a="1"/>
  <c r="G11" i="18" s="1"/>
  <c r="G14" i="35" a="1"/>
  <c r="G14" i="35" s="1"/>
  <c r="G16" i="35" a="1"/>
  <c r="G16" i="35" s="1"/>
  <c r="G13" i="35" a="1"/>
  <c r="G13" i="35" s="1"/>
  <c r="G3" i="35" a="1"/>
  <c r="G3" i="35" s="1"/>
  <c r="G7" i="35" a="1"/>
  <c r="G7" i="35" s="1"/>
  <c r="C20" i="20"/>
  <c r="G11" i="35" a="1"/>
  <c r="G11" i="35" s="1"/>
  <c r="G15" i="35" a="1"/>
  <c r="G15" i="35" s="1"/>
  <c r="G5" i="35" a="1"/>
  <c r="G5" i="35" s="1"/>
  <c r="G8" i="35" a="1"/>
  <c r="G8" i="35" s="1"/>
  <c r="G9" i="35" a="1"/>
  <c r="G9" i="35" s="1"/>
  <c r="G4" i="35" a="1"/>
  <c r="G4" i="35" s="1"/>
  <c r="G12" i="35" a="1"/>
  <c r="G12" i="35" s="1"/>
  <c r="G10" i="35" a="1"/>
  <c r="G10" i="35" s="1"/>
  <c r="G6" i="35" a="1"/>
  <c r="G6" i="35" s="1"/>
  <c r="H22" i="66"/>
  <c r="F473" i="18"/>
  <c r="J473" i="18"/>
  <c r="F428" i="18"/>
  <c r="J428" i="18"/>
  <c r="H38" i="37"/>
  <c r="D68" i="72" a="1"/>
  <c r="D68" i="72" s="1"/>
  <c r="I213" i="18"/>
  <c r="H213" i="18"/>
  <c r="I305" i="18"/>
  <c r="H305" i="18"/>
  <c r="I90" i="18"/>
  <c r="H90" i="18"/>
  <c r="H99" i="18"/>
  <c r="I99" i="18"/>
  <c r="H176" i="66"/>
  <c r="I441" i="37"/>
  <c r="I441" i="41" s="1"/>
  <c r="H68" i="66"/>
  <c r="I453" i="37"/>
  <c r="H92" i="66"/>
  <c r="F433" i="18"/>
  <c r="J433" i="18"/>
  <c r="J126" i="41"/>
  <c r="E41" i="39"/>
  <c r="E122" i="38" s="1"/>
  <c r="J477" i="37"/>
  <c r="G108" i="66"/>
  <c r="H155" i="66"/>
  <c r="H5" i="66"/>
  <c r="E273" i="38"/>
  <c r="E271" i="38"/>
  <c r="E269" i="38"/>
  <c r="E267" i="38"/>
  <c r="E265" i="38"/>
  <c r="E277" i="38"/>
  <c r="E263" i="38"/>
  <c r="E268" i="38"/>
  <c r="E266" i="38"/>
  <c r="E272" i="38"/>
  <c r="E270" i="38"/>
  <c r="E276" i="38"/>
  <c r="H186" i="66"/>
  <c r="H267" i="18"/>
  <c r="I267" i="18"/>
  <c r="H263" i="18"/>
  <c r="I263" i="18"/>
  <c r="J101" i="41"/>
  <c r="C23" i="63"/>
  <c r="D6" i="72" a="1"/>
  <c r="D6" i="72" s="1"/>
  <c r="I178" i="18"/>
  <c r="H178" i="18"/>
  <c r="K261" i="66"/>
  <c r="N238" i="66"/>
  <c r="H61" i="66"/>
  <c r="N36" i="66"/>
  <c r="M91" i="66"/>
  <c r="K9" i="66"/>
  <c r="T9" i="66" s="1"/>
  <c r="I173" i="18"/>
  <c r="H173" i="18"/>
  <c r="I176" i="18"/>
  <c r="H176" i="18"/>
  <c r="K165" i="66"/>
  <c r="I140" i="18"/>
  <c r="H140" i="18"/>
  <c r="H50" i="37"/>
  <c r="H169" i="66"/>
  <c r="K12" i="66"/>
  <c r="K204" i="66"/>
  <c r="I462" i="58"/>
  <c r="F435" i="18"/>
  <c r="J435" i="18"/>
  <c r="I223" i="18"/>
  <c r="H223" i="18"/>
  <c r="I309" i="18"/>
  <c r="H309" i="18"/>
  <c r="H303" i="18"/>
  <c r="I303" i="18"/>
  <c r="I97" i="18"/>
  <c r="H97" i="18"/>
  <c r="H87" i="18"/>
  <c r="I87" i="18"/>
  <c r="I442" i="37"/>
  <c r="H73" i="66"/>
  <c r="I473" i="37"/>
  <c r="K93" i="66"/>
  <c r="I462" i="37"/>
  <c r="K60" i="66"/>
  <c r="F471" i="18"/>
  <c r="J471" i="18"/>
  <c r="H94" i="37"/>
  <c r="H17" i="66"/>
  <c r="H22" i="37"/>
  <c r="H445" i="41"/>
  <c r="H222" i="66"/>
  <c r="I445" i="58"/>
  <c r="H66" i="37"/>
  <c r="I265" i="18"/>
  <c r="H265" i="18"/>
  <c r="J475" i="37"/>
  <c r="G142" i="66"/>
  <c r="J96" i="41"/>
  <c r="E12" i="39" s="1"/>
  <c r="E39" i="39"/>
  <c r="H173" i="66"/>
  <c r="I440" i="37"/>
  <c r="H74" i="66"/>
  <c r="H32" i="66"/>
  <c r="E103" i="38"/>
  <c r="K156" i="66"/>
  <c r="H209" i="66"/>
  <c r="I449" i="58"/>
  <c r="I256" i="18"/>
  <c r="H256" i="18"/>
  <c r="I260" i="18"/>
  <c r="H260" i="18"/>
  <c r="J100" i="41"/>
  <c r="J423" i="18"/>
  <c r="F423" i="18"/>
  <c r="I221" i="18"/>
  <c r="H221" i="18"/>
  <c r="I94" i="18"/>
  <c r="H94" i="18"/>
  <c r="H179" i="18"/>
  <c r="I179" i="18"/>
  <c r="I130" i="18"/>
  <c r="H130" i="18"/>
  <c r="I438" i="41"/>
  <c r="G61" i="66"/>
  <c r="G61" i="74" s="1"/>
  <c r="K80" i="66"/>
  <c r="I219" i="18"/>
  <c r="H219" i="18"/>
  <c r="I298" i="18"/>
  <c r="H298" i="18"/>
  <c r="H89" i="18"/>
  <c r="I89" i="18"/>
  <c r="I98" i="18"/>
  <c r="H98" i="18"/>
  <c r="H78" i="66"/>
  <c r="I445" i="37"/>
  <c r="H40" i="66"/>
  <c r="G60" i="74"/>
  <c r="F475" i="18"/>
  <c r="J475" i="18"/>
  <c r="J472" i="18"/>
  <c r="F472" i="18"/>
  <c r="H74" i="37"/>
  <c r="J465" i="18"/>
  <c r="F465" i="18"/>
  <c r="I224" i="18"/>
  <c r="H224" i="18"/>
  <c r="H78" i="37"/>
  <c r="H236" i="66"/>
  <c r="I453" i="58"/>
  <c r="I258" i="18"/>
  <c r="H258" i="18"/>
  <c r="H261" i="18"/>
  <c r="I261" i="18"/>
  <c r="I262" i="18"/>
  <c r="H262" i="18"/>
  <c r="G47" i="18" a="1"/>
  <c r="G47" i="18" s="1"/>
  <c r="G49" i="18" a="1"/>
  <c r="G49" i="18" s="1"/>
  <c r="G54" i="18" a="1"/>
  <c r="G54" i="18" s="1"/>
  <c r="G44" i="18" a="1"/>
  <c r="G44" i="18" s="1"/>
  <c r="G48" i="18" a="1"/>
  <c r="G48" i="18" s="1"/>
  <c r="G51" i="35" a="1"/>
  <c r="G51" i="35" s="1"/>
  <c r="G50" i="35" a="1"/>
  <c r="G50" i="35" s="1"/>
  <c r="G56" i="18" a="1"/>
  <c r="G56" i="18" s="1"/>
  <c r="G56" i="35" a="1"/>
  <c r="G56" i="35" s="1"/>
  <c r="G46" i="35" a="1"/>
  <c r="G46" i="35" s="1"/>
  <c r="G52" i="35" a="1"/>
  <c r="G52" i="35" s="1"/>
  <c r="G50" i="18" a="1"/>
  <c r="G50" i="18" s="1"/>
  <c r="G57" i="35" a="1"/>
  <c r="G57" i="35" s="1"/>
  <c r="G52" i="18" a="1"/>
  <c r="G52" i="18" s="1"/>
  <c r="G51" i="18" a="1"/>
  <c r="G51" i="18" s="1"/>
  <c r="G55" i="35" a="1"/>
  <c r="G55" i="35" s="1"/>
  <c r="G45" i="35" a="1"/>
  <c r="G45" i="35" s="1"/>
  <c r="G49" i="35" a="1"/>
  <c r="G49" i="35" s="1"/>
  <c r="G53" i="18" a="1"/>
  <c r="G53" i="18" s="1"/>
  <c r="G48" i="35" a="1"/>
  <c r="G48" i="35" s="1"/>
  <c r="G53" i="35" a="1"/>
  <c r="G53" i="35" s="1"/>
  <c r="G55" i="18" a="1"/>
  <c r="G55" i="18" s="1"/>
  <c r="G57" i="18" a="1"/>
  <c r="G57" i="18" s="1"/>
  <c r="G47" i="35" a="1"/>
  <c r="G47" i="35" s="1"/>
  <c r="G46" i="18" a="1"/>
  <c r="G46" i="18" s="1"/>
  <c r="G58" i="35" a="1"/>
  <c r="G58" i="35" s="1"/>
  <c r="G45" i="18" a="1"/>
  <c r="G45" i="18" s="1"/>
  <c r="L20" i="20"/>
  <c r="G54" i="35" a="1"/>
  <c r="G54" i="35" s="1"/>
  <c r="J98" i="41"/>
  <c r="I138" i="18"/>
  <c r="H138" i="18"/>
  <c r="F434" i="18"/>
  <c r="J434" i="18"/>
  <c r="K53" i="66"/>
  <c r="X53" i="66" s="1"/>
  <c r="K231" i="66"/>
  <c r="X231" i="66" s="1"/>
  <c r="J8" i="66"/>
  <c r="H223" i="66"/>
  <c r="L208" i="66"/>
  <c r="I170" i="18"/>
  <c r="H170" i="18"/>
  <c r="F426" i="18"/>
  <c r="J426" i="18"/>
  <c r="I131" i="18"/>
  <c r="H131" i="18"/>
  <c r="H58" i="37"/>
  <c r="I95" i="18"/>
  <c r="H95" i="18"/>
  <c r="H82" i="37"/>
  <c r="E359" i="38"/>
  <c r="L58" i="66" s="1"/>
  <c r="I478" i="41"/>
  <c r="H440" i="41"/>
  <c r="I212" i="18"/>
  <c r="H212" i="18"/>
  <c r="I218" i="18"/>
  <c r="H218" i="18"/>
  <c r="I304" i="18"/>
  <c r="H304" i="18"/>
  <c r="I308" i="18"/>
  <c r="H308" i="18"/>
  <c r="H88" i="18"/>
  <c r="I88" i="18"/>
  <c r="H80" i="66"/>
  <c r="I448" i="37"/>
  <c r="H450" i="41"/>
  <c r="E358" i="38"/>
  <c r="L60" i="66" s="1"/>
  <c r="I477" i="41"/>
  <c r="K96" i="66"/>
  <c r="I133" i="18"/>
  <c r="H133" i="18"/>
  <c r="H44" i="66"/>
  <c r="I432" i="41"/>
  <c r="G92" i="66"/>
  <c r="H473" i="58"/>
  <c r="K189" i="66"/>
  <c r="E356" i="38"/>
  <c r="L94" i="66" s="1"/>
  <c r="I475" i="41"/>
  <c r="K192" i="66"/>
  <c r="F469" i="18"/>
  <c r="J469" i="18"/>
  <c r="K45" i="66"/>
  <c r="H473" i="37"/>
  <c r="D100" i="72" a="1"/>
  <c r="D100" i="72" s="1"/>
  <c r="H218" i="66"/>
  <c r="I440" i="58"/>
  <c r="I259" i="18"/>
  <c r="H259" i="18"/>
  <c r="I257" i="18"/>
  <c r="H257" i="18"/>
  <c r="G24" i="53"/>
  <c r="H18" i="53"/>
  <c r="G18" i="53" s="1"/>
  <c r="J99" i="41"/>
  <c r="E226" i="38"/>
  <c r="E232" i="38"/>
  <c r="E225" i="38"/>
  <c r="E218" i="38"/>
  <c r="E222" i="38"/>
  <c r="E220" i="38"/>
  <c r="E223" i="38"/>
  <c r="E227" i="38"/>
  <c r="E221" i="38"/>
  <c r="E231" i="38"/>
  <c r="E224" i="38"/>
  <c r="E228" i="38"/>
  <c r="E219" i="38"/>
  <c r="H172" i="18"/>
  <c r="I172" i="18"/>
  <c r="J17" i="66"/>
  <c r="H243" i="66"/>
  <c r="L245" i="66"/>
  <c r="I177" i="18"/>
  <c r="H177" i="18"/>
  <c r="I128" i="18"/>
  <c r="H128" i="18"/>
  <c r="F474" i="18"/>
  <c r="J474" i="18"/>
  <c r="K128" i="66"/>
  <c r="G58" i="74"/>
  <c r="K10" i="66"/>
  <c r="K213" i="66"/>
  <c r="H90" i="37"/>
  <c r="K172" i="66"/>
  <c r="I302" i="18"/>
  <c r="H302" i="18"/>
  <c r="I300" i="18"/>
  <c r="H300" i="18"/>
  <c r="I96" i="18"/>
  <c r="H96" i="18"/>
  <c r="K46" i="66"/>
  <c r="H96" i="66"/>
  <c r="I447" i="37"/>
  <c r="K23" i="66"/>
  <c r="H184" i="66"/>
  <c r="I431" i="41"/>
  <c r="H42" i="66"/>
  <c r="G94" i="74"/>
  <c r="K28" i="66"/>
  <c r="H46" i="37"/>
  <c r="K48" i="66"/>
  <c r="H214" i="66"/>
  <c r="I454" i="58"/>
  <c r="I254" i="18"/>
  <c r="H254" i="18"/>
  <c r="H30" i="66"/>
  <c r="J478" i="37"/>
  <c r="G106" i="66"/>
  <c r="J97" i="41"/>
  <c r="E43" i="39"/>
  <c r="E126" i="38" s="1"/>
  <c r="K117" i="66"/>
  <c r="I216" i="18"/>
  <c r="H216" i="18"/>
  <c r="N56" i="66"/>
  <c r="M11" i="66"/>
  <c r="N129" i="66"/>
  <c r="N258" i="66"/>
  <c r="L243" i="66"/>
  <c r="I181" i="18"/>
  <c r="H181" i="18"/>
  <c r="K144" i="66"/>
  <c r="K21" i="66"/>
  <c r="I139" i="18"/>
  <c r="H139" i="18"/>
  <c r="H29" i="66"/>
  <c r="F424" i="18"/>
  <c r="J424" i="18"/>
  <c r="H166" i="66"/>
  <c r="F466" i="18"/>
  <c r="J466" i="18"/>
  <c r="I217" i="18"/>
  <c r="H217" i="18"/>
  <c r="I297" i="18"/>
  <c r="H297" i="18"/>
  <c r="I307" i="18"/>
  <c r="H307" i="18"/>
  <c r="I91" i="18"/>
  <c r="H91" i="18"/>
  <c r="I86" i="18"/>
  <c r="H86" i="18"/>
  <c r="I443" i="37"/>
  <c r="H53" i="66"/>
  <c r="F477" i="18"/>
  <c r="J477" i="18"/>
  <c r="I430" i="41"/>
  <c r="G95" i="66"/>
  <c r="G95" i="74" s="1"/>
  <c r="J433" i="58"/>
  <c r="J430" i="58"/>
  <c r="G287" i="66" s="1"/>
  <c r="J432" i="58"/>
  <c r="J431" i="58"/>
  <c r="H232" i="66"/>
  <c r="I446" i="58"/>
  <c r="F431" i="18"/>
  <c r="J431" i="18"/>
  <c r="E33" i="22"/>
  <c r="P6" i="9"/>
  <c r="P30" i="9"/>
  <c r="H454" i="41"/>
  <c r="J95" i="41"/>
  <c r="J431" i="37"/>
  <c r="J430" i="37"/>
  <c r="J432" i="37"/>
  <c r="J433" i="37"/>
  <c r="I463" i="37"/>
  <c r="K58" i="66"/>
  <c r="K253" i="66"/>
  <c r="X253" i="66" s="1"/>
  <c r="H212" i="66"/>
  <c r="H164" i="66"/>
  <c r="H20" i="74" s="1"/>
  <c r="L85" i="66"/>
  <c r="N159" i="66"/>
  <c r="M209" i="66"/>
  <c r="H10" i="66"/>
  <c r="L89" i="66"/>
  <c r="H46" i="66"/>
  <c r="N14" i="66"/>
  <c r="K262" i="66"/>
  <c r="X262" i="66" s="1"/>
  <c r="I171" i="18"/>
  <c r="H171" i="18"/>
  <c r="I182" i="18"/>
  <c r="H182" i="18"/>
  <c r="H135" i="18"/>
  <c r="I135" i="18"/>
  <c r="I136" i="18"/>
  <c r="H136" i="18"/>
  <c r="H141" i="18"/>
  <c r="I141" i="18"/>
  <c r="K240" i="66"/>
  <c r="I13" i="41"/>
  <c r="H18" i="66"/>
  <c r="I214" i="18"/>
  <c r="H214" i="18"/>
  <c r="I225" i="18"/>
  <c r="H225" i="18"/>
  <c r="I299" i="18"/>
  <c r="H299" i="18"/>
  <c r="H93" i="18"/>
  <c r="I93" i="18"/>
  <c r="K190" i="66"/>
  <c r="I446" i="37"/>
  <c r="H88" i="66"/>
  <c r="H170" i="66"/>
  <c r="G91" i="66"/>
  <c r="I433" i="41"/>
  <c r="K224" i="66"/>
  <c r="C3" i="9"/>
  <c r="R38" i="9" a="1"/>
  <c r="R38" i="9" s="1"/>
  <c r="E90" i="22" s="1"/>
  <c r="R28" i="9" a="1"/>
  <c r="R28" i="9" s="1"/>
  <c r="R36" i="9" a="1"/>
  <c r="R36" i="9" s="1"/>
  <c r="R26" i="9" a="1"/>
  <c r="R26" i="9" s="1"/>
  <c r="M41" i="39"/>
  <c r="E173" i="38" s="1"/>
  <c r="J477" i="58"/>
  <c r="E382" i="38" s="1"/>
  <c r="L252" i="66" s="1"/>
  <c r="G252" i="66"/>
  <c r="H54" i="37"/>
  <c r="I264" i="18"/>
  <c r="H264" i="18"/>
  <c r="E18" i="22"/>
  <c r="M6" i="9"/>
  <c r="M30" i="9"/>
  <c r="K272" i="66"/>
  <c r="N222" i="66"/>
  <c r="L229" i="66"/>
  <c r="N108" i="66"/>
  <c r="N84" i="66"/>
  <c r="H181" i="66"/>
  <c r="M153" i="66"/>
  <c r="L247" i="66"/>
  <c r="K8" i="66"/>
  <c r="M272" i="66"/>
  <c r="L61" i="66"/>
  <c r="N85" i="66"/>
  <c r="M32" i="66"/>
  <c r="M43" i="66"/>
  <c r="K247" i="66"/>
  <c r="K148" i="66"/>
  <c r="M127" i="66"/>
  <c r="L52" i="66"/>
  <c r="N66" i="66"/>
  <c r="J18" i="66"/>
  <c r="M186" i="66"/>
  <c r="M42" i="66"/>
  <c r="N45" i="66"/>
  <c r="L7" i="66"/>
  <c r="L20" i="66"/>
  <c r="H31" i="66"/>
  <c r="M221" i="66"/>
  <c r="K291" i="66"/>
  <c r="N61" i="66"/>
  <c r="N221" i="66"/>
  <c r="H190" i="66"/>
  <c r="K129" i="66"/>
  <c r="M253" i="66"/>
  <c r="L207" i="66"/>
  <c r="H35" i="66"/>
  <c r="L254" i="66"/>
  <c r="H154" i="66"/>
  <c r="N17" i="66"/>
  <c r="J31" i="66"/>
  <c r="M169" i="66"/>
  <c r="H62" i="66"/>
  <c r="H239" i="66"/>
  <c r="N171" i="66"/>
  <c r="L131" i="66"/>
  <c r="N130" i="66"/>
  <c r="L276" i="66"/>
  <c r="M59" i="66"/>
  <c r="M156" i="66"/>
  <c r="M159" i="66"/>
  <c r="K287" i="66"/>
  <c r="K264" i="66"/>
  <c r="L63" i="66"/>
  <c r="H58" i="66"/>
  <c r="L121" i="66"/>
  <c r="M90" i="66"/>
  <c r="M110" i="66"/>
  <c r="L203" i="66"/>
  <c r="M143" i="66"/>
  <c r="N42" i="66"/>
  <c r="M202" i="66"/>
  <c r="M259" i="66"/>
  <c r="N274" i="66"/>
  <c r="M92" i="66"/>
  <c r="N72" i="66"/>
  <c r="J9" i="66"/>
  <c r="N267" i="66"/>
  <c r="N283" i="66"/>
  <c r="L77" i="66"/>
  <c r="M141" i="66"/>
  <c r="H85" i="66"/>
  <c r="K283" i="66"/>
  <c r="H129" i="66"/>
  <c r="M139" i="66"/>
  <c r="N81" i="66"/>
  <c r="M144" i="66"/>
  <c r="K206" i="66"/>
  <c r="L241" i="66"/>
  <c r="K241" i="66"/>
  <c r="K29" i="66"/>
  <c r="K267" i="66"/>
  <c r="L224" i="66"/>
  <c r="K145" i="66"/>
  <c r="K89" i="66"/>
  <c r="L277" i="66"/>
  <c r="M107" i="66"/>
  <c r="J24" i="66"/>
  <c r="N55" i="66"/>
  <c r="M94" i="66"/>
  <c r="H119" i="66"/>
  <c r="K281" i="66"/>
  <c r="N109" i="66"/>
  <c r="K135" i="66"/>
  <c r="M252" i="66"/>
  <c r="N204" i="66"/>
  <c r="I460" i="41"/>
  <c r="H13" i="66"/>
  <c r="H110" i="66"/>
  <c r="J27" i="66"/>
  <c r="L130" i="66"/>
  <c r="N211" i="66"/>
  <c r="L93" i="66"/>
  <c r="J51" i="66"/>
  <c r="M97" i="66"/>
  <c r="L111" i="66"/>
  <c r="L158" i="66"/>
  <c r="M74" i="66"/>
  <c r="H43" i="66"/>
  <c r="H219" i="66"/>
  <c r="N219" i="66"/>
  <c r="J46" i="66"/>
  <c r="L119" i="66"/>
  <c r="H67" i="66"/>
  <c r="N271" i="66"/>
  <c r="N19" i="66"/>
  <c r="L73" i="66"/>
  <c r="L185" i="66"/>
  <c r="K223" i="66"/>
  <c r="N178" i="66"/>
  <c r="N154" i="66"/>
  <c r="H285" i="66"/>
  <c r="M219" i="66"/>
  <c r="J49" i="66"/>
  <c r="L39" i="66"/>
  <c r="H6" i="66"/>
  <c r="K226" i="66"/>
  <c r="N276" i="66"/>
  <c r="M251" i="66"/>
  <c r="K208" i="66"/>
  <c r="L59" i="66"/>
  <c r="H238" i="66"/>
  <c r="K203" i="66"/>
  <c r="L159" i="66"/>
  <c r="H191" i="66"/>
  <c r="L21" i="66"/>
  <c r="H7" i="66"/>
  <c r="J32" i="66"/>
  <c r="N91" i="66"/>
  <c r="L222" i="66"/>
  <c r="H248" i="66"/>
  <c r="N234" i="66"/>
  <c r="K85" i="66"/>
  <c r="L41" i="66"/>
  <c r="H177" i="66"/>
  <c r="N80" i="66"/>
  <c r="J39" i="66"/>
  <c r="K185" i="66"/>
  <c r="M176" i="66"/>
  <c r="J15" i="66"/>
  <c r="H81" i="66"/>
  <c r="L179" i="66"/>
  <c r="K75" i="66"/>
  <c r="N285" i="66"/>
  <c r="L274" i="66"/>
  <c r="H49" i="66"/>
  <c r="K84" i="66"/>
  <c r="L259" i="66"/>
  <c r="J37" i="66"/>
  <c r="K44" i="66"/>
  <c r="K221" i="66"/>
  <c r="N168" i="66"/>
  <c r="L161" i="66"/>
  <c r="M256" i="66"/>
  <c r="J19" i="66"/>
  <c r="L38" i="66"/>
  <c r="M130" i="66"/>
  <c r="H151" i="66"/>
  <c r="N174" i="66"/>
  <c r="N134" i="66"/>
  <c r="M200" i="66"/>
  <c r="L143" i="66"/>
  <c r="F36" i="53"/>
  <c r="L90" i="66"/>
  <c r="L114" i="66"/>
  <c r="K171" i="66"/>
  <c r="L118" i="66"/>
  <c r="L275" i="66"/>
  <c r="K163" i="66"/>
  <c r="L14" i="66"/>
  <c r="L49" i="66"/>
  <c r="N241" i="66"/>
  <c r="H54" i="66"/>
  <c r="H267" i="66"/>
  <c r="N289" i="66"/>
  <c r="M81" i="66"/>
  <c r="H91" i="66"/>
  <c r="M205" i="66"/>
  <c r="H279" i="66"/>
  <c r="N70" i="66"/>
  <c r="L280" i="66"/>
  <c r="N160" i="66"/>
  <c r="L55" i="66"/>
  <c r="L109" i="66"/>
  <c r="H102" i="66"/>
  <c r="M72" i="66"/>
  <c r="L151" i="66"/>
  <c r="H273" i="66"/>
  <c r="K279" i="66"/>
  <c r="M51" i="66"/>
  <c r="L50" i="66"/>
  <c r="L282" i="66"/>
  <c r="Z3" i="20"/>
  <c r="L193" i="66"/>
  <c r="K100" i="66"/>
  <c r="N242" i="66"/>
  <c r="M123" i="66"/>
  <c r="L105" i="66"/>
  <c r="H64" i="66"/>
  <c r="M124" i="66"/>
  <c r="H178" i="66"/>
  <c r="H183" i="66"/>
  <c r="L44" i="66"/>
  <c r="N254" i="66"/>
  <c r="N43" i="66"/>
  <c r="K67" i="66"/>
  <c r="L16" i="66"/>
  <c r="N48" i="66"/>
  <c r="H171" i="66"/>
  <c r="N5" i="66"/>
  <c r="H131" i="66"/>
  <c r="K216" i="66"/>
  <c r="N177" i="66"/>
  <c r="L146" i="66"/>
  <c r="L150" i="66"/>
  <c r="L137" i="66"/>
  <c r="M8" i="66"/>
  <c r="H211" i="66"/>
  <c r="H109" i="66"/>
  <c r="H21" i="66"/>
  <c r="L22" i="66"/>
  <c r="N86" i="66"/>
  <c r="L173" i="66"/>
  <c r="H195" i="66"/>
  <c r="H111" i="66"/>
  <c r="K160" i="66"/>
  <c r="M136" i="66"/>
  <c r="N120" i="66"/>
  <c r="H72" i="66"/>
  <c r="K207" i="66"/>
  <c r="L17" i="66"/>
  <c r="M249" i="66"/>
  <c r="J29" i="66"/>
  <c r="J26" i="66"/>
  <c r="M224" i="66"/>
  <c r="H76" i="66"/>
  <c r="N277" i="66"/>
  <c r="H275" i="66"/>
  <c r="L192" i="66"/>
  <c r="L172" i="66"/>
  <c r="N156" i="66"/>
  <c r="M269" i="66"/>
  <c r="N188" i="66"/>
  <c r="H289" i="66"/>
  <c r="L244" i="66"/>
  <c r="M25" i="66"/>
  <c r="K159" i="66"/>
  <c r="K274" i="66"/>
  <c r="H213" i="66"/>
  <c r="L213" i="66"/>
  <c r="H274" i="66"/>
  <c r="N184" i="66"/>
  <c r="L57" i="66"/>
  <c r="L205" i="66"/>
  <c r="L28" i="66"/>
  <c r="M245" i="66"/>
  <c r="L86" i="66"/>
  <c r="N121" i="66"/>
  <c r="H132" i="66"/>
  <c r="N248" i="66"/>
  <c r="N107" i="66"/>
  <c r="N215" i="66"/>
  <c r="M243" i="66"/>
  <c r="L116" i="66"/>
  <c r="M126" i="66"/>
  <c r="H205" i="66"/>
  <c r="M99" i="66"/>
  <c r="M201" i="66"/>
  <c r="N94" i="66"/>
  <c r="K169" i="66"/>
  <c r="L43" i="66"/>
  <c r="H291" i="66"/>
  <c r="L148" i="66"/>
  <c r="L4" i="66"/>
  <c r="H108" i="66"/>
  <c r="K149" i="66"/>
  <c r="L98" i="66"/>
  <c r="L160" i="66"/>
  <c r="H134" i="66"/>
  <c r="N217" i="66"/>
  <c r="M128" i="66"/>
  <c r="N206" i="66"/>
  <c r="M34" i="66"/>
  <c r="L256" i="66"/>
  <c r="L186" i="66"/>
  <c r="H24" i="66"/>
  <c r="K277" i="66"/>
  <c r="M70" i="66"/>
  <c r="M66" i="66"/>
  <c r="J47" i="66"/>
  <c r="H198" i="66"/>
  <c r="L91" i="66"/>
  <c r="N59" i="66"/>
  <c r="K227" i="66"/>
  <c r="M257" i="66"/>
  <c r="N251" i="66"/>
  <c r="H200" i="66"/>
  <c r="L65" i="66"/>
  <c r="N186" i="66"/>
  <c r="M262" i="66"/>
  <c r="L181" i="66"/>
  <c r="H103" i="66"/>
  <c r="J40" i="66"/>
  <c r="K152" i="66"/>
  <c r="K178" i="66"/>
  <c r="N92" i="66"/>
  <c r="N207" i="66"/>
  <c r="K193" i="66"/>
  <c r="K123" i="66"/>
  <c r="N172" i="66"/>
  <c r="K83" i="66"/>
  <c r="L215" i="66"/>
  <c r="M223" i="66"/>
  <c r="H127" i="66"/>
  <c r="N225" i="66"/>
  <c r="H105" i="66"/>
  <c r="L15" i="66"/>
  <c r="N286" i="66"/>
  <c r="L230" i="66"/>
  <c r="L209" i="66"/>
  <c r="L5" i="66"/>
  <c r="N196" i="66"/>
  <c r="K184" i="66"/>
  <c r="L175" i="66"/>
  <c r="N202" i="66"/>
  <c r="N144" i="66"/>
  <c r="M96" i="66"/>
  <c r="M15" i="66"/>
  <c r="N139" i="66"/>
  <c r="H79" i="66"/>
  <c r="K271" i="66"/>
  <c r="M271" i="66"/>
  <c r="H167" i="66"/>
  <c r="N143" i="66"/>
  <c r="M155" i="66"/>
  <c r="M203" i="66"/>
  <c r="M120" i="66"/>
  <c r="H87" i="66"/>
  <c r="N26" i="66"/>
  <c r="N119" i="66"/>
  <c r="L176" i="66"/>
  <c r="M158" i="66"/>
  <c r="N187" i="66"/>
  <c r="M88" i="66"/>
  <c r="K284" i="66"/>
  <c r="N132" i="66"/>
  <c r="K41" i="66"/>
  <c r="K214" i="66"/>
  <c r="K179" i="66"/>
  <c r="L242" i="66"/>
  <c r="N138" i="66"/>
  <c r="M232" i="66"/>
  <c r="N32" i="66"/>
  <c r="J13" i="66"/>
  <c r="M268" i="66"/>
  <c r="M17" i="66"/>
  <c r="H160" i="66"/>
  <c r="N127" i="66"/>
  <c r="J44" i="66"/>
  <c r="K125" i="66"/>
  <c r="L78" i="66"/>
  <c r="J48" i="66"/>
  <c r="M182" i="66"/>
  <c r="H228" i="66"/>
  <c r="M289" i="66"/>
  <c r="M119" i="66"/>
  <c r="N169" i="66"/>
  <c r="H189" i="66"/>
  <c r="K15" i="66"/>
  <c r="K131" i="66"/>
  <c r="M237" i="66"/>
  <c r="M14" i="66"/>
  <c r="L202" i="66"/>
  <c r="M238" i="66"/>
  <c r="K236" i="66"/>
  <c r="L133" i="66"/>
  <c r="N230" i="66"/>
  <c r="M154" i="66"/>
  <c r="K104" i="66"/>
  <c r="N128" i="66"/>
  <c r="L182" i="66"/>
  <c r="H51" i="66"/>
  <c r="L258" i="66"/>
  <c r="M241" i="66"/>
  <c r="L68" i="66"/>
  <c r="K25" i="66"/>
  <c r="L99" i="66"/>
  <c r="M285" i="66"/>
  <c r="K87" i="66"/>
  <c r="K50" i="66"/>
  <c r="N44" i="66"/>
  <c r="L84" i="66"/>
  <c r="N18" i="66"/>
  <c r="M211" i="66"/>
  <c r="H34" i="66"/>
  <c r="H172" i="66"/>
  <c r="L135" i="66"/>
  <c r="K91" i="66"/>
  <c r="K14" i="66"/>
  <c r="H208" i="66"/>
  <c r="M274" i="66"/>
  <c r="L30" i="66"/>
  <c r="L166" i="66"/>
  <c r="K118" i="66"/>
  <c r="M279" i="66"/>
  <c r="K98" i="66"/>
  <c r="K18" i="66"/>
  <c r="K242" i="66"/>
  <c r="J30" i="66"/>
  <c r="K103" i="66"/>
  <c r="M31" i="66"/>
  <c r="K92" i="66"/>
  <c r="L191" i="66"/>
  <c r="K140" i="66"/>
  <c r="M190" i="66"/>
  <c r="M254" i="66"/>
  <c r="L266" i="66"/>
  <c r="J11" i="66"/>
  <c r="N192" i="66"/>
  <c r="N112" i="66"/>
  <c r="J7" i="66"/>
  <c r="L66" i="66"/>
  <c r="M26" i="66"/>
  <c r="N74" i="66"/>
  <c r="K88" i="66"/>
  <c r="L217" i="66"/>
  <c r="M118" i="66"/>
  <c r="N220" i="66"/>
  <c r="M240" i="66"/>
  <c r="N155" i="66"/>
  <c r="K36" i="66"/>
  <c r="M183" i="66"/>
  <c r="N252" i="66"/>
  <c r="M105" i="66"/>
  <c r="L101" i="66"/>
  <c r="K259" i="66"/>
  <c r="K233" i="66"/>
  <c r="J21" i="66"/>
  <c r="M87" i="66"/>
  <c r="M244" i="66"/>
  <c r="L47" i="66"/>
  <c r="M77" i="66"/>
  <c r="N96" i="66"/>
  <c r="L165" i="66"/>
  <c r="K27" i="66"/>
  <c r="H4" i="66"/>
  <c r="L263" i="66"/>
  <c r="M162" i="66"/>
  <c r="M264" i="66"/>
  <c r="N38" i="66"/>
  <c r="L46" i="66"/>
  <c r="L144" i="66"/>
  <c r="K101" i="66"/>
  <c r="H147" i="66"/>
  <c r="H229" i="66"/>
  <c r="N50" i="66"/>
  <c r="N125" i="66"/>
  <c r="L126" i="66"/>
  <c r="N290" i="66"/>
  <c r="K232" i="66"/>
  <c r="M288" i="66"/>
  <c r="N8" i="66"/>
  <c r="L136" i="66"/>
  <c r="L37" i="66"/>
  <c r="L35" i="66"/>
  <c r="K219" i="66"/>
  <c r="H220" i="66"/>
  <c r="N57" i="66"/>
  <c r="N273" i="66"/>
  <c r="M145" i="66"/>
  <c r="M239" i="66"/>
  <c r="K258" i="66"/>
  <c r="M188" i="66"/>
  <c r="M58" i="66"/>
  <c r="L128" i="66"/>
  <c r="H57" i="66"/>
  <c r="H216" i="66"/>
  <c r="H237" i="66"/>
  <c r="N64" i="66"/>
  <c r="H206" i="66"/>
  <c r="L261" i="66"/>
  <c r="M235" i="66"/>
  <c r="N249" i="66"/>
  <c r="J33" i="66"/>
  <c r="N114" i="66"/>
  <c r="M113" i="66"/>
  <c r="K127" i="66"/>
  <c r="K35" i="66"/>
  <c r="M191" i="66"/>
  <c r="L155" i="66"/>
  <c r="M12" i="66"/>
  <c r="N12" i="66"/>
  <c r="K187" i="66"/>
  <c r="K16" i="66"/>
  <c r="L120" i="66"/>
  <c r="L11" i="66"/>
  <c r="K73" i="66"/>
  <c r="L79" i="66"/>
  <c r="H37" i="66"/>
  <c r="N40" i="66"/>
  <c r="M86" i="66"/>
  <c r="N158" i="66"/>
  <c r="N191" i="66"/>
  <c r="N124" i="66"/>
  <c r="N229" i="66"/>
  <c r="L140" i="66"/>
  <c r="N278" i="66"/>
  <c r="M231" i="66"/>
  <c r="L100" i="66"/>
  <c r="N23" i="66"/>
  <c r="K107" i="66"/>
  <c r="L125" i="66"/>
  <c r="L233" i="66"/>
  <c r="N181" i="66"/>
  <c r="H123" i="66"/>
  <c r="H233" i="66"/>
  <c r="K155" i="66"/>
  <c r="M64" i="66"/>
  <c r="M222" i="66"/>
  <c r="L231" i="66"/>
  <c r="N232" i="66"/>
  <c r="N111" i="66"/>
  <c r="N245" i="66"/>
  <c r="H83" i="66"/>
  <c r="L71" i="66"/>
  <c r="L112" i="66"/>
  <c r="N151" i="66"/>
  <c r="K120" i="66"/>
  <c r="N141" i="66"/>
  <c r="M48" i="66"/>
  <c r="N175" i="66"/>
  <c r="K196" i="66"/>
  <c r="M173" i="66"/>
  <c r="H261" i="66"/>
  <c r="M196" i="66"/>
  <c r="L211" i="66"/>
  <c r="L253" i="66"/>
  <c r="N29" i="66"/>
  <c r="J4" i="66"/>
  <c r="K290" i="66"/>
  <c r="K49" i="66"/>
  <c r="H45" i="66"/>
  <c r="N244" i="66"/>
  <c r="K47" i="66"/>
  <c r="N118" i="66"/>
  <c r="L69" i="66"/>
  <c r="L113" i="66"/>
  <c r="L154" i="66"/>
  <c r="K136" i="66"/>
  <c r="H268" i="66"/>
  <c r="M106" i="66"/>
  <c r="K195" i="66"/>
  <c r="N25" i="66"/>
  <c r="M171" i="66"/>
  <c r="M13" i="66"/>
  <c r="N173" i="66"/>
  <c r="L81" i="66"/>
  <c r="N27" i="66"/>
  <c r="K115" i="66"/>
  <c r="L76" i="66"/>
  <c r="N106" i="66"/>
  <c r="H253" i="66"/>
  <c r="H98" i="66"/>
  <c r="H168" i="66"/>
  <c r="N11" i="66"/>
  <c r="H33" i="66"/>
  <c r="H50" i="66"/>
  <c r="K86" i="66"/>
  <c r="K77" i="66"/>
  <c r="M93" i="66"/>
  <c r="K235" i="66"/>
  <c r="N223" i="66"/>
  <c r="H201" i="66"/>
  <c r="N122" i="66"/>
  <c r="N145" i="66"/>
  <c r="L251" i="66"/>
  <c r="L237" i="66"/>
  <c r="H277" i="66"/>
  <c r="N259" i="66"/>
  <c r="L220" i="66"/>
  <c r="M236" i="66"/>
  <c r="N182" i="66"/>
  <c r="M160" i="66"/>
  <c r="N123" i="66"/>
  <c r="L139" i="66"/>
  <c r="M62" i="66"/>
  <c r="M148" i="66"/>
  <c r="H150" i="66"/>
  <c r="K139" i="66"/>
  <c r="N115" i="66"/>
  <c r="L156" i="66"/>
  <c r="K244" i="66"/>
  <c r="M270" i="66"/>
  <c r="N255" i="66"/>
  <c r="K269" i="66"/>
  <c r="N15" i="66"/>
  <c r="L265" i="66"/>
  <c r="N88" i="66"/>
  <c r="H241" i="66"/>
  <c r="L149" i="66"/>
  <c r="M255" i="66"/>
  <c r="N60" i="66"/>
  <c r="N214" i="66"/>
  <c r="M170" i="66"/>
  <c r="L70" i="66"/>
  <c r="N24" i="66"/>
  <c r="H12" i="66"/>
  <c r="K130" i="66"/>
  <c r="L246" i="66"/>
  <c r="N193" i="66"/>
  <c r="L34" i="66"/>
  <c r="K158" i="66"/>
  <c r="L273" i="66"/>
  <c r="N218" i="66"/>
  <c r="K289" i="66"/>
  <c r="L238" i="66"/>
  <c r="H143" i="66"/>
  <c r="N208" i="66"/>
  <c r="M287" i="66"/>
  <c r="H27" i="66"/>
  <c r="K275" i="66"/>
  <c r="K24" i="66"/>
  <c r="L249" i="66"/>
  <c r="L18" i="66"/>
  <c r="N28" i="66"/>
  <c r="J6" i="66"/>
  <c r="L212" i="66"/>
  <c r="H231" i="66"/>
  <c r="M109" i="66"/>
  <c r="M282" i="66"/>
  <c r="N268" i="66"/>
  <c r="L51" i="66"/>
  <c r="N10" i="66"/>
  <c r="H242" i="66"/>
  <c r="L180" i="66"/>
  <c r="H69" i="66"/>
  <c r="L54" i="66"/>
  <c r="H148" i="66"/>
  <c r="L96" i="66"/>
  <c r="M208" i="66"/>
  <c r="H263" i="66"/>
  <c r="L198" i="66"/>
  <c r="H230" i="66"/>
  <c r="K251" i="66"/>
  <c r="H165" i="66"/>
  <c r="K248" i="66"/>
  <c r="K197" i="66"/>
  <c r="K173" i="66"/>
  <c r="H199" i="66"/>
  <c r="L23" i="66"/>
  <c r="N136" i="66"/>
  <c r="K225" i="66"/>
  <c r="H60" i="66"/>
  <c r="L10" i="66"/>
  <c r="L201" i="66"/>
  <c r="H19" i="66"/>
  <c r="M65" i="66"/>
  <c r="N201" i="66"/>
  <c r="K72" i="66"/>
  <c r="L83" i="66"/>
  <c r="N98" i="66"/>
  <c r="K112" i="66"/>
  <c r="L260" i="66"/>
  <c r="N270" i="66"/>
  <c r="N237" i="66"/>
  <c r="M101" i="66"/>
  <c r="L107" i="66"/>
  <c r="M215" i="66"/>
  <c r="M149" i="66"/>
  <c r="M23" i="66"/>
  <c r="L74" i="66"/>
  <c r="K97" i="66"/>
  <c r="N9" i="66"/>
  <c r="N197" i="66"/>
  <c r="M258" i="66"/>
  <c r="H276" i="66"/>
  <c r="K182" i="66"/>
  <c r="L29" i="66"/>
  <c r="H8" i="66"/>
  <c r="H112" i="66"/>
  <c r="N46" i="66"/>
  <c r="L32" i="66"/>
  <c r="L189" i="66"/>
  <c r="L196" i="66"/>
  <c r="H89" i="66"/>
  <c r="L162" i="66"/>
  <c r="M174" i="66"/>
  <c r="L117" i="66"/>
  <c r="K134" i="66"/>
  <c r="M163" i="66"/>
  <c r="H152" i="66"/>
  <c r="K31" i="66"/>
  <c r="K5" i="66"/>
  <c r="N224" i="66"/>
  <c r="M80" i="66"/>
  <c r="L25" i="66"/>
  <c r="K228" i="66"/>
  <c r="L64" i="66"/>
  <c r="J12" i="66"/>
  <c r="N210" i="66"/>
  <c r="H95" i="66"/>
  <c r="M267" i="66"/>
  <c r="H158" i="66"/>
  <c r="K143" i="66"/>
  <c r="H187" i="66"/>
  <c r="H106" i="66"/>
  <c r="N235" i="66"/>
  <c r="L153" i="66"/>
  <c r="K205" i="66"/>
  <c r="N163" i="66"/>
  <c r="H287" i="66"/>
  <c r="M204" i="66"/>
  <c r="J45" i="66"/>
  <c r="L194" i="66"/>
  <c r="N280" i="66"/>
  <c r="L97" i="66"/>
  <c r="N266" i="66"/>
  <c r="H55" i="66"/>
  <c r="N250" i="66"/>
  <c r="H246" i="66"/>
  <c r="M63" i="66"/>
  <c r="H204" i="66"/>
  <c r="M280" i="66"/>
  <c r="L110" i="66"/>
  <c r="N100" i="66"/>
  <c r="N153" i="66"/>
  <c r="J10" i="66"/>
  <c r="M138" i="66"/>
  <c r="K168" i="66"/>
  <c r="H75" i="66"/>
  <c r="N203" i="66"/>
  <c r="L288" i="66"/>
  <c r="K79" i="66"/>
  <c r="L122" i="66"/>
  <c r="H130" i="66"/>
  <c r="N101" i="66"/>
  <c r="N157" i="66"/>
  <c r="M175" i="66"/>
  <c r="M33" i="66"/>
  <c r="M225" i="66"/>
  <c r="N140" i="66"/>
  <c r="L168" i="66"/>
  <c r="L285" i="66"/>
  <c r="K121" i="66"/>
  <c r="H142" i="66"/>
  <c r="L269" i="66"/>
  <c r="N103" i="66"/>
  <c r="H97" i="66"/>
  <c r="N167" i="66"/>
  <c r="K110" i="66"/>
  <c r="H146" i="66"/>
  <c r="J42" i="66"/>
  <c r="H259" i="66"/>
  <c r="K61" i="66"/>
  <c r="M10" i="66"/>
  <c r="L19" i="66"/>
  <c r="N71" i="66"/>
  <c r="M52" i="66"/>
  <c r="M161" i="66"/>
  <c r="N58" i="66"/>
  <c r="M114" i="66"/>
  <c r="N75" i="66"/>
  <c r="N262" i="66"/>
  <c r="H290" i="66"/>
  <c r="L199" i="66"/>
  <c r="M140" i="66"/>
  <c r="K181" i="66"/>
  <c r="L138" i="66"/>
  <c r="N240" i="66"/>
  <c r="H283" i="66"/>
  <c r="L216" i="66"/>
  <c r="L234" i="66"/>
  <c r="M19" i="66"/>
  <c r="M46" i="66"/>
  <c r="H84" i="66"/>
  <c r="N67" i="66"/>
  <c r="K229" i="66"/>
  <c r="L291" i="66"/>
  <c r="K200" i="66"/>
  <c r="M9" i="66"/>
  <c r="H179" i="66"/>
  <c r="L169" i="66"/>
  <c r="M5" i="66"/>
  <c r="N146" i="66"/>
  <c r="L206" i="66"/>
  <c r="N190" i="66"/>
  <c r="M60" i="66"/>
  <c r="N216" i="66"/>
  <c r="L24" i="66"/>
  <c r="H256" i="66"/>
  <c r="K166" i="66"/>
  <c r="L178" i="66"/>
  <c r="K151" i="66"/>
  <c r="H28" i="66"/>
  <c r="J23" i="66"/>
  <c r="M226" i="66"/>
  <c r="M248" i="66"/>
  <c r="M187" i="66"/>
  <c r="H215" i="66"/>
  <c r="J20" i="66"/>
  <c r="M125" i="66"/>
  <c r="N170" i="66"/>
  <c r="H86" i="66"/>
  <c r="L177" i="66"/>
  <c r="J25" i="66"/>
  <c r="K33" i="66"/>
  <c r="N82" i="66"/>
  <c r="L232" i="66"/>
  <c r="M157" i="66"/>
  <c r="L167" i="66"/>
  <c r="H93" i="66"/>
  <c r="K280" i="66"/>
  <c r="H41" i="66"/>
  <c r="L281" i="66"/>
  <c r="J16" i="66"/>
  <c r="L271" i="66"/>
  <c r="L227" i="66"/>
  <c r="K175" i="66"/>
  <c r="L187" i="66"/>
  <c r="H157" i="66"/>
  <c r="L12" i="66"/>
  <c r="L141" i="66"/>
  <c r="M134" i="66"/>
  <c r="H244" i="66"/>
  <c r="H71" i="66"/>
  <c r="K111" i="66"/>
  <c r="M40" i="66"/>
  <c r="K133" i="66"/>
  <c r="M210" i="66"/>
  <c r="K183" i="66"/>
  <c r="M178" i="66"/>
  <c r="N148" i="66"/>
  <c r="N226" i="66"/>
  <c r="K52" i="66"/>
  <c r="N152" i="66"/>
  <c r="L278" i="66"/>
  <c r="M193" i="66"/>
  <c r="H52" i="66"/>
  <c r="N265" i="66"/>
  <c r="M18" i="66"/>
  <c r="H99" i="66"/>
  <c r="L190" i="66"/>
  <c r="N176" i="66"/>
  <c r="M71" i="66"/>
  <c r="H156" i="66"/>
  <c r="M121" i="66"/>
  <c r="K70" i="66"/>
  <c r="M218" i="66"/>
  <c r="H104" i="66"/>
  <c r="N253" i="66"/>
  <c r="J34" i="66"/>
  <c r="H145" i="66"/>
  <c r="H252" i="66"/>
  <c r="L62" i="66"/>
  <c r="M122" i="66"/>
  <c r="N62" i="66"/>
  <c r="K180" i="66"/>
  <c r="L163" i="66"/>
  <c r="L82" i="66"/>
  <c r="M100" i="66"/>
  <c r="M104" i="66"/>
  <c r="M75" i="66"/>
  <c r="M108" i="66"/>
  <c r="M250" i="66"/>
  <c r="H38" i="66"/>
  <c r="L210" i="66"/>
  <c r="L157" i="66"/>
  <c r="L264" i="66"/>
  <c r="K59" i="66"/>
  <c r="K230" i="66"/>
  <c r="H36" i="66"/>
  <c r="L270" i="66"/>
  <c r="H235" i="66"/>
  <c r="N284" i="66"/>
  <c r="L132" i="66"/>
  <c r="N142" i="66"/>
  <c r="N76" i="66"/>
  <c r="M79" i="66"/>
  <c r="K199" i="66"/>
  <c r="J14" i="66"/>
  <c r="L226" i="66"/>
  <c r="L115" i="66"/>
  <c r="M234" i="66"/>
  <c r="L164" i="66"/>
  <c r="M152" i="66"/>
  <c r="H63" i="66"/>
  <c r="N239" i="66"/>
  <c r="L127" i="66"/>
  <c r="K243" i="66"/>
  <c r="N162" i="66"/>
  <c r="H153" i="66"/>
  <c r="H133" i="66"/>
  <c r="K56" i="66"/>
  <c r="J38" i="66"/>
  <c r="M112" i="66"/>
  <c r="M45" i="66"/>
  <c r="N30" i="66"/>
  <c r="K256" i="66"/>
  <c r="L72" i="66"/>
  <c r="M266" i="66"/>
  <c r="K55" i="66"/>
  <c r="L36" i="66"/>
  <c r="L188" i="66"/>
  <c r="L6" i="66"/>
  <c r="N194" i="66"/>
  <c r="J22" i="66"/>
  <c r="K194" i="66"/>
  <c r="N77" i="66"/>
  <c r="K191" i="66"/>
  <c r="N236" i="66"/>
  <c r="J35" i="66"/>
  <c r="L283" i="66"/>
  <c r="L235" i="66"/>
  <c r="H94" i="66"/>
  <c r="M167" i="66"/>
  <c r="L239" i="66"/>
  <c r="H227" i="66"/>
  <c r="H137" i="66"/>
  <c r="K278" i="66"/>
  <c r="M263" i="66"/>
  <c r="L284" i="66"/>
  <c r="M47" i="66"/>
  <c r="L197" i="66"/>
  <c r="N205" i="66"/>
  <c r="H207" i="66"/>
  <c r="H271" i="66"/>
  <c r="H281" i="66"/>
  <c r="H250" i="66"/>
  <c r="M49" i="66"/>
  <c r="J41" i="66"/>
  <c r="H56" i="66"/>
  <c r="K7" i="66"/>
  <c r="L145" i="66"/>
  <c r="H135" i="66"/>
  <c r="H226" i="66"/>
  <c r="K43" i="66"/>
  <c r="N22" i="66"/>
  <c r="M16" i="66"/>
  <c r="M61" i="66"/>
  <c r="J5" i="66"/>
  <c r="H16" i="66"/>
  <c r="L48" i="66"/>
  <c r="J43" i="66"/>
  <c r="K64" i="66"/>
  <c r="N126" i="66"/>
  <c r="M27" i="66"/>
  <c r="M57" i="66"/>
  <c r="L53" i="66"/>
  <c r="N90" i="66"/>
  <c r="L33" i="66"/>
  <c r="M217" i="66"/>
  <c r="L184" i="66"/>
  <c r="L134" i="66"/>
  <c r="M29" i="66"/>
  <c r="M195" i="66"/>
  <c r="K245" i="66"/>
  <c r="M283" i="66"/>
  <c r="K177" i="66"/>
  <c r="N269" i="66"/>
  <c r="H124" i="66"/>
  <c r="K147" i="66"/>
  <c r="H286" i="66"/>
  <c r="M286" i="66"/>
  <c r="H254" i="66"/>
  <c r="K162" i="66"/>
  <c r="K265" i="66"/>
  <c r="K137" i="66"/>
  <c r="M78" i="66"/>
  <c r="L289" i="66"/>
  <c r="L40" i="66"/>
  <c r="J36" i="66"/>
  <c r="L195" i="66"/>
  <c r="L272" i="66"/>
  <c r="H9" i="66"/>
  <c r="K109" i="66"/>
  <c r="N52" i="66"/>
  <c r="J28" i="66"/>
  <c r="L225" i="66"/>
  <c r="L287" i="66"/>
  <c r="K239" i="66"/>
  <c r="K81" i="66"/>
  <c r="M273" i="66"/>
  <c r="L257" i="66"/>
  <c r="K217" i="66"/>
  <c r="L42" i="66"/>
  <c r="K62" i="66"/>
  <c r="L13" i="66"/>
  <c r="L223" i="66"/>
  <c r="M220" i="66"/>
  <c r="L87" i="66"/>
  <c r="M206" i="66"/>
  <c r="K276" i="66"/>
  <c r="H175" i="66"/>
  <c r="H202" i="66"/>
  <c r="H255" i="66"/>
  <c r="L147" i="66"/>
  <c r="N287" i="66"/>
  <c r="L228" i="66"/>
  <c r="L88" i="66"/>
  <c r="M53" i="66"/>
  <c r="M73" i="66"/>
  <c r="H193" i="66"/>
  <c r="N34" i="66"/>
  <c r="L170" i="66"/>
  <c r="N49" i="66"/>
  <c r="N247" i="66"/>
  <c r="M147" i="66"/>
  <c r="N228" i="66"/>
  <c r="M67" i="66"/>
  <c r="N47" i="66"/>
  <c r="H196" i="66"/>
  <c r="K11" i="66"/>
  <c r="L80" i="66"/>
  <c r="H159" i="66"/>
  <c r="K146" i="66"/>
  <c r="M189" i="66"/>
  <c r="L240" i="66"/>
  <c r="M168" i="66"/>
  <c r="M95" i="66"/>
  <c r="L45" i="66"/>
  <c r="N272" i="66"/>
  <c r="H247" i="66"/>
  <c r="L214" i="66"/>
  <c r="M166" i="66"/>
  <c r="K19" i="66"/>
  <c r="L67" i="66"/>
  <c r="L290" i="66"/>
  <c r="H249" i="66"/>
  <c r="H14" i="66"/>
  <c r="H39" i="66"/>
  <c r="H115" i="66"/>
  <c r="N33" i="66"/>
  <c r="H264" i="66"/>
  <c r="N288" i="66"/>
  <c r="L92" i="66"/>
  <c r="N31" i="66"/>
  <c r="K51" i="66"/>
  <c r="N93" i="66"/>
  <c r="N13" i="66"/>
  <c r="N263" i="66"/>
  <c r="L236" i="66"/>
  <c r="H47" i="66"/>
  <c r="N105" i="66"/>
  <c r="N200" i="66"/>
  <c r="K63" i="66"/>
  <c r="M28" i="66"/>
  <c r="L221" i="66"/>
  <c r="H185" i="66"/>
  <c r="H163" i="66"/>
  <c r="L95" i="66"/>
  <c r="L279" i="66"/>
  <c r="H120" i="66"/>
  <c r="N78" i="66"/>
  <c r="M82" i="66"/>
  <c r="K210" i="66"/>
  <c r="M44" i="66"/>
  <c r="H139" i="66"/>
  <c r="K13" i="66"/>
  <c r="H182" i="66"/>
  <c r="K22" i="66"/>
  <c r="K38" i="66"/>
  <c r="H141" i="66"/>
  <c r="K95" i="66"/>
  <c r="H180" i="66"/>
  <c r="M129" i="66"/>
  <c r="M284" i="66"/>
  <c r="M111" i="66"/>
  <c r="M207" i="66"/>
  <c r="K211" i="66"/>
  <c r="L204" i="66"/>
  <c r="M135" i="66"/>
  <c r="M38" i="66"/>
  <c r="N7" i="66"/>
  <c r="N16" i="66"/>
  <c r="M214" i="66"/>
  <c r="M24" i="66"/>
  <c r="N180" i="66"/>
  <c r="L218" i="66"/>
  <c r="L26" i="66"/>
  <c r="K40" i="66"/>
  <c r="N199" i="66"/>
  <c r="L174" i="66"/>
  <c r="N4" i="66"/>
  <c r="K254" i="66"/>
  <c r="N97" i="66"/>
  <c r="N73" i="66"/>
  <c r="L103" i="66"/>
  <c r="L129" i="66"/>
  <c r="K273" i="66"/>
  <c r="M192" i="66"/>
  <c r="K255" i="66"/>
  <c r="L9" i="66"/>
  <c r="K39" i="66"/>
  <c r="M291" i="66"/>
  <c r="N104" i="66"/>
  <c r="M142" i="66"/>
  <c r="N63" i="66"/>
  <c r="N282" i="66"/>
  <c r="H100" i="66"/>
  <c r="N53" i="66"/>
  <c r="K66" i="66"/>
  <c r="M172" i="66"/>
  <c r="H15" i="66"/>
  <c r="K188" i="66"/>
  <c r="J50" i="66"/>
  <c r="N37" i="66"/>
  <c r="N95" i="66"/>
  <c r="L183" i="66"/>
  <c r="H82" i="66"/>
  <c r="H117" i="66"/>
  <c r="N166" i="66"/>
  <c r="L255" i="66"/>
  <c r="D261" i="72" a="1"/>
  <c r="D261" i="72" s="1"/>
  <c r="D136" i="72" a="1"/>
  <c r="D136" i="72" s="1"/>
  <c r="M38" i="74" l="1"/>
  <c r="K37" i="74"/>
  <c r="X37" i="74" s="1"/>
  <c r="J146" i="74"/>
  <c r="M86" i="74"/>
  <c r="T37" i="66"/>
  <c r="J129" i="74"/>
  <c r="L31" i="74"/>
  <c r="M4" i="74"/>
  <c r="Q4" i="66"/>
  <c r="W4" i="66" s="1"/>
  <c r="J12" i="74"/>
  <c r="E20" i="34"/>
  <c r="M115" i="74"/>
  <c r="J120" i="74"/>
  <c r="M53" i="74"/>
  <c r="S192" i="66"/>
  <c r="J437" i="41"/>
  <c r="S172" i="66"/>
  <c r="J130" i="74"/>
  <c r="M56" i="74"/>
  <c r="J141" i="74"/>
  <c r="H260" i="66"/>
  <c r="S189" i="66"/>
  <c r="M121" i="74"/>
  <c r="M11" i="74"/>
  <c r="J114" i="74"/>
  <c r="N63" i="74"/>
  <c r="N58" i="74"/>
  <c r="M67" i="74"/>
  <c r="N112" i="74"/>
  <c r="G91" i="74"/>
  <c r="Q157" i="66"/>
  <c r="W157" i="66" s="1"/>
  <c r="N133" i="74"/>
  <c r="G106" i="74"/>
  <c r="S167" i="66"/>
  <c r="X157" i="66"/>
  <c r="Q99" i="66"/>
  <c r="W99" i="66" s="1"/>
  <c r="Y99" i="66" s="1"/>
  <c r="M72" i="74"/>
  <c r="M22" i="74"/>
  <c r="T99" i="66"/>
  <c r="L138" i="74"/>
  <c r="T114" i="66"/>
  <c r="I473" i="58"/>
  <c r="I473" i="41" s="1"/>
  <c r="N15" i="74"/>
  <c r="L85" i="74"/>
  <c r="J75" i="74"/>
  <c r="S4" i="66"/>
  <c r="L115" i="74"/>
  <c r="N30" i="74"/>
  <c r="L67" i="74"/>
  <c r="M18" i="74"/>
  <c r="J56" i="74"/>
  <c r="T53" i="66"/>
  <c r="J5" i="74"/>
  <c r="T220" i="66"/>
  <c r="L118" i="74"/>
  <c r="M61" i="74"/>
  <c r="L132" i="74"/>
  <c r="N110" i="74"/>
  <c r="O4" i="41"/>
  <c r="M76" i="74"/>
  <c r="X176" i="66"/>
  <c r="K53" i="74"/>
  <c r="S53" i="74" s="1"/>
  <c r="S176" i="66"/>
  <c r="U176" i="66" s="1"/>
  <c r="H25" i="74"/>
  <c r="J104" i="74"/>
  <c r="L103" i="74"/>
  <c r="L99" i="74"/>
  <c r="N14" i="74"/>
  <c r="N105" i="74"/>
  <c r="G100" i="74"/>
  <c r="O6" i="41"/>
  <c r="X132" i="66"/>
  <c r="L6" i="74"/>
  <c r="T4" i="66"/>
  <c r="J73" i="74"/>
  <c r="M109" i="74"/>
  <c r="N25" i="74"/>
  <c r="K114" i="74"/>
  <c r="X114" i="74" s="1"/>
  <c r="N142" i="74"/>
  <c r="J79" i="74"/>
  <c r="N27" i="74"/>
  <c r="N47" i="74"/>
  <c r="N97" i="74"/>
  <c r="G283" i="66"/>
  <c r="O283" i="66" s="1"/>
  <c r="K4" i="74"/>
  <c r="T4" i="74" s="1"/>
  <c r="N17" i="74"/>
  <c r="X4" i="66"/>
  <c r="E13" i="39"/>
  <c r="E14" i="39"/>
  <c r="N95" i="74"/>
  <c r="G284" i="66"/>
  <c r="AB3" i="39"/>
  <c r="G71" i="74"/>
  <c r="G124" i="74"/>
  <c r="L69" i="74"/>
  <c r="H73" i="74"/>
  <c r="M9" i="74"/>
  <c r="N129" i="74"/>
  <c r="N139" i="74"/>
  <c r="J53" i="74"/>
  <c r="O5" i="41"/>
  <c r="N73" i="74"/>
  <c r="J42" i="74"/>
  <c r="T82" i="66"/>
  <c r="N90" i="74"/>
  <c r="S156" i="66"/>
  <c r="J134" i="74"/>
  <c r="Q82" i="66"/>
  <c r="W82" i="66" s="1"/>
  <c r="Y82" i="66" s="1"/>
  <c r="N49" i="74"/>
  <c r="J110" i="74"/>
  <c r="J428" i="41"/>
  <c r="N53" i="74"/>
  <c r="N126" i="74"/>
  <c r="L42" i="74"/>
  <c r="N45" i="74"/>
  <c r="L45" i="74"/>
  <c r="J43" i="74"/>
  <c r="J8" i="74"/>
  <c r="M44" i="74"/>
  <c r="J38" i="74"/>
  <c r="N98" i="74"/>
  <c r="L12" i="74"/>
  <c r="L46" i="39"/>
  <c r="E159" i="38" s="1"/>
  <c r="I467" i="58" s="1"/>
  <c r="M135" i="74"/>
  <c r="N79" i="74"/>
  <c r="L122" i="74"/>
  <c r="J115" i="74"/>
  <c r="L100" i="74"/>
  <c r="E363" i="38"/>
  <c r="L124" i="66" s="1"/>
  <c r="O124" i="66" s="1"/>
  <c r="J476" i="41"/>
  <c r="J436" i="41"/>
  <c r="J460" i="37"/>
  <c r="J461" i="37"/>
  <c r="G134" i="74"/>
  <c r="G127" i="66"/>
  <c r="G127" i="74" s="1"/>
  <c r="J426" i="41"/>
  <c r="M75" i="74"/>
  <c r="F222" i="18"/>
  <c r="G125" i="66"/>
  <c r="G125" i="74" s="1"/>
  <c r="J429" i="41"/>
  <c r="H56" i="74"/>
  <c r="J105" i="74"/>
  <c r="J427" i="41"/>
  <c r="E15" i="39" s="1"/>
  <c r="G141" i="66"/>
  <c r="E42" i="39"/>
  <c r="E123" i="38" s="1"/>
  <c r="J132" i="74"/>
  <c r="G129" i="66"/>
  <c r="G129" i="74" s="1"/>
  <c r="J434" i="41"/>
  <c r="J11" i="74"/>
  <c r="G285" i="66"/>
  <c r="M42" i="39"/>
  <c r="E174" i="38" s="1"/>
  <c r="J461" i="58"/>
  <c r="J460" i="58"/>
  <c r="N76" i="74"/>
  <c r="N60" i="74"/>
  <c r="L101" i="74"/>
  <c r="N123" i="74"/>
  <c r="L37" i="74"/>
  <c r="H27" i="74"/>
  <c r="E16" i="39"/>
  <c r="M77" i="74"/>
  <c r="H42" i="74"/>
  <c r="J143" i="74"/>
  <c r="L32" i="74"/>
  <c r="N44" i="74"/>
  <c r="M5" i="74"/>
  <c r="N100" i="74"/>
  <c r="M27" i="74"/>
  <c r="M29" i="74"/>
  <c r="N28" i="74"/>
  <c r="M79" i="74"/>
  <c r="H75" i="74"/>
  <c r="N34" i="74"/>
  <c r="J99" i="74"/>
  <c r="N94" i="74"/>
  <c r="H5" i="74"/>
  <c r="L63" i="74"/>
  <c r="L78" i="74"/>
  <c r="M95" i="74"/>
  <c r="L88" i="74"/>
  <c r="M125" i="74"/>
  <c r="L36" i="74"/>
  <c r="M88" i="74"/>
  <c r="T253" i="66"/>
  <c r="N36" i="74"/>
  <c r="M100" i="74"/>
  <c r="N5" i="74"/>
  <c r="N146" i="74"/>
  <c r="J98" i="74"/>
  <c r="N75" i="74"/>
  <c r="O156" i="66"/>
  <c r="L102" i="74"/>
  <c r="N40" i="74"/>
  <c r="N12" i="74"/>
  <c r="N33" i="74"/>
  <c r="L147" i="74"/>
  <c r="N71" i="74"/>
  <c r="N24" i="74"/>
  <c r="N4" i="74"/>
  <c r="J77" i="74"/>
  <c r="N52" i="74"/>
  <c r="M47" i="74"/>
  <c r="L117" i="74"/>
  <c r="J22" i="74"/>
  <c r="N127" i="74"/>
  <c r="L29" i="74"/>
  <c r="L35" i="74"/>
  <c r="J20" i="74"/>
  <c r="L15" i="74"/>
  <c r="H88" i="74"/>
  <c r="J14" i="74"/>
  <c r="O202" i="66"/>
  <c r="M104" i="74"/>
  <c r="J34" i="74"/>
  <c r="S34" i="66"/>
  <c r="M19" i="74"/>
  <c r="L64" i="74"/>
  <c r="N120" i="74"/>
  <c r="L107" i="74"/>
  <c r="J17" i="74"/>
  <c r="L89" i="74"/>
  <c r="L58" i="74"/>
  <c r="L33" i="74"/>
  <c r="S154" i="66"/>
  <c r="M129" i="74"/>
  <c r="M52" i="74"/>
  <c r="T34" i="66"/>
  <c r="M134" i="74"/>
  <c r="L129" i="74"/>
  <c r="S99" i="66"/>
  <c r="J107" i="74"/>
  <c r="M16" i="74"/>
  <c r="O223" i="66"/>
  <c r="J100" i="74"/>
  <c r="J89" i="74"/>
  <c r="N114" i="74"/>
  <c r="J92" i="74"/>
  <c r="L110" i="74"/>
  <c r="M111" i="74"/>
  <c r="L133" i="74"/>
  <c r="N31" i="74"/>
  <c r="M73" i="74"/>
  <c r="N115" i="74"/>
  <c r="J97" i="74"/>
  <c r="N132" i="74"/>
  <c r="J50" i="74"/>
  <c r="L10" i="74"/>
  <c r="J83" i="74"/>
  <c r="H90" i="74"/>
  <c r="L13" i="74"/>
  <c r="J431" i="41"/>
  <c r="J85" i="74"/>
  <c r="L28" i="74"/>
  <c r="L72" i="74"/>
  <c r="N88" i="74"/>
  <c r="M91" i="74"/>
  <c r="J36" i="74"/>
  <c r="I454" i="41"/>
  <c r="J439" i="41"/>
  <c r="I463" i="41"/>
  <c r="I453" i="41"/>
  <c r="H17" i="74"/>
  <c r="O182" i="66"/>
  <c r="N62" i="74"/>
  <c r="O196" i="66"/>
  <c r="L97" i="74"/>
  <c r="H53" i="74"/>
  <c r="M25" i="74"/>
  <c r="L41" i="74"/>
  <c r="L48" i="74"/>
  <c r="O241" i="66"/>
  <c r="H10" i="74"/>
  <c r="X9" i="66"/>
  <c r="J41" i="74"/>
  <c r="L141" i="74"/>
  <c r="L24" i="74"/>
  <c r="M39" i="74"/>
  <c r="M40" i="74"/>
  <c r="Q9" i="66"/>
  <c r="W9" i="66" s="1"/>
  <c r="M49" i="74"/>
  <c r="N77" i="74"/>
  <c r="M33" i="74"/>
  <c r="S190" i="66"/>
  <c r="S9" i="66"/>
  <c r="U9" i="66" s="1"/>
  <c r="J76" i="74"/>
  <c r="J84" i="74"/>
  <c r="L71" i="74"/>
  <c r="N37" i="74"/>
  <c r="N101" i="74"/>
  <c r="L112" i="74"/>
  <c r="L4" i="74"/>
  <c r="J101" i="74"/>
  <c r="M145" i="74"/>
  <c r="L59" i="74"/>
  <c r="S253" i="66"/>
  <c r="N11" i="74"/>
  <c r="J40" i="74"/>
  <c r="M114" i="74"/>
  <c r="N145" i="74"/>
  <c r="H92" i="74"/>
  <c r="I444" i="41"/>
  <c r="L134" i="74"/>
  <c r="J102" i="74"/>
  <c r="J131" i="74"/>
  <c r="I443" i="41"/>
  <c r="O175" i="66"/>
  <c r="L94" i="74"/>
  <c r="O46" i="66"/>
  <c r="H30" i="74"/>
  <c r="H61" i="74"/>
  <c r="J135" i="74"/>
  <c r="L40" i="74"/>
  <c r="N141" i="74"/>
  <c r="I449" i="41"/>
  <c r="G142" i="74"/>
  <c r="J94" i="74"/>
  <c r="N78" i="74"/>
  <c r="N29" i="74"/>
  <c r="M99" i="74"/>
  <c r="L90" i="74"/>
  <c r="J19" i="74"/>
  <c r="N72" i="74"/>
  <c r="O190" i="66"/>
  <c r="L61" i="74"/>
  <c r="T124" i="66"/>
  <c r="Q124" i="66"/>
  <c r="K124" i="74"/>
  <c r="X124" i="66"/>
  <c r="K39" i="20"/>
  <c r="K35" i="20"/>
  <c r="T36" i="20"/>
  <c r="T42" i="20"/>
  <c r="K43" i="20"/>
  <c r="K34" i="20"/>
  <c r="T46" i="20"/>
  <c r="T40" i="20"/>
  <c r="T44" i="20"/>
  <c r="K40" i="20"/>
  <c r="E88" i="22"/>
  <c r="T35" i="20"/>
  <c r="K44" i="20"/>
  <c r="K45" i="20"/>
  <c r="K37" i="20"/>
  <c r="K46" i="20"/>
  <c r="T39" i="20"/>
  <c r="K33" i="20"/>
  <c r="K42" i="20"/>
  <c r="K36" i="20"/>
  <c r="T34" i="20"/>
  <c r="T43" i="20"/>
  <c r="K41" i="20"/>
  <c r="K38" i="20"/>
  <c r="T38" i="20"/>
  <c r="T45" i="20"/>
  <c r="T37" i="20"/>
  <c r="T41" i="20"/>
  <c r="T33" i="20"/>
  <c r="R40" i="9"/>
  <c r="X190" i="66"/>
  <c r="Q190" i="66"/>
  <c r="W190" i="66" s="1"/>
  <c r="T190" i="66"/>
  <c r="F141" i="18"/>
  <c r="J141" i="18"/>
  <c r="J440" i="37"/>
  <c r="H122" i="66"/>
  <c r="H44" i="74"/>
  <c r="O44" i="66"/>
  <c r="I44" i="18"/>
  <c r="H44" i="18"/>
  <c r="H78" i="74"/>
  <c r="H32" i="74"/>
  <c r="O32" i="66"/>
  <c r="I462" i="41"/>
  <c r="F303" i="18"/>
  <c r="J303" i="18"/>
  <c r="H284" i="66"/>
  <c r="J453" i="58"/>
  <c r="H272" i="66"/>
  <c r="O272" i="66" s="1"/>
  <c r="J448" i="58"/>
  <c r="H5" i="18"/>
  <c r="I5" i="18"/>
  <c r="G263" i="66"/>
  <c r="O192" i="66"/>
  <c r="T288" i="66"/>
  <c r="Q288" i="66"/>
  <c r="X288" i="66"/>
  <c r="J175" i="18"/>
  <c r="F175" i="18"/>
  <c r="K76" i="74"/>
  <c r="L62" i="74"/>
  <c r="J13" i="74"/>
  <c r="N26" i="74"/>
  <c r="M15" i="74"/>
  <c r="Q272" i="66"/>
  <c r="X272" i="66"/>
  <c r="T272" i="66"/>
  <c r="J86" i="18"/>
  <c r="F86" i="18"/>
  <c r="J450" i="37"/>
  <c r="H125" i="66"/>
  <c r="H118" i="66"/>
  <c r="J454" i="37"/>
  <c r="F133" i="18"/>
  <c r="J133" i="18"/>
  <c r="F95" i="18"/>
  <c r="J95" i="18"/>
  <c r="I52" i="18"/>
  <c r="H52" i="18"/>
  <c r="I49" i="18"/>
  <c r="H49" i="18"/>
  <c r="T156" i="66"/>
  <c r="Q156" i="66"/>
  <c r="W156" i="66" s="1"/>
  <c r="X156" i="66"/>
  <c r="H74" i="74"/>
  <c r="H257" i="66"/>
  <c r="J449" i="58"/>
  <c r="I10" i="18"/>
  <c r="H10" i="18"/>
  <c r="Q237" i="66"/>
  <c r="X237" i="66"/>
  <c r="T237" i="66"/>
  <c r="H48" i="74"/>
  <c r="O48" i="66"/>
  <c r="H77" i="74"/>
  <c r="O77" i="66"/>
  <c r="J441" i="37"/>
  <c r="J441" i="41" s="1"/>
  <c r="H116" i="66"/>
  <c r="F304" i="18"/>
  <c r="J304" i="18"/>
  <c r="T76" i="66"/>
  <c r="L26" i="74"/>
  <c r="L80" i="74"/>
  <c r="O61" i="66"/>
  <c r="C4" i="9"/>
  <c r="Q36" i="9" a="1"/>
  <c r="Q36" i="9" s="1"/>
  <c r="Q28" i="9" a="1"/>
  <c r="Q28" i="9" s="1"/>
  <c r="Q38" i="9" a="1"/>
  <c r="Q38" i="9" s="1"/>
  <c r="E85" i="22" s="1"/>
  <c r="Q26" i="9" a="1"/>
  <c r="Q26" i="9" s="1"/>
  <c r="J136" i="18"/>
  <c r="F136" i="18"/>
  <c r="G139" i="66"/>
  <c r="J433" i="41"/>
  <c r="F139" i="18"/>
  <c r="J139" i="18"/>
  <c r="F216" i="18"/>
  <c r="J216" i="18"/>
  <c r="T23" i="66"/>
  <c r="X23" i="66"/>
  <c r="Q23" i="66"/>
  <c r="W23" i="66" s="1"/>
  <c r="K23" i="74"/>
  <c r="H136" i="66"/>
  <c r="J446" i="37"/>
  <c r="H128" i="66"/>
  <c r="J448" i="37"/>
  <c r="K96" i="74"/>
  <c r="T96" i="66"/>
  <c r="Q96" i="66"/>
  <c r="X96" i="66"/>
  <c r="F218" i="18"/>
  <c r="J218" i="18"/>
  <c r="I46" i="18"/>
  <c r="H46" i="18"/>
  <c r="I47" i="18"/>
  <c r="H47" i="18"/>
  <c r="F224" i="18"/>
  <c r="J224" i="18"/>
  <c r="J98" i="18"/>
  <c r="F98" i="18"/>
  <c r="I440" i="41"/>
  <c r="F309" i="18"/>
  <c r="J309" i="18"/>
  <c r="D46" i="39"/>
  <c r="E108" i="38" s="1"/>
  <c r="H68" i="74"/>
  <c r="J305" i="18"/>
  <c r="F305" i="18"/>
  <c r="H9" i="18"/>
  <c r="I9" i="18"/>
  <c r="D7" i="72" a="1"/>
  <c r="D7" i="72" s="1"/>
  <c r="J129" i="18"/>
  <c r="F129" i="18"/>
  <c r="F174" i="18"/>
  <c r="J174" i="18"/>
  <c r="I442" i="41"/>
  <c r="X167" i="66"/>
  <c r="Q167" i="66"/>
  <c r="W167" i="66" s="1"/>
  <c r="T167" i="66"/>
  <c r="J93" i="18"/>
  <c r="F93" i="18"/>
  <c r="J259" i="18"/>
  <c r="F259" i="18"/>
  <c r="I51" i="18"/>
  <c r="H51" i="18"/>
  <c r="H12" i="18"/>
  <c r="I12" i="18"/>
  <c r="J463" i="58"/>
  <c r="K250" i="66"/>
  <c r="O250" i="66" s="1"/>
  <c r="L53" i="74"/>
  <c r="M112" i="74"/>
  <c r="N82" i="74"/>
  <c r="O204" i="66"/>
  <c r="M13" i="74"/>
  <c r="L46" i="74"/>
  <c r="T231" i="66"/>
  <c r="L49" i="74"/>
  <c r="D48" i="17"/>
  <c r="M10" i="9"/>
  <c r="O26" i="9" a="1"/>
  <c r="O26" i="9" s="1"/>
  <c r="O38" i="9" a="1"/>
  <c r="O38" i="9" s="1"/>
  <c r="E75" i="22" s="1"/>
  <c r="O28" i="9" a="1"/>
  <c r="O28" i="9" s="1"/>
  <c r="O36" i="9" a="1"/>
  <c r="O36" i="9" s="1"/>
  <c r="J135" i="18"/>
  <c r="F135" i="18"/>
  <c r="G140" i="66"/>
  <c r="J432" i="41"/>
  <c r="K117" i="74"/>
  <c r="T117" i="66"/>
  <c r="X117" i="66"/>
  <c r="O214" i="66"/>
  <c r="F177" i="18"/>
  <c r="J177" i="18"/>
  <c r="J453" i="37"/>
  <c r="H140" i="66"/>
  <c r="X192" i="66"/>
  <c r="T192" i="66"/>
  <c r="Q192" i="66"/>
  <c r="W192" i="66" s="1"/>
  <c r="J170" i="18"/>
  <c r="F170" i="18"/>
  <c r="I50" i="18"/>
  <c r="H50" i="18"/>
  <c r="F89" i="18"/>
  <c r="J89" i="18"/>
  <c r="O173" i="66"/>
  <c r="X165" i="66"/>
  <c r="T165" i="66"/>
  <c r="J263" i="18"/>
  <c r="F263" i="18"/>
  <c r="J443" i="58"/>
  <c r="H245" i="66"/>
  <c r="I7" i="18"/>
  <c r="H7" i="18"/>
  <c r="O221" i="66"/>
  <c r="J132" i="18"/>
  <c r="F132" i="18"/>
  <c r="J301" i="18"/>
  <c r="F301" i="18"/>
  <c r="E45" i="22"/>
  <c r="R8" i="9"/>
  <c r="H29" i="74"/>
  <c r="O29" i="66"/>
  <c r="X128" i="66"/>
  <c r="T128" i="66"/>
  <c r="Q128" i="66"/>
  <c r="K128" i="74"/>
  <c r="H45" i="18"/>
  <c r="I45" i="18"/>
  <c r="Q93" i="66"/>
  <c r="X93" i="66"/>
  <c r="T93" i="66"/>
  <c r="K93" i="74"/>
  <c r="Q76" i="66"/>
  <c r="L95" i="74"/>
  <c r="M147" i="74"/>
  <c r="L47" i="74"/>
  <c r="M14" i="74"/>
  <c r="S231" i="66"/>
  <c r="L14" i="74"/>
  <c r="J15" i="74"/>
  <c r="Q224" i="66"/>
  <c r="T224" i="66"/>
  <c r="X224" i="66"/>
  <c r="G143" i="66"/>
  <c r="G143" i="74" s="1"/>
  <c r="J430" i="41"/>
  <c r="K106" i="66"/>
  <c r="J463" i="37"/>
  <c r="T48" i="66"/>
  <c r="Q48" i="66"/>
  <c r="W48" i="66" s="1"/>
  <c r="X48" i="66"/>
  <c r="K48" i="74"/>
  <c r="H96" i="74"/>
  <c r="O96" i="66"/>
  <c r="F128" i="18"/>
  <c r="J128" i="18"/>
  <c r="E312" i="38"/>
  <c r="E306" i="38"/>
  <c r="J212" i="18"/>
  <c r="F212" i="18"/>
  <c r="I57" i="18"/>
  <c r="H57" i="18"/>
  <c r="J262" i="18"/>
  <c r="F262" i="18"/>
  <c r="J130" i="18"/>
  <c r="F130" i="18"/>
  <c r="J94" i="18"/>
  <c r="F94" i="18"/>
  <c r="E120" i="38"/>
  <c r="F223" i="18"/>
  <c r="J223" i="18"/>
  <c r="X204" i="66"/>
  <c r="T204" i="66"/>
  <c r="Q204" i="66"/>
  <c r="X261" i="66"/>
  <c r="T261" i="66"/>
  <c r="H270" i="66"/>
  <c r="J445" i="58"/>
  <c r="G108" i="74"/>
  <c r="O176" i="66"/>
  <c r="J213" i="18"/>
  <c r="F213" i="18"/>
  <c r="H13" i="18"/>
  <c r="I13" i="18"/>
  <c r="I450" i="41"/>
  <c r="F137" i="18"/>
  <c r="J137" i="18"/>
  <c r="O188" i="66"/>
  <c r="H269" i="66"/>
  <c r="O269" i="66" s="1"/>
  <c r="J450" i="58"/>
  <c r="L9" i="74"/>
  <c r="Q220" i="66"/>
  <c r="N10" i="74"/>
  <c r="Q231" i="66"/>
  <c r="W231" i="66" s="1"/>
  <c r="Y231" i="66" s="1"/>
  <c r="F225" i="18"/>
  <c r="J225" i="18"/>
  <c r="Q46" i="66"/>
  <c r="W46" i="66" s="1"/>
  <c r="T46" i="66"/>
  <c r="K46" i="74"/>
  <c r="X46" i="66"/>
  <c r="H101" i="66"/>
  <c r="J443" i="37"/>
  <c r="E324" i="38"/>
  <c r="N213" i="66" s="1"/>
  <c r="E318" i="38"/>
  <c r="D101" i="72" a="1"/>
  <c r="D101" i="72" s="1"/>
  <c r="F131" i="18"/>
  <c r="J131" i="18"/>
  <c r="H55" i="18"/>
  <c r="I55" i="18"/>
  <c r="J261" i="18"/>
  <c r="F261" i="18"/>
  <c r="J260" i="18"/>
  <c r="F260" i="18"/>
  <c r="X12" i="66"/>
  <c r="K12" i="74"/>
  <c r="T12" i="66"/>
  <c r="Q12" i="66"/>
  <c r="W12" i="66" s="1"/>
  <c r="J176" i="18"/>
  <c r="F176" i="18"/>
  <c r="F267" i="18"/>
  <c r="J267" i="18"/>
  <c r="H266" i="66"/>
  <c r="J440" i="58"/>
  <c r="J477" i="41"/>
  <c r="E364" i="38"/>
  <c r="L108" i="66" s="1"/>
  <c r="L108" i="74" s="1"/>
  <c r="J99" i="18"/>
  <c r="F99" i="18"/>
  <c r="I15" i="18"/>
  <c r="H15" i="18"/>
  <c r="I447" i="41"/>
  <c r="E288" i="38"/>
  <c r="E282" i="38"/>
  <c r="E171" i="38"/>
  <c r="D40" i="72" a="1"/>
  <c r="D40" i="72" s="1"/>
  <c r="D41" i="72" s="1" a="1"/>
  <c r="D41" i="72" s="1"/>
  <c r="T154" i="66"/>
  <c r="Q154" i="66"/>
  <c r="W154" i="66" s="1"/>
  <c r="X154" i="66"/>
  <c r="J215" i="18"/>
  <c r="F215" i="18"/>
  <c r="D162" i="72" a="1"/>
  <c r="D162" i="72" s="1"/>
  <c r="G51" i="66"/>
  <c r="E287" i="38"/>
  <c r="N51" i="66" s="1"/>
  <c r="D224" i="72" a="1"/>
  <c r="D224" i="72" s="1"/>
  <c r="I54" i="18"/>
  <c r="H54" i="18"/>
  <c r="J219" i="18"/>
  <c r="F219" i="18"/>
  <c r="H425" i="37"/>
  <c r="L82" i="74"/>
  <c r="N136" i="74"/>
  <c r="L11" i="74"/>
  <c r="M87" i="74"/>
  <c r="S262" i="66"/>
  <c r="J82" i="74"/>
  <c r="L146" i="74"/>
  <c r="J264" i="18"/>
  <c r="F264" i="18"/>
  <c r="F182" i="18"/>
  <c r="J182" i="18"/>
  <c r="J91" i="18"/>
  <c r="F91" i="18"/>
  <c r="J217" i="18"/>
  <c r="F217" i="18"/>
  <c r="Q172" i="66"/>
  <c r="W172" i="66" s="1"/>
  <c r="T172" i="66"/>
  <c r="X172" i="66"/>
  <c r="H113" i="66"/>
  <c r="J449" i="37"/>
  <c r="J138" i="18"/>
  <c r="F138" i="18"/>
  <c r="J298" i="18"/>
  <c r="F298" i="18"/>
  <c r="I458" i="37"/>
  <c r="I459" i="37"/>
  <c r="K94" i="66"/>
  <c r="O94" i="66" s="1"/>
  <c r="F87" i="18"/>
  <c r="J87" i="18"/>
  <c r="J178" i="18"/>
  <c r="F178" i="18"/>
  <c r="H262" i="66"/>
  <c r="O262" i="66" s="1"/>
  <c r="J454" i="58"/>
  <c r="K108" i="66"/>
  <c r="J462" i="37"/>
  <c r="D69" i="72" a="1"/>
  <c r="D69" i="72" s="1"/>
  <c r="I4" i="18"/>
  <c r="H4" i="18"/>
  <c r="O240" i="66"/>
  <c r="E300" i="38"/>
  <c r="N165" i="66" s="1"/>
  <c r="E294" i="38"/>
  <c r="J255" i="18"/>
  <c r="F255" i="18"/>
  <c r="G155" i="66"/>
  <c r="H491" i="41"/>
  <c r="F220" i="18"/>
  <c r="J220" i="18"/>
  <c r="E5" i="53"/>
  <c r="F5" i="53" s="1"/>
  <c r="H11" i="53" s="1"/>
  <c r="G50" i="66"/>
  <c r="H288" i="66"/>
  <c r="O288" i="66" s="1"/>
  <c r="J447" i="58"/>
  <c r="M24" i="74"/>
  <c r="J57" i="74"/>
  <c r="H55" i="74"/>
  <c r="L60" i="74"/>
  <c r="L17" i="74"/>
  <c r="F214" i="18"/>
  <c r="J214" i="18"/>
  <c r="T21" i="66"/>
  <c r="X21" i="66"/>
  <c r="K21" i="74"/>
  <c r="J478" i="41"/>
  <c r="E365" i="38"/>
  <c r="L106" i="66" s="1"/>
  <c r="L106" i="74" s="1"/>
  <c r="Q28" i="66"/>
  <c r="W28" i="66" s="1"/>
  <c r="T28" i="66"/>
  <c r="K28" i="74"/>
  <c r="X28" i="66"/>
  <c r="J96" i="18"/>
  <c r="F96" i="18"/>
  <c r="H126" i="66"/>
  <c r="J445" i="37"/>
  <c r="J257" i="18"/>
  <c r="F257" i="18"/>
  <c r="H473" i="41"/>
  <c r="T189" i="66"/>
  <c r="X189" i="66"/>
  <c r="Q189" i="66"/>
  <c r="W189" i="66" s="1"/>
  <c r="G119" i="66"/>
  <c r="H56" i="18"/>
  <c r="I56" i="18"/>
  <c r="J256" i="18"/>
  <c r="F256" i="18"/>
  <c r="J475" i="41"/>
  <c r="E362" i="38"/>
  <c r="L142" i="66" s="1"/>
  <c r="L142" i="74" s="1"/>
  <c r="I445" i="41"/>
  <c r="J173" i="18"/>
  <c r="F173" i="18"/>
  <c r="J442" i="58"/>
  <c r="H265" i="66"/>
  <c r="I11" i="18"/>
  <c r="H11" i="18"/>
  <c r="H14" i="18"/>
  <c r="I14" i="18"/>
  <c r="Q202" i="66"/>
  <c r="X202" i="66"/>
  <c r="T202" i="66"/>
  <c r="K238" i="66"/>
  <c r="O238" i="66" s="1"/>
  <c r="I459" i="58"/>
  <c r="C50" i="63" s="1"/>
  <c r="I458" i="58"/>
  <c r="G162" i="66"/>
  <c r="H490" i="41"/>
  <c r="J438" i="41"/>
  <c r="G109" i="66"/>
  <c r="G109" i="74" s="1"/>
  <c r="F183" i="18"/>
  <c r="J183" i="18"/>
  <c r="Q268" i="66"/>
  <c r="T268" i="66"/>
  <c r="X268" i="66"/>
  <c r="J221" i="18"/>
  <c r="F221" i="18"/>
  <c r="N9" i="74"/>
  <c r="M101" i="74"/>
  <c r="L23" i="74"/>
  <c r="J33" i="74"/>
  <c r="J54" i="74"/>
  <c r="J59" i="74"/>
  <c r="K252" i="66"/>
  <c r="J462" i="58"/>
  <c r="H18" i="74"/>
  <c r="O18" i="66"/>
  <c r="F171" i="18"/>
  <c r="J171" i="18"/>
  <c r="I446" i="41"/>
  <c r="J307" i="18"/>
  <c r="F307" i="18"/>
  <c r="Q144" i="66"/>
  <c r="X144" i="66"/>
  <c r="T144" i="66"/>
  <c r="K144" i="74"/>
  <c r="J300" i="18"/>
  <c r="F300" i="18"/>
  <c r="J442" i="37"/>
  <c r="H121" i="66"/>
  <c r="Q45" i="66"/>
  <c r="W45" i="66" s="1"/>
  <c r="X45" i="66"/>
  <c r="T45" i="66"/>
  <c r="K45" i="74"/>
  <c r="H80" i="74"/>
  <c r="O80" i="66"/>
  <c r="I53" i="18"/>
  <c r="H53" i="18"/>
  <c r="J258" i="18"/>
  <c r="F258" i="18"/>
  <c r="K80" i="74"/>
  <c r="X80" i="66"/>
  <c r="T80" i="66"/>
  <c r="Q80" i="66"/>
  <c r="H282" i="66"/>
  <c r="J444" i="58"/>
  <c r="J90" i="18"/>
  <c r="F90" i="18"/>
  <c r="H22" i="74"/>
  <c r="O22" i="66"/>
  <c r="H6" i="18"/>
  <c r="I6" i="18"/>
  <c r="H2" i="18"/>
  <c r="I2" i="18"/>
  <c r="K69" i="74"/>
  <c r="T69" i="66"/>
  <c r="X69" i="66"/>
  <c r="J266" i="18"/>
  <c r="F266" i="18"/>
  <c r="D285" i="72" a="1"/>
  <c r="D285" i="72" s="1"/>
  <c r="H26" i="74"/>
  <c r="I448" i="41"/>
  <c r="G153" i="66"/>
  <c r="G9" i="74" s="1"/>
  <c r="K44" i="39"/>
  <c r="H492" i="41"/>
  <c r="C17" i="39" s="1"/>
  <c r="F92" i="18"/>
  <c r="J92" i="18"/>
  <c r="H144" i="66"/>
  <c r="J447" i="37"/>
  <c r="T262" i="66"/>
  <c r="O268" i="66"/>
  <c r="L136" i="74"/>
  <c r="F299" i="18"/>
  <c r="J299" i="18"/>
  <c r="E48" i="17"/>
  <c r="P10" i="9"/>
  <c r="O166" i="66"/>
  <c r="X213" i="66"/>
  <c r="T213" i="66"/>
  <c r="F172" i="18"/>
  <c r="J172" i="18"/>
  <c r="J444" i="37"/>
  <c r="H138" i="66"/>
  <c r="G92" i="74"/>
  <c r="O92" i="66"/>
  <c r="H40" i="74"/>
  <c r="J265" i="18"/>
  <c r="F265" i="18"/>
  <c r="F97" i="18"/>
  <c r="J97" i="18"/>
  <c r="I8" i="18"/>
  <c r="H8" i="18"/>
  <c r="H70" i="74"/>
  <c r="O70" i="66"/>
  <c r="O224" i="66"/>
  <c r="H65" i="74"/>
  <c r="F296" i="18"/>
  <c r="J296" i="18"/>
  <c r="J180" i="18"/>
  <c r="F180" i="18"/>
  <c r="N56" i="74"/>
  <c r="O225" i="66"/>
  <c r="L76" i="74"/>
  <c r="J108" i="74"/>
  <c r="L119" i="74"/>
  <c r="E43" i="22"/>
  <c r="T19" i="20"/>
  <c r="K19" i="20"/>
  <c r="R6" i="9"/>
  <c r="K12" i="20"/>
  <c r="K10" i="20"/>
  <c r="T14" i="20"/>
  <c r="T8" i="20"/>
  <c r="T10" i="20"/>
  <c r="T6" i="20"/>
  <c r="K14" i="20"/>
  <c r="T15" i="20"/>
  <c r="K8" i="20"/>
  <c r="T12" i="20"/>
  <c r="K6" i="20"/>
  <c r="K15" i="20"/>
  <c r="T16" i="20"/>
  <c r="K16" i="20"/>
  <c r="K13" i="20"/>
  <c r="K9" i="20"/>
  <c r="T13" i="20"/>
  <c r="K7" i="20"/>
  <c r="T9" i="20"/>
  <c r="K11" i="20"/>
  <c r="T7" i="20"/>
  <c r="T18" i="20"/>
  <c r="T11" i="20"/>
  <c r="T17" i="20"/>
  <c r="K18" i="20"/>
  <c r="K17" i="20"/>
  <c r="R30" i="9"/>
  <c r="T240" i="66"/>
  <c r="Q240" i="66"/>
  <c r="X240" i="66"/>
  <c r="T58" i="66"/>
  <c r="X58" i="66"/>
  <c r="Q58" i="66"/>
  <c r="K58" i="74"/>
  <c r="F297" i="18"/>
  <c r="J297" i="18"/>
  <c r="J181" i="18"/>
  <c r="F181" i="18"/>
  <c r="J254" i="18"/>
  <c r="F254" i="18"/>
  <c r="J302" i="18"/>
  <c r="F302" i="18"/>
  <c r="X10" i="66"/>
  <c r="Q10" i="66"/>
  <c r="W10" i="66" s="1"/>
  <c r="T10" i="66"/>
  <c r="K10" i="74"/>
  <c r="J88" i="18"/>
  <c r="F88" i="18"/>
  <c r="F308" i="18"/>
  <c r="J308" i="18"/>
  <c r="I48" i="18"/>
  <c r="H48" i="18"/>
  <c r="O236" i="66"/>
  <c r="F179" i="18"/>
  <c r="J179" i="18"/>
  <c r="T60" i="66"/>
  <c r="Q60" i="66"/>
  <c r="X60" i="66"/>
  <c r="K60" i="74"/>
  <c r="J140" i="18"/>
  <c r="F140" i="18"/>
  <c r="J446" i="58"/>
  <c r="H280" i="66"/>
  <c r="I3" i="18"/>
  <c r="H3" i="18"/>
  <c r="J134" i="18"/>
  <c r="F134" i="18"/>
  <c r="H11" i="74"/>
  <c r="O11" i="66"/>
  <c r="Q176" i="66"/>
  <c r="W176" i="66" s="1"/>
  <c r="J306" i="18"/>
  <c r="F306" i="18"/>
  <c r="K32" i="74"/>
  <c r="X32" i="66"/>
  <c r="T32" i="66"/>
  <c r="Q32" i="66"/>
  <c r="W32" i="66" s="1"/>
  <c r="H139" i="74"/>
  <c r="H115" i="74"/>
  <c r="N22" i="74"/>
  <c r="O145" i="66"/>
  <c r="H145" i="74"/>
  <c r="J16" i="74"/>
  <c r="O256" i="66"/>
  <c r="H142" i="74"/>
  <c r="O287" i="66"/>
  <c r="Q97" i="66"/>
  <c r="T97" i="66"/>
  <c r="X97" i="66"/>
  <c r="K97" i="74"/>
  <c r="H98" i="74"/>
  <c r="T120" i="66"/>
  <c r="Q120" i="66"/>
  <c r="W120" i="66" s="1"/>
  <c r="X120" i="66"/>
  <c r="S120" i="66"/>
  <c r="K120" i="74"/>
  <c r="L125" i="74"/>
  <c r="T16" i="66"/>
  <c r="X16" i="66"/>
  <c r="Q16" i="66"/>
  <c r="W16" i="66" s="1"/>
  <c r="S16" i="66"/>
  <c r="K16" i="74"/>
  <c r="M118" i="74"/>
  <c r="N119" i="74"/>
  <c r="H79" i="74"/>
  <c r="O79" i="66"/>
  <c r="T193" i="66"/>
  <c r="X193" i="66"/>
  <c r="S193" i="66"/>
  <c r="Q193" i="66"/>
  <c r="W193" i="66" s="1"/>
  <c r="L91" i="74"/>
  <c r="N107" i="74"/>
  <c r="L44" i="74"/>
  <c r="L55" i="74"/>
  <c r="L114" i="74"/>
  <c r="L38" i="74"/>
  <c r="O49" i="66"/>
  <c r="H49" i="74"/>
  <c r="H67" i="74"/>
  <c r="S135" i="66"/>
  <c r="X135" i="66"/>
  <c r="T135" i="66"/>
  <c r="Q135" i="66"/>
  <c r="W135" i="66" s="1"/>
  <c r="K135" i="74"/>
  <c r="X89" i="66"/>
  <c r="T89" i="66"/>
  <c r="K89" i="74"/>
  <c r="M139" i="74"/>
  <c r="M143" i="74"/>
  <c r="X129" i="66"/>
  <c r="T129" i="66"/>
  <c r="S129" i="66"/>
  <c r="Q129" i="66"/>
  <c r="W129" i="66" s="1"/>
  <c r="K129" i="74"/>
  <c r="J63" i="74"/>
  <c r="N85" i="74"/>
  <c r="X55" i="66"/>
  <c r="T55" i="66"/>
  <c r="U55" i="66" s="1"/>
  <c r="K55" i="74"/>
  <c r="S107" i="66"/>
  <c r="Q107" i="66"/>
  <c r="W107" i="66" s="1"/>
  <c r="T107" i="66"/>
  <c r="X107" i="66"/>
  <c r="K107" i="74"/>
  <c r="X50" i="66"/>
  <c r="T50" i="66"/>
  <c r="K50" i="74"/>
  <c r="T145" i="66"/>
  <c r="X145" i="66"/>
  <c r="Q145" i="66"/>
  <c r="K145" i="74"/>
  <c r="H129" i="74"/>
  <c r="Q287" i="66"/>
  <c r="W287" i="66" s="1"/>
  <c r="S287" i="66"/>
  <c r="X287" i="66"/>
  <c r="T287" i="66"/>
  <c r="O239" i="66"/>
  <c r="M42" i="74"/>
  <c r="T39" i="66"/>
  <c r="S39" i="66"/>
  <c r="Q39" i="66"/>
  <c r="W39" i="66" s="1"/>
  <c r="X39" i="66"/>
  <c r="K39" i="74"/>
  <c r="T245" i="66"/>
  <c r="S245" i="66"/>
  <c r="Q245" i="66"/>
  <c r="W245" i="66" s="1"/>
  <c r="X245" i="66"/>
  <c r="M105" i="74"/>
  <c r="M128" i="74"/>
  <c r="S255" i="66"/>
  <c r="X255" i="66"/>
  <c r="T255" i="66"/>
  <c r="Q255" i="66"/>
  <c r="W255" i="66" s="1"/>
  <c r="X210" i="66"/>
  <c r="T210" i="66"/>
  <c r="S210" i="66"/>
  <c r="Q210" i="66"/>
  <c r="W210" i="66" s="1"/>
  <c r="N13" i="74"/>
  <c r="H14" i="74"/>
  <c r="H9" i="74"/>
  <c r="O9" i="66"/>
  <c r="O271" i="66"/>
  <c r="Q278" i="66"/>
  <c r="W278" i="66" s="1"/>
  <c r="X278" i="66"/>
  <c r="T278" i="66"/>
  <c r="S278" i="66"/>
  <c r="Q53" i="66"/>
  <c r="W53" i="66" s="1"/>
  <c r="Y53" i="66" s="1"/>
  <c r="T243" i="66"/>
  <c r="Q243" i="66"/>
  <c r="W243" i="66" s="1"/>
  <c r="X243" i="66"/>
  <c r="S243" i="66"/>
  <c r="T180" i="66"/>
  <c r="X180" i="66"/>
  <c r="H71" i="74"/>
  <c r="Q33" i="66"/>
  <c r="W33" i="66" s="1"/>
  <c r="X33" i="66"/>
  <c r="S33" i="66"/>
  <c r="T33" i="66"/>
  <c r="K33" i="74"/>
  <c r="J23" i="74"/>
  <c r="S168" i="66"/>
  <c r="X168" i="66"/>
  <c r="T168" i="66"/>
  <c r="Q168" i="66"/>
  <c r="W168" i="66" s="1"/>
  <c r="M63" i="74"/>
  <c r="X205" i="66"/>
  <c r="T205" i="66"/>
  <c r="S205" i="66"/>
  <c r="Q205" i="66"/>
  <c r="W205" i="66" s="1"/>
  <c r="N46" i="74"/>
  <c r="H19" i="74"/>
  <c r="X275" i="66"/>
  <c r="T275" i="66"/>
  <c r="S130" i="66"/>
  <c r="Q130" i="66"/>
  <c r="W130" i="66" s="1"/>
  <c r="X130" i="66"/>
  <c r="T130" i="66"/>
  <c r="K130" i="74"/>
  <c r="J61" i="74"/>
  <c r="N118" i="74"/>
  <c r="N23" i="74"/>
  <c r="H37" i="74"/>
  <c r="N8" i="74"/>
  <c r="S88" i="66"/>
  <c r="Q88" i="66"/>
  <c r="W88" i="66" s="1"/>
  <c r="X88" i="66"/>
  <c r="T88" i="66"/>
  <c r="K88" i="74"/>
  <c r="X18" i="66"/>
  <c r="T18" i="66"/>
  <c r="S18" i="66"/>
  <c r="Q18" i="66"/>
  <c r="W18" i="66" s="1"/>
  <c r="K18" i="74"/>
  <c r="O208" i="66"/>
  <c r="S87" i="66"/>
  <c r="Q87" i="66"/>
  <c r="W87" i="66" s="1"/>
  <c r="X87" i="66"/>
  <c r="T87" i="66"/>
  <c r="K87" i="74"/>
  <c r="J48" i="74"/>
  <c r="N32" i="74"/>
  <c r="H87" i="74"/>
  <c r="J121" i="74"/>
  <c r="J47" i="74"/>
  <c r="L43" i="74"/>
  <c r="G36" i="53"/>
  <c r="H30" i="53"/>
  <c r="G30" i="53" s="1"/>
  <c r="J140" i="74"/>
  <c r="H46" i="74"/>
  <c r="L130" i="74"/>
  <c r="N109" i="74"/>
  <c r="T283" i="66"/>
  <c r="S283" i="66"/>
  <c r="Q283" i="66"/>
  <c r="W283" i="66" s="1"/>
  <c r="X283" i="66"/>
  <c r="H62" i="74"/>
  <c r="J95" i="74"/>
  <c r="L74" i="74"/>
  <c r="X242" i="66"/>
  <c r="T242" i="66"/>
  <c r="H100" i="74"/>
  <c r="O100" i="66"/>
  <c r="M82" i="74"/>
  <c r="N93" i="74"/>
  <c r="H135" i="74"/>
  <c r="H137" i="74"/>
  <c r="S53" i="66"/>
  <c r="O235" i="66"/>
  <c r="H38" i="74"/>
  <c r="O38" i="66"/>
  <c r="T52" i="66"/>
  <c r="X52" i="66"/>
  <c r="S52" i="66"/>
  <c r="Q52" i="66"/>
  <c r="W52" i="66" s="1"/>
  <c r="K52" i="74"/>
  <c r="O244" i="66"/>
  <c r="H41" i="74"/>
  <c r="J25" i="74"/>
  <c r="H28" i="74"/>
  <c r="O28" i="66"/>
  <c r="T121" i="66"/>
  <c r="S121" i="66"/>
  <c r="Q121" i="66"/>
  <c r="W121" i="66" s="1"/>
  <c r="X121" i="66"/>
  <c r="K121" i="74"/>
  <c r="H112" i="74"/>
  <c r="O112" i="66"/>
  <c r="G26" i="39"/>
  <c r="S173" i="66"/>
  <c r="X173" i="66"/>
  <c r="T173" i="66"/>
  <c r="Q173" i="66"/>
  <c r="W173" i="66" s="1"/>
  <c r="H12" i="74"/>
  <c r="O12" i="66"/>
  <c r="O253" i="66"/>
  <c r="S47" i="66"/>
  <c r="X47" i="66"/>
  <c r="T47" i="66"/>
  <c r="Q47" i="66"/>
  <c r="W47" i="66" s="1"/>
  <c r="K47" i="74"/>
  <c r="M64" i="74"/>
  <c r="L79" i="74"/>
  <c r="N74" i="74"/>
  <c r="X98" i="66"/>
  <c r="T98" i="66"/>
  <c r="K98" i="74"/>
  <c r="Q14" i="66"/>
  <c r="W14" i="66" s="1"/>
  <c r="X14" i="66"/>
  <c r="T14" i="66"/>
  <c r="S14" i="66"/>
  <c r="K14" i="74"/>
  <c r="N128" i="74"/>
  <c r="J113" i="74"/>
  <c r="T214" i="66"/>
  <c r="S214" i="66"/>
  <c r="Q214" i="66"/>
  <c r="W214" i="66" s="1"/>
  <c r="X214" i="66"/>
  <c r="M96" i="74"/>
  <c r="L65" i="74"/>
  <c r="M66" i="74"/>
  <c r="H134" i="74"/>
  <c r="O134" i="66"/>
  <c r="T169" i="66"/>
  <c r="S169" i="66"/>
  <c r="Q169" i="66"/>
  <c r="W169" i="66" s="1"/>
  <c r="X169" i="66"/>
  <c r="H132" i="74"/>
  <c r="X207" i="66"/>
  <c r="T207" i="66"/>
  <c r="S207" i="66"/>
  <c r="Q207" i="66"/>
  <c r="W207" i="66" s="1"/>
  <c r="L22" i="74"/>
  <c r="X216" i="66"/>
  <c r="Q216" i="66"/>
  <c r="W216" i="66" s="1"/>
  <c r="T216" i="66"/>
  <c r="S216" i="66"/>
  <c r="M124" i="74"/>
  <c r="N70" i="74"/>
  <c r="J81" i="74"/>
  <c r="L143" i="74"/>
  <c r="S75" i="66"/>
  <c r="Q75" i="66"/>
  <c r="W75" i="66" s="1"/>
  <c r="X75" i="66"/>
  <c r="T75" i="66"/>
  <c r="K75" i="74"/>
  <c r="J39" i="74"/>
  <c r="N91" i="74"/>
  <c r="J46" i="74"/>
  <c r="L111" i="74"/>
  <c r="J27" i="74"/>
  <c r="X281" i="66"/>
  <c r="T281" i="66"/>
  <c r="J117" i="74"/>
  <c r="M92" i="74"/>
  <c r="M110" i="74"/>
  <c r="J18" i="74"/>
  <c r="S82" i="66"/>
  <c r="S66" i="66"/>
  <c r="Q66" i="66"/>
  <c r="W66" i="66" s="1"/>
  <c r="X66" i="66"/>
  <c r="T66" i="66"/>
  <c r="K66" i="74"/>
  <c r="S109" i="66"/>
  <c r="Q109" i="66"/>
  <c r="W109" i="66" s="1"/>
  <c r="X109" i="66"/>
  <c r="T109" i="66"/>
  <c r="K109" i="74"/>
  <c r="X194" i="66"/>
  <c r="T194" i="66"/>
  <c r="S111" i="66"/>
  <c r="X111" i="66"/>
  <c r="T111" i="66"/>
  <c r="Q111" i="66"/>
  <c r="W111" i="66" s="1"/>
  <c r="K111" i="74"/>
  <c r="H117" i="74"/>
  <c r="N16" i="74"/>
  <c r="M28" i="74"/>
  <c r="S28" i="66"/>
  <c r="T51" i="66"/>
  <c r="X51" i="66"/>
  <c r="S51" i="66"/>
  <c r="Q51" i="66"/>
  <c r="W51" i="66" s="1"/>
  <c r="K51" i="74"/>
  <c r="L87" i="74"/>
  <c r="S81" i="66"/>
  <c r="Q81" i="66"/>
  <c r="W81" i="66" s="1"/>
  <c r="X81" i="66"/>
  <c r="T81" i="66"/>
  <c r="K81" i="74"/>
  <c r="Q64" i="66"/>
  <c r="X64" i="66"/>
  <c r="T64" i="66"/>
  <c r="K64" i="74"/>
  <c r="L145" i="74"/>
  <c r="L127" i="74"/>
  <c r="M122" i="74"/>
  <c r="H104" i="74"/>
  <c r="Q280" i="66"/>
  <c r="W280" i="66" s="1"/>
  <c r="T280" i="66"/>
  <c r="S280" i="66"/>
  <c r="X280" i="66"/>
  <c r="X200" i="66"/>
  <c r="T200" i="66"/>
  <c r="S200" i="66"/>
  <c r="Q200" i="66"/>
  <c r="W200" i="66" s="1"/>
  <c r="J55" i="74"/>
  <c r="M138" i="74"/>
  <c r="T228" i="66"/>
  <c r="X228" i="66"/>
  <c r="J58" i="74"/>
  <c r="M23" i="74"/>
  <c r="S23" i="66"/>
  <c r="Q112" i="66"/>
  <c r="T112" i="66"/>
  <c r="X112" i="66"/>
  <c r="K112" i="74"/>
  <c r="J142" i="74"/>
  <c r="S197" i="66"/>
  <c r="Q197" i="66"/>
  <c r="W197" i="66" s="1"/>
  <c r="X197" i="66"/>
  <c r="T197" i="66"/>
  <c r="L96" i="74"/>
  <c r="H143" i="74"/>
  <c r="S195" i="66"/>
  <c r="X195" i="66"/>
  <c r="T195" i="66"/>
  <c r="Q195" i="66"/>
  <c r="W195" i="66" s="1"/>
  <c r="T155" i="66"/>
  <c r="Q155" i="66"/>
  <c r="W155" i="66" s="1"/>
  <c r="X155" i="66"/>
  <c r="S155" i="66"/>
  <c r="S73" i="66"/>
  <c r="Q73" i="66"/>
  <c r="W73" i="66" s="1"/>
  <c r="T73" i="66"/>
  <c r="X73" i="66"/>
  <c r="K73" i="74"/>
  <c r="M58" i="74"/>
  <c r="N57" i="74"/>
  <c r="X232" i="66"/>
  <c r="T232" i="66"/>
  <c r="S232" i="66"/>
  <c r="Q232" i="66"/>
  <c r="W232" i="66" s="1"/>
  <c r="J145" i="74"/>
  <c r="T36" i="66"/>
  <c r="X36" i="66"/>
  <c r="K36" i="74"/>
  <c r="M26" i="74"/>
  <c r="Q91" i="66"/>
  <c r="W91" i="66" s="1"/>
  <c r="X91" i="66"/>
  <c r="T91" i="66"/>
  <c r="S91" i="66"/>
  <c r="K91" i="74"/>
  <c r="S104" i="66"/>
  <c r="X104" i="66"/>
  <c r="T104" i="66"/>
  <c r="Q104" i="66"/>
  <c r="W104" i="66" s="1"/>
  <c r="K104" i="74"/>
  <c r="X125" i="66"/>
  <c r="T125" i="66"/>
  <c r="Q125" i="66"/>
  <c r="W125" i="66" s="1"/>
  <c r="S125" i="66"/>
  <c r="K125" i="74"/>
  <c r="T41" i="66"/>
  <c r="X41" i="66"/>
  <c r="K41" i="74"/>
  <c r="M120" i="74"/>
  <c r="N92" i="74"/>
  <c r="N121" i="74"/>
  <c r="J116" i="74"/>
  <c r="H72" i="74"/>
  <c r="H21" i="74"/>
  <c r="H131" i="74"/>
  <c r="J125" i="74"/>
  <c r="L50" i="74"/>
  <c r="N80" i="74"/>
  <c r="J32" i="74"/>
  <c r="X208" i="66"/>
  <c r="T208" i="66"/>
  <c r="Q208" i="66"/>
  <c r="J88" i="74"/>
  <c r="M30" i="74"/>
  <c r="H110" i="74"/>
  <c r="Q267" i="66"/>
  <c r="W267" i="66" s="1"/>
  <c r="S267" i="66"/>
  <c r="X267" i="66"/>
  <c r="T267" i="66"/>
  <c r="H85" i="74"/>
  <c r="M90" i="74"/>
  <c r="J31" i="74"/>
  <c r="N61" i="74"/>
  <c r="N66" i="74"/>
  <c r="X43" i="66"/>
  <c r="T43" i="66"/>
  <c r="S43" i="66"/>
  <c r="Q43" i="66"/>
  <c r="W43" i="66" s="1"/>
  <c r="K43" i="74"/>
  <c r="T244" i="66"/>
  <c r="Q244" i="66"/>
  <c r="W244" i="66" s="1"/>
  <c r="X244" i="66"/>
  <c r="S244" i="66"/>
  <c r="Q95" i="66"/>
  <c r="W95" i="66" s="1"/>
  <c r="S95" i="66"/>
  <c r="X95" i="66"/>
  <c r="T95" i="66"/>
  <c r="K95" i="74"/>
  <c r="Q63" i="66"/>
  <c r="W63" i="66" s="1"/>
  <c r="X63" i="66"/>
  <c r="T63" i="66"/>
  <c r="S63" i="66"/>
  <c r="K63" i="74"/>
  <c r="S147" i="66"/>
  <c r="X147" i="66"/>
  <c r="T147" i="66"/>
  <c r="Q147" i="66"/>
  <c r="W147" i="66" s="1"/>
  <c r="K147" i="74"/>
  <c r="T7" i="66"/>
  <c r="U7" i="66" s="1"/>
  <c r="X7" i="66"/>
  <c r="K7" i="74"/>
  <c r="X256" i="66"/>
  <c r="T256" i="66"/>
  <c r="Q256" i="66"/>
  <c r="H93" i="74"/>
  <c r="O93" i="66"/>
  <c r="F15" i="39"/>
  <c r="H86" i="74"/>
  <c r="O86" i="66"/>
  <c r="H146" i="74"/>
  <c r="J68" i="74"/>
  <c r="H130" i="74"/>
  <c r="J10" i="74"/>
  <c r="H106" i="74"/>
  <c r="H89" i="74"/>
  <c r="H8" i="74"/>
  <c r="S248" i="66"/>
  <c r="X248" i="66"/>
  <c r="T248" i="66"/>
  <c r="Q248" i="66"/>
  <c r="W248" i="66" s="1"/>
  <c r="O148" i="66"/>
  <c r="L70" i="74"/>
  <c r="N122" i="74"/>
  <c r="Q77" i="66"/>
  <c r="W77" i="66" s="1"/>
  <c r="S77" i="66"/>
  <c r="X77" i="66"/>
  <c r="T77" i="66"/>
  <c r="K77" i="74"/>
  <c r="M106" i="74"/>
  <c r="H45" i="74"/>
  <c r="O45" i="66"/>
  <c r="H83" i="74"/>
  <c r="S114" i="66"/>
  <c r="N64" i="74"/>
  <c r="O220" i="66"/>
  <c r="H4" i="74"/>
  <c r="O4" i="66"/>
  <c r="J21" i="74"/>
  <c r="L66" i="74"/>
  <c r="X140" i="66"/>
  <c r="S140" i="66"/>
  <c r="T140" i="66"/>
  <c r="Q140" i="66"/>
  <c r="W140" i="66" s="1"/>
  <c r="K140" i="74"/>
  <c r="L135" i="74"/>
  <c r="J124" i="74"/>
  <c r="X131" i="66"/>
  <c r="T131" i="66"/>
  <c r="K131" i="74"/>
  <c r="N138" i="74"/>
  <c r="J70" i="74"/>
  <c r="N144" i="74"/>
  <c r="S178" i="66"/>
  <c r="Q178" i="66"/>
  <c r="W178" i="66" s="1"/>
  <c r="X178" i="66"/>
  <c r="T178" i="66"/>
  <c r="J60" i="74"/>
  <c r="M70" i="74"/>
  <c r="L98" i="74"/>
  <c r="L86" i="74"/>
  <c r="Q274" i="66"/>
  <c r="W274" i="66" s="1"/>
  <c r="S274" i="66"/>
  <c r="X274" i="66"/>
  <c r="T274" i="66"/>
  <c r="H109" i="74"/>
  <c r="M51" i="74"/>
  <c r="Q221" i="66"/>
  <c r="W221" i="66" s="1"/>
  <c r="X221" i="66"/>
  <c r="T221" i="66"/>
  <c r="S221" i="66"/>
  <c r="H81" i="74"/>
  <c r="O81" i="66"/>
  <c r="O177" i="66"/>
  <c r="M97" i="74"/>
  <c r="K34" i="74"/>
  <c r="H119" i="74"/>
  <c r="T29" i="66"/>
  <c r="Q29" i="66"/>
  <c r="W29" i="66" s="1"/>
  <c r="X29" i="66"/>
  <c r="S29" i="66"/>
  <c r="K29" i="74"/>
  <c r="M141" i="74"/>
  <c r="T291" i="66"/>
  <c r="S291" i="66"/>
  <c r="Q291" i="66"/>
  <c r="W291" i="66" s="1"/>
  <c r="X291" i="66"/>
  <c r="L52" i="74"/>
  <c r="X8" i="66"/>
  <c r="T8" i="66"/>
  <c r="Q8" i="66"/>
  <c r="W8" i="66" s="1"/>
  <c r="S8" i="66"/>
  <c r="K8" i="74"/>
  <c r="S157" i="66"/>
  <c r="U157" i="66" s="1"/>
  <c r="J126" i="74"/>
  <c r="T11" i="66"/>
  <c r="Q11" i="66"/>
  <c r="W11" i="66" s="1"/>
  <c r="X11" i="66"/>
  <c r="S11" i="66"/>
  <c r="K11" i="74"/>
  <c r="S134" i="66"/>
  <c r="Q134" i="66"/>
  <c r="W134" i="66" s="1"/>
  <c r="X134" i="66"/>
  <c r="T134" i="66"/>
  <c r="K134" i="74"/>
  <c r="S24" i="66"/>
  <c r="T24" i="66"/>
  <c r="Q24" i="66"/>
  <c r="W24" i="66" s="1"/>
  <c r="X24" i="66"/>
  <c r="K24" i="74"/>
  <c r="N7" i="74"/>
  <c r="H141" i="74"/>
  <c r="S239" i="66"/>
  <c r="X239" i="66"/>
  <c r="T239" i="66"/>
  <c r="Q239" i="66"/>
  <c r="W239" i="66" s="1"/>
  <c r="H124" i="74"/>
  <c r="G13" i="39"/>
  <c r="H63" i="74"/>
  <c r="T199" i="66"/>
  <c r="U199" i="66" s="1"/>
  <c r="X199" i="66"/>
  <c r="H36" i="74"/>
  <c r="M108" i="74"/>
  <c r="T70" i="66"/>
  <c r="X70" i="66"/>
  <c r="S70" i="66"/>
  <c r="Q70" i="66"/>
  <c r="W70" i="66" s="1"/>
  <c r="K70" i="74"/>
  <c r="H99" i="74"/>
  <c r="M60" i="74"/>
  <c r="X229" i="66"/>
  <c r="T229" i="66"/>
  <c r="O187" i="66"/>
  <c r="L25" i="74"/>
  <c r="L83" i="74"/>
  <c r="L54" i="74"/>
  <c r="X289" i="66"/>
  <c r="T289" i="66"/>
  <c r="Q289" i="66"/>
  <c r="T139" i="66"/>
  <c r="S139" i="66"/>
  <c r="Q139" i="66"/>
  <c r="W139" i="66" s="1"/>
  <c r="X139" i="66"/>
  <c r="K139" i="74"/>
  <c r="J64" i="74"/>
  <c r="N106" i="74"/>
  <c r="S49" i="66"/>
  <c r="T49" i="66"/>
  <c r="Q49" i="66"/>
  <c r="W49" i="66" s="1"/>
  <c r="X49" i="66"/>
  <c r="K49" i="74"/>
  <c r="J119" i="74"/>
  <c r="L140" i="74"/>
  <c r="X35" i="66"/>
  <c r="T35" i="66"/>
  <c r="K35" i="74"/>
  <c r="O237" i="66"/>
  <c r="X219" i="66"/>
  <c r="T219" i="66"/>
  <c r="S219" i="66"/>
  <c r="Q219" i="66"/>
  <c r="W219" i="66" s="1"/>
  <c r="L126" i="74"/>
  <c r="T27" i="66"/>
  <c r="S27" i="66"/>
  <c r="Q27" i="66"/>
  <c r="W27" i="66" s="1"/>
  <c r="X27" i="66"/>
  <c r="K27" i="74"/>
  <c r="X233" i="66"/>
  <c r="T233" i="66"/>
  <c r="J128" i="74"/>
  <c r="J7" i="74"/>
  <c r="O172" i="66"/>
  <c r="S15" i="66"/>
  <c r="X15" i="66"/>
  <c r="T15" i="66"/>
  <c r="Q15" i="66"/>
  <c r="W15" i="66" s="1"/>
  <c r="K15" i="74"/>
  <c r="X284" i="66"/>
  <c r="T284" i="66"/>
  <c r="S284" i="66"/>
  <c r="Q284" i="66"/>
  <c r="W284" i="66" s="1"/>
  <c r="H105" i="74"/>
  <c r="X152" i="66"/>
  <c r="T152" i="66"/>
  <c r="S152" i="66"/>
  <c r="Q152" i="66"/>
  <c r="W152" i="66" s="1"/>
  <c r="J86" i="74"/>
  <c r="X149" i="66"/>
  <c r="Q149" i="66"/>
  <c r="W149" i="66" s="1"/>
  <c r="T149" i="66"/>
  <c r="S149" i="66"/>
  <c r="J109" i="74"/>
  <c r="T159" i="66"/>
  <c r="Q159" i="66"/>
  <c r="W159" i="66" s="1"/>
  <c r="X159" i="66"/>
  <c r="S159" i="66"/>
  <c r="M136" i="74"/>
  <c r="J138" i="74"/>
  <c r="O10" i="66"/>
  <c r="S279" i="66"/>
  <c r="Q279" i="66"/>
  <c r="W279" i="66" s="1"/>
  <c r="X279" i="66"/>
  <c r="T279" i="66"/>
  <c r="N134" i="74"/>
  <c r="H7" i="74"/>
  <c r="T223" i="66"/>
  <c r="S223" i="66"/>
  <c r="Q223" i="66"/>
  <c r="W223" i="66" s="1"/>
  <c r="X223" i="66"/>
  <c r="H43" i="74"/>
  <c r="O43" i="66"/>
  <c r="J51" i="74"/>
  <c r="Q34" i="66"/>
  <c r="W34" i="66" s="1"/>
  <c r="Y34" i="66" s="1"/>
  <c r="J87" i="74"/>
  <c r="X241" i="66"/>
  <c r="T241" i="66"/>
  <c r="Q241" i="66"/>
  <c r="L121" i="74"/>
  <c r="O154" i="66"/>
  <c r="M127" i="74"/>
  <c r="S162" i="66"/>
  <c r="T162" i="66"/>
  <c r="Q162" i="66"/>
  <c r="W162" i="66" s="1"/>
  <c r="X162" i="66"/>
  <c r="M142" i="74"/>
  <c r="S38" i="66"/>
  <c r="Q38" i="66"/>
  <c r="W38" i="66" s="1"/>
  <c r="X38" i="66"/>
  <c r="T38" i="66"/>
  <c r="K38" i="74"/>
  <c r="J106" i="74"/>
  <c r="L92" i="74"/>
  <c r="Q19" i="66"/>
  <c r="W19" i="66" s="1"/>
  <c r="T19" i="66"/>
  <c r="S19" i="66"/>
  <c r="X19" i="66"/>
  <c r="K19" i="74"/>
  <c r="X146" i="66"/>
  <c r="T146" i="66"/>
  <c r="K146" i="74"/>
  <c r="O193" i="66"/>
  <c r="O16" i="66"/>
  <c r="H16" i="74"/>
  <c r="K99" i="74"/>
  <c r="J35" i="74"/>
  <c r="M45" i="74"/>
  <c r="S45" i="66"/>
  <c r="T183" i="66"/>
  <c r="S183" i="66"/>
  <c r="Q183" i="66"/>
  <c r="W183" i="66" s="1"/>
  <c r="X183" i="66"/>
  <c r="N67" i="74"/>
  <c r="X181" i="66"/>
  <c r="T181" i="66"/>
  <c r="Q110" i="66"/>
  <c r="W110" i="66" s="1"/>
  <c r="X110" i="66"/>
  <c r="S110" i="66"/>
  <c r="T110" i="66"/>
  <c r="K110" i="74"/>
  <c r="X143" i="66"/>
  <c r="T143" i="66"/>
  <c r="S143" i="66"/>
  <c r="Q143" i="66"/>
  <c r="W143" i="66" s="1"/>
  <c r="K143" i="74"/>
  <c r="M80" i="74"/>
  <c r="S182" i="66"/>
  <c r="T182" i="66"/>
  <c r="Q182" i="66"/>
  <c r="W182" i="66" s="1"/>
  <c r="X182" i="66"/>
  <c r="S72" i="66"/>
  <c r="X72" i="66"/>
  <c r="Q72" i="66"/>
  <c r="W72" i="66" s="1"/>
  <c r="T72" i="66"/>
  <c r="K72" i="74"/>
  <c r="H69" i="74"/>
  <c r="S86" i="66"/>
  <c r="X86" i="66"/>
  <c r="T86" i="66"/>
  <c r="Q86" i="66"/>
  <c r="W86" i="66" s="1"/>
  <c r="K86" i="74"/>
  <c r="X290" i="66"/>
  <c r="T290" i="66"/>
  <c r="X258" i="66"/>
  <c r="T258" i="66"/>
  <c r="S258" i="66"/>
  <c r="Q258" i="66"/>
  <c r="W258" i="66" s="1"/>
  <c r="N125" i="74"/>
  <c r="T101" i="66"/>
  <c r="X101" i="66"/>
  <c r="S101" i="66"/>
  <c r="Q101" i="66"/>
  <c r="W101" i="66" s="1"/>
  <c r="K101" i="74"/>
  <c r="S92" i="66"/>
  <c r="T92" i="66"/>
  <c r="Q92" i="66"/>
  <c r="W92" i="66" s="1"/>
  <c r="X92" i="66"/>
  <c r="K92" i="74"/>
  <c r="S118" i="66"/>
  <c r="Q118" i="66"/>
  <c r="W118" i="66" s="1"/>
  <c r="X118" i="66"/>
  <c r="T118" i="66"/>
  <c r="K118" i="74"/>
  <c r="H34" i="74"/>
  <c r="Q25" i="66"/>
  <c r="W25" i="66" s="1"/>
  <c r="X25" i="66"/>
  <c r="T25" i="66"/>
  <c r="S25" i="66"/>
  <c r="K25" i="74"/>
  <c r="O189" i="66"/>
  <c r="J44" i="74"/>
  <c r="J133" i="74"/>
  <c r="X277" i="66"/>
  <c r="T277" i="66"/>
  <c r="H108" i="74"/>
  <c r="O205" i="66"/>
  <c r="H76" i="74"/>
  <c r="O76" i="66"/>
  <c r="F13" i="39"/>
  <c r="S160" i="66"/>
  <c r="T160" i="66"/>
  <c r="Q160" i="66"/>
  <c r="W160" i="66" s="1"/>
  <c r="X160" i="66"/>
  <c r="N48" i="74"/>
  <c r="F26" i="39"/>
  <c r="O64" i="66"/>
  <c r="H64" i="74"/>
  <c r="O273" i="66"/>
  <c r="H91" i="74"/>
  <c r="O91" i="66"/>
  <c r="Q163" i="66"/>
  <c r="W163" i="66" s="1"/>
  <c r="X163" i="66"/>
  <c r="T163" i="66"/>
  <c r="S163" i="66"/>
  <c r="X44" i="66"/>
  <c r="T44" i="66"/>
  <c r="S44" i="66"/>
  <c r="Q44" i="66"/>
  <c r="W44" i="66" s="1"/>
  <c r="K44" i="74"/>
  <c r="T85" i="66"/>
  <c r="X85" i="66"/>
  <c r="K85" i="74"/>
  <c r="L21" i="74"/>
  <c r="X226" i="66"/>
  <c r="S226" i="66"/>
  <c r="T226" i="66"/>
  <c r="Q226" i="66"/>
  <c r="W226" i="66" s="1"/>
  <c r="J96" i="74"/>
  <c r="F28" i="39"/>
  <c r="H13" i="74"/>
  <c r="O13" i="66"/>
  <c r="M94" i="74"/>
  <c r="L77" i="74"/>
  <c r="H58" i="74"/>
  <c r="O58" i="66"/>
  <c r="F16" i="39"/>
  <c r="M59" i="74"/>
  <c r="H31" i="74"/>
  <c r="O31" i="66"/>
  <c r="J111" i="74"/>
  <c r="J74" i="74"/>
  <c r="M57" i="74"/>
  <c r="M65" i="74"/>
  <c r="J144" i="74"/>
  <c r="X188" i="66"/>
  <c r="T188" i="66"/>
  <c r="S188" i="66"/>
  <c r="Q188" i="66"/>
  <c r="W188" i="66" s="1"/>
  <c r="N104" i="74"/>
  <c r="S22" i="66"/>
  <c r="X22" i="66"/>
  <c r="T22" i="66"/>
  <c r="Q22" i="66"/>
  <c r="W22" i="66" s="1"/>
  <c r="K22" i="74"/>
  <c r="H120" i="74"/>
  <c r="J122" i="74"/>
  <c r="S62" i="66"/>
  <c r="X62" i="66"/>
  <c r="T62" i="66"/>
  <c r="Q62" i="66"/>
  <c r="W62" i="66" s="1"/>
  <c r="K62" i="74"/>
  <c r="H94" i="74"/>
  <c r="J80" i="74"/>
  <c r="F27" i="39"/>
  <c r="O157" i="66"/>
  <c r="X151" i="66"/>
  <c r="T151" i="66"/>
  <c r="U151" i="66" s="1"/>
  <c r="H84" i="74"/>
  <c r="M140" i="74"/>
  <c r="N140" i="74"/>
  <c r="J71" i="74"/>
  <c r="Q262" i="66"/>
  <c r="W262" i="66" s="1"/>
  <c r="Y262" i="66" s="1"/>
  <c r="X251" i="66"/>
  <c r="S251" i="66"/>
  <c r="Q251" i="66"/>
  <c r="W251" i="66" s="1"/>
  <c r="T251" i="66"/>
  <c r="J6" i="74"/>
  <c r="M62" i="74"/>
  <c r="X235" i="66"/>
  <c r="T235" i="66"/>
  <c r="Q235" i="66"/>
  <c r="W235" i="66" s="1"/>
  <c r="S235" i="66"/>
  <c r="H50" i="74"/>
  <c r="Q136" i="66"/>
  <c r="W136" i="66" s="1"/>
  <c r="T136" i="66"/>
  <c r="X136" i="66"/>
  <c r="S136" i="66"/>
  <c r="K136" i="74"/>
  <c r="J4" i="74"/>
  <c r="S196" i="66"/>
  <c r="Q196" i="66"/>
  <c r="W196" i="66" s="1"/>
  <c r="X196" i="66"/>
  <c r="T196" i="66"/>
  <c r="H123" i="74"/>
  <c r="Q114" i="66"/>
  <c r="W114" i="66" s="1"/>
  <c r="Y114" i="66" s="1"/>
  <c r="T127" i="66"/>
  <c r="X127" i="66"/>
  <c r="S127" i="66"/>
  <c r="Q127" i="66"/>
  <c r="W127" i="66" s="1"/>
  <c r="K127" i="74"/>
  <c r="N50" i="74"/>
  <c r="M31" i="74"/>
  <c r="L68" i="74"/>
  <c r="N143" i="74"/>
  <c r="X184" i="66"/>
  <c r="T184" i="66"/>
  <c r="S184" i="66"/>
  <c r="Q184" i="66"/>
  <c r="W184" i="66" s="1"/>
  <c r="X83" i="66"/>
  <c r="T83" i="66"/>
  <c r="K83" i="74"/>
  <c r="H24" i="74"/>
  <c r="M126" i="74"/>
  <c r="H111" i="74"/>
  <c r="L16" i="74"/>
  <c r="L105" i="74"/>
  <c r="M81" i="74"/>
  <c r="J37" i="74"/>
  <c r="O191" i="66"/>
  <c r="H6" i="74"/>
  <c r="L73" i="74"/>
  <c r="L93" i="74"/>
  <c r="N55" i="74"/>
  <c r="T206" i="66"/>
  <c r="X206" i="66"/>
  <c r="Q206" i="66"/>
  <c r="W206" i="66" s="1"/>
  <c r="S206" i="66"/>
  <c r="H35" i="74"/>
  <c r="L20" i="74"/>
  <c r="X148" i="66"/>
  <c r="Q148" i="66"/>
  <c r="W148" i="66" s="1"/>
  <c r="T148" i="66"/>
  <c r="S148" i="66"/>
  <c r="X276" i="66"/>
  <c r="T276" i="66"/>
  <c r="H15" i="74"/>
  <c r="X40" i="66"/>
  <c r="S40" i="66"/>
  <c r="Q40" i="66"/>
  <c r="W40" i="66" s="1"/>
  <c r="T40" i="66"/>
  <c r="K40" i="74"/>
  <c r="M78" i="74"/>
  <c r="X230" i="66"/>
  <c r="S230" i="66"/>
  <c r="T230" i="66"/>
  <c r="Q230" i="66"/>
  <c r="W230" i="66" s="1"/>
  <c r="J66" i="74"/>
  <c r="M46" i="74"/>
  <c r="S46" i="66"/>
  <c r="L19" i="74"/>
  <c r="H97" i="74"/>
  <c r="O97" i="66"/>
  <c r="Q79" i="66"/>
  <c r="W79" i="66" s="1"/>
  <c r="T79" i="66"/>
  <c r="S79" i="66"/>
  <c r="X79" i="66"/>
  <c r="K79" i="74"/>
  <c r="J147" i="74"/>
  <c r="J45" i="74"/>
  <c r="X5" i="66"/>
  <c r="Q5" i="66"/>
  <c r="W5" i="66" s="1"/>
  <c r="T5" i="66"/>
  <c r="S5" i="66"/>
  <c r="K5" i="74"/>
  <c r="H60" i="74"/>
  <c r="O60" i="66"/>
  <c r="F14" i="39"/>
  <c r="T158" i="66"/>
  <c r="Q158" i="66"/>
  <c r="W158" i="66" s="1"/>
  <c r="S158" i="66"/>
  <c r="X158" i="66"/>
  <c r="S269" i="66"/>
  <c r="X269" i="66"/>
  <c r="Q269" i="66"/>
  <c r="W269" i="66" s="1"/>
  <c r="T269" i="66"/>
  <c r="M93" i="74"/>
  <c r="H33" i="74"/>
  <c r="O33" i="66"/>
  <c r="S115" i="66"/>
  <c r="X115" i="66"/>
  <c r="Q115" i="66"/>
  <c r="W115" i="66" s="1"/>
  <c r="T115" i="66"/>
  <c r="K115" i="74"/>
  <c r="N124" i="74"/>
  <c r="J103" i="74"/>
  <c r="M113" i="74"/>
  <c r="H57" i="74"/>
  <c r="L144" i="74"/>
  <c r="N96" i="74"/>
  <c r="T259" i="66"/>
  <c r="S259" i="66"/>
  <c r="X259" i="66"/>
  <c r="Q259" i="66"/>
  <c r="W259" i="66" s="1"/>
  <c r="X103" i="66"/>
  <c r="T103" i="66"/>
  <c r="U103" i="66" s="1"/>
  <c r="K103" i="74"/>
  <c r="S236" i="66"/>
  <c r="X236" i="66"/>
  <c r="T236" i="66"/>
  <c r="Q236" i="66"/>
  <c r="W236" i="66" s="1"/>
  <c r="M119" i="74"/>
  <c r="O160" i="66"/>
  <c r="T179" i="66"/>
  <c r="X179" i="66"/>
  <c r="O167" i="66"/>
  <c r="X227" i="66"/>
  <c r="T227" i="66"/>
  <c r="L116" i="74"/>
  <c r="O289" i="66"/>
  <c r="M8" i="74"/>
  <c r="Q67" i="66"/>
  <c r="W67" i="66" s="1"/>
  <c r="X67" i="66"/>
  <c r="T67" i="66"/>
  <c r="S67" i="66"/>
  <c r="K67" i="74"/>
  <c r="M123" i="74"/>
  <c r="J137" i="74"/>
  <c r="M130" i="74"/>
  <c r="L39" i="74"/>
  <c r="N19" i="74"/>
  <c r="M74" i="74"/>
  <c r="J24" i="74"/>
  <c r="J91" i="74"/>
  <c r="N130" i="74"/>
  <c r="J127" i="74"/>
  <c r="J78" i="74"/>
  <c r="X247" i="66"/>
  <c r="T247" i="66"/>
  <c r="U247" i="66" s="1"/>
  <c r="N84" i="74"/>
  <c r="O23" i="66"/>
  <c r="Q253" i="66"/>
  <c r="W253" i="66" s="1"/>
  <c r="Y253" i="66" s="1"/>
  <c r="H39" i="74"/>
  <c r="T187" i="66"/>
  <c r="S187" i="66"/>
  <c r="Q187" i="66"/>
  <c r="W187" i="66" s="1"/>
  <c r="X187" i="66"/>
  <c r="H82" i="74"/>
  <c r="S273" i="66"/>
  <c r="T273" i="66"/>
  <c r="Q273" i="66"/>
  <c r="W273" i="66" s="1"/>
  <c r="X273" i="66"/>
  <c r="T254" i="66"/>
  <c r="Q254" i="66"/>
  <c r="W254" i="66" s="1"/>
  <c r="X254" i="66"/>
  <c r="S254" i="66"/>
  <c r="H47" i="74"/>
  <c r="O47" i="66"/>
  <c r="J69" i="74"/>
  <c r="X217" i="66"/>
  <c r="S217" i="66"/>
  <c r="T217" i="66"/>
  <c r="Q217" i="66"/>
  <c r="W217" i="66" s="1"/>
  <c r="X137" i="66"/>
  <c r="T137" i="66"/>
  <c r="K137" i="74"/>
  <c r="K132" i="74"/>
  <c r="J118" i="74"/>
  <c r="Q56" i="66"/>
  <c r="W56" i="66" s="1"/>
  <c r="X56" i="66"/>
  <c r="T56" i="66"/>
  <c r="S56" i="66"/>
  <c r="K56" i="74"/>
  <c r="S59" i="66"/>
  <c r="Q59" i="66"/>
  <c r="W59" i="66" s="1"/>
  <c r="T59" i="66"/>
  <c r="X59" i="66"/>
  <c r="K59" i="74"/>
  <c r="M71" i="74"/>
  <c r="H52" i="74"/>
  <c r="O52" i="66"/>
  <c r="J90" i="74"/>
  <c r="M10" i="74"/>
  <c r="S10" i="66"/>
  <c r="N103" i="74"/>
  <c r="T31" i="66"/>
  <c r="X31" i="66"/>
  <c r="S31" i="66"/>
  <c r="Q31" i="66"/>
  <c r="W31" i="66" s="1"/>
  <c r="K31" i="74"/>
  <c r="X225" i="66"/>
  <c r="S225" i="66"/>
  <c r="T225" i="66"/>
  <c r="Q225" i="66"/>
  <c r="W225" i="66" s="1"/>
  <c r="J123" i="74"/>
  <c r="L18" i="74"/>
  <c r="L34" i="74"/>
  <c r="L113" i="74"/>
  <c r="M48" i="74"/>
  <c r="S48" i="66"/>
  <c r="N111" i="74"/>
  <c r="L128" i="74"/>
  <c r="J30" i="74"/>
  <c r="L30" i="74"/>
  <c r="N18" i="74"/>
  <c r="M17" i="74"/>
  <c r="J93" i="74"/>
  <c r="J139" i="74"/>
  <c r="L57" i="74"/>
  <c r="J26" i="74"/>
  <c r="L137" i="74"/>
  <c r="N43" i="74"/>
  <c r="H102" i="74"/>
  <c r="X185" i="66"/>
  <c r="T185" i="66"/>
  <c r="T203" i="66"/>
  <c r="Q203" i="66"/>
  <c r="W203" i="66" s="1"/>
  <c r="X203" i="66"/>
  <c r="S203" i="66"/>
  <c r="J72" i="74"/>
  <c r="O278" i="66"/>
  <c r="M107" i="74"/>
  <c r="M144" i="74"/>
  <c r="L131" i="74"/>
  <c r="L7" i="74"/>
  <c r="M43" i="74"/>
  <c r="N108" i="74"/>
  <c r="H23" i="74"/>
  <c r="X211" i="66"/>
  <c r="T211" i="66"/>
  <c r="S211" i="66"/>
  <c r="Q211" i="66"/>
  <c r="W211" i="66" s="1"/>
  <c r="Q13" i="66"/>
  <c r="W13" i="66" s="1"/>
  <c r="X13" i="66"/>
  <c r="T13" i="66"/>
  <c r="S13" i="66"/>
  <c r="K13" i="74"/>
  <c r="J28" i="74"/>
  <c r="S265" i="66"/>
  <c r="Q265" i="66"/>
  <c r="W265" i="66" s="1"/>
  <c r="X265" i="66"/>
  <c r="T265" i="66"/>
  <c r="T177" i="66"/>
  <c r="Q177" i="66"/>
  <c r="W177" i="66" s="1"/>
  <c r="X177" i="66"/>
  <c r="S177" i="66"/>
  <c r="T191" i="66"/>
  <c r="S191" i="66"/>
  <c r="Q191" i="66"/>
  <c r="W191" i="66" s="1"/>
  <c r="X191" i="66"/>
  <c r="H133" i="74"/>
  <c r="T133" i="66"/>
  <c r="X133" i="66"/>
  <c r="K133" i="74"/>
  <c r="X175" i="66"/>
  <c r="S175" i="66"/>
  <c r="T175" i="66"/>
  <c r="Q175" i="66"/>
  <c r="W175" i="66" s="1"/>
  <c r="S166" i="66"/>
  <c r="X166" i="66"/>
  <c r="T166" i="66"/>
  <c r="Q166" i="66"/>
  <c r="W166" i="66" s="1"/>
  <c r="Q61" i="66"/>
  <c r="W61" i="66" s="1"/>
  <c r="T61" i="66"/>
  <c r="S61" i="66"/>
  <c r="X61" i="66"/>
  <c r="K61" i="74"/>
  <c r="J65" i="74"/>
  <c r="H95" i="74"/>
  <c r="O95" i="66"/>
  <c r="O230" i="66"/>
  <c r="L51" i="74"/>
  <c r="J52" i="74"/>
  <c r="L139" i="74"/>
  <c r="L81" i="74"/>
  <c r="L120" i="74"/>
  <c r="M12" i="74"/>
  <c r="S12" i="66"/>
  <c r="H147" i="74"/>
  <c r="N38" i="74"/>
  <c r="J67" i="74"/>
  <c r="J112" i="74"/>
  <c r="L84" i="74"/>
  <c r="H51" i="74"/>
  <c r="S271" i="66"/>
  <c r="T271" i="66"/>
  <c r="Q271" i="66"/>
  <c r="W271" i="66" s="1"/>
  <c r="X271" i="66"/>
  <c r="L5" i="74"/>
  <c r="H127" i="74"/>
  <c r="S123" i="66"/>
  <c r="Q123" i="66"/>
  <c r="W123" i="66" s="1"/>
  <c r="X123" i="66"/>
  <c r="T123" i="66"/>
  <c r="K123" i="74"/>
  <c r="H103" i="74"/>
  <c r="N59" i="74"/>
  <c r="M34" i="74"/>
  <c r="J136" i="74"/>
  <c r="J29" i="74"/>
  <c r="N86" i="74"/>
  <c r="X100" i="66"/>
  <c r="T100" i="66"/>
  <c r="S100" i="66"/>
  <c r="Q100" i="66"/>
  <c r="W100" i="66" s="1"/>
  <c r="K100" i="74"/>
  <c r="L109" i="74"/>
  <c r="H54" i="74"/>
  <c r="S171" i="66"/>
  <c r="X171" i="66"/>
  <c r="T171" i="66"/>
  <c r="Q171" i="66"/>
  <c r="W171" i="66" s="1"/>
  <c r="J62" i="74"/>
  <c r="T84" i="66"/>
  <c r="X84" i="66"/>
  <c r="K84" i="74"/>
  <c r="J49" i="74"/>
  <c r="N81" i="74"/>
  <c r="J9" i="74"/>
  <c r="N42" i="74"/>
  <c r="Q264" i="66"/>
  <c r="W264" i="66" s="1"/>
  <c r="X264" i="66"/>
  <c r="T264" i="66"/>
  <c r="S264" i="66"/>
  <c r="M32" i="74"/>
  <c r="S32" i="66"/>
  <c r="K82" i="74"/>
  <c r="D199" i="72" a="1"/>
  <c r="D199" i="72" s="1"/>
  <c r="D200" i="72" s="1" a="1"/>
  <c r="D200" i="72" s="1"/>
  <c r="D137" i="72" a="1"/>
  <c r="D137" i="72" s="1"/>
  <c r="D138" i="72" s="1" a="1"/>
  <c r="D138" i="72" s="1"/>
  <c r="D262" i="72" a="1"/>
  <c r="D262" i="72" s="1"/>
  <c r="T37" i="74" l="1"/>
  <c r="X53" i="74"/>
  <c r="Y4" i="66"/>
  <c r="AA61" i="66"/>
  <c r="U172" i="66"/>
  <c r="U82" i="66"/>
  <c r="P202" i="66"/>
  <c r="W202" i="66" s="1"/>
  <c r="Y202" i="66" s="1"/>
  <c r="U192" i="66"/>
  <c r="G28" i="39"/>
  <c r="U12" i="66"/>
  <c r="H116" i="74"/>
  <c r="O284" i="66"/>
  <c r="P156" i="66"/>
  <c r="V156" i="66" s="1"/>
  <c r="U189" i="66"/>
  <c r="O51" i="66"/>
  <c r="T53" i="74"/>
  <c r="G139" i="74"/>
  <c r="AC139" i="74" s="1"/>
  <c r="Q76" i="74"/>
  <c r="Q53" i="74"/>
  <c r="W53" i="74" s="1"/>
  <c r="U48" i="66"/>
  <c r="S10" i="74"/>
  <c r="Y176" i="66"/>
  <c r="U167" i="66"/>
  <c r="U4" i="66"/>
  <c r="Y157" i="66"/>
  <c r="U99" i="66"/>
  <c r="U53" i="66"/>
  <c r="U114" i="66"/>
  <c r="S23" i="74"/>
  <c r="AC3" i="39"/>
  <c r="Q114" i="74"/>
  <c r="W114" i="74" s="1"/>
  <c r="Y114" i="74" s="1"/>
  <c r="T114" i="74"/>
  <c r="U156" i="66"/>
  <c r="L124" i="74"/>
  <c r="AC124" i="74" s="1"/>
  <c r="G27" i="39"/>
  <c r="X76" i="74"/>
  <c r="T76" i="74"/>
  <c r="J454" i="41"/>
  <c r="X4" i="74"/>
  <c r="Q4" i="74"/>
  <c r="W4" i="74" s="1"/>
  <c r="S4" i="74"/>
  <c r="U4" i="74" s="1"/>
  <c r="U23" i="66"/>
  <c r="U154" i="66"/>
  <c r="U10" i="66"/>
  <c r="O143" i="66"/>
  <c r="AA287" i="66" s="1"/>
  <c r="G141" i="74"/>
  <c r="Y9" i="66"/>
  <c r="AA46" i="66"/>
  <c r="S48" i="74"/>
  <c r="S114" i="74"/>
  <c r="S32" i="74"/>
  <c r="O108" i="66"/>
  <c r="H140" i="74"/>
  <c r="O127" i="66"/>
  <c r="AA127" i="66" s="1"/>
  <c r="P190" i="66"/>
  <c r="V190" i="66" s="1"/>
  <c r="P46" i="66"/>
  <c r="R46" i="66" s="1"/>
  <c r="Z190" i="66"/>
  <c r="S28" i="74"/>
  <c r="AA190" i="66"/>
  <c r="Z46" i="66"/>
  <c r="K215" i="66"/>
  <c r="O215" i="66" s="1"/>
  <c r="O129" i="66"/>
  <c r="Z129" i="66" s="1"/>
  <c r="J446" i="41"/>
  <c r="S46" i="74"/>
  <c r="P240" i="66"/>
  <c r="V240" i="66" s="1"/>
  <c r="U253" i="66"/>
  <c r="O109" i="66"/>
  <c r="AA109" i="66" s="1"/>
  <c r="G14" i="39"/>
  <c r="Y12" i="66"/>
  <c r="J463" i="41"/>
  <c r="H126" i="74"/>
  <c r="G119" i="74"/>
  <c r="J450" i="41"/>
  <c r="H113" i="74"/>
  <c r="U32" i="66"/>
  <c r="O139" i="66"/>
  <c r="AA139" i="66" s="1"/>
  <c r="E46" i="39"/>
  <c r="E125" i="38" s="1"/>
  <c r="J467" i="37" s="1"/>
  <c r="J461" i="41"/>
  <c r="H101" i="74"/>
  <c r="J473" i="37"/>
  <c r="K141" i="66"/>
  <c r="J460" i="41"/>
  <c r="K285" i="66"/>
  <c r="J473" i="58"/>
  <c r="P224" i="66"/>
  <c r="R224" i="66" s="1"/>
  <c r="S224" i="66" s="1"/>
  <c r="U224" i="66" s="1"/>
  <c r="U230" i="66"/>
  <c r="U63" i="66"/>
  <c r="Y10" i="66"/>
  <c r="P268" i="66"/>
  <c r="V268" i="66" s="1"/>
  <c r="U203" i="66"/>
  <c r="S45" i="74"/>
  <c r="Y159" i="66"/>
  <c r="G16" i="39"/>
  <c r="S12" i="74"/>
  <c r="F12" i="39"/>
  <c r="U46" i="66"/>
  <c r="M46" i="39"/>
  <c r="E176" i="38" s="1"/>
  <c r="K263" i="66" s="1"/>
  <c r="O263" i="66" s="1"/>
  <c r="P193" i="66"/>
  <c r="R193" i="66" s="1"/>
  <c r="P160" i="66"/>
  <c r="V160" i="66" s="1"/>
  <c r="U45" i="66"/>
  <c r="P289" i="66"/>
  <c r="V289" i="66" s="1"/>
  <c r="U190" i="66"/>
  <c r="O106" i="66"/>
  <c r="P250" i="66" s="1"/>
  <c r="Y274" i="66"/>
  <c r="U34" i="66"/>
  <c r="U92" i="66"/>
  <c r="U14" i="66"/>
  <c r="U70" i="66"/>
  <c r="J440" i="41"/>
  <c r="U191" i="66"/>
  <c r="Y232" i="66"/>
  <c r="P176" i="66"/>
  <c r="R176" i="66" s="1"/>
  <c r="P237" i="66"/>
  <c r="V237" i="66" s="1"/>
  <c r="U149" i="66"/>
  <c r="U273" i="66"/>
  <c r="Y171" i="66"/>
  <c r="U155" i="66"/>
  <c r="Y173" i="66"/>
  <c r="U243" i="66"/>
  <c r="Y27" i="66"/>
  <c r="Y154" i="66"/>
  <c r="U236" i="66"/>
  <c r="U206" i="66"/>
  <c r="Y101" i="66"/>
  <c r="U44" i="66"/>
  <c r="P154" i="66"/>
  <c r="V154" i="66" s="1"/>
  <c r="Y52" i="66"/>
  <c r="Y188" i="66"/>
  <c r="J443" i="41"/>
  <c r="U183" i="66"/>
  <c r="Y15" i="66"/>
  <c r="Y25" i="66"/>
  <c r="U110" i="66"/>
  <c r="U40" i="66"/>
  <c r="Y182" i="66"/>
  <c r="Y39" i="66"/>
  <c r="U158" i="66"/>
  <c r="Y8" i="66"/>
  <c r="U52" i="66"/>
  <c r="U193" i="66"/>
  <c r="Y258" i="66"/>
  <c r="Y143" i="66"/>
  <c r="Y38" i="66"/>
  <c r="Y87" i="66"/>
  <c r="Y190" i="66"/>
  <c r="U118" i="66"/>
  <c r="Y280" i="66"/>
  <c r="P189" i="66"/>
  <c r="R189" i="66" s="1"/>
  <c r="U143" i="66"/>
  <c r="U11" i="66"/>
  <c r="U91" i="66"/>
  <c r="Y109" i="66"/>
  <c r="Y107" i="66"/>
  <c r="Y271" i="66"/>
  <c r="Y11" i="66"/>
  <c r="U245" i="66"/>
  <c r="U271" i="66"/>
  <c r="U265" i="66"/>
  <c r="U5" i="66"/>
  <c r="Y235" i="66"/>
  <c r="Y22" i="66"/>
  <c r="Y24" i="66"/>
  <c r="U77" i="66"/>
  <c r="Y91" i="66"/>
  <c r="Y51" i="66"/>
  <c r="Y269" i="66"/>
  <c r="Y152" i="66"/>
  <c r="Y195" i="66"/>
  <c r="Y33" i="66"/>
  <c r="Y40" i="66"/>
  <c r="U43" i="66"/>
  <c r="Y47" i="66"/>
  <c r="U283" i="66"/>
  <c r="Y23" i="66"/>
  <c r="Y206" i="66"/>
  <c r="U223" i="66"/>
  <c r="U39" i="66"/>
  <c r="U123" i="66"/>
  <c r="J444" i="41"/>
  <c r="U177" i="66"/>
  <c r="Y217" i="66"/>
  <c r="U136" i="66"/>
  <c r="U95" i="66"/>
  <c r="U130" i="66"/>
  <c r="U255" i="66"/>
  <c r="U59" i="66"/>
  <c r="U284" i="66"/>
  <c r="U140" i="66"/>
  <c r="U232" i="66"/>
  <c r="Y75" i="66"/>
  <c r="U121" i="66"/>
  <c r="U231" i="66"/>
  <c r="Y167" i="66"/>
  <c r="Y31" i="66"/>
  <c r="U148" i="66"/>
  <c r="U196" i="66"/>
  <c r="Y226" i="66"/>
  <c r="Y223" i="66"/>
  <c r="U152" i="66"/>
  <c r="U27" i="66"/>
  <c r="Y95" i="66"/>
  <c r="U28" i="66"/>
  <c r="D286" i="72" a="1"/>
  <c r="D286" i="72" s="1"/>
  <c r="D287" i="72" s="1" a="1"/>
  <c r="D287" i="72" s="1"/>
  <c r="I6" i="6"/>
  <c r="AA80" i="66"/>
  <c r="AA224" i="66"/>
  <c r="Z224" i="66"/>
  <c r="Z80" i="66"/>
  <c r="P80" i="66"/>
  <c r="J11" i="18"/>
  <c r="F11" i="18"/>
  <c r="Y189" i="66"/>
  <c r="X28" i="74"/>
  <c r="T28" i="74"/>
  <c r="Q28" i="74"/>
  <c r="W28" i="74" s="1"/>
  <c r="F4" i="18"/>
  <c r="J4" i="18"/>
  <c r="Y172" i="66"/>
  <c r="D163" i="72" a="1"/>
  <c r="D163" i="72" s="1"/>
  <c r="D164" i="72" s="1" a="1"/>
  <c r="D164" i="72" s="1"/>
  <c r="D165" i="72" s="1" a="1"/>
  <c r="D165" i="72" s="1"/>
  <c r="B19" i="8"/>
  <c r="N21" i="66"/>
  <c r="N21" i="74" s="1"/>
  <c r="D102" i="72" a="1"/>
  <c r="D102" i="72" s="1"/>
  <c r="J458" i="37"/>
  <c r="K142" i="66"/>
  <c r="J459" i="37"/>
  <c r="T48" i="74"/>
  <c r="Q48" i="74"/>
  <c r="W48" i="74" s="1"/>
  <c r="X48" i="74"/>
  <c r="F45" i="18"/>
  <c r="J45" i="18"/>
  <c r="F50" i="18"/>
  <c r="J50" i="18"/>
  <c r="E73" i="22"/>
  <c r="H37" i="20"/>
  <c r="Q37" i="20"/>
  <c r="H39" i="20"/>
  <c r="Q39" i="20"/>
  <c r="Q41" i="20"/>
  <c r="H42" i="20"/>
  <c r="H38" i="20"/>
  <c r="Q45" i="20"/>
  <c r="H35" i="20"/>
  <c r="Q34" i="20"/>
  <c r="H43" i="20"/>
  <c r="Q33" i="20"/>
  <c r="Q43" i="20"/>
  <c r="Q46" i="20"/>
  <c r="Q35" i="20"/>
  <c r="H46" i="20"/>
  <c r="H34" i="20"/>
  <c r="H45" i="20"/>
  <c r="H41" i="20"/>
  <c r="H33" i="20"/>
  <c r="Q42" i="20"/>
  <c r="Q40" i="20"/>
  <c r="H40" i="20"/>
  <c r="Q36" i="20"/>
  <c r="H44" i="20"/>
  <c r="O40" i="9"/>
  <c r="Q44" i="20"/>
  <c r="Q38" i="20"/>
  <c r="H36" i="20"/>
  <c r="J51" i="18"/>
  <c r="F51" i="18"/>
  <c r="Z188" i="66"/>
  <c r="AA44" i="66"/>
  <c r="Z44" i="66"/>
  <c r="AA188" i="66"/>
  <c r="E30" i="22"/>
  <c r="O8" i="9"/>
  <c r="K71" i="66"/>
  <c r="I467" i="37"/>
  <c r="I467" i="41" s="1"/>
  <c r="F47" i="18"/>
  <c r="J47" i="18"/>
  <c r="T96" i="74"/>
  <c r="Q96" i="74"/>
  <c r="X96" i="74"/>
  <c r="J10" i="18"/>
  <c r="F10" i="18"/>
  <c r="H118" i="74"/>
  <c r="O118" i="66"/>
  <c r="F5" i="18"/>
  <c r="J5" i="18"/>
  <c r="AC44" i="74"/>
  <c r="O44" i="74"/>
  <c r="I125" i="35" a="1"/>
  <c r="I125" i="35" s="1"/>
  <c r="G451" i="18" a="1"/>
  <c r="G451" i="18" s="1"/>
  <c r="K47" i="20"/>
  <c r="I115" i="35" a="1"/>
  <c r="I115" i="35" s="1"/>
  <c r="G450" i="18" a="1"/>
  <c r="G450" i="18" s="1"/>
  <c r="I128" i="35" a="1"/>
  <c r="I128" i="35" s="1"/>
  <c r="I121" i="35" a="1"/>
  <c r="I121" i="35" s="1"/>
  <c r="G462" i="18" a="1"/>
  <c r="G462" i="18" s="1"/>
  <c r="I124" i="35" a="1"/>
  <c r="I124" i="35" s="1"/>
  <c r="I117" i="35" a="1"/>
  <c r="I117" i="35" s="1"/>
  <c r="G459" i="18" a="1"/>
  <c r="G459" i="18" s="1"/>
  <c r="I120" i="35" a="1"/>
  <c r="I120" i="35" s="1"/>
  <c r="G458" i="18" a="1"/>
  <c r="G458" i="18" s="1"/>
  <c r="G454" i="18" a="1"/>
  <c r="G454" i="18" s="1"/>
  <c r="I116" i="35" a="1"/>
  <c r="I116" i="35" s="1"/>
  <c r="G452" i="18" a="1"/>
  <c r="G452" i="18" s="1"/>
  <c r="G463" i="18" a="1"/>
  <c r="G463" i="18" s="1"/>
  <c r="I126" i="35" a="1"/>
  <c r="I126" i="35" s="1"/>
  <c r="G461" i="18" a="1"/>
  <c r="G461" i="18" s="1"/>
  <c r="I127" i="35" a="1"/>
  <c r="I127" i="35" s="1"/>
  <c r="G453" i="18" a="1"/>
  <c r="G453" i="18" s="1"/>
  <c r="I122" i="35" a="1"/>
  <c r="I122" i="35" s="1"/>
  <c r="G460" i="18" a="1"/>
  <c r="G460" i="18" s="1"/>
  <c r="I123" i="35" a="1"/>
  <c r="I123" i="35" s="1"/>
  <c r="G456" i="18" a="1"/>
  <c r="G456" i="18" s="1"/>
  <c r="I118" i="35" a="1"/>
  <c r="I118" i="35" s="1"/>
  <c r="G455" i="18" a="1"/>
  <c r="G455" i="18" s="1"/>
  <c r="I119" i="35" a="1"/>
  <c r="I119" i="35" s="1"/>
  <c r="G457" i="18" a="1"/>
  <c r="G457" i="18" s="1"/>
  <c r="G245" i="18" a="1"/>
  <c r="G245" i="18" s="1"/>
  <c r="G242" i="18" a="1"/>
  <c r="G242" i="18" s="1"/>
  <c r="G243" i="18" a="1"/>
  <c r="G243" i="18" s="1"/>
  <c r="G252" i="18" a="1"/>
  <c r="G252" i="18" s="1"/>
  <c r="G247" i="18" a="1"/>
  <c r="G247" i="18" s="1"/>
  <c r="G240" i="18" a="1"/>
  <c r="G240" i="18" s="1"/>
  <c r="G244" i="18" a="1"/>
  <c r="G244" i="18" s="1"/>
  <c r="G250" i="18" a="1"/>
  <c r="G250" i="18" s="1"/>
  <c r="I83" i="35" a="1"/>
  <c r="I83" i="35" s="1"/>
  <c r="G249" i="18" a="1"/>
  <c r="G249" i="18" s="1"/>
  <c r="I84" i="35" a="1"/>
  <c r="I84" i="35" s="1"/>
  <c r="I80" i="35" a="1"/>
  <c r="I80" i="35" s="1"/>
  <c r="G246" i="18" a="1"/>
  <c r="G246" i="18" s="1"/>
  <c r="G251" i="18" a="1"/>
  <c r="G251" i="18" s="1"/>
  <c r="I76" i="35" a="1"/>
  <c r="I76" i="35" s="1"/>
  <c r="G248" i="18" a="1"/>
  <c r="G248" i="18" s="1"/>
  <c r="G253" i="18" a="1"/>
  <c r="G253" i="18" s="1"/>
  <c r="G241" i="18" a="1"/>
  <c r="G241" i="18" s="1"/>
  <c r="I79" i="35" a="1"/>
  <c r="I79" i="35" s="1"/>
  <c r="I77" i="35" a="1"/>
  <c r="I77" i="35" s="1"/>
  <c r="I82" i="35" a="1"/>
  <c r="I82" i="35" s="1"/>
  <c r="I85" i="35" a="1"/>
  <c r="I85" i="35" s="1"/>
  <c r="I73" i="35" a="1"/>
  <c r="I73" i="35" s="1"/>
  <c r="I81" i="35" a="1"/>
  <c r="I81" i="35" s="1"/>
  <c r="T20" i="20"/>
  <c r="I78" i="35" a="1"/>
  <c r="I78" i="35" s="1"/>
  <c r="I86" i="35" a="1"/>
  <c r="I86" i="35" s="1"/>
  <c r="I74" i="35" a="1"/>
  <c r="I74" i="35" s="1"/>
  <c r="I485" i="58"/>
  <c r="M213" i="66"/>
  <c r="J57" i="18"/>
  <c r="F57" i="18"/>
  <c r="U254" i="66"/>
  <c r="Y230" i="66"/>
  <c r="Y148" i="66"/>
  <c r="U62" i="66"/>
  <c r="U188" i="66"/>
  <c r="U19" i="66"/>
  <c r="P172" i="66"/>
  <c r="R172" i="66" s="1"/>
  <c r="Y139" i="66"/>
  <c r="Y267" i="66"/>
  <c r="Y104" i="66"/>
  <c r="Y18" i="66"/>
  <c r="U205" i="66"/>
  <c r="U33" i="66"/>
  <c r="U278" i="66"/>
  <c r="U16" i="66"/>
  <c r="J48" i="18"/>
  <c r="F48" i="18"/>
  <c r="I75" i="35" a="1"/>
  <c r="I75" i="35" s="1"/>
  <c r="F8" i="18"/>
  <c r="J8" i="18"/>
  <c r="AA22" i="66"/>
  <c r="AA166" i="66"/>
  <c r="Z22" i="66"/>
  <c r="Z166" i="66"/>
  <c r="T45" i="74"/>
  <c r="Q45" i="74"/>
  <c r="W45" i="74" s="1"/>
  <c r="X45" i="74"/>
  <c r="Y28" i="66"/>
  <c r="U262" i="66"/>
  <c r="Y48" i="66"/>
  <c r="X128" i="74"/>
  <c r="T128" i="74"/>
  <c r="Q128" i="74"/>
  <c r="J449" i="41"/>
  <c r="J49" i="18"/>
  <c r="F49" i="18"/>
  <c r="O125" i="66"/>
  <c r="H125" i="74"/>
  <c r="H6" i="6"/>
  <c r="Z32" i="66"/>
  <c r="AA32" i="66"/>
  <c r="Z176" i="66"/>
  <c r="AA176" i="66"/>
  <c r="P32" i="66"/>
  <c r="H122" i="74"/>
  <c r="I166" i="35" a="1"/>
  <c r="I166" i="35" s="1"/>
  <c r="G504" i="18" a="1"/>
  <c r="G504" i="18" s="1"/>
  <c r="I167" i="35" a="1"/>
  <c r="I167" i="35" s="1"/>
  <c r="G497" i="18" a="1"/>
  <c r="G497" i="18" s="1"/>
  <c r="I162" i="35" a="1"/>
  <c r="I162" i="35" s="1"/>
  <c r="G498" i="18" a="1"/>
  <c r="G498" i="18" s="1"/>
  <c r="I163" i="35" a="1"/>
  <c r="I163" i="35" s="1"/>
  <c r="G501" i="18" a="1"/>
  <c r="G501" i="18" s="1"/>
  <c r="I169" i="35" a="1"/>
  <c r="I169" i="35" s="1"/>
  <c r="G495" i="18" a="1"/>
  <c r="G495" i="18" s="1"/>
  <c r="T47" i="20"/>
  <c r="I158" i="35" a="1"/>
  <c r="I158" i="35" s="1"/>
  <c r="G494" i="18" a="1"/>
  <c r="G494" i="18" s="1"/>
  <c r="I161" i="35" a="1"/>
  <c r="I161" i="35" s="1"/>
  <c r="I159" i="35" a="1"/>
  <c r="I159" i="35" s="1"/>
  <c r="G492" i="18" a="1"/>
  <c r="G492" i="18" s="1"/>
  <c r="I157" i="35" a="1"/>
  <c r="I157" i="35" s="1"/>
  <c r="I165" i="35" a="1"/>
  <c r="I165" i="35" s="1"/>
  <c r="G496" i="18" a="1"/>
  <c r="G496" i="18" s="1"/>
  <c r="I168" i="35" a="1"/>
  <c r="I168" i="35" s="1"/>
  <c r="G502" i="18" a="1"/>
  <c r="G502" i="18" s="1"/>
  <c r="G493" i="18" a="1"/>
  <c r="G493" i="18" s="1"/>
  <c r="I164" i="35" a="1"/>
  <c r="I164" i="35" s="1"/>
  <c r="G499" i="18" a="1"/>
  <c r="G499" i="18" s="1"/>
  <c r="G505" i="18" a="1"/>
  <c r="G505" i="18" s="1"/>
  <c r="I160" i="35" a="1"/>
  <c r="I160" i="35" s="1"/>
  <c r="G503" i="18" a="1"/>
  <c r="G503" i="18" s="1"/>
  <c r="I170" i="35" a="1"/>
  <c r="I170" i="35" s="1"/>
  <c r="G500" i="18" a="1"/>
  <c r="G500" i="18" s="1"/>
  <c r="AC80" i="74"/>
  <c r="O80" i="74"/>
  <c r="U61" i="66"/>
  <c r="Y219" i="66"/>
  <c r="U139" i="66"/>
  <c r="U274" i="66"/>
  <c r="Y207" i="66"/>
  <c r="U18" i="66"/>
  <c r="U210" i="66"/>
  <c r="O22" i="74"/>
  <c r="AC22" i="74"/>
  <c r="T80" i="74"/>
  <c r="Q80" i="74"/>
  <c r="X80" i="74"/>
  <c r="E28" i="22"/>
  <c r="O6" i="9"/>
  <c r="H14" i="20"/>
  <c r="H9" i="20"/>
  <c r="H7" i="20"/>
  <c r="Q6" i="20"/>
  <c r="Q12" i="20"/>
  <c r="H17" i="20"/>
  <c r="Q9" i="20"/>
  <c r="Q10" i="20"/>
  <c r="H13" i="20"/>
  <c r="Q19" i="20"/>
  <c r="H8" i="20"/>
  <c r="Q14" i="20"/>
  <c r="H19" i="20"/>
  <c r="H6" i="20"/>
  <c r="H11" i="20"/>
  <c r="Q18" i="20"/>
  <c r="Q16" i="20"/>
  <c r="H16" i="20"/>
  <c r="H12" i="20"/>
  <c r="Q17" i="20"/>
  <c r="Q8" i="20"/>
  <c r="H15" i="20"/>
  <c r="Q13" i="20"/>
  <c r="H18" i="20"/>
  <c r="Q11" i="20"/>
  <c r="Q7" i="20"/>
  <c r="H10" i="20"/>
  <c r="Q15" i="20"/>
  <c r="O30" i="9"/>
  <c r="AC32" i="74"/>
  <c r="O32" i="74"/>
  <c r="D42" i="72" a="1"/>
  <c r="D42" i="72" s="1"/>
  <c r="U101" i="66"/>
  <c r="Y19" i="66"/>
  <c r="Y111" i="66"/>
  <c r="U109" i="66"/>
  <c r="J447" i="41"/>
  <c r="J15" i="18"/>
  <c r="F15" i="18"/>
  <c r="I485" i="37"/>
  <c r="M69" i="66"/>
  <c r="O128" i="66"/>
  <c r="P272" i="66" s="1"/>
  <c r="H128" i="74"/>
  <c r="Z77" i="66"/>
  <c r="Z221" i="66"/>
  <c r="AA221" i="66"/>
  <c r="AA77" i="66"/>
  <c r="J52" i="18"/>
  <c r="F52" i="18"/>
  <c r="O155" i="66"/>
  <c r="Z11" i="66" s="1"/>
  <c r="G11" i="74"/>
  <c r="Y61" i="66"/>
  <c r="U79" i="66"/>
  <c r="Y163" i="66"/>
  <c r="Y160" i="66"/>
  <c r="Y284" i="66"/>
  <c r="U244" i="66"/>
  <c r="U73" i="66"/>
  <c r="Y245" i="66"/>
  <c r="U53" i="74"/>
  <c r="Y32" i="66"/>
  <c r="X69" i="74"/>
  <c r="T69" i="74"/>
  <c r="Y45" i="66"/>
  <c r="X252" i="66"/>
  <c r="T252" i="66"/>
  <c r="Q252" i="66"/>
  <c r="T238" i="66"/>
  <c r="X238" i="66"/>
  <c r="Q238" i="66"/>
  <c r="H485" i="58"/>
  <c r="M165" i="66"/>
  <c r="C19" i="8"/>
  <c r="N69" i="66"/>
  <c r="Q106" i="66"/>
  <c r="X106" i="66"/>
  <c r="T106" i="66"/>
  <c r="K106" i="74"/>
  <c r="X250" i="66"/>
  <c r="T250" i="66"/>
  <c r="Q250" i="66"/>
  <c r="O77" i="74"/>
  <c r="AC77" i="74"/>
  <c r="Q144" i="74"/>
  <c r="T144" i="74"/>
  <c r="X144" i="74"/>
  <c r="T60" i="74"/>
  <c r="X60" i="74"/>
  <c r="Q60" i="74"/>
  <c r="X10" i="74"/>
  <c r="Q10" i="74"/>
  <c r="W10" i="74" s="1"/>
  <c r="T10" i="74"/>
  <c r="I38" i="35" a="1"/>
  <c r="I38" i="35" s="1"/>
  <c r="C29" i="39"/>
  <c r="C30" i="39" s="1"/>
  <c r="C32" i="39"/>
  <c r="C33" i="39" s="1"/>
  <c r="P17" i="39"/>
  <c r="J56" i="18"/>
  <c r="F56" i="18"/>
  <c r="X21" i="74"/>
  <c r="T21" i="74"/>
  <c r="J54" i="18"/>
  <c r="F54" i="18"/>
  <c r="F55" i="18"/>
  <c r="J55" i="18"/>
  <c r="T46" i="74"/>
  <c r="Q46" i="74"/>
  <c r="W46" i="74" s="1"/>
  <c r="X46" i="74"/>
  <c r="AA173" i="66"/>
  <c r="Z29" i="66"/>
  <c r="AA29" i="66"/>
  <c r="Z173" i="66"/>
  <c r="F9" i="18"/>
  <c r="J9" i="18"/>
  <c r="J46" i="18"/>
  <c r="F46" i="18"/>
  <c r="H136" i="74"/>
  <c r="J448" i="41"/>
  <c r="U67" i="66"/>
  <c r="Y79" i="66"/>
  <c r="Y118" i="66"/>
  <c r="E330" i="38"/>
  <c r="E336" i="38"/>
  <c r="E27" i="17"/>
  <c r="E25" i="17"/>
  <c r="R10" i="9"/>
  <c r="AA236" i="66"/>
  <c r="Z236" i="66"/>
  <c r="Z92" i="66"/>
  <c r="AA92" i="66"/>
  <c r="E144" i="38"/>
  <c r="J2" i="18"/>
  <c r="F2" i="18"/>
  <c r="T94" i="66"/>
  <c r="Q94" i="66"/>
  <c r="X94" i="66"/>
  <c r="K94" i="74"/>
  <c r="AC94" i="74" s="1"/>
  <c r="O29" i="74"/>
  <c r="AC29" i="74"/>
  <c r="J7" i="18"/>
  <c r="F7" i="18"/>
  <c r="Y192" i="66"/>
  <c r="X117" i="74"/>
  <c r="T117" i="74"/>
  <c r="J12" i="18"/>
  <c r="F12" i="18"/>
  <c r="Q23" i="74"/>
  <c r="W23" i="74" s="1"/>
  <c r="X23" i="74"/>
  <c r="T23" i="74"/>
  <c r="J19" i="20"/>
  <c r="S19" i="20"/>
  <c r="E38" i="22"/>
  <c r="J8" i="20"/>
  <c r="S8" i="20"/>
  <c r="Q6" i="9"/>
  <c r="J9" i="20"/>
  <c r="S6" i="20"/>
  <c r="J6" i="20"/>
  <c r="S17" i="20"/>
  <c r="J17" i="20"/>
  <c r="S13" i="20"/>
  <c r="J15" i="20"/>
  <c r="J12" i="20"/>
  <c r="J13" i="20"/>
  <c r="S15" i="20"/>
  <c r="S12" i="20"/>
  <c r="S16" i="20"/>
  <c r="J10" i="20"/>
  <c r="S18" i="20"/>
  <c r="S7" i="20"/>
  <c r="J14" i="20"/>
  <c r="J11" i="20"/>
  <c r="J16" i="20"/>
  <c r="S10" i="20"/>
  <c r="J18" i="20"/>
  <c r="J7" i="20"/>
  <c r="S14" i="20"/>
  <c r="S11" i="20"/>
  <c r="S9" i="20"/>
  <c r="Q30" i="9"/>
  <c r="P192" i="66"/>
  <c r="Z192" i="66"/>
  <c r="Z48" i="66"/>
  <c r="AA48" i="66"/>
  <c r="P48" i="66"/>
  <c r="AA192" i="66"/>
  <c r="H7" i="6"/>
  <c r="Y156" i="66"/>
  <c r="J44" i="18"/>
  <c r="F44" i="18"/>
  <c r="Y197" i="66"/>
  <c r="Y287" i="66"/>
  <c r="X32" i="74"/>
  <c r="T32" i="74"/>
  <c r="Q32" i="74"/>
  <c r="W32" i="74" s="1"/>
  <c r="Q58" i="74"/>
  <c r="X58" i="74"/>
  <c r="T58" i="74"/>
  <c r="I36" i="35" a="1"/>
  <c r="I36" i="35" s="1"/>
  <c r="G204" i="18" a="1"/>
  <c r="G204" i="18" s="1"/>
  <c r="I34" i="35" a="1"/>
  <c r="I34" i="35" s="1"/>
  <c r="I31" i="35" a="1"/>
  <c r="I31" i="35" s="1"/>
  <c r="G206" i="18" a="1"/>
  <c r="G206" i="18" s="1"/>
  <c r="G201" i="18" a="1"/>
  <c r="G201" i="18" s="1"/>
  <c r="G208" i="18" a="1"/>
  <c r="G208" i="18" s="1"/>
  <c r="G198" i="18" a="1"/>
  <c r="G198" i="18" s="1"/>
  <c r="I37" i="35" a="1"/>
  <c r="I37" i="35" s="1"/>
  <c r="I39" i="35" a="1"/>
  <c r="I39" i="35" s="1"/>
  <c r="G203" i="18" a="1"/>
  <c r="G203" i="18" s="1"/>
  <c r="G209" i="18" a="1"/>
  <c r="G209" i="18" s="1"/>
  <c r="I42" i="35" a="1"/>
  <c r="I42" i="35" s="1"/>
  <c r="G199" i="18" a="1"/>
  <c r="G199" i="18" s="1"/>
  <c r="G200" i="18" a="1"/>
  <c r="G200" i="18" s="1"/>
  <c r="G211" i="18" a="1"/>
  <c r="G211" i="18" s="1"/>
  <c r="G207" i="18" a="1"/>
  <c r="G207" i="18" s="1"/>
  <c r="G210" i="18" a="1"/>
  <c r="G210" i="18" s="1"/>
  <c r="G205" i="18" a="1"/>
  <c r="G205" i="18" s="1"/>
  <c r="G202" i="18" a="1"/>
  <c r="G202" i="18" s="1"/>
  <c r="K20" i="20"/>
  <c r="I44" i="35" a="1"/>
  <c r="I44" i="35" s="1"/>
  <c r="I35" i="35" a="1"/>
  <c r="I35" i="35" s="1"/>
  <c r="I40" i="35" a="1"/>
  <c r="I40" i="35" s="1"/>
  <c r="I32" i="35" a="1"/>
  <c r="I32" i="35" s="1"/>
  <c r="I41" i="35" a="1"/>
  <c r="I41" i="35" s="1"/>
  <c r="I33" i="35" a="1"/>
  <c r="I33" i="35" s="1"/>
  <c r="I43" i="35" a="1"/>
  <c r="I43" i="35" s="1"/>
  <c r="Z70" i="66"/>
  <c r="Z214" i="66"/>
  <c r="AA214" i="66"/>
  <c r="AA70" i="66"/>
  <c r="AC92" i="74"/>
  <c r="O92" i="74"/>
  <c r="O144" i="66"/>
  <c r="H144" i="74"/>
  <c r="J442" i="41"/>
  <c r="D70" i="72" a="1"/>
  <c r="D70" i="72" s="1"/>
  <c r="D71" i="72" s="1" a="1"/>
  <c r="D71" i="72" s="1"/>
  <c r="C20" i="63"/>
  <c r="I459" i="41"/>
  <c r="Y46" i="66"/>
  <c r="O252" i="66"/>
  <c r="T93" i="74"/>
  <c r="Q93" i="74"/>
  <c r="X93" i="74"/>
  <c r="AC48" i="74"/>
  <c r="O48" i="74"/>
  <c r="J453" i="41"/>
  <c r="O162" i="66"/>
  <c r="Z18" i="66" s="1"/>
  <c r="G18" i="74"/>
  <c r="U166" i="66"/>
  <c r="U225" i="66"/>
  <c r="AC10" i="74"/>
  <c r="U49" i="66"/>
  <c r="U125" i="66"/>
  <c r="U51" i="66"/>
  <c r="U66" i="66"/>
  <c r="Y214" i="66"/>
  <c r="Y88" i="66"/>
  <c r="U129" i="66"/>
  <c r="F3" i="18"/>
  <c r="J3" i="18"/>
  <c r="AC70" i="74"/>
  <c r="O70" i="74"/>
  <c r="H138" i="74"/>
  <c r="J6" i="18"/>
  <c r="F6" i="18"/>
  <c r="H121" i="74"/>
  <c r="J14" i="18"/>
  <c r="F14" i="18"/>
  <c r="J462" i="41"/>
  <c r="I458" i="41"/>
  <c r="G140" i="74"/>
  <c r="O140" i="66"/>
  <c r="E40" i="22"/>
  <c r="Q8" i="9"/>
  <c r="V8" i="9" s="1"/>
  <c r="Y175" i="66"/>
  <c r="Y259" i="66"/>
  <c r="Y184" i="66"/>
  <c r="U251" i="66"/>
  <c r="Y44" i="66"/>
  <c r="O10" i="74"/>
  <c r="Z10" i="74" s="1"/>
  <c r="U25" i="66"/>
  <c r="Y183" i="66"/>
  <c r="Y43" i="66"/>
  <c r="U216" i="66"/>
  <c r="U88" i="66"/>
  <c r="U135" i="66"/>
  <c r="U120" i="66"/>
  <c r="F53" i="18"/>
  <c r="J53" i="18"/>
  <c r="Q108" i="66"/>
  <c r="X108" i="66"/>
  <c r="T108" i="66"/>
  <c r="K108" i="74"/>
  <c r="AC108" i="74" s="1"/>
  <c r="C9" i="63"/>
  <c r="K286" i="66"/>
  <c r="J458" i="58"/>
  <c r="J459" i="58"/>
  <c r="C60" i="63" s="1"/>
  <c r="J13" i="18"/>
  <c r="F13" i="18"/>
  <c r="I7" i="6"/>
  <c r="Z240" i="66"/>
  <c r="Z96" i="66"/>
  <c r="AA96" i="66"/>
  <c r="AA240" i="66"/>
  <c r="P96" i="66"/>
  <c r="J43" i="20"/>
  <c r="J44" i="20"/>
  <c r="J46" i="20"/>
  <c r="J35" i="20"/>
  <c r="J42" i="20"/>
  <c r="S33" i="20"/>
  <c r="J38" i="20"/>
  <c r="S44" i="20"/>
  <c r="J45" i="20"/>
  <c r="S35" i="20"/>
  <c r="S43" i="20"/>
  <c r="S40" i="20"/>
  <c r="S37" i="20"/>
  <c r="S39" i="20"/>
  <c r="J36" i="20"/>
  <c r="J34" i="20"/>
  <c r="J37" i="20"/>
  <c r="S42" i="20"/>
  <c r="S41" i="20"/>
  <c r="J33" i="20"/>
  <c r="J40" i="20"/>
  <c r="E83" i="22"/>
  <c r="S34" i="20"/>
  <c r="S45" i="20"/>
  <c r="J41" i="20"/>
  <c r="J39" i="20"/>
  <c r="S38" i="20"/>
  <c r="S36" i="20"/>
  <c r="S46" i="20"/>
  <c r="Q40" i="9"/>
  <c r="D225" i="72" a="1"/>
  <c r="D225" i="72" s="1"/>
  <c r="Y239" i="66"/>
  <c r="Y147" i="66"/>
  <c r="U87" i="66"/>
  <c r="Y193" i="66"/>
  <c r="H485" i="37"/>
  <c r="M21" i="66"/>
  <c r="T12" i="74"/>
  <c r="X12" i="74"/>
  <c r="Q12" i="74"/>
  <c r="W12" i="74" s="1"/>
  <c r="J445" i="41"/>
  <c r="O96" i="74"/>
  <c r="AC96" i="74"/>
  <c r="N38" i="9" a="1"/>
  <c r="N38" i="9" s="1"/>
  <c r="E70" i="22" s="1"/>
  <c r="N36" i="9" a="1"/>
  <c r="N36" i="9" s="1"/>
  <c r="N28" i="9" a="1"/>
  <c r="N28" i="9" s="1"/>
  <c r="N26" i="9" a="1"/>
  <c r="N26" i="9" s="1"/>
  <c r="T124" i="74"/>
  <c r="Q124" i="74"/>
  <c r="X124" i="74"/>
  <c r="D8" i="72" a="1"/>
  <c r="D8" i="72" s="1"/>
  <c r="X84" i="74"/>
  <c r="T84" i="74"/>
  <c r="T31" i="74"/>
  <c r="X31" i="74"/>
  <c r="S31" i="74"/>
  <c r="Q31" i="74"/>
  <c r="W31" i="74" s="1"/>
  <c r="U56" i="66"/>
  <c r="S79" i="74"/>
  <c r="X79" i="74"/>
  <c r="Q79" i="74"/>
  <c r="W79" i="74" s="1"/>
  <c r="T79" i="74"/>
  <c r="U184" i="66"/>
  <c r="Y196" i="66"/>
  <c r="T85" i="74"/>
  <c r="X85" i="74"/>
  <c r="U182" i="66"/>
  <c r="Y110" i="66"/>
  <c r="T125" i="74"/>
  <c r="S125" i="74"/>
  <c r="X125" i="74"/>
  <c r="Q125" i="74"/>
  <c r="W125" i="74" s="1"/>
  <c r="Y14" i="66"/>
  <c r="AA12" i="66"/>
  <c r="Z12" i="66"/>
  <c r="AA156" i="66"/>
  <c r="Z156" i="66"/>
  <c r="P12" i="66"/>
  <c r="Z112" i="66"/>
  <c r="AA256" i="66"/>
  <c r="AA112" i="66"/>
  <c r="Z256" i="66"/>
  <c r="P112" i="66"/>
  <c r="X50" i="74"/>
  <c r="T50" i="74"/>
  <c r="X123" i="74"/>
  <c r="T123" i="74"/>
  <c r="S123" i="74"/>
  <c r="Q123" i="74"/>
  <c r="W123" i="74" s="1"/>
  <c r="X100" i="74"/>
  <c r="T100" i="74"/>
  <c r="S100" i="74"/>
  <c r="Q100" i="74"/>
  <c r="W100" i="74" s="1"/>
  <c r="P167" i="66"/>
  <c r="T62" i="74"/>
  <c r="X62" i="74"/>
  <c r="S62" i="74"/>
  <c r="Q62" i="74"/>
  <c r="W62" i="74" s="1"/>
  <c r="Q118" i="74"/>
  <c r="W118" i="74" s="1"/>
  <c r="X118" i="74"/>
  <c r="T118" i="74"/>
  <c r="S118" i="74"/>
  <c r="X99" i="74"/>
  <c r="T99" i="74"/>
  <c r="S99" i="74"/>
  <c r="Q99" i="74"/>
  <c r="W99" i="74" s="1"/>
  <c r="Y134" i="66"/>
  <c r="AA81" i="66"/>
  <c r="Z81" i="66"/>
  <c r="Z225" i="66"/>
  <c r="AA225" i="66"/>
  <c r="X131" i="74"/>
  <c r="T131" i="74"/>
  <c r="S109" i="74"/>
  <c r="Q109" i="74"/>
  <c r="W109" i="74" s="1"/>
  <c r="X109" i="74"/>
  <c r="T109" i="74"/>
  <c r="AC12" i="74"/>
  <c r="O12" i="74"/>
  <c r="AC112" i="74"/>
  <c r="O112" i="74"/>
  <c r="Y283" i="66"/>
  <c r="P208" i="66"/>
  <c r="Y243" i="66"/>
  <c r="T89" i="74"/>
  <c r="X89" i="74"/>
  <c r="Y120" i="66"/>
  <c r="Y100" i="66"/>
  <c r="Y166" i="66"/>
  <c r="Y211" i="66"/>
  <c r="U31" i="66"/>
  <c r="Z52" i="66"/>
  <c r="AA52" i="66"/>
  <c r="AA196" i="66"/>
  <c r="Z196" i="66"/>
  <c r="U217" i="66"/>
  <c r="Y273" i="66"/>
  <c r="X103" i="74"/>
  <c r="T103" i="74"/>
  <c r="U103" i="74" s="1"/>
  <c r="Y62" i="66"/>
  <c r="U22" i="66"/>
  <c r="AA91" i="66"/>
  <c r="Z91" i="66"/>
  <c r="AA235" i="66"/>
  <c r="Z235" i="66"/>
  <c r="Q86" i="74"/>
  <c r="W86" i="74" s="1"/>
  <c r="X86" i="74"/>
  <c r="T86" i="74"/>
  <c r="S86" i="74"/>
  <c r="O16" i="74"/>
  <c r="AC16" i="74"/>
  <c r="U159" i="66"/>
  <c r="U15" i="66"/>
  <c r="X139" i="74"/>
  <c r="T139" i="74"/>
  <c r="S139" i="74"/>
  <c r="Q139" i="74"/>
  <c r="W139" i="74" s="1"/>
  <c r="S70" i="74"/>
  <c r="Q70" i="74"/>
  <c r="W70" i="74" s="1"/>
  <c r="X70" i="74"/>
  <c r="T70" i="74"/>
  <c r="U134" i="66"/>
  <c r="X8" i="74"/>
  <c r="T8" i="74"/>
  <c r="S8" i="74"/>
  <c r="Q8" i="74"/>
  <c r="W8" i="74" s="1"/>
  <c r="X29" i="74"/>
  <c r="S29" i="74"/>
  <c r="T29" i="74"/>
  <c r="Q29" i="74"/>
  <c r="W29" i="74" s="1"/>
  <c r="AC81" i="74"/>
  <c r="O81" i="74"/>
  <c r="Q77" i="74"/>
  <c r="W77" i="74" s="1"/>
  <c r="X77" i="74"/>
  <c r="T77" i="74"/>
  <c r="S77" i="74"/>
  <c r="U248" i="66"/>
  <c r="Y125" i="66"/>
  <c r="Y155" i="66"/>
  <c r="Y81" i="66"/>
  <c r="Y169" i="66"/>
  <c r="U214" i="66"/>
  <c r="X98" i="74"/>
  <c r="T98" i="74"/>
  <c r="T18" i="74"/>
  <c r="X18" i="74"/>
  <c r="S18" i="74"/>
  <c r="Q18" i="74"/>
  <c r="W18" i="74" s="1"/>
  <c r="U168" i="66"/>
  <c r="T16" i="74"/>
  <c r="X16" i="74"/>
  <c r="S16" i="74"/>
  <c r="Q16" i="74"/>
  <c r="W16" i="74" s="1"/>
  <c r="P256" i="66"/>
  <c r="Q82" i="74"/>
  <c r="W82" i="74" s="1"/>
  <c r="X82" i="74"/>
  <c r="T82" i="74"/>
  <c r="S82" i="74"/>
  <c r="Y177" i="66"/>
  <c r="Y13" i="66"/>
  <c r="U264" i="66"/>
  <c r="U100" i="66"/>
  <c r="Y123" i="66"/>
  <c r="AA239" i="66"/>
  <c r="AA95" i="66"/>
  <c r="Z95" i="66"/>
  <c r="Z239" i="66"/>
  <c r="U211" i="66"/>
  <c r="O52" i="74"/>
  <c r="AC52" i="74"/>
  <c r="Y56" i="66"/>
  <c r="Y67" i="66"/>
  <c r="X115" i="74"/>
  <c r="S115" i="74"/>
  <c r="Q115" i="74"/>
  <c r="W115" i="74" s="1"/>
  <c r="T115" i="74"/>
  <c r="U269" i="66"/>
  <c r="AA204" i="66"/>
  <c r="Z60" i="66"/>
  <c r="AA60" i="66"/>
  <c r="Z204" i="66"/>
  <c r="P60" i="66"/>
  <c r="T136" i="74"/>
  <c r="X136" i="74"/>
  <c r="S136" i="74"/>
  <c r="Q136" i="74"/>
  <c r="W136" i="74" s="1"/>
  <c r="Z13" i="66"/>
  <c r="AA13" i="66"/>
  <c r="AA157" i="66"/>
  <c r="Z157" i="66"/>
  <c r="AC91" i="74"/>
  <c r="O91" i="74"/>
  <c r="U160" i="66"/>
  <c r="Y86" i="66"/>
  <c r="X143" i="74"/>
  <c r="S143" i="74"/>
  <c r="Q143" i="74"/>
  <c r="W143" i="74" s="1"/>
  <c r="T143" i="74"/>
  <c r="AA16" i="66"/>
  <c r="Z16" i="66"/>
  <c r="AA160" i="66"/>
  <c r="Z160" i="66"/>
  <c r="P16" i="66"/>
  <c r="Y70" i="66"/>
  <c r="U8" i="66"/>
  <c r="U29" i="66"/>
  <c r="U221" i="66"/>
  <c r="AA4" i="66"/>
  <c r="Z4" i="66"/>
  <c r="AA148" i="66"/>
  <c r="Z148" i="66"/>
  <c r="U147" i="66"/>
  <c r="U267" i="66"/>
  <c r="U280" i="66"/>
  <c r="U81" i="66"/>
  <c r="T75" i="74"/>
  <c r="S75" i="74"/>
  <c r="Q75" i="74"/>
  <c r="W75" i="74" s="1"/>
  <c r="X75" i="74"/>
  <c r="Y216" i="66"/>
  <c r="U169" i="66"/>
  <c r="T121" i="74"/>
  <c r="S121" i="74"/>
  <c r="X121" i="74"/>
  <c r="Q121" i="74"/>
  <c r="W121" i="74" s="1"/>
  <c r="T52" i="74"/>
  <c r="S52" i="74"/>
  <c r="X52" i="74"/>
  <c r="Q52" i="74"/>
  <c r="W52" i="74" s="1"/>
  <c r="Y255" i="66"/>
  <c r="T39" i="74"/>
  <c r="Q39" i="74"/>
  <c r="W39" i="74" s="1"/>
  <c r="S39" i="74"/>
  <c r="X39" i="74"/>
  <c r="U287" i="66"/>
  <c r="S107" i="74"/>
  <c r="Q107" i="74"/>
  <c r="W107" i="74" s="1"/>
  <c r="X107" i="74"/>
  <c r="T107" i="74"/>
  <c r="O49" i="74"/>
  <c r="AC49" i="74"/>
  <c r="Z79" i="66"/>
  <c r="AA223" i="66"/>
  <c r="Z223" i="66"/>
  <c r="AA79" i="66"/>
  <c r="O95" i="74"/>
  <c r="AC95" i="74"/>
  <c r="O60" i="74"/>
  <c r="AC60" i="74"/>
  <c r="O13" i="74"/>
  <c r="AC13" i="74"/>
  <c r="T72" i="74"/>
  <c r="S72" i="74"/>
  <c r="X72" i="74"/>
  <c r="Q72" i="74"/>
  <c r="W72" i="74" s="1"/>
  <c r="S38" i="74"/>
  <c r="Q38" i="74"/>
  <c r="W38" i="74" s="1"/>
  <c r="X38" i="74"/>
  <c r="T38" i="74"/>
  <c r="P204" i="66"/>
  <c r="X11" i="74"/>
  <c r="T11" i="74"/>
  <c r="S11" i="74"/>
  <c r="Q11" i="74"/>
  <c r="W11" i="74" s="1"/>
  <c r="O4" i="74"/>
  <c r="AC4" i="74"/>
  <c r="T63" i="74"/>
  <c r="Q63" i="74"/>
  <c r="W63" i="74" s="1"/>
  <c r="S63" i="74"/>
  <c r="X63" i="74"/>
  <c r="U197" i="66"/>
  <c r="T111" i="74"/>
  <c r="S111" i="74"/>
  <c r="X111" i="74"/>
  <c r="Q111" i="74"/>
  <c r="W111" i="74" s="1"/>
  <c r="X47" i="74"/>
  <c r="T47" i="74"/>
  <c r="S47" i="74"/>
  <c r="Q47" i="74"/>
  <c r="W47" i="74" s="1"/>
  <c r="X130" i="74"/>
  <c r="T130" i="74"/>
  <c r="S130" i="74"/>
  <c r="Q130" i="74"/>
  <c r="W130" i="74" s="1"/>
  <c r="S33" i="74"/>
  <c r="Q33" i="74"/>
  <c r="W33" i="74" s="1"/>
  <c r="T33" i="74"/>
  <c r="X33" i="74"/>
  <c r="AA49" i="66"/>
  <c r="Z49" i="66"/>
  <c r="AA193" i="66"/>
  <c r="Z193" i="66"/>
  <c r="P49" i="66"/>
  <c r="AC79" i="74"/>
  <c r="O79" i="74"/>
  <c r="Y16" i="66"/>
  <c r="O145" i="74"/>
  <c r="AC145" i="74"/>
  <c r="Y265" i="66"/>
  <c r="AA47" i="66"/>
  <c r="AA191" i="66"/>
  <c r="Z191" i="66"/>
  <c r="Z47" i="66"/>
  <c r="Y115" i="66"/>
  <c r="S5" i="74"/>
  <c r="X5" i="74"/>
  <c r="T5" i="74"/>
  <c r="Q5" i="74"/>
  <c r="W5" i="74" s="1"/>
  <c r="AA97" i="66"/>
  <c r="Z97" i="66"/>
  <c r="AA241" i="66"/>
  <c r="Z241" i="66"/>
  <c r="P97" i="66"/>
  <c r="T44" i="74"/>
  <c r="S44" i="74"/>
  <c r="Q44" i="74"/>
  <c r="W44" i="74" s="1"/>
  <c r="X44" i="74"/>
  <c r="AA220" i="66"/>
  <c r="Z76" i="66"/>
  <c r="AA76" i="66"/>
  <c r="Z220" i="66"/>
  <c r="P76" i="66"/>
  <c r="AA124" i="66"/>
  <c r="Z124" i="66"/>
  <c r="Z268" i="66"/>
  <c r="AA268" i="66"/>
  <c r="P124" i="66"/>
  <c r="Q24" i="74"/>
  <c r="W24" i="74" s="1"/>
  <c r="X24" i="74"/>
  <c r="T24" i="74"/>
  <c r="S24" i="74"/>
  <c r="Y29" i="66"/>
  <c r="P220" i="66"/>
  <c r="X64" i="74"/>
  <c r="T64" i="74"/>
  <c r="Q64" i="74"/>
  <c r="T51" i="74"/>
  <c r="Q51" i="74"/>
  <c r="W51" i="74" s="1"/>
  <c r="X51" i="74"/>
  <c r="S51" i="74"/>
  <c r="Z278" i="66"/>
  <c r="AA278" i="66"/>
  <c r="Z134" i="66"/>
  <c r="AA134" i="66"/>
  <c r="Y121" i="66"/>
  <c r="Y205" i="66"/>
  <c r="X97" i="74"/>
  <c r="T97" i="74"/>
  <c r="Q97" i="74"/>
  <c r="AA145" i="66"/>
  <c r="Z289" i="66"/>
  <c r="Z145" i="66"/>
  <c r="AA289" i="66"/>
  <c r="P145" i="66"/>
  <c r="AC127" i="74"/>
  <c r="O127" i="74"/>
  <c r="AC23" i="74"/>
  <c r="O23" i="74"/>
  <c r="X59" i="74"/>
  <c r="T59" i="74"/>
  <c r="S59" i="74"/>
  <c r="Q59" i="74"/>
  <c r="W59" i="74" s="1"/>
  <c r="X132" i="74"/>
  <c r="T132" i="74"/>
  <c r="AC47" i="74"/>
  <c r="O47" i="74"/>
  <c r="Z23" i="66"/>
  <c r="AA23" i="66"/>
  <c r="AA167" i="66"/>
  <c r="Z167" i="66"/>
  <c r="P23" i="66"/>
  <c r="Y158" i="66"/>
  <c r="O97" i="74"/>
  <c r="AC97" i="74"/>
  <c r="T83" i="74"/>
  <c r="X83" i="74"/>
  <c r="AA31" i="66"/>
  <c r="Z31" i="66"/>
  <c r="AA175" i="66"/>
  <c r="Z175" i="66"/>
  <c r="AC76" i="74"/>
  <c r="O76" i="74"/>
  <c r="Q25" i="74"/>
  <c r="W25" i="74" s="1"/>
  <c r="X25" i="74"/>
  <c r="T25" i="74"/>
  <c r="S25" i="74"/>
  <c r="T92" i="74"/>
  <c r="S92" i="74"/>
  <c r="X92" i="74"/>
  <c r="Q92" i="74"/>
  <c r="W92" i="74" s="1"/>
  <c r="U258" i="66"/>
  <c r="U86" i="66"/>
  <c r="Y72" i="66"/>
  <c r="X146" i="74"/>
  <c r="T146" i="74"/>
  <c r="Y162" i="66"/>
  <c r="U219" i="66"/>
  <c r="Y221" i="66"/>
  <c r="Y77" i="66"/>
  <c r="Z86" i="66"/>
  <c r="AA86" i="66"/>
  <c r="AA230" i="66"/>
  <c r="Z230" i="66"/>
  <c r="X104" i="74"/>
  <c r="S104" i="74"/>
  <c r="T104" i="74"/>
  <c r="Q104" i="74"/>
  <c r="W104" i="74" s="1"/>
  <c r="X36" i="74"/>
  <c r="T36" i="74"/>
  <c r="T112" i="74"/>
  <c r="Q112" i="74"/>
  <c r="X112" i="74"/>
  <c r="Q66" i="74"/>
  <c r="W66" i="74" s="1"/>
  <c r="X66" i="74"/>
  <c r="S66" i="74"/>
  <c r="T66" i="74"/>
  <c r="O134" i="74"/>
  <c r="AC134" i="74"/>
  <c r="O46" i="74"/>
  <c r="AC46" i="74"/>
  <c r="O129" i="74"/>
  <c r="AC129" i="74"/>
  <c r="P238" i="66"/>
  <c r="T129" i="74"/>
  <c r="S129" i="74"/>
  <c r="Q129" i="74"/>
  <c r="W129" i="74" s="1"/>
  <c r="X129" i="74"/>
  <c r="X135" i="74"/>
  <c r="S135" i="74"/>
  <c r="T135" i="74"/>
  <c r="Q135" i="74"/>
  <c r="W135" i="74" s="1"/>
  <c r="Y191" i="66"/>
  <c r="Y203" i="66"/>
  <c r="T137" i="74"/>
  <c r="X137" i="74"/>
  <c r="U115" i="66"/>
  <c r="Y136" i="66"/>
  <c r="O31" i="74"/>
  <c r="AC31" i="74"/>
  <c r="O64" i="74"/>
  <c r="AC64" i="74"/>
  <c r="T49" i="74"/>
  <c r="S49" i="74"/>
  <c r="X49" i="74"/>
  <c r="Q49" i="74"/>
  <c r="W49" i="74" s="1"/>
  <c r="AC86" i="74"/>
  <c r="O86" i="74"/>
  <c r="X41" i="74"/>
  <c r="T41" i="74"/>
  <c r="S73" i="74"/>
  <c r="X73" i="74"/>
  <c r="T73" i="74"/>
  <c r="Q73" i="74"/>
  <c r="W73" i="74" s="1"/>
  <c r="U195" i="66"/>
  <c r="U75" i="66"/>
  <c r="U207" i="66"/>
  <c r="S88" i="74"/>
  <c r="X88" i="74"/>
  <c r="T88" i="74"/>
  <c r="Q88" i="74"/>
  <c r="W88" i="74" s="1"/>
  <c r="Y130" i="66"/>
  <c r="Y210" i="66"/>
  <c r="X145" i="74"/>
  <c r="T145" i="74"/>
  <c r="Q145" i="74"/>
  <c r="U107" i="66"/>
  <c r="Y129" i="66"/>
  <c r="Y135" i="66"/>
  <c r="Y53" i="74"/>
  <c r="Y264" i="66"/>
  <c r="U175" i="66"/>
  <c r="Y225" i="66"/>
  <c r="Y187" i="66"/>
  <c r="U259" i="66"/>
  <c r="Z33" i="66"/>
  <c r="Z177" i="66"/>
  <c r="AA33" i="66"/>
  <c r="AA177" i="66"/>
  <c r="Y5" i="66"/>
  <c r="S127" i="74"/>
  <c r="Q127" i="74"/>
  <c r="W127" i="74" s="1"/>
  <c r="X127" i="74"/>
  <c r="T127" i="74"/>
  <c r="P64" i="66"/>
  <c r="AA208" i="66"/>
  <c r="AA64" i="66"/>
  <c r="Z208" i="66"/>
  <c r="Z64" i="66"/>
  <c r="Y92" i="66"/>
  <c r="U72" i="66"/>
  <c r="X110" i="74"/>
  <c r="S110" i="74"/>
  <c r="Q110" i="74"/>
  <c r="W110" i="74" s="1"/>
  <c r="T110" i="74"/>
  <c r="U38" i="66"/>
  <c r="U162" i="66"/>
  <c r="Y279" i="66"/>
  <c r="Y178" i="66"/>
  <c r="X140" i="74"/>
  <c r="T140" i="74"/>
  <c r="S140" i="74"/>
  <c r="Q140" i="74"/>
  <c r="W140" i="74" s="1"/>
  <c r="AA189" i="66"/>
  <c r="Z189" i="66"/>
  <c r="Z45" i="66"/>
  <c r="AA45" i="66"/>
  <c r="P45" i="66"/>
  <c r="T7" i="74"/>
  <c r="U7" i="74" s="1"/>
  <c r="X7" i="74"/>
  <c r="Y63" i="66"/>
  <c r="U111" i="66"/>
  <c r="X14" i="74"/>
  <c r="S14" i="74"/>
  <c r="T14" i="74"/>
  <c r="Q14" i="74"/>
  <c r="W14" i="74" s="1"/>
  <c r="U47" i="66"/>
  <c r="Z38" i="66"/>
  <c r="AA38" i="66"/>
  <c r="AA182" i="66"/>
  <c r="Z182" i="66"/>
  <c r="AA244" i="66"/>
  <c r="Z244" i="66"/>
  <c r="AA100" i="66"/>
  <c r="Z100" i="66"/>
  <c r="X87" i="74"/>
  <c r="T87" i="74"/>
  <c r="Q87" i="74"/>
  <c r="W87" i="74" s="1"/>
  <c r="S87" i="74"/>
  <c r="X55" i="74"/>
  <c r="T55" i="74"/>
  <c r="U55" i="74" s="1"/>
  <c r="AA205" i="66"/>
  <c r="U171" i="66"/>
  <c r="X61" i="74"/>
  <c r="T61" i="74"/>
  <c r="S61" i="74"/>
  <c r="Q61" i="74"/>
  <c r="W61" i="74" s="1"/>
  <c r="T13" i="74"/>
  <c r="X13" i="74"/>
  <c r="S13" i="74"/>
  <c r="Q13" i="74"/>
  <c r="W13" i="74" s="1"/>
  <c r="Y59" i="66"/>
  <c r="Y254" i="66"/>
  <c r="U187" i="66"/>
  <c r="Y236" i="66"/>
  <c r="O33" i="74"/>
  <c r="AC33" i="74"/>
  <c r="T40" i="74"/>
  <c r="Q40" i="74"/>
  <c r="W40" i="74" s="1"/>
  <c r="X40" i="74"/>
  <c r="S40" i="74"/>
  <c r="Y127" i="66"/>
  <c r="U226" i="66"/>
  <c r="T19" i="74"/>
  <c r="S19" i="74"/>
  <c r="Q19" i="74"/>
  <c r="W19" i="74" s="1"/>
  <c r="X19" i="74"/>
  <c r="U279" i="66"/>
  <c r="Y149" i="66"/>
  <c r="Y49" i="66"/>
  <c r="U24" i="66"/>
  <c r="Y291" i="66"/>
  <c r="AC109" i="74"/>
  <c r="O109" i="74"/>
  <c r="U178" i="66"/>
  <c r="Y140" i="66"/>
  <c r="AC45" i="74"/>
  <c r="O45" i="74"/>
  <c r="AA93" i="66"/>
  <c r="Z93" i="66"/>
  <c r="AA237" i="66"/>
  <c r="Z237" i="66"/>
  <c r="P93" i="66"/>
  <c r="T95" i="74"/>
  <c r="S95" i="74"/>
  <c r="Q95" i="74"/>
  <c r="W95" i="74" s="1"/>
  <c r="X95" i="74"/>
  <c r="Y244" i="66"/>
  <c r="P241" i="66"/>
  <c r="Y66" i="66"/>
  <c r="AA28" i="66"/>
  <c r="AA172" i="66"/>
  <c r="Z172" i="66"/>
  <c r="Z28" i="66"/>
  <c r="P28" i="66"/>
  <c r="AC38" i="74"/>
  <c r="O38" i="74"/>
  <c r="AC100" i="74"/>
  <c r="O100" i="74"/>
  <c r="E342" i="38"/>
  <c r="E348" i="38"/>
  <c r="N261" i="66" s="1"/>
  <c r="Y278" i="66"/>
  <c r="Z205" i="66"/>
  <c r="X133" i="74"/>
  <c r="T133" i="74"/>
  <c r="U13" i="66"/>
  <c r="U127" i="66"/>
  <c r="U235" i="66"/>
  <c r="Y251" i="66"/>
  <c r="T22" i="74"/>
  <c r="S22" i="74"/>
  <c r="X22" i="74"/>
  <c r="Q22" i="74"/>
  <c r="W22" i="74" s="1"/>
  <c r="Z202" i="66"/>
  <c r="AA58" i="66"/>
  <c r="Z58" i="66"/>
  <c r="AA202" i="66"/>
  <c r="P58" i="66"/>
  <c r="U163" i="66"/>
  <c r="Z43" i="66"/>
  <c r="AA187" i="66"/>
  <c r="Z187" i="66"/>
  <c r="AA43" i="66"/>
  <c r="AA10" i="66"/>
  <c r="Z10" i="66"/>
  <c r="Z154" i="66"/>
  <c r="AA154" i="66"/>
  <c r="P10" i="66"/>
  <c r="Q15" i="74"/>
  <c r="W15" i="74" s="1"/>
  <c r="T15" i="74"/>
  <c r="S15" i="74"/>
  <c r="X15" i="74"/>
  <c r="X35" i="74"/>
  <c r="T35" i="74"/>
  <c r="U239" i="66"/>
  <c r="S134" i="74"/>
  <c r="X134" i="74"/>
  <c r="T134" i="74"/>
  <c r="Q134" i="74"/>
  <c r="W134" i="74" s="1"/>
  <c r="U291" i="66"/>
  <c r="S34" i="74"/>
  <c r="Q34" i="74"/>
  <c r="W34" i="74" s="1"/>
  <c r="X34" i="74"/>
  <c r="T34" i="74"/>
  <c r="O93" i="74"/>
  <c r="AC93" i="74"/>
  <c r="U104" i="66"/>
  <c r="Y73" i="66"/>
  <c r="Y200" i="66"/>
  <c r="AC61" i="74"/>
  <c r="U173" i="66"/>
  <c r="O28" i="74"/>
  <c r="AC28" i="74"/>
  <c r="S120" i="74"/>
  <c r="Q120" i="74"/>
  <c r="W120" i="74" s="1"/>
  <c r="X120" i="74"/>
  <c r="T120" i="74"/>
  <c r="Z61" i="66"/>
  <c r="X56" i="74"/>
  <c r="S56" i="74"/>
  <c r="Q56" i="74"/>
  <c r="W56" i="74" s="1"/>
  <c r="T56" i="74"/>
  <c r="X67" i="74"/>
  <c r="T67" i="74"/>
  <c r="S67" i="74"/>
  <c r="Q67" i="74"/>
  <c r="W67" i="74" s="1"/>
  <c r="Z94" i="66"/>
  <c r="Z238" i="66"/>
  <c r="AA94" i="66"/>
  <c r="AA238" i="66"/>
  <c r="P94" i="66"/>
  <c r="AC58" i="74"/>
  <c r="O58" i="74"/>
  <c r="S101" i="74"/>
  <c r="Q101" i="74"/>
  <c r="W101" i="74" s="1"/>
  <c r="X101" i="74"/>
  <c r="T101" i="74"/>
  <c r="AC43" i="74"/>
  <c r="O43" i="74"/>
  <c r="X27" i="74"/>
  <c r="T27" i="74"/>
  <c r="S27" i="74"/>
  <c r="Q27" i="74"/>
  <c r="W27" i="74" s="1"/>
  <c r="Y248" i="66"/>
  <c r="T147" i="74"/>
  <c r="X147" i="74"/>
  <c r="S147" i="74"/>
  <c r="Q147" i="74"/>
  <c r="W147" i="74" s="1"/>
  <c r="T43" i="74"/>
  <c r="S43" i="74"/>
  <c r="Q43" i="74"/>
  <c r="W43" i="74" s="1"/>
  <c r="X43" i="74"/>
  <c r="X91" i="74"/>
  <c r="S91" i="74"/>
  <c r="T91" i="74"/>
  <c r="Q91" i="74"/>
  <c r="W91" i="74" s="1"/>
  <c r="AC143" i="74"/>
  <c r="O143" i="74"/>
  <c r="U200" i="66"/>
  <c r="S81" i="74"/>
  <c r="Q81" i="74"/>
  <c r="W81" i="74" s="1"/>
  <c r="X81" i="74"/>
  <c r="T81" i="74"/>
  <c r="O61" i="74"/>
  <c r="Y168" i="66"/>
  <c r="D263" i="72" a="1"/>
  <c r="D263" i="72" s="1"/>
  <c r="D139" i="72" a="1"/>
  <c r="D139" i="72" s="1"/>
  <c r="D201" i="72" a="1"/>
  <c r="D201" i="72" s="1"/>
  <c r="R202" i="66" l="1"/>
  <c r="S202" i="66" s="1"/>
  <c r="U202" i="66" s="1"/>
  <c r="V202" i="66"/>
  <c r="R190" i="66"/>
  <c r="AA143" i="66"/>
  <c r="Z287" i="66"/>
  <c r="Z143" i="66"/>
  <c r="R156" i="66"/>
  <c r="O139" i="74"/>
  <c r="U23" i="74"/>
  <c r="W237" i="66"/>
  <c r="Y237" i="66" s="1"/>
  <c r="Y4" i="74"/>
  <c r="R160" i="66"/>
  <c r="U10" i="74"/>
  <c r="O124" i="74"/>
  <c r="Z124" i="74" s="1"/>
  <c r="D5" i="77"/>
  <c r="D8" i="77"/>
  <c r="R237" i="66"/>
  <c r="S237" i="66" s="1"/>
  <c r="U237" i="66" s="1"/>
  <c r="R268" i="66"/>
  <c r="S268" i="66" s="1"/>
  <c r="U268" i="66" s="1"/>
  <c r="Z271" i="66"/>
  <c r="Z127" i="66"/>
  <c r="AA271" i="66"/>
  <c r="X263" i="66"/>
  <c r="Q215" i="66"/>
  <c r="T263" i="66"/>
  <c r="U48" i="74"/>
  <c r="X215" i="66"/>
  <c r="T215" i="66"/>
  <c r="V224" i="66"/>
  <c r="Q263" i="66"/>
  <c r="W224" i="66"/>
  <c r="Y224" i="66" s="1"/>
  <c r="U32" i="74"/>
  <c r="AD64" i="74"/>
  <c r="AE64" i="74"/>
  <c r="AF64" i="74" s="1"/>
  <c r="AD95" i="74"/>
  <c r="AE95" i="74"/>
  <c r="AF95" i="74" s="1"/>
  <c r="AD108" i="74"/>
  <c r="AE108" i="74"/>
  <c r="AF108" i="74" s="1"/>
  <c r="AD94" i="74"/>
  <c r="AE94" i="74"/>
  <c r="AF94" i="74" s="1"/>
  <c r="AD79" i="74"/>
  <c r="G30" i="77" s="1"/>
  <c r="AE79" i="74"/>
  <c r="AF79" i="74" s="1"/>
  <c r="D30" i="77" s="1"/>
  <c r="AD31" i="74"/>
  <c r="F30" i="77" s="1"/>
  <c r="AE31" i="74"/>
  <c r="AF31" i="74" s="1"/>
  <c r="C30" i="77" s="1"/>
  <c r="AD76" i="74"/>
  <c r="AE76" i="74"/>
  <c r="AF76" i="74" s="1"/>
  <c r="AD12" i="74"/>
  <c r="AE12" i="74"/>
  <c r="AF12" i="74" s="1"/>
  <c r="AD70" i="74"/>
  <c r="AE70" i="74"/>
  <c r="AF70" i="74" s="1"/>
  <c r="AD77" i="74"/>
  <c r="AE77" i="74"/>
  <c r="AF77" i="74" s="1"/>
  <c r="AD45" i="74"/>
  <c r="AE45" i="74"/>
  <c r="AF45" i="74" s="1"/>
  <c r="AD92" i="74"/>
  <c r="AE92" i="74"/>
  <c r="AF92" i="74" s="1"/>
  <c r="AD80" i="74"/>
  <c r="AE80" i="74"/>
  <c r="AD28" i="74"/>
  <c r="AE28" i="74"/>
  <c r="AF28" i="74" s="1"/>
  <c r="AD23" i="74"/>
  <c r="AE23" i="74"/>
  <c r="AF23" i="74" s="1"/>
  <c r="AD4" i="74"/>
  <c r="F21" i="77" s="1"/>
  <c r="AE4" i="74"/>
  <c r="AF4" i="74" s="1"/>
  <c r="C21" i="77" s="1"/>
  <c r="AD22" i="74"/>
  <c r="AE22" i="74"/>
  <c r="AF22" i="74" s="1"/>
  <c r="AD43" i="74"/>
  <c r="AE43" i="74"/>
  <c r="AF43" i="74" s="1"/>
  <c r="AD93" i="74"/>
  <c r="AE93" i="74"/>
  <c r="AF93" i="74" s="1"/>
  <c r="AD100" i="74"/>
  <c r="H21" i="77" s="1"/>
  <c r="AE100" i="74"/>
  <c r="AF100" i="74" s="1"/>
  <c r="E21" i="77" s="1"/>
  <c r="AD109" i="74"/>
  <c r="AE109" i="74"/>
  <c r="AF109" i="74" s="1"/>
  <c r="AD16" i="74"/>
  <c r="AE16" i="74"/>
  <c r="AF16" i="74" s="1"/>
  <c r="AD32" i="74"/>
  <c r="AE32" i="74"/>
  <c r="C8" i="77"/>
  <c r="AD38" i="74"/>
  <c r="AE38" i="74"/>
  <c r="AF38" i="74" s="1"/>
  <c r="AD127" i="74"/>
  <c r="H30" i="77" s="1"/>
  <c r="AE127" i="74"/>
  <c r="AF127" i="74" s="1"/>
  <c r="E30" i="77" s="1"/>
  <c r="AD52" i="74"/>
  <c r="G21" i="77" s="1"/>
  <c r="AE52" i="74"/>
  <c r="AF52" i="74" s="1"/>
  <c r="D21" i="77" s="1"/>
  <c r="AD96" i="74"/>
  <c r="AE96" i="74"/>
  <c r="AF96" i="74" s="1"/>
  <c r="AD61" i="74"/>
  <c r="AE61" i="74"/>
  <c r="AF61" i="74" s="1"/>
  <c r="AD86" i="74"/>
  <c r="AE86" i="74"/>
  <c r="AF86" i="74" s="1"/>
  <c r="AD129" i="74"/>
  <c r="AE129" i="74"/>
  <c r="AF129" i="74" s="1"/>
  <c r="AD33" i="74"/>
  <c r="AE33" i="74"/>
  <c r="AF33" i="74" s="1"/>
  <c r="AD13" i="74"/>
  <c r="AE13" i="74"/>
  <c r="AF13" i="74" s="1"/>
  <c r="AD49" i="74"/>
  <c r="AE49" i="74"/>
  <c r="AF49" i="74" s="1"/>
  <c r="AD143" i="74"/>
  <c r="AE143" i="74"/>
  <c r="AF143" i="74" s="1"/>
  <c r="AD124" i="74"/>
  <c r="AE124" i="74"/>
  <c r="AF124" i="74" s="1"/>
  <c r="AD47" i="74"/>
  <c r="AE47" i="74"/>
  <c r="AF47" i="74" s="1"/>
  <c r="AD139" i="74"/>
  <c r="AE139" i="74"/>
  <c r="AF139" i="74" s="1"/>
  <c r="AD44" i="74"/>
  <c r="AE44" i="74"/>
  <c r="AF44" i="74" s="1"/>
  <c r="AD46" i="74"/>
  <c r="AE46" i="74"/>
  <c r="AF46" i="74" s="1"/>
  <c r="AD97" i="74"/>
  <c r="AE97" i="74"/>
  <c r="AF97" i="74" s="1"/>
  <c r="AD145" i="74"/>
  <c r="AE145" i="74"/>
  <c r="AF145" i="74" s="1"/>
  <c r="AD91" i="74"/>
  <c r="AE91" i="74"/>
  <c r="AF91" i="74" s="1"/>
  <c r="AD81" i="74"/>
  <c r="AE81" i="74"/>
  <c r="AF81" i="74" s="1"/>
  <c r="AD134" i="74"/>
  <c r="AE134" i="74"/>
  <c r="AF134" i="74" s="1"/>
  <c r="AD60" i="74"/>
  <c r="AE60" i="74"/>
  <c r="AF60" i="74" s="1"/>
  <c r="AD29" i="74"/>
  <c r="AE29" i="74"/>
  <c r="AF29" i="74" s="1"/>
  <c r="AD58" i="74"/>
  <c r="AE58" i="74"/>
  <c r="AD112" i="74"/>
  <c r="AE112" i="74"/>
  <c r="AF112" i="74" s="1"/>
  <c r="AD10" i="74"/>
  <c r="C5" i="77"/>
  <c r="AE10" i="74"/>
  <c r="AD48" i="74"/>
  <c r="AE48" i="74"/>
  <c r="AF48" i="74" s="1"/>
  <c r="W268" i="66"/>
  <c r="Y268" i="66" s="1"/>
  <c r="W240" i="66"/>
  <c r="Y240" i="66" s="1"/>
  <c r="R240" i="66"/>
  <c r="S240" i="66" s="1"/>
  <c r="U240" i="66" s="1"/>
  <c r="U114" i="74"/>
  <c r="K119" i="66"/>
  <c r="Q119" i="66" s="1"/>
  <c r="V46" i="66"/>
  <c r="P252" i="66"/>
  <c r="V252" i="66" s="1"/>
  <c r="AA283" i="66"/>
  <c r="Z283" i="66"/>
  <c r="Z139" i="66"/>
  <c r="U46" i="74"/>
  <c r="AA250" i="66"/>
  <c r="AA253" i="66"/>
  <c r="U28" i="74"/>
  <c r="Z253" i="66"/>
  <c r="Z109" i="66"/>
  <c r="P106" i="66"/>
  <c r="V106" i="66" s="1"/>
  <c r="Z250" i="66"/>
  <c r="Z106" i="66"/>
  <c r="AA106" i="66"/>
  <c r="U12" i="74"/>
  <c r="V193" i="66"/>
  <c r="AA273" i="66"/>
  <c r="AA129" i="66"/>
  <c r="Z273" i="66"/>
  <c r="V172" i="66"/>
  <c r="J473" i="41"/>
  <c r="J467" i="58"/>
  <c r="J467" i="41" s="1"/>
  <c r="P10" i="74"/>
  <c r="R10" i="74" s="1"/>
  <c r="AA10" i="74"/>
  <c r="W289" i="66"/>
  <c r="Y289" i="66" s="1"/>
  <c r="R289" i="66"/>
  <c r="S289" i="66" s="1"/>
  <c r="U289" i="66" s="1"/>
  <c r="V176" i="66"/>
  <c r="U45" i="74"/>
  <c r="T285" i="66"/>
  <c r="Q285" i="66"/>
  <c r="X285" i="66"/>
  <c r="O285" i="66"/>
  <c r="H485" i="41"/>
  <c r="T141" i="66"/>
  <c r="O141" i="66"/>
  <c r="G15" i="39"/>
  <c r="Q141" i="66"/>
  <c r="K141" i="74"/>
  <c r="X141" i="66"/>
  <c r="D44" i="17"/>
  <c r="D34" i="17"/>
  <c r="D40" i="17"/>
  <c r="V189" i="66"/>
  <c r="R154" i="66"/>
  <c r="U67" i="74"/>
  <c r="W250" i="66"/>
  <c r="Y250" i="66" s="1"/>
  <c r="V250" i="66"/>
  <c r="R250" i="66"/>
  <c r="S250" i="66" s="1"/>
  <c r="U250" i="66" s="1"/>
  <c r="U110" i="74"/>
  <c r="U5" i="74"/>
  <c r="O108" i="74"/>
  <c r="AA108" i="74" s="1"/>
  <c r="Z252" i="66"/>
  <c r="Z108" i="66"/>
  <c r="P108" i="66"/>
  <c r="R108" i="66" s="1"/>
  <c r="S108" i="66" s="1"/>
  <c r="U108" i="66" s="1"/>
  <c r="AA108" i="66"/>
  <c r="AA252" i="66"/>
  <c r="Y111" i="74"/>
  <c r="Y66" i="74"/>
  <c r="U34" i="74"/>
  <c r="Y15" i="74"/>
  <c r="Z162" i="66"/>
  <c r="U77" i="74"/>
  <c r="Y79" i="74"/>
  <c r="Y101" i="74"/>
  <c r="U95" i="74"/>
  <c r="U135" i="74"/>
  <c r="Y82" i="74"/>
  <c r="Y100" i="74"/>
  <c r="AA18" i="66"/>
  <c r="AA162" i="66"/>
  <c r="Y12" i="74"/>
  <c r="U92" i="74"/>
  <c r="U125" i="74"/>
  <c r="U120" i="74"/>
  <c r="Y147" i="74"/>
  <c r="Y130" i="74"/>
  <c r="Y61" i="74"/>
  <c r="Y123" i="74"/>
  <c r="U134" i="74"/>
  <c r="Y95" i="74"/>
  <c r="Y38" i="74"/>
  <c r="Y10" i="74"/>
  <c r="Y109" i="74"/>
  <c r="Y31" i="74"/>
  <c r="Y134" i="74"/>
  <c r="U99" i="74"/>
  <c r="U31" i="74"/>
  <c r="Y11" i="74"/>
  <c r="Y115" i="74"/>
  <c r="Y48" i="74"/>
  <c r="Y143" i="74"/>
  <c r="AC144" i="74"/>
  <c r="O144" i="74"/>
  <c r="Y88" i="74"/>
  <c r="Z96" i="74"/>
  <c r="P96" i="74"/>
  <c r="AA96" i="74"/>
  <c r="D33" i="17"/>
  <c r="I63" i="35" a="1"/>
  <c r="I63" i="35" s="1"/>
  <c r="I19" i="35" a="1"/>
  <c r="I19" i="35" s="1"/>
  <c r="D27" i="17"/>
  <c r="D25" i="17"/>
  <c r="O10" i="9"/>
  <c r="I496" i="18"/>
  <c r="H496" i="18"/>
  <c r="I241" i="18"/>
  <c r="H241" i="18"/>
  <c r="I240" i="18"/>
  <c r="H240" i="18"/>
  <c r="I460" i="18"/>
  <c r="H460" i="18"/>
  <c r="I459" i="18"/>
  <c r="H459" i="18"/>
  <c r="H498" i="18"/>
  <c r="I498" i="18"/>
  <c r="I253" i="18"/>
  <c r="H253" i="18"/>
  <c r="I247" i="18"/>
  <c r="H247" i="18"/>
  <c r="X71" i="66"/>
  <c r="T71" i="66"/>
  <c r="Q71" i="66"/>
  <c r="K71" i="74"/>
  <c r="O71" i="66"/>
  <c r="F19" i="39"/>
  <c r="D103" i="72" a="1"/>
  <c r="D103" i="72" s="1"/>
  <c r="D104" i="72" s="1" a="1"/>
  <c r="D104" i="72" s="1"/>
  <c r="T106" i="74"/>
  <c r="Q106" i="74"/>
  <c r="X106" i="74"/>
  <c r="U101" i="74"/>
  <c r="Y40" i="74"/>
  <c r="U66" i="74"/>
  <c r="D226" i="72" a="1"/>
  <c r="D226" i="72" s="1"/>
  <c r="D227" i="72" s="1" a="1"/>
  <c r="D227" i="72" s="1"/>
  <c r="J7" i="6"/>
  <c r="AA144" i="66"/>
  <c r="Z144" i="66"/>
  <c r="AA288" i="66"/>
  <c r="Z288" i="66"/>
  <c r="P144" i="66"/>
  <c r="I203" i="18"/>
  <c r="H203" i="18"/>
  <c r="Z29" i="74"/>
  <c r="AA29" i="74"/>
  <c r="I500" i="18"/>
  <c r="H500" i="18"/>
  <c r="AC125" i="74"/>
  <c r="O125" i="74"/>
  <c r="I248" i="18"/>
  <c r="H248" i="18"/>
  <c r="I252" i="18"/>
  <c r="H252" i="18"/>
  <c r="I453" i="18"/>
  <c r="H453" i="18"/>
  <c r="Y28" i="74"/>
  <c r="Y27" i="74"/>
  <c r="Y14" i="74"/>
  <c r="U88" i="74"/>
  <c r="U25" i="74"/>
  <c r="AA70" i="74"/>
  <c r="Z70" i="74"/>
  <c r="AA92" i="74"/>
  <c r="Z92" i="74"/>
  <c r="Y23" i="74"/>
  <c r="J17" i="39"/>
  <c r="O11" i="74"/>
  <c r="AC11" i="74"/>
  <c r="I492" i="18"/>
  <c r="H492" i="18"/>
  <c r="H497" i="18"/>
  <c r="I497" i="18"/>
  <c r="Z125" i="66"/>
  <c r="AA125" i="66"/>
  <c r="Z269" i="66"/>
  <c r="AA269" i="66"/>
  <c r="H243" i="18"/>
  <c r="I243" i="18"/>
  <c r="I462" i="18"/>
  <c r="H462" i="18"/>
  <c r="Z118" i="66"/>
  <c r="Z262" i="66"/>
  <c r="AA118" i="66"/>
  <c r="AA262" i="66"/>
  <c r="R48" i="66"/>
  <c r="V48" i="66"/>
  <c r="AC106" i="74"/>
  <c r="I102" i="35" a="1"/>
  <c r="I102" i="35" s="1"/>
  <c r="G377" i="18" a="1"/>
  <c r="G377" i="18" s="1"/>
  <c r="G371" i="18" a="1"/>
  <c r="G371" i="18" s="1"/>
  <c r="I103" i="35" a="1"/>
  <c r="I103" i="35" s="1"/>
  <c r="G372" i="18" a="1"/>
  <c r="G372" i="18" s="1"/>
  <c r="G378" i="18" a="1"/>
  <c r="G378" i="18" s="1"/>
  <c r="I109" i="35" a="1"/>
  <c r="I109" i="35" s="1"/>
  <c r="G376" i="18" a="1"/>
  <c r="G376" i="18" s="1"/>
  <c r="I105" i="35" a="1"/>
  <c r="I105" i="35" s="1"/>
  <c r="G379" i="18" a="1"/>
  <c r="G379" i="18" s="1"/>
  <c r="I101" i="35" a="1"/>
  <c r="I101" i="35" s="1"/>
  <c r="G373" i="18" a="1"/>
  <c r="G373" i="18" s="1"/>
  <c r="I112" i="35" a="1"/>
  <c r="I112" i="35" s="1"/>
  <c r="G374" i="18" a="1"/>
  <c r="G374" i="18" s="1"/>
  <c r="I108" i="35" a="1"/>
  <c r="I108" i="35" s="1"/>
  <c r="G370" i="18" a="1"/>
  <c r="G370" i="18" s="1"/>
  <c r="I104" i="35" a="1"/>
  <c r="I104" i="35" s="1"/>
  <c r="G368" i="18" a="1"/>
  <c r="G368" i="18" s="1"/>
  <c r="I114" i="35" a="1"/>
  <c r="I114" i="35" s="1"/>
  <c r="G366" i="18" a="1"/>
  <c r="G366" i="18" s="1"/>
  <c r="J47" i="20"/>
  <c r="I110" i="35" a="1"/>
  <c r="I110" i="35" s="1"/>
  <c r="G367" i="18" a="1"/>
  <c r="G367" i="18" s="1"/>
  <c r="I107" i="35" a="1"/>
  <c r="I107" i="35" s="1"/>
  <c r="I111" i="35" a="1"/>
  <c r="I111" i="35" s="1"/>
  <c r="G375" i="18" a="1"/>
  <c r="G375" i="18" s="1"/>
  <c r="I113" i="35" a="1"/>
  <c r="I113" i="35" s="1"/>
  <c r="I106" i="35" a="1"/>
  <c r="I106" i="35" s="1"/>
  <c r="G369" i="18" a="1"/>
  <c r="G369" i="18" s="1"/>
  <c r="Y32" i="74"/>
  <c r="I30" i="35" a="1"/>
  <c r="I30" i="35" s="1"/>
  <c r="I22" i="35" a="1"/>
  <c r="I22" i="35" s="1"/>
  <c r="I29" i="35" a="1"/>
  <c r="I29" i="35" s="1"/>
  <c r="G115" i="18" a="1"/>
  <c r="G115" i="18" s="1"/>
  <c r="G118" i="18" a="1"/>
  <c r="G118" i="18" s="1"/>
  <c r="G116" i="18" a="1"/>
  <c r="G116" i="18" s="1"/>
  <c r="G124" i="18" a="1"/>
  <c r="G124" i="18" s="1"/>
  <c r="G125" i="18" a="1"/>
  <c r="G125" i="18" s="1"/>
  <c r="G123" i="18" a="1"/>
  <c r="G123" i="18" s="1"/>
  <c r="G122" i="18" a="1"/>
  <c r="G122" i="18" s="1"/>
  <c r="G117" i="18" a="1"/>
  <c r="G117" i="18" s="1"/>
  <c r="G119" i="18" a="1"/>
  <c r="G119" i="18" s="1"/>
  <c r="G121" i="18" a="1"/>
  <c r="G121" i="18" s="1"/>
  <c r="G114" i="18" a="1"/>
  <c r="G114" i="18" s="1"/>
  <c r="G126" i="18" a="1"/>
  <c r="G126" i="18" s="1"/>
  <c r="I17" i="35" a="1"/>
  <c r="I17" i="35" s="1"/>
  <c r="G120" i="18" a="1"/>
  <c r="G120" i="18" s="1"/>
  <c r="I23" i="35" a="1"/>
  <c r="I23" i="35" s="1"/>
  <c r="G127" i="18" a="1"/>
  <c r="G127" i="18" s="1"/>
  <c r="J20" i="20"/>
  <c r="I26" i="35" a="1"/>
  <c r="I26" i="35" s="1"/>
  <c r="I20" i="35" a="1"/>
  <c r="I20" i="35" s="1"/>
  <c r="I27" i="35" a="1"/>
  <c r="I27" i="35" s="1"/>
  <c r="I21" i="35" a="1"/>
  <c r="I21" i="35" s="1"/>
  <c r="I24" i="35" a="1"/>
  <c r="I24" i="35" s="1"/>
  <c r="I18" i="35" a="1"/>
  <c r="I18" i="35" s="1"/>
  <c r="I25" i="35" a="1"/>
  <c r="I25" i="35" s="1"/>
  <c r="I28" i="35" a="1"/>
  <c r="I28" i="35" s="1"/>
  <c r="Q17" i="39"/>
  <c r="P29" i="39"/>
  <c r="Q29" i="39" s="1"/>
  <c r="AA32" i="74"/>
  <c r="Z32" i="74"/>
  <c r="P32" i="74"/>
  <c r="I503" i="18"/>
  <c r="H503" i="18"/>
  <c r="I251" i="18"/>
  <c r="H251" i="18"/>
  <c r="I242" i="18"/>
  <c r="H242" i="18"/>
  <c r="H461" i="18"/>
  <c r="I461" i="18"/>
  <c r="O118" i="74"/>
  <c r="AC118" i="74"/>
  <c r="C30" i="63"/>
  <c r="J459" i="41"/>
  <c r="D35" i="17"/>
  <c r="Y120" i="74"/>
  <c r="O106" i="74"/>
  <c r="AA106" i="74" s="1"/>
  <c r="U14" i="74"/>
  <c r="U49" i="74"/>
  <c r="Y44" i="74"/>
  <c r="U72" i="74"/>
  <c r="U52" i="74"/>
  <c r="P12" i="20"/>
  <c r="P14" i="20"/>
  <c r="G8" i="20"/>
  <c r="E23" i="22"/>
  <c r="G9" i="20"/>
  <c r="P16" i="20"/>
  <c r="P18" i="20"/>
  <c r="G12" i="20"/>
  <c r="P7" i="20"/>
  <c r="P6" i="20"/>
  <c r="P10" i="20"/>
  <c r="N6" i="9"/>
  <c r="G18" i="20"/>
  <c r="G7" i="20"/>
  <c r="G6" i="20"/>
  <c r="P17" i="20"/>
  <c r="G17" i="20"/>
  <c r="G15" i="20"/>
  <c r="P15" i="20"/>
  <c r="G14" i="20"/>
  <c r="P11" i="20"/>
  <c r="G19" i="20"/>
  <c r="G10" i="20"/>
  <c r="P8" i="20"/>
  <c r="G16" i="20"/>
  <c r="P19" i="20"/>
  <c r="G11" i="20"/>
  <c r="P13" i="20"/>
  <c r="G13" i="20"/>
  <c r="P9" i="20"/>
  <c r="N30" i="9"/>
  <c r="M21" i="74"/>
  <c r="Q21" i="66"/>
  <c r="W21" i="66" s="1"/>
  <c r="Y21" i="66" s="1"/>
  <c r="S21" i="66"/>
  <c r="U21" i="66" s="1"/>
  <c r="O21" i="66"/>
  <c r="I202" i="18"/>
  <c r="H202" i="18"/>
  <c r="H198" i="18"/>
  <c r="I198" i="18"/>
  <c r="R192" i="66"/>
  <c r="V192" i="66"/>
  <c r="I60" i="35" a="1"/>
  <c r="I60" i="35" s="1"/>
  <c r="G162" i="18" a="1"/>
  <c r="G162" i="18" s="1"/>
  <c r="G157" i="18" a="1"/>
  <c r="G157" i="18" s="1"/>
  <c r="G158" i="18" a="1"/>
  <c r="G158" i="18" s="1"/>
  <c r="G160" i="18" a="1"/>
  <c r="G160" i="18" s="1"/>
  <c r="G168" i="18" a="1"/>
  <c r="G168" i="18" s="1"/>
  <c r="I59" i="35" a="1"/>
  <c r="I59" i="35" s="1"/>
  <c r="G161" i="18" a="1"/>
  <c r="G161" i="18" s="1"/>
  <c r="G165" i="18" a="1"/>
  <c r="G165" i="18" s="1"/>
  <c r="G156" i="18" a="1"/>
  <c r="G156" i="18" s="1"/>
  <c r="I71" i="35" a="1"/>
  <c r="I71" i="35" s="1"/>
  <c r="G164" i="18" a="1"/>
  <c r="G164" i="18" s="1"/>
  <c r="G166" i="18" a="1"/>
  <c r="G166" i="18" s="1"/>
  <c r="G167" i="18" a="1"/>
  <c r="G167" i="18" s="1"/>
  <c r="I69" i="35" a="1"/>
  <c r="I69" i="35" s="1"/>
  <c r="G159" i="18" a="1"/>
  <c r="G159" i="18" s="1"/>
  <c r="G169" i="18" a="1"/>
  <c r="G169" i="18" s="1"/>
  <c r="I72" i="35" a="1"/>
  <c r="I72" i="35" s="1"/>
  <c r="G163" i="18" a="1"/>
  <c r="G163" i="18" s="1"/>
  <c r="I64" i="35" a="1"/>
  <c r="I64" i="35" s="1"/>
  <c r="I68" i="35" a="1"/>
  <c r="I68" i="35" s="1"/>
  <c r="S20" i="20"/>
  <c r="I66" i="35" a="1"/>
  <c r="I66" i="35" s="1"/>
  <c r="I62" i="35" a="1"/>
  <c r="I62" i="35" s="1"/>
  <c r="I67" i="35" a="1"/>
  <c r="I67" i="35" s="1"/>
  <c r="I65" i="35" a="1"/>
  <c r="I65" i="35" s="1"/>
  <c r="I61" i="35" a="1"/>
  <c r="I61" i="35" s="1"/>
  <c r="I70" i="35" a="1"/>
  <c r="I70" i="35" s="1"/>
  <c r="N69" i="74"/>
  <c r="F25" i="39"/>
  <c r="I504" i="18"/>
  <c r="H504" i="18"/>
  <c r="I246" i="18"/>
  <c r="H246" i="18"/>
  <c r="I245" i="18"/>
  <c r="H245" i="18"/>
  <c r="Q142" i="66"/>
  <c r="X142" i="66"/>
  <c r="T142" i="66"/>
  <c r="K142" i="74"/>
  <c r="O142" i="66"/>
  <c r="G12" i="39"/>
  <c r="D166" i="72" a="1"/>
  <c r="D166" i="72" s="1"/>
  <c r="E25" i="22"/>
  <c r="N8" i="9"/>
  <c r="U8" i="9" s="1"/>
  <c r="I146" i="35" a="1"/>
  <c r="I146" i="35" s="1"/>
  <c r="G412" i="18" a="1"/>
  <c r="G412" i="18" s="1"/>
  <c r="G413" i="18" a="1"/>
  <c r="G413" i="18" s="1"/>
  <c r="G416" i="18" a="1"/>
  <c r="G416" i="18" s="1"/>
  <c r="I149" i="35" a="1"/>
  <c r="I149" i="35" s="1"/>
  <c r="G420" i="18" a="1"/>
  <c r="G420" i="18" s="1"/>
  <c r="I145" i="35" a="1"/>
  <c r="I145" i="35" s="1"/>
  <c r="I156" i="35" a="1"/>
  <c r="I156" i="35" s="1"/>
  <c r="G409" i="18" a="1"/>
  <c r="G409" i="18" s="1"/>
  <c r="I152" i="35" a="1"/>
  <c r="I152" i="35" s="1"/>
  <c r="S47" i="20"/>
  <c r="I148" i="35" a="1"/>
  <c r="I148" i="35" s="1"/>
  <c r="G419" i="18" a="1"/>
  <c r="G419" i="18" s="1"/>
  <c r="I155" i="35" a="1"/>
  <c r="I155" i="35" s="1"/>
  <c r="G418" i="18" a="1"/>
  <c r="G418" i="18" s="1"/>
  <c r="G417" i="18" a="1"/>
  <c r="G417" i="18" s="1"/>
  <c r="I144" i="35" a="1"/>
  <c r="I144" i="35" s="1"/>
  <c r="I150" i="35" a="1"/>
  <c r="I150" i="35" s="1"/>
  <c r="I154" i="35" a="1"/>
  <c r="I154" i="35" s="1"/>
  <c r="G415" i="18" a="1"/>
  <c r="G415" i="18" s="1"/>
  <c r="I151" i="35" a="1"/>
  <c r="I151" i="35" s="1"/>
  <c r="G408" i="18" a="1"/>
  <c r="G408" i="18" s="1"/>
  <c r="I153" i="35" a="1"/>
  <c r="I153" i="35" s="1"/>
  <c r="G421" i="18" a="1"/>
  <c r="G421" i="18" s="1"/>
  <c r="G410" i="18" a="1"/>
  <c r="G410" i="18" s="1"/>
  <c r="I147" i="35" a="1"/>
  <c r="I147" i="35" s="1"/>
  <c r="G411" i="18" a="1"/>
  <c r="G411" i="18" s="1"/>
  <c r="I143" i="35" a="1"/>
  <c r="I143" i="35" s="1"/>
  <c r="G414" i="18" a="1"/>
  <c r="G414" i="18" s="1"/>
  <c r="I205" i="18"/>
  <c r="H205" i="18"/>
  <c r="I208" i="18"/>
  <c r="H208" i="18"/>
  <c r="T94" i="74"/>
  <c r="Q94" i="74"/>
  <c r="X94" i="74"/>
  <c r="I505" i="18"/>
  <c r="H505" i="18"/>
  <c r="I494" i="18"/>
  <c r="H494" i="18"/>
  <c r="I457" i="18"/>
  <c r="H457" i="18"/>
  <c r="I463" i="18"/>
  <c r="H463" i="18"/>
  <c r="I450" i="18"/>
  <c r="H450" i="18"/>
  <c r="H158" i="35" a="1"/>
  <c r="H158" i="35" s="1"/>
  <c r="G481" i="18" a="1"/>
  <c r="G481" i="18" s="1"/>
  <c r="H168" i="35" a="1"/>
  <c r="H168" i="35" s="1"/>
  <c r="G480" i="18" a="1"/>
  <c r="G480" i="18" s="1"/>
  <c r="G482" i="18" a="1"/>
  <c r="G482" i="18" s="1"/>
  <c r="H161" i="35" a="1"/>
  <c r="H161" i="35" s="1"/>
  <c r="H164" i="35" a="1"/>
  <c r="H164" i="35" s="1"/>
  <c r="G478" i="18" a="1"/>
  <c r="G478" i="18" s="1"/>
  <c r="H160" i="35" a="1"/>
  <c r="H160" i="35" s="1"/>
  <c r="G488" i="18" a="1"/>
  <c r="G488" i="18" s="1"/>
  <c r="H165" i="35" a="1"/>
  <c r="H165" i="35" s="1"/>
  <c r="G483" i="18" a="1"/>
  <c r="G483" i="18" s="1"/>
  <c r="Q47" i="20"/>
  <c r="H167" i="35" a="1"/>
  <c r="H167" i="35" s="1"/>
  <c r="G490" i="18" a="1"/>
  <c r="G490" i="18" s="1"/>
  <c r="H163" i="35" a="1"/>
  <c r="H163" i="35" s="1"/>
  <c r="H169" i="35" a="1"/>
  <c r="H169" i="35" s="1"/>
  <c r="H166" i="35" a="1"/>
  <c r="H166" i="35" s="1"/>
  <c r="G479" i="18" a="1"/>
  <c r="G479" i="18" s="1"/>
  <c r="H170" i="35" a="1"/>
  <c r="H170" i="35" s="1"/>
  <c r="H157" i="35" a="1"/>
  <c r="H157" i="35" s="1"/>
  <c r="G486" i="18" a="1"/>
  <c r="G486" i="18" s="1"/>
  <c r="G489" i="18" a="1"/>
  <c r="G489" i="18" s="1"/>
  <c r="H159" i="35" a="1"/>
  <c r="H159" i="35" s="1"/>
  <c r="G491" i="18" a="1"/>
  <c r="G491" i="18" s="1"/>
  <c r="G487" i="18" a="1"/>
  <c r="G487" i="18" s="1"/>
  <c r="G485" i="18" a="1"/>
  <c r="G485" i="18" s="1"/>
  <c r="H162" i="35" a="1"/>
  <c r="H162" i="35" s="1"/>
  <c r="G484" i="18" a="1"/>
  <c r="G484" i="18" s="1"/>
  <c r="J458" i="41"/>
  <c r="U91" i="74"/>
  <c r="Y127" i="74"/>
  <c r="Y51" i="74"/>
  <c r="Y77" i="74"/>
  <c r="P44" i="20"/>
  <c r="G38" i="20"/>
  <c r="G45" i="20"/>
  <c r="G35" i="20"/>
  <c r="P40" i="20"/>
  <c r="P34" i="20"/>
  <c r="G39" i="20"/>
  <c r="P35" i="20"/>
  <c r="G36" i="20"/>
  <c r="G43" i="20"/>
  <c r="G46" i="20"/>
  <c r="P37" i="20"/>
  <c r="G42" i="20"/>
  <c r="P42" i="20"/>
  <c r="P39" i="20"/>
  <c r="G40" i="20"/>
  <c r="P38" i="20"/>
  <c r="P33" i="20"/>
  <c r="P43" i="20"/>
  <c r="G44" i="20"/>
  <c r="P41" i="20"/>
  <c r="P45" i="20"/>
  <c r="G37" i="20"/>
  <c r="E68" i="22"/>
  <c r="P36" i="20"/>
  <c r="G33" i="20"/>
  <c r="P46" i="20"/>
  <c r="G34" i="20"/>
  <c r="G41" i="20"/>
  <c r="N40" i="9"/>
  <c r="V96" i="66"/>
  <c r="R96" i="66"/>
  <c r="S96" i="66" s="1"/>
  <c r="U96" i="66" s="1"/>
  <c r="W96" i="66"/>
  <c r="Y96" i="66" s="1"/>
  <c r="Q286" i="66"/>
  <c r="X286" i="66"/>
  <c r="T286" i="66"/>
  <c r="O286" i="66"/>
  <c r="D288" i="72" a="1"/>
  <c r="D288" i="72" s="1"/>
  <c r="D72" i="72" a="1"/>
  <c r="D72" i="72" s="1"/>
  <c r="I210" i="18"/>
  <c r="H210" i="18"/>
  <c r="I201" i="18"/>
  <c r="H201" i="18"/>
  <c r="E26" i="17"/>
  <c r="E24" i="17"/>
  <c r="E28" i="17" s="1"/>
  <c r="Q10" i="9"/>
  <c r="V6" i="9"/>
  <c r="AA5" i="39"/>
  <c r="J12" i="39"/>
  <c r="J21" i="39"/>
  <c r="J13" i="39"/>
  <c r="J23" i="39"/>
  <c r="J22" i="39"/>
  <c r="J26" i="39"/>
  <c r="J24" i="39"/>
  <c r="J27" i="39"/>
  <c r="C31" i="39"/>
  <c r="J25" i="39"/>
  <c r="J15" i="39"/>
  <c r="J28" i="39"/>
  <c r="J20" i="39"/>
  <c r="AA6" i="39"/>
  <c r="J19" i="39"/>
  <c r="J16" i="39"/>
  <c r="J18" i="39"/>
  <c r="J14" i="39"/>
  <c r="AA77" i="74"/>
  <c r="Z77" i="74"/>
  <c r="S165" i="66"/>
  <c r="U165" i="66" s="1"/>
  <c r="O165" i="66"/>
  <c r="Q165" i="66"/>
  <c r="W165" i="66" s="1"/>
  <c r="Y165" i="66" s="1"/>
  <c r="O128" i="74"/>
  <c r="AC128" i="74"/>
  <c r="I499" i="18"/>
  <c r="H499" i="18"/>
  <c r="Y45" i="74"/>
  <c r="I452" i="18"/>
  <c r="H452" i="18"/>
  <c r="D9" i="72" a="1"/>
  <c r="D9" i="72" s="1"/>
  <c r="D10" i="72" s="1" a="1"/>
  <c r="D10" i="72" s="1"/>
  <c r="D11" i="72" s="1" a="1"/>
  <c r="D11" i="72" s="1"/>
  <c r="I209" i="18"/>
  <c r="H209" i="18"/>
  <c r="U127" i="74"/>
  <c r="U24" i="74"/>
  <c r="U33" i="74"/>
  <c r="Y63" i="74"/>
  <c r="U79" i="74"/>
  <c r="AA48" i="74"/>
  <c r="Z48" i="74"/>
  <c r="P48" i="74"/>
  <c r="I207" i="18"/>
  <c r="H207" i="18"/>
  <c r="I206" i="18"/>
  <c r="H206" i="18"/>
  <c r="H471" i="58"/>
  <c r="K153" i="66"/>
  <c r="D19" i="8"/>
  <c r="N117" i="66"/>
  <c r="J6" i="6"/>
  <c r="AA128" i="66"/>
  <c r="Z272" i="66"/>
  <c r="AA272" i="66"/>
  <c r="Z128" i="66"/>
  <c r="P128" i="66"/>
  <c r="H77" i="35" a="1"/>
  <c r="H77" i="35" s="1"/>
  <c r="G232" i="18" a="1"/>
  <c r="G232" i="18" s="1"/>
  <c r="G233" i="18" a="1"/>
  <c r="G233" i="18" s="1"/>
  <c r="Q20" i="20"/>
  <c r="H82" i="35" a="1"/>
  <c r="H82" i="35" s="1"/>
  <c r="G237" i="18" a="1"/>
  <c r="G237" i="18" s="1"/>
  <c r="H79" i="35" a="1"/>
  <c r="H79" i="35" s="1"/>
  <c r="H78" i="35" a="1"/>
  <c r="H78" i="35" s="1"/>
  <c r="H73" i="35" a="1"/>
  <c r="H73" i="35" s="1"/>
  <c r="H74" i="35" a="1"/>
  <c r="H74" i="35" s="1"/>
  <c r="G239" i="18" a="1"/>
  <c r="G239" i="18" s="1"/>
  <c r="H81" i="35" a="1"/>
  <c r="H81" i="35" s="1"/>
  <c r="G227" i="18" a="1"/>
  <c r="G227" i="18" s="1"/>
  <c r="G226" i="18" a="1"/>
  <c r="G226" i="18" s="1"/>
  <c r="G235" i="18" a="1"/>
  <c r="G235" i="18" s="1"/>
  <c r="H75" i="35" a="1"/>
  <c r="H75" i="35" s="1"/>
  <c r="G230" i="18" a="1"/>
  <c r="G230" i="18" s="1"/>
  <c r="H84" i="35" a="1"/>
  <c r="H84" i="35" s="1"/>
  <c r="G228" i="18" a="1"/>
  <c r="G228" i="18" s="1"/>
  <c r="H80" i="35" a="1"/>
  <c r="H80" i="35" s="1"/>
  <c r="G234" i="18" a="1"/>
  <c r="G234" i="18" s="1"/>
  <c r="H76" i="35" a="1"/>
  <c r="H76" i="35" s="1"/>
  <c r="G238" i="18" a="1"/>
  <c r="G238" i="18" s="1"/>
  <c r="H86" i="35" a="1"/>
  <c r="H86" i="35" s="1"/>
  <c r="G231" i="18" a="1"/>
  <c r="G231" i="18" s="1"/>
  <c r="H85" i="35" a="1"/>
  <c r="H85" i="35" s="1"/>
  <c r="G229" i="18" a="1"/>
  <c r="G229" i="18" s="1"/>
  <c r="H83" i="35" a="1"/>
  <c r="H83" i="35" s="1"/>
  <c r="G236" i="18" a="1"/>
  <c r="G236" i="18" s="1"/>
  <c r="R32" i="66"/>
  <c r="V32" i="66"/>
  <c r="AA155" i="66"/>
  <c r="I249" i="18"/>
  <c r="H249" i="18"/>
  <c r="I455" i="18"/>
  <c r="H455" i="18"/>
  <c r="V80" i="66"/>
  <c r="R80" i="66"/>
  <c r="S80" i="66" s="1"/>
  <c r="U80" i="66" s="1"/>
  <c r="W80" i="66"/>
  <c r="Y80" i="66" s="1"/>
  <c r="U147" i="74"/>
  <c r="Z284" i="66"/>
  <c r="Z140" i="66"/>
  <c r="AA140" i="66"/>
  <c r="AA284" i="66"/>
  <c r="I211" i="18"/>
  <c r="H211" i="18"/>
  <c r="V272" i="66"/>
  <c r="R272" i="66"/>
  <c r="S272" i="66" s="1"/>
  <c r="U272" i="66" s="1"/>
  <c r="W272" i="66"/>
  <c r="Y272" i="66" s="1"/>
  <c r="M117" i="66"/>
  <c r="J485" i="37"/>
  <c r="P288" i="66"/>
  <c r="M69" i="74"/>
  <c r="O69" i="66"/>
  <c r="Q69" i="66"/>
  <c r="I493" i="18"/>
  <c r="H493" i="18"/>
  <c r="H495" i="18"/>
  <c r="I495" i="18"/>
  <c r="AA11" i="66"/>
  <c r="I454" i="18"/>
  <c r="H454" i="18"/>
  <c r="I451" i="18"/>
  <c r="H451" i="18"/>
  <c r="Y34" i="74"/>
  <c r="U61" i="74"/>
  <c r="U87" i="74"/>
  <c r="Y16" i="74"/>
  <c r="Y29" i="74"/>
  <c r="Y86" i="74"/>
  <c r="U100" i="74"/>
  <c r="O94" i="74"/>
  <c r="P94" i="74" s="1"/>
  <c r="AC140" i="74"/>
  <c r="O140" i="74"/>
  <c r="AC18" i="74"/>
  <c r="O18" i="74"/>
  <c r="I200" i="18"/>
  <c r="H200" i="18"/>
  <c r="Y46" i="74"/>
  <c r="H38" i="35" a="1"/>
  <c r="H38" i="35" s="1"/>
  <c r="G187" i="18" a="1"/>
  <c r="G187" i="18" s="1"/>
  <c r="G192" i="18" a="1"/>
  <c r="G192" i="18" s="1"/>
  <c r="H34" i="35" a="1"/>
  <c r="H34" i="35" s="1"/>
  <c r="G188" i="18" a="1"/>
  <c r="G188" i="18" s="1"/>
  <c r="H20" i="20"/>
  <c r="H43" i="35" a="1"/>
  <c r="H43" i="35" s="1"/>
  <c r="H44" i="35" a="1"/>
  <c r="H44" i="35" s="1"/>
  <c r="G190" i="18" a="1"/>
  <c r="G190" i="18" s="1"/>
  <c r="G189" i="18" a="1"/>
  <c r="G189" i="18" s="1"/>
  <c r="H31" i="35" a="1"/>
  <c r="H31" i="35" s="1"/>
  <c r="G191" i="18" a="1"/>
  <c r="G191" i="18" s="1"/>
  <c r="H33" i="35" a="1"/>
  <c r="H33" i="35" s="1"/>
  <c r="H41" i="35" a="1"/>
  <c r="H41" i="35" s="1"/>
  <c r="H40" i="35" a="1"/>
  <c r="H40" i="35" s="1"/>
  <c r="G193" i="18" a="1"/>
  <c r="G193" i="18" s="1"/>
  <c r="H37" i="35" a="1"/>
  <c r="H37" i="35" s="1"/>
  <c r="G184" i="18" a="1"/>
  <c r="G184" i="18" s="1"/>
  <c r="G195" i="18" a="1"/>
  <c r="G195" i="18" s="1"/>
  <c r="G196" i="18" a="1"/>
  <c r="G196" i="18" s="1"/>
  <c r="H39" i="35" a="1"/>
  <c r="H39" i="35" s="1"/>
  <c r="H36" i="35" a="1"/>
  <c r="H36" i="35" s="1"/>
  <c r="G197" i="18" a="1"/>
  <c r="G197" i="18" s="1"/>
  <c r="H32" i="35" a="1"/>
  <c r="H32" i="35" s="1"/>
  <c r="G194" i="18" a="1"/>
  <c r="G194" i="18" s="1"/>
  <c r="G186" i="18" a="1"/>
  <c r="G186" i="18" s="1"/>
  <c r="H42" i="35" a="1"/>
  <c r="H42" i="35" s="1"/>
  <c r="G185" i="18" a="1"/>
  <c r="G185" i="18" s="1"/>
  <c r="H35" i="35" a="1"/>
  <c r="H35" i="35" s="1"/>
  <c r="I502" i="18"/>
  <c r="H502" i="18"/>
  <c r="Z155" i="66"/>
  <c r="O213" i="66"/>
  <c r="Q213" i="66"/>
  <c r="I250" i="18"/>
  <c r="H250" i="18"/>
  <c r="I456" i="18"/>
  <c r="H456" i="18"/>
  <c r="I458" i="18"/>
  <c r="H458" i="18"/>
  <c r="H116" i="35" a="1"/>
  <c r="H116" i="35" s="1"/>
  <c r="G440" i="18" a="1"/>
  <c r="G440" i="18" s="1"/>
  <c r="H126" i="35" a="1"/>
  <c r="H126" i="35" s="1"/>
  <c r="G447" i="18" a="1"/>
  <c r="G447" i="18" s="1"/>
  <c r="G441" i="18" a="1"/>
  <c r="G441" i="18" s="1"/>
  <c r="H117" i="35" a="1"/>
  <c r="H117" i="35" s="1"/>
  <c r="G437" i="18" a="1"/>
  <c r="G437" i="18" s="1"/>
  <c r="G446" i="18" a="1"/>
  <c r="G446" i="18" s="1"/>
  <c r="H119" i="35" a="1"/>
  <c r="H119" i="35" s="1"/>
  <c r="G448" i="18" a="1"/>
  <c r="G448" i="18" s="1"/>
  <c r="H121" i="35" a="1"/>
  <c r="H121" i="35" s="1"/>
  <c r="G438" i="18" a="1"/>
  <c r="G438" i="18" s="1"/>
  <c r="H123" i="35" a="1"/>
  <c r="H123" i="35" s="1"/>
  <c r="G439" i="18" a="1"/>
  <c r="G439" i="18" s="1"/>
  <c r="H128" i="35" a="1"/>
  <c r="H128" i="35" s="1"/>
  <c r="H125" i="35" a="1"/>
  <c r="H125" i="35" s="1"/>
  <c r="G449" i="18" a="1"/>
  <c r="G449" i="18" s="1"/>
  <c r="H124" i="35" a="1"/>
  <c r="H124" i="35" s="1"/>
  <c r="G445" i="18" a="1"/>
  <c r="G445" i="18" s="1"/>
  <c r="H120" i="35" a="1"/>
  <c r="H120" i="35" s="1"/>
  <c r="H122" i="35" a="1"/>
  <c r="H122" i="35" s="1"/>
  <c r="G443" i="18" a="1"/>
  <c r="G443" i="18" s="1"/>
  <c r="H47" i="20"/>
  <c r="G444" i="18" a="1"/>
  <c r="G444" i="18" s="1"/>
  <c r="H127" i="35" a="1"/>
  <c r="H127" i="35" s="1"/>
  <c r="G442" i="18" a="1"/>
  <c r="G442" i="18" s="1"/>
  <c r="H115" i="35" a="1"/>
  <c r="H115" i="35" s="1"/>
  <c r="H118" i="35" a="1"/>
  <c r="H118" i="35" s="1"/>
  <c r="G436" i="18" a="1"/>
  <c r="G436" i="18" s="1"/>
  <c r="D43" i="72" a="1"/>
  <c r="D43" i="72" s="1"/>
  <c r="Y73" i="74"/>
  <c r="U39" i="74"/>
  <c r="U16" i="74"/>
  <c r="Q108" i="74"/>
  <c r="X108" i="74"/>
  <c r="T108" i="74"/>
  <c r="I199" i="18"/>
  <c r="H199" i="18"/>
  <c r="I204" i="18"/>
  <c r="H204" i="18"/>
  <c r="Z22" i="74"/>
  <c r="AA22" i="74"/>
  <c r="P80" i="74"/>
  <c r="AA80" i="74"/>
  <c r="Z80" i="74"/>
  <c r="I501" i="18"/>
  <c r="H501" i="18"/>
  <c r="I485" i="41"/>
  <c r="I244" i="18"/>
  <c r="H244" i="18"/>
  <c r="AA44" i="74"/>
  <c r="Z44" i="74"/>
  <c r="U43" i="74"/>
  <c r="AA109" i="74"/>
  <c r="Z109" i="74"/>
  <c r="U40" i="74"/>
  <c r="V45" i="66"/>
  <c r="R45" i="66"/>
  <c r="Y110" i="74"/>
  <c r="Z86" i="74"/>
  <c r="AA86" i="74"/>
  <c r="U129" i="74"/>
  <c r="Z139" i="74"/>
  <c r="AA139" i="74"/>
  <c r="V124" i="66"/>
  <c r="R124" i="66"/>
  <c r="S124" i="66" s="1"/>
  <c r="U124" i="66" s="1"/>
  <c r="W124" i="66"/>
  <c r="Y124" i="66" s="1"/>
  <c r="U47" i="74"/>
  <c r="Z4" i="74"/>
  <c r="AA4" i="74"/>
  <c r="R204" i="66"/>
  <c r="S204" i="66" s="1"/>
  <c r="U204" i="66" s="1"/>
  <c r="W204" i="66"/>
  <c r="Y204" i="66" s="1"/>
  <c r="V204" i="66"/>
  <c r="Z95" i="74"/>
  <c r="AA95" i="74"/>
  <c r="U107" i="74"/>
  <c r="V60" i="66"/>
  <c r="R60" i="66"/>
  <c r="S60" i="66" s="1"/>
  <c r="U60" i="66" s="1"/>
  <c r="W60" i="66"/>
  <c r="Y60" i="66" s="1"/>
  <c r="U18" i="74"/>
  <c r="Y8" i="74"/>
  <c r="U139" i="74"/>
  <c r="U118" i="74"/>
  <c r="Y125" i="74"/>
  <c r="U15" i="74"/>
  <c r="R241" i="66"/>
  <c r="S241" i="66" s="1"/>
  <c r="U241" i="66" s="1"/>
  <c r="W241" i="66"/>
  <c r="Y241" i="66" s="1"/>
  <c r="V241" i="66"/>
  <c r="V64" i="66"/>
  <c r="R64" i="66"/>
  <c r="S64" i="66" s="1"/>
  <c r="U64" i="66" s="1"/>
  <c r="W64" i="66"/>
  <c r="Y64" i="66" s="1"/>
  <c r="U104" i="74"/>
  <c r="Y25" i="74"/>
  <c r="U121" i="74"/>
  <c r="AA52" i="74"/>
  <c r="Z52" i="74"/>
  <c r="V256" i="66"/>
  <c r="R256" i="66"/>
  <c r="S256" i="66" s="1"/>
  <c r="U256" i="66" s="1"/>
  <c r="W256" i="66"/>
  <c r="Y256" i="66" s="1"/>
  <c r="U8" i="74"/>
  <c r="Z43" i="74"/>
  <c r="AA43" i="74"/>
  <c r="AA58" i="74"/>
  <c r="Z58" i="74"/>
  <c r="P58" i="74"/>
  <c r="AA28" i="74"/>
  <c r="Z28" i="74"/>
  <c r="P28" i="74"/>
  <c r="Y22" i="74"/>
  <c r="V238" i="66"/>
  <c r="R238" i="66"/>
  <c r="S238" i="66" s="1"/>
  <c r="U238" i="66" s="1"/>
  <c r="W238" i="66"/>
  <c r="Y238" i="66" s="1"/>
  <c r="Z76" i="74"/>
  <c r="AA76" i="74"/>
  <c r="P76" i="74"/>
  <c r="V145" i="66"/>
  <c r="R145" i="66"/>
  <c r="S145" i="66" s="1"/>
  <c r="U145" i="66" s="1"/>
  <c r="W145" i="66"/>
  <c r="Y145" i="66" s="1"/>
  <c r="U130" i="74"/>
  <c r="U11" i="74"/>
  <c r="V112" i="66"/>
  <c r="R112" i="66"/>
  <c r="S112" i="66" s="1"/>
  <c r="U112" i="66" s="1"/>
  <c r="W112" i="66"/>
  <c r="Y112" i="66" s="1"/>
  <c r="V23" i="66"/>
  <c r="R23" i="66"/>
  <c r="V16" i="66"/>
  <c r="R16" i="66"/>
  <c r="Z112" i="74"/>
  <c r="AA112" i="74"/>
  <c r="P112" i="74"/>
  <c r="U109" i="74"/>
  <c r="Y99" i="74"/>
  <c r="Y118" i="74"/>
  <c r="AA61" i="74"/>
  <c r="Z61" i="74"/>
  <c r="Y81" i="74"/>
  <c r="Y56" i="74"/>
  <c r="Z93" i="74"/>
  <c r="AA93" i="74"/>
  <c r="P93" i="74"/>
  <c r="V10" i="66"/>
  <c r="R10" i="66"/>
  <c r="U22" i="74"/>
  <c r="J485" i="58"/>
  <c r="M261" i="66"/>
  <c r="Z129" i="74"/>
  <c r="AA129" i="74"/>
  <c r="Z134" i="74"/>
  <c r="AA134" i="74"/>
  <c r="Y59" i="74"/>
  <c r="U51" i="74"/>
  <c r="U38" i="74"/>
  <c r="Z13" i="74"/>
  <c r="AA13" i="74"/>
  <c r="Y39" i="74"/>
  <c r="Y62" i="74"/>
  <c r="U81" i="74"/>
  <c r="R94" i="66"/>
  <c r="S94" i="66" s="1"/>
  <c r="U94" i="66" s="1"/>
  <c r="V94" i="66"/>
  <c r="W94" i="66"/>
  <c r="Y94" i="66" s="1"/>
  <c r="U56" i="74"/>
  <c r="Y13" i="74"/>
  <c r="Y140" i="74"/>
  <c r="U73" i="74"/>
  <c r="Z64" i="74"/>
  <c r="AA64" i="74"/>
  <c r="P64" i="74"/>
  <c r="U59" i="74"/>
  <c r="R97" i="66"/>
  <c r="S97" i="66" s="1"/>
  <c r="U97" i="66" s="1"/>
  <c r="V97" i="66"/>
  <c r="W97" i="66"/>
  <c r="Y97" i="66" s="1"/>
  <c r="AA145" i="74"/>
  <c r="Z145" i="74"/>
  <c r="P145" i="74"/>
  <c r="U111" i="74"/>
  <c r="U82" i="74"/>
  <c r="U86" i="74"/>
  <c r="U62" i="74"/>
  <c r="AA100" i="74"/>
  <c r="Z100" i="74"/>
  <c r="Z45" i="74"/>
  <c r="AA45" i="74"/>
  <c r="P45" i="74"/>
  <c r="Y19" i="74"/>
  <c r="U13" i="74"/>
  <c r="U140" i="74"/>
  <c r="Y49" i="74"/>
  <c r="Y135" i="74"/>
  <c r="Y92" i="74"/>
  <c r="AA97" i="74"/>
  <c r="Z97" i="74"/>
  <c r="P97" i="74"/>
  <c r="V220" i="66"/>
  <c r="R220" i="66"/>
  <c r="S220" i="66" s="1"/>
  <c r="U220" i="66" s="1"/>
  <c r="W220" i="66"/>
  <c r="Y220" i="66" s="1"/>
  <c r="U44" i="74"/>
  <c r="Y136" i="74"/>
  <c r="AA81" i="74"/>
  <c r="Z81" i="74"/>
  <c r="AA143" i="74"/>
  <c r="Z143" i="74"/>
  <c r="Y67" i="74"/>
  <c r="U19" i="74"/>
  <c r="AA31" i="74"/>
  <c r="Z31" i="74"/>
  <c r="Y72" i="74"/>
  <c r="Y52" i="74"/>
  <c r="Z91" i="74"/>
  <c r="AA91" i="74"/>
  <c r="U136" i="74"/>
  <c r="AA12" i="74"/>
  <c r="Z12" i="74"/>
  <c r="P12" i="74"/>
  <c r="U123" i="74"/>
  <c r="Z23" i="74"/>
  <c r="AA23" i="74"/>
  <c r="P23" i="74"/>
  <c r="Z49" i="74"/>
  <c r="AA49" i="74"/>
  <c r="P49" i="74"/>
  <c r="R58" i="66"/>
  <c r="S58" i="66" s="1"/>
  <c r="U58" i="66" s="1"/>
  <c r="V58" i="66"/>
  <c r="W58" i="66"/>
  <c r="Y58" i="66" s="1"/>
  <c r="Z33" i="74"/>
  <c r="AA33" i="74"/>
  <c r="R76" i="66"/>
  <c r="S76" i="66" s="1"/>
  <c r="U76" i="66" s="1"/>
  <c r="V76" i="66"/>
  <c r="W76" i="66"/>
  <c r="Y76" i="66" s="1"/>
  <c r="AA79" i="74"/>
  <c r="Z79" i="74"/>
  <c r="Y70" i="74"/>
  <c r="AA16" i="74"/>
  <c r="Z16" i="74"/>
  <c r="P16" i="74"/>
  <c r="V208" i="66"/>
  <c r="R208" i="66"/>
  <c r="S208" i="66" s="1"/>
  <c r="U208" i="66" s="1"/>
  <c r="W208" i="66"/>
  <c r="Y208" i="66" s="1"/>
  <c r="R167" i="66"/>
  <c r="V167" i="66"/>
  <c r="V12" i="66"/>
  <c r="R12" i="66"/>
  <c r="AA38" i="74"/>
  <c r="Z38" i="74"/>
  <c r="R28" i="66"/>
  <c r="V28" i="66"/>
  <c r="AA46" i="74"/>
  <c r="Z46" i="74"/>
  <c r="P46" i="74"/>
  <c r="AA47" i="74"/>
  <c r="Z47" i="74"/>
  <c r="AA127" i="74"/>
  <c r="Z127" i="74"/>
  <c r="Y5" i="74"/>
  <c r="Y75" i="74"/>
  <c r="U115" i="74"/>
  <c r="U29" i="74"/>
  <c r="U70" i="74"/>
  <c r="Y91" i="74"/>
  <c r="Y43" i="74"/>
  <c r="U27" i="74"/>
  <c r="V93" i="66"/>
  <c r="R93" i="66"/>
  <c r="S93" i="66" s="1"/>
  <c r="U93" i="66" s="1"/>
  <c r="W93" i="66"/>
  <c r="Y93" i="66" s="1"/>
  <c r="Y87" i="74"/>
  <c r="Y129" i="74"/>
  <c r="Y104" i="74"/>
  <c r="Y24" i="74"/>
  <c r="R49" i="66"/>
  <c r="V49" i="66"/>
  <c r="Y33" i="74"/>
  <c r="Y47" i="74"/>
  <c r="U63" i="74"/>
  <c r="Z60" i="74"/>
  <c r="AA60" i="74"/>
  <c r="P60" i="74"/>
  <c r="Y107" i="74"/>
  <c r="Y121" i="74"/>
  <c r="U75" i="74"/>
  <c r="U143" i="74"/>
  <c r="Y18" i="74"/>
  <c r="Y139" i="74"/>
  <c r="D202" i="72" a="1"/>
  <c r="D202" i="72" s="1"/>
  <c r="D264" i="72" a="1"/>
  <c r="D264" i="72" s="1"/>
  <c r="D140" i="72" a="1"/>
  <c r="D140" i="72" s="1"/>
  <c r="Z108" i="74" l="1"/>
  <c r="P124" i="74"/>
  <c r="V124" i="74" s="1"/>
  <c r="AA124" i="74"/>
  <c r="D23" i="77"/>
  <c r="G23" i="77"/>
  <c r="AF80" i="74"/>
  <c r="D31" i="77" s="1"/>
  <c r="D42" i="77"/>
  <c r="G31" i="77"/>
  <c r="AF58" i="74"/>
  <c r="D39" i="77"/>
  <c r="D43" i="17"/>
  <c r="O119" i="66"/>
  <c r="AA263" i="66" s="1"/>
  <c r="K119" i="74"/>
  <c r="T119" i="74" s="1"/>
  <c r="W252" i="66"/>
  <c r="Y252" i="66" s="1"/>
  <c r="F31" i="77"/>
  <c r="G19" i="39"/>
  <c r="T119" i="66"/>
  <c r="X119" i="66"/>
  <c r="E23" i="77"/>
  <c r="AD128" i="74"/>
  <c r="AE128" i="74"/>
  <c r="E8" i="77"/>
  <c r="AD106" i="74"/>
  <c r="AE106" i="74"/>
  <c r="AD18" i="74"/>
  <c r="AE18" i="74"/>
  <c r="AF18" i="74" s="1"/>
  <c r="AF32" i="74"/>
  <c r="C31" i="77" s="1"/>
  <c r="C42" i="77"/>
  <c r="AD140" i="74"/>
  <c r="AE140" i="74"/>
  <c r="AF140" i="74" s="1"/>
  <c r="AD125" i="74"/>
  <c r="AE125" i="74"/>
  <c r="AF125" i="74" s="1"/>
  <c r="AD144" i="74"/>
  <c r="AE144" i="74"/>
  <c r="AF144" i="74" s="1"/>
  <c r="C23" i="77"/>
  <c r="AD11" i="74"/>
  <c r="AE11" i="74"/>
  <c r="AF11" i="74" s="1"/>
  <c r="AF10" i="74"/>
  <c r="C39" i="77"/>
  <c r="AD118" i="74"/>
  <c r="AE118" i="74"/>
  <c r="AF118" i="74" s="1"/>
  <c r="R252" i="66"/>
  <c r="S252" i="66" s="1"/>
  <c r="U252" i="66" s="1"/>
  <c r="R106" i="66"/>
  <c r="S106" i="66" s="1"/>
  <c r="U106" i="66" s="1"/>
  <c r="W106" i="66"/>
  <c r="Y106" i="66" s="1"/>
  <c r="P106" i="74"/>
  <c r="R106" i="74" s="1"/>
  <c r="S106" i="74" s="1"/>
  <c r="U106" i="74" s="1"/>
  <c r="Z106" i="74"/>
  <c r="V10" i="74"/>
  <c r="P108" i="74"/>
  <c r="W108" i="74" s="1"/>
  <c r="Y108" i="74" s="1"/>
  <c r="J485" i="41"/>
  <c r="P213" i="66"/>
  <c r="W213" i="66" s="1"/>
  <c r="Y213" i="66" s="1"/>
  <c r="P285" i="66"/>
  <c r="V285" i="66" s="1"/>
  <c r="P165" i="66"/>
  <c r="R165" i="66" s="1"/>
  <c r="V108" i="66"/>
  <c r="W108" i="66"/>
  <c r="Y108" i="66" s="1"/>
  <c r="O141" i="74"/>
  <c r="AC141" i="74"/>
  <c r="Q141" i="74"/>
  <c r="X141" i="74"/>
  <c r="T141" i="74"/>
  <c r="AA285" i="66"/>
  <c r="AA141" i="66"/>
  <c r="Z141" i="66"/>
  <c r="P141" i="66"/>
  <c r="Z285" i="66"/>
  <c r="D228" i="72" a="1"/>
  <c r="D228" i="72" s="1"/>
  <c r="D229" i="72" s="1" a="1"/>
  <c r="D229" i="72" s="1"/>
  <c r="D230" i="72" s="1" a="1"/>
  <c r="D230" i="72" s="1"/>
  <c r="Z94" i="74"/>
  <c r="AA94" i="74"/>
  <c r="J244" i="18"/>
  <c r="F244" i="18"/>
  <c r="I444" i="18"/>
  <c r="H444" i="18"/>
  <c r="I438" i="18"/>
  <c r="H438" i="18"/>
  <c r="I185" i="18"/>
  <c r="H185" i="18"/>
  <c r="I193" i="18"/>
  <c r="H193" i="18"/>
  <c r="V128" i="66"/>
  <c r="R128" i="66"/>
  <c r="S128" i="66" s="1"/>
  <c r="U128" i="66" s="1"/>
  <c r="W128" i="66"/>
  <c r="Y128" i="66" s="1"/>
  <c r="H112" i="35" a="1"/>
  <c r="H112" i="35" s="1"/>
  <c r="G359" i="18" a="1"/>
  <c r="G359" i="18" s="1"/>
  <c r="H113" i="35" a="1"/>
  <c r="H113" i="35" s="1"/>
  <c r="H108" i="35" a="1"/>
  <c r="H108" i="35" s="1"/>
  <c r="G358" i="18" a="1"/>
  <c r="G358" i="18" s="1"/>
  <c r="G363" i="18" a="1"/>
  <c r="G363" i="18" s="1"/>
  <c r="H103" i="35" a="1"/>
  <c r="H103" i="35" s="1"/>
  <c r="H111" i="35" a="1"/>
  <c r="H111" i="35" s="1"/>
  <c r="G353" i="18" a="1"/>
  <c r="G353" i="18" s="1"/>
  <c r="G355" i="18" a="1"/>
  <c r="G355" i="18" s="1"/>
  <c r="H105" i="35" a="1"/>
  <c r="H105" i="35" s="1"/>
  <c r="H109" i="35" a="1"/>
  <c r="H109" i="35" s="1"/>
  <c r="G356" i="18" a="1"/>
  <c r="G356" i="18" s="1"/>
  <c r="G364" i="18" a="1"/>
  <c r="G364" i="18" s="1"/>
  <c r="G361" i="18" a="1"/>
  <c r="G361" i="18" s="1"/>
  <c r="H101" i="35" a="1"/>
  <c r="H101" i="35" s="1"/>
  <c r="G362" i="18" a="1"/>
  <c r="G362" i="18" s="1"/>
  <c r="G360" i="18" a="1"/>
  <c r="G360" i="18" s="1"/>
  <c r="H114" i="35" a="1"/>
  <c r="H114" i="35" s="1"/>
  <c r="H110" i="35" a="1"/>
  <c r="H110" i="35" s="1"/>
  <c r="G365" i="18" a="1"/>
  <c r="G365" i="18" s="1"/>
  <c r="H106" i="35" a="1"/>
  <c r="H106" i="35" s="1"/>
  <c r="G357" i="18" a="1"/>
  <c r="G357" i="18" s="1"/>
  <c r="H107" i="35" a="1"/>
  <c r="H107" i="35" s="1"/>
  <c r="G354" i="18" a="1"/>
  <c r="G354" i="18" s="1"/>
  <c r="H102" i="35" a="1"/>
  <c r="H102" i="35" s="1"/>
  <c r="G352" i="18" a="1"/>
  <c r="G352" i="18" s="1"/>
  <c r="G47" i="20"/>
  <c r="H104" i="35" a="1"/>
  <c r="H104" i="35" s="1"/>
  <c r="I480" i="18"/>
  <c r="H480" i="18"/>
  <c r="I411" i="18"/>
  <c r="H411" i="18"/>
  <c r="I418" i="18"/>
  <c r="H418" i="18"/>
  <c r="I413" i="18"/>
  <c r="H413" i="18"/>
  <c r="AA142" i="66"/>
  <c r="AA286" i="66"/>
  <c r="Z286" i="66"/>
  <c r="Z142" i="66"/>
  <c r="P142" i="66"/>
  <c r="J245" i="18"/>
  <c r="F245" i="18"/>
  <c r="H156" i="18"/>
  <c r="I156" i="18"/>
  <c r="S21" i="74"/>
  <c r="U21" i="74" s="1"/>
  <c r="O21" i="74"/>
  <c r="AC21" i="74"/>
  <c r="Q21" i="74"/>
  <c r="W21" i="74" s="1"/>
  <c r="Y21" i="74" s="1"/>
  <c r="J251" i="18"/>
  <c r="F251" i="18"/>
  <c r="I115" i="18"/>
  <c r="H115" i="18"/>
  <c r="I373" i="18"/>
  <c r="H373" i="18"/>
  <c r="Z11" i="74"/>
  <c r="AA11" i="74"/>
  <c r="J204" i="18"/>
  <c r="F204" i="18"/>
  <c r="I192" i="18"/>
  <c r="H192" i="18"/>
  <c r="J493" i="18"/>
  <c r="F493" i="18"/>
  <c r="I234" i="18"/>
  <c r="H234" i="18"/>
  <c r="J206" i="18"/>
  <c r="F206" i="18"/>
  <c r="F209" i="18"/>
  <c r="J209" i="18"/>
  <c r="I485" i="18"/>
  <c r="H485" i="18"/>
  <c r="I490" i="18"/>
  <c r="H490" i="18"/>
  <c r="I412" i="18"/>
  <c r="H412" i="18"/>
  <c r="T142" i="74"/>
  <c r="Q142" i="74"/>
  <c r="X142" i="74"/>
  <c r="O142" i="74"/>
  <c r="AC142" i="74"/>
  <c r="E5" i="77" s="1"/>
  <c r="I165" i="18"/>
  <c r="H165" i="18"/>
  <c r="I126" i="18"/>
  <c r="H126" i="18"/>
  <c r="H367" i="18"/>
  <c r="I367" i="18"/>
  <c r="R80" i="74"/>
  <c r="S80" i="74" s="1"/>
  <c r="U80" i="74" s="1"/>
  <c r="W80" i="74"/>
  <c r="Y80" i="74" s="1"/>
  <c r="V80" i="74"/>
  <c r="I443" i="18"/>
  <c r="H443" i="18"/>
  <c r="I448" i="18"/>
  <c r="H448" i="18"/>
  <c r="I186" i="18"/>
  <c r="H186" i="18"/>
  <c r="I187" i="18"/>
  <c r="H187" i="18"/>
  <c r="D12" i="72" a="1"/>
  <c r="D12" i="72" s="1"/>
  <c r="F452" i="18"/>
  <c r="J452" i="18"/>
  <c r="D289" i="72" a="1"/>
  <c r="D289" i="72" s="1"/>
  <c r="I487" i="18"/>
  <c r="H487" i="18"/>
  <c r="I481" i="18"/>
  <c r="H481" i="18"/>
  <c r="I410" i="18"/>
  <c r="H410" i="18"/>
  <c r="I419" i="18"/>
  <c r="H419" i="18"/>
  <c r="J246" i="18"/>
  <c r="F246" i="18"/>
  <c r="I161" i="18"/>
  <c r="H161" i="18"/>
  <c r="I114" i="18"/>
  <c r="H114" i="18"/>
  <c r="I379" i="18"/>
  <c r="H379" i="18"/>
  <c r="J243" i="18"/>
  <c r="F243" i="18"/>
  <c r="F497" i="18"/>
  <c r="J497" i="18"/>
  <c r="J500" i="18"/>
  <c r="F500" i="18"/>
  <c r="Z215" i="66"/>
  <c r="Z71" i="66"/>
  <c r="P71" i="66"/>
  <c r="P215" i="66"/>
  <c r="AA71" i="66"/>
  <c r="AA215" i="66"/>
  <c r="P144" i="74"/>
  <c r="AA144" i="74"/>
  <c r="Z144" i="74"/>
  <c r="J199" i="18"/>
  <c r="F199" i="18"/>
  <c r="H194" i="18"/>
  <c r="I194" i="18"/>
  <c r="Z69" i="66"/>
  <c r="AA213" i="66"/>
  <c r="Z213" i="66"/>
  <c r="AA69" i="66"/>
  <c r="P69" i="66"/>
  <c r="I228" i="18"/>
  <c r="H228" i="18"/>
  <c r="F207" i="18"/>
  <c r="J207" i="18"/>
  <c r="I491" i="18"/>
  <c r="H491" i="18"/>
  <c r="H421" i="18"/>
  <c r="I421" i="18"/>
  <c r="H163" i="18"/>
  <c r="I163" i="18"/>
  <c r="F198" i="18"/>
  <c r="J198" i="18"/>
  <c r="AA118" i="74"/>
  <c r="Z118" i="74"/>
  <c r="I121" i="18"/>
  <c r="H121" i="18"/>
  <c r="X71" i="74"/>
  <c r="T71" i="74"/>
  <c r="Q71" i="74"/>
  <c r="AC71" i="74"/>
  <c r="O71" i="74"/>
  <c r="J247" i="18"/>
  <c r="F247" i="18"/>
  <c r="O261" i="66"/>
  <c r="Q261" i="66"/>
  <c r="I446" i="18"/>
  <c r="H446" i="18"/>
  <c r="I191" i="18"/>
  <c r="H191" i="18"/>
  <c r="AA18" i="74"/>
  <c r="Z18" i="74"/>
  <c r="O69" i="74"/>
  <c r="AC69" i="74"/>
  <c r="Q69" i="74"/>
  <c r="H237" i="18"/>
  <c r="I237" i="18"/>
  <c r="V48" i="74"/>
  <c r="R48" i="74"/>
  <c r="I483" i="18"/>
  <c r="H483" i="18"/>
  <c r="F504" i="18"/>
  <c r="J504" i="18"/>
  <c r="I168" i="18"/>
  <c r="H168" i="18"/>
  <c r="I119" i="18"/>
  <c r="H119" i="18"/>
  <c r="H366" i="18"/>
  <c r="I366" i="18"/>
  <c r="I376" i="18"/>
  <c r="H376" i="18"/>
  <c r="Z125" i="74"/>
  <c r="AA125" i="74"/>
  <c r="D73" i="72" a="1"/>
  <c r="D73" i="72" s="1"/>
  <c r="I445" i="18"/>
  <c r="H445" i="18"/>
  <c r="I437" i="18"/>
  <c r="H437" i="18"/>
  <c r="F458" i="18"/>
  <c r="J458" i="18"/>
  <c r="I197" i="18"/>
  <c r="H197" i="18"/>
  <c r="R288" i="66"/>
  <c r="S288" i="66" s="1"/>
  <c r="U288" i="66" s="1"/>
  <c r="V288" i="66"/>
  <c r="W288" i="66"/>
  <c r="Y288" i="66" s="1"/>
  <c r="F211" i="18"/>
  <c r="J211" i="18"/>
  <c r="F455" i="18"/>
  <c r="J455" i="18"/>
  <c r="H236" i="18"/>
  <c r="I236" i="18"/>
  <c r="H230" i="18"/>
  <c r="I230" i="18"/>
  <c r="I489" i="18"/>
  <c r="H489" i="18"/>
  <c r="F450" i="18"/>
  <c r="J450" i="18"/>
  <c r="F208" i="18"/>
  <c r="J208" i="18"/>
  <c r="I408" i="18"/>
  <c r="H408" i="18"/>
  <c r="I169" i="18"/>
  <c r="H169" i="18"/>
  <c r="I160" i="18"/>
  <c r="H160" i="18"/>
  <c r="H27" i="35" a="1"/>
  <c r="H27" i="35" s="1"/>
  <c r="G103" i="18" a="1"/>
  <c r="G103" i="18" s="1"/>
  <c r="H24" i="35" a="1"/>
  <c r="H24" i="35" s="1"/>
  <c r="H21" i="35" a="1"/>
  <c r="H21" i="35" s="1"/>
  <c r="G110" i="18" a="1"/>
  <c r="G110" i="18" s="1"/>
  <c r="H28" i="35" a="1"/>
  <c r="H28" i="35" s="1"/>
  <c r="G105" i="18" a="1"/>
  <c r="G105" i="18" s="1"/>
  <c r="G101" i="18" a="1"/>
  <c r="G101" i="18" s="1"/>
  <c r="H20" i="35" a="1"/>
  <c r="H20" i="35" s="1"/>
  <c r="G106" i="18" a="1"/>
  <c r="G106" i="18" s="1"/>
  <c r="H19" i="35" a="1"/>
  <c r="H19" i="35" s="1"/>
  <c r="G113" i="18" a="1"/>
  <c r="G113" i="18" s="1"/>
  <c r="H25" i="35" a="1"/>
  <c r="H25" i="35" s="1"/>
  <c r="G20" i="20"/>
  <c r="H30" i="35" a="1"/>
  <c r="H30" i="35" s="1"/>
  <c r="G102" i="18" a="1"/>
  <c r="G102" i="18" s="1"/>
  <c r="H26" i="35" a="1"/>
  <c r="H26" i="35" s="1"/>
  <c r="H23" i="35" a="1"/>
  <c r="H23" i="35" s="1"/>
  <c r="G107" i="18" a="1"/>
  <c r="G107" i="18" s="1"/>
  <c r="H29" i="35" a="1"/>
  <c r="H29" i="35" s="1"/>
  <c r="G108" i="18" a="1"/>
  <c r="G108" i="18" s="1"/>
  <c r="H22" i="35" a="1"/>
  <c r="H22" i="35" s="1"/>
  <c r="H17" i="35" a="1"/>
  <c r="H17" i="35" s="1"/>
  <c r="G100" i="18" a="1"/>
  <c r="G100" i="18" s="1"/>
  <c r="G109" i="18" a="1"/>
  <c r="G109" i="18" s="1"/>
  <c r="H18" i="35" a="1"/>
  <c r="H18" i="35" s="1"/>
  <c r="G112" i="18" a="1"/>
  <c r="G112" i="18" s="1"/>
  <c r="G104" i="18" a="1"/>
  <c r="G104" i="18" s="1"/>
  <c r="G111" i="18" a="1"/>
  <c r="G111" i="18" s="1"/>
  <c r="J503" i="18"/>
  <c r="F503" i="18"/>
  <c r="H117" i="18"/>
  <c r="I117" i="18"/>
  <c r="F492" i="18"/>
  <c r="J492" i="18"/>
  <c r="F253" i="18"/>
  <c r="J253" i="18"/>
  <c r="F459" i="18"/>
  <c r="J459" i="18"/>
  <c r="J496" i="18"/>
  <c r="F496" i="18"/>
  <c r="I189" i="18"/>
  <c r="H189" i="18"/>
  <c r="Z140" i="74"/>
  <c r="AA140" i="74"/>
  <c r="I486" i="18"/>
  <c r="H486" i="18"/>
  <c r="I488" i="18"/>
  <c r="H488" i="18"/>
  <c r="I409" i="18"/>
  <c r="H409" i="18"/>
  <c r="H159" i="18"/>
  <c r="I159" i="18"/>
  <c r="I158" i="18"/>
  <c r="H158" i="18"/>
  <c r="F202" i="18"/>
  <c r="J202" i="18"/>
  <c r="R32" i="74"/>
  <c r="V32" i="74"/>
  <c r="I122" i="18"/>
  <c r="H122" i="18"/>
  <c r="I368" i="18"/>
  <c r="H368" i="18"/>
  <c r="I378" i="18"/>
  <c r="H378" i="18"/>
  <c r="J203" i="18"/>
  <c r="F203" i="18"/>
  <c r="J498" i="18"/>
  <c r="F498" i="18"/>
  <c r="I436" i="18"/>
  <c r="H436" i="18"/>
  <c r="I449" i="18"/>
  <c r="H449" i="18"/>
  <c r="I441" i="18"/>
  <c r="H441" i="18"/>
  <c r="F456" i="18"/>
  <c r="J456" i="18"/>
  <c r="I190" i="18"/>
  <c r="H190" i="18"/>
  <c r="J249" i="18"/>
  <c r="F249" i="18"/>
  <c r="H229" i="18"/>
  <c r="I229" i="18"/>
  <c r="H235" i="18"/>
  <c r="I235" i="18"/>
  <c r="I233" i="18"/>
  <c r="H233" i="18"/>
  <c r="N117" i="74"/>
  <c r="G25" i="39"/>
  <c r="F499" i="18"/>
  <c r="J499" i="18"/>
  <c r="P286" i="66"/>
  <c r="F463" i="18"/>
  <c r="J463" i="18"/>
  <c r="F205" i="18"/>
  <c r="J205" i="18"/>
  <c r="H415" i="18"/>
  <c r="I415" i="18"/>
  <c r="I157" i="18"/>
  <c r="H157" i="18"/>
  <c r="F461" i="18"/>
  <c r="J461" i="18"/>
  <c r="I123" i="18"/>
  <c r="H123" i="18"/>
  <c r="I369" i="18"/>
  <c r="H369" i="18"/>
  <c r="I372" i="18"/>
  <c r="H372" i="18"/>
  <c r="F453" i="18"/>
  <c r="J453" i="18"/>
  <c r="F460" i="18"/>
  <c r="J460" i="18"/>
  <c r="F501" i="18"/>
  <c r="J501" i="18"/>
  <c r="H447" i="18"/>
  <c r="I447" i="18"/>
  <c r="F502" i="18"/>
  <c r="J502" i="18"/>
  <c r="I196" i="18"/>
  <c r="H196" i="18"/>
  <c r="F451" i="18"/>
  <c r="J451" i="18"/>
  <c r="M117" i="74"/>
  <c r="O117" i="66"/>
  <c r="Q117" i="66"/>
  <c r="I226" i="18"/>
  <c r="H226" i="18"/>
  <c r="H232" i="18"/>
  <c r="I232" i="18"/>
  <c r="H152" i="35" a="1"/>
  <c r="H152" i="35" s="1"/>
  <c r="G397" i="18" a="1"/>
  <c r="G397" i="18" s="1"/>
  <c r="P47" i="20"/>
  <c r="H148" i="35" a="1"/>
  <c r="H148" i="35" s="1"/>
  <c r="G403" i="18" a="1"/>
  <c r="G403" i="18" s="1"/>
  <c r="H151" i="35" a="1"/>
  <c r="H151" i="35" s="1"/>
  <c r="H144" i="35" a="1"/>
  <c r="H144" i="35" s="1"/>
  <c r="G396" i="18" a="1"/>
  <c r="G396" i="18" s="1"/>
  <c r="H145" i="35" a="1"/>
  <c r="H145" i="35" s="1"/>
  <c r="H143" i="35" a="1"/>
  <c r="H143" i="35" s="1"/>
  <c r="G398" i="18" a="1"/>
  <c r="G398" i="18" s="1"/>
  <c r="H147" i="35" a="1"/>
  <c r="H147" i="35" s="1"/>
  <c r="G406" i="18" a="1"/>
  <c r="G406" i="18" s="1"/>
  <c r="G394" i="18" a="1"/>
  <c r="G394" i="18" s="1"/>
  <c r="H155" i="35" a="1"/>
  <c r="H155" i="35" s="1"/>
  <c r="G404" i="18" a="1"/>
  <c r="G404" i="18" s="1"/>
  <c r="G399" i="18" a="1"/>
  <c r="G399" i="18" s="1"/>
  <c r="H154" i="35" a="1"/>
  <c r="H154" i="35" s="1"/>
  <c r="G405" i="18" a="1"/>
  <c r="G405" i="18" s="1"/>
  <c r="H149" i="35" a="1"/>
  <c r="H149" i="35" s="1"/>
  <c r="G395" i="18" a="1"/>
  <c r="G395" i="18" s="1"/>
  <c r="H150" i="35" a="1"/>
  <c r="H150" i="35" s="1"/>
  <c r="G400" i="18" a="1"/>
  <c r="G400" i="18" s="1"/>
  <c r="H146" i="35" a="1"/>
  <c r="H146" i="35" s="1"/>
  <c r="G402" i="18" a="1"/>
  <c r="G402" i="18" s="1"/>
  <c r="H153" i="35" a="1"/>
  <c r="H153" i="35" s="1"/>
  <c r="G407" i="18" a="1"/>
  <c r="G407" i="18" s="1"/>
  <c r="H156" i="35" a="1"/>
  <c r="H156" i="35" s="1"/>
  <c r="G401" i="18" a="1"/>
  <c r="G401" i="18" s="1"/>
  <c r="I478" i="18"/>
  <c r="H478" i="18"/>
  <c r="F494" i="18"/>
  <c r="J494" i="18"/>
  <c r="I167" i="18"/>
  <c r="H167" i="18"/>
  <c r="I162" i="18"/>
  <c r="H162" i="18"/>
  <c r="D26" i="17"/>
  <c r="D24" i="17"/>
  <c r="D28" i="17" s="1"/>
  <c r="N10" i="9"/>
  <c r="U6" i="9"/>
  <c r="I125" i="18"/>
  <c r="H125" i="18"/>
  <c r="I370" i="18"/>
  <c r="H370" i="18"/>
  <c r="D105" i="72" a="1"/>
  <c r="D105" i="72" s="1"/>
  <c r="J250" i="18"/>
  <c r="F250" i="18"/>
  <c r="I195" i="18"/>
  <c r="H195" i="18"/>
  <c r="F200" i="18"/>
  <c r="J200" i="18"/>
  <c r="I231" i="18"/>
  <c r="H231" i="18"/>
  <c r="I227" i="18"/>
  <c r="H227" i="18"/>
  <c r="Z128" i="74"/>
  <c r="AA128" i="74"/>
  <c r="P128" i="74"/>
  <c r="J201" i="18"/>
  <c r="F201" i="18"/>
  <c r="H479" i="18"/>
  <c r="I479" i="18"/>
  <c r="F457" i="18"/>
  <c r="J457" i="18"/>
  <c r="I420" i="18"/>
  <c r="H420" i="18"/>
  <c r="I166" i="18"/>
  <c r="H166" i="18"/>
  <c r="P21" i="66"/>
  <c r="AA165" i="66"/>
  <c r="AA21" i="66"/>
  <c r="Z21" i="66"/>
  <c r="Z165" i="66"/>
  <c r="D167" i="72" a="1"/>
  <c r="D167" i="72" s="1"/>
  <c r="I127" i="18"/>
  <c r="H127" i="18"/>
  <c r="I124" i="18"/>
  <c r="H124" i="18"/>
  <c r="I371" i="18"/>
  <c r="H371" i="18"/>
  <c r="D44" i="72" a="1"/>
  <c r="D44" i="72" s="1"/>
  <c r="J252" i="18"/>
  <c r="F252" i="18"/>
  <c r="F240" i="18"/>
  <c r="J240" i="18"/>
  <c r="I442" i="18"/>
  <c r="H442" i="18"/>
  <c r="I439" i="18"/>
  <c r="H439" i="18"/>
  <c r="I440" i="18"/>
  <c r="H440" i="18"/>
  <c r="I184" i="18"/>
  <c r="H184" i="18"/>
  <c r="J454" i="18"/>
  <c r="F454" i="18"/>
  <c r="F495" i="18"/>
  <c r="J495" i="18"/>
  <c r="S153" i="66"/>
  <c r="X153" i="66"/>
  <c r="K9" i="74"/>
  <c r="Q153" i="66"/>
  <c r="W153" i="66" s="1"/>
  <c r="T153" i="66"/>
  <c r="O153" i="66"/>
  <c r="J29" i="39"/>
  <c r="F505" i="18"/>
  <c r="J505" i="18"/>
  <c r="I414" i="18"/>
  <c r="H414" i="18"/>
  <c r="I164" i="18"/>
  <c r="H164" i="18"/>
  <c r="P20" i="20"/>
  <c r="H65" i="35" a="1"/>
  <c r="H65" i="35" s="1"/>
  <c r="G143" i="18" a="1"/>
  <c r="G143" i="18" s="1"/>
  <c r="H61" i="35" a="1"/>
  <c r="H61" i="35" s="1"/>
  <c r="H60" i="35" a="1"/>
  <c r="H60" i="35" s="1"/>
  <c r="G145" i="18" a="1"/>
  <c r="G145" i="18" s="1"/>
  <c r="H69" i="35" a="1"/>
  <c r="H69" i="35" s="1"/>
  <c r="H70" i="35" a="1"/>
  <c r="H70" i="35" s="1"/>
  <c r="G154" i="18" a="1"/>
  <c r="G154" i="18" s="1"/>
  <c r="H67" i="35" a="1"/>
  <c r="H67" i="35" s="1"/>
  <c r="G147" i="18" a="1"/>
  <c r="G147" i="18" s="1"/>
  <c r="G153" i="18" a="1"/>
  <c r="G153" i="18" s="1"/>
  <c r="H63" i="35" a="1"/>
  <c r="H63" i="35" s="1"/>
  <c r="G144" i="18" a="1"/>
  <c r="G144" i="18" s="1"/>
  <c r="G150" i="18" a="1"/>
  <c r="G150" i="18" s="1"/>
  <c r="H66" i="35" a="1"/>
  <c r="H66" i="35" s="1"/>
  <c r="G148" i="18" a="1"/>
  <c r="G148" i="18" s="1"/>
  <c r="H62" i="35" a="1"/>
  <c r="H62" i="35" s="1"/>
  <c r="G152" i="18" a="1"/>
  <c r="G152" i="18" s="1"/>
  <c r="H59" i="35" a="1"/>
  <c r="H59" i="35" s="1"/>
  <c r="G146" i="18" a="1"/>
  <c r="G146" i="18" s="1"/>
  <c r="H72" i="35" a="1"/>
  <c r="H72" i="35" s="1"/>
  <c r="G142" i="18" a="1"/>
  <c r="G142" i="18" s="1"/>
  <c r="H68" i="35" a="1"/>
  <c r="H68" i="35" s="1"/>
  <c r="G149" i="18" a="1"/>
  <c r="G149" i="18" s="1"/>
  <c r="H64" i="35" a="1"/>
  <c r="H64" i="35" s="1"/>
  <c r="G155" i="18" a="1"/>
  <c r="G155" i="18" s="1"/>
  <c r="H71" i="35" a="1"/>
  <c r="H71" i="35" s="1"/>
  <c r="G151" i="18" a="1"/>
  <c r="G151" i="18" s="1"/>
  <c r="J242" i="18"/>
  <c r="F242" i="18"/>
  <c r="H116" i="18"/>
  <c r="I116" i="18"/>
  <c r="I375" i="18"/>
  <c r="H375" i="18"/>
  <c r="I374" i="18"/>
  <c r="H374" i="18"/>
  <c r="I377" i="18"/>
  <c r="H377" i="18"/>
  <c r="F462" i="18"/>
  <c r="J462" i="18"/>
  <c r="V144" i="66"/>
  <c r="R144" i="66"/>
  <c r="S144" i="66" s="1"/>
  <c r="U144" i="66" s="1"/>
  <c r="W144" i="66"/>
  <c r="Y144" i="66" s="1"/>
  <c r="R96" i="74"/>
  <c r="S96" i="74" s="1"/>
  <c r="U96" i="74" s="1"/>
  <c r="V96" i="74"/>
  <c r="W96" i="74"/>
  <c r="Y96" i="74" s="1"/>
  <c r="I188" i="18"/>
  <c r="H188" i="18"/>
  <c r="I238" i="18"/>
  <c r="H238" i="18"/>
  <c r="I239" i="18"/>
  <c r="H239" i="18"/>
  <c r="H471" i="41"/>
  <c r="J210" i="18"/>
  <c r="F210" i="18"/>
  <c r="I484" i="18"/>
  <c r="H484" i="18"/>
  <c r="I482" i="18"/>
  <c r="H482" i="18"/>
  <c r="I417" i="18"/>
  <c r="H417" i="18"/>
  <c r="I416" i="18"/>
  <c r="H416" i="18"/>
  <c r="I120" i="18"/>
  <c r="H120" i="18"/>
  <c r="I118" i="18"/>
  <c r="H118" i="18"/>
  <c r="F248" i="18"/>
  <c r="J248" i="18"/>
  <c r="J241" i="18"/>
  <c r="F241" i="18"/>
  <c r="R23" i="74"/>
  <c r="V23" i="74"/>
  <c r="H23" i="77"/>
  <c r="V16" i="74"/>
  <c r="R16" i="74"/>
  <c r="V94" i="74"/>
  <c r="R94" i="74"/>
  <c r="S94" i="74" s="1"/>
  <c r="U94" i="74" s="1"/>
  <c r="W94" i="74"/>
  <c r="Y94" i="74" s="1"/>
  <c r="V76" i="74"/>
  <c r="R76" i="74"/>
  <c r="S76" i="74" s="1"/>
  <c r="U76" i="74" s="1"/>
  <c r="W76" i="74"/>
  <c r="Y76" i="74" s="1"/>
  <c r="F23" i="77"/>
  <c r="R49" i="74"/>
  <c r="V49" i="74"/>
  <c r="V97" i="74"/>
  <c r="R97" i="74"/>
  <c r="S97" i="74" s="1"/>
  <c r="U97" i="74" s="1"/>
  <c r="W97" i="74"/>
  <c r="Y97" i="74" s="1"/>
  <c r="V64" i="74"/>
  <c r="R64" i="74"/>
  <c r="S64" i="74" s="1"/>
  <c r="U64" i="74" s="1"/>
  <c r="W64" i="74"/>
  <c r="Y64" i="74" s="1"/>
  <c r="V28" i="74"/>
  <c r="R28" i="74"/>
  <c r="W60" i="74"/>
  <c r="Y60" i="74" s="1"/>
  <c r="R60" i="74"/>
  <c r="S60" i="74" s="1"/>
  <c r="U60" i="74" s="1"/>
  <c r="V60" i="74"/>
  <c r="R45" i="74"/>
  <c r="V45" i="74"/>
  <c r="R58" i="74"/>
  <c r="S58" i="74" s="1"/>
  <c r="U58" i="74" s="1"/>
  <c r="W58" i="74"/>
  <c r="Y58" i="74" s="1"/>
  <c r="V58" i="74"/>
  <c r="R112" i="74"/>
  <c r="S112" i="74" s="1"/>
  <c r="U112" i="74" s="1"/>
  <c r="V112" i="74"/>
  <c r="W112" i="74"/>
  <c r="Y112" i="74" s="1"/>
  <c r="W145" i="74"/>
  <c r="Y145" i="74" s="1"/>
  <c r="R145" i="74"/>
  <c r="S145" i="74" s="1"/>
  <c r="U145" i="74" s="1"/>
  <c r="V145" i="74"/>
  <c r="V12" i="74"/>
  <c r="R12" i="74"/>
  <c r="R93" i="74"/>
  <c r="S93" i="74" s="1"/>
  <c r="U93" i="74" s="1"/>
  <c r="W93" i="74"/>
  <c r="Y93" i="74" s="1"/>
  <c r="V93" i="74"/>
  <c r="R46" i="74"/>
  <c r="V46" i="74"/>
  <c r="D203" i="72" a="1"/>
  <c r="D203" i="72" s="1"/>
  <c r="D265" i="72" a="1"/>
  <c r="D265" i="72" s="1"/>
  <c r="D141" i="72" a="1"/>
  <c r="D141" i="72" s="1"/>
  <c r="W124" i="74" l="1"/>
  <c r="Y124" i="74" s="1"/>
  <c r="R124" i="74"/>
  <c r="S124" i="74" s="1"/>
  <c r="U124" i="74" s="1"/>
  <c r="O119" i="74"/>
  <c r="AA119" i="74" s="1"/>
  <c r="AC119" i="74"/>
  <c r="AD119" i="74" s="1"/>
  <c r="Q119" i="74"/>
  <c r="X119" i="74"/>
  <c r="P263" i="66"/>
  <c r="R263" i="66" s="1"/>
  <c r="S263" i="66" s="1"/>
  <c r="U263" i="66" s="1"/>
  <c r="R108" i="74"/>
  <c r="S108" i="74" s="1"/>
  <c r="U108" i="74" s="1"/>
  <c r="P119" i="66"/>
  <c r="R119" i="66" s="1"/>
  <c r="S119" i="66" s="1"/>
  <c r="U119" i="66" s="1"/>
  <c r="AA119" i="66"/>
  <c r="Z119" i="66"/>
  <c r="V106" i="74"/>
  <c r="Z263" i="66"/>
  <c r="W106" i="74"/>
  <c r="Y106" i="74" s="1"/>
  <c r="H31" i="77"/>
  <c r="V108" i="74"/>
  <c r="AD69" i="74"/>
  <c r="AE69" i="74"/>
  <c r="AF69" i="74" s="1"/>
  <c r="AD71" i="74"/>
  <c r="AE71" i="74"/>
  <c r="AF71" i="74" s="1"/>
  <c r="AD21" i="74"/>
  <c r="AE21" i="74"/>
  <c r="AF21" i="74" s="1"/>
  <c r="AF106" i="74"/>
  <c r="AD142" i="74"/>
  <c r="AE142" i="74"/>
  <c r="AF142" i="74" s="1"/>
  <c r="AD141" i="74"/>
  <c r="AE141" i="74"/>
  <c r="AF141" i="74" s="1"/>
  <c r="AF128" i="74"/>
  <c r="E31" i="77" s="1"/>
  <c r="E42" i="77"/>
  <c r="V165" i="66"/>
  <c r="W285" i="66"/>
  <c r="Y285" i="66" s="1"/>
  <c r="R285" i="66"/>
  <c r="S285" i="66" s="1"/>
  <c r="U285" i="66" s="1"/>
  <c r="R213" i="66"/>
  <c r="S213" i="66" s="1"/>
  <c r="U213" i="66" s="1"/>
  <c r="V213" i="66"/>
  <c r="P141" i="74"/>
  <c r="AA141" i="74"/>
  <c r="Z141" i="74"/>
  <c r="W141" i="66"/>
  <c r="Y141" i="66" s="1"/>
  <c r="V141" i="66"/>
  <c r="R141" i="66"/>
  <c r="S141" i="66" s="1"/>
  <c r="U141" i="66" s="1"/>
  <c r="U153" i="66"/>
  <c r="J374" i="18"/>
  <c r="F374" i="18"/>
  <c r="H155" i="18"/>
  <c r="I155" i="18"/>
  <c r="I150" i="18"/>
  <c r="H150" i="18"/>
  <c r="I143" i="18"/>
  <c r="H143" i="18"/>
  <c r="J195" i="18"/>
  <c r="F195" i="18"/>
  <c r="F372" i="18"/>
  <c r="J372" i="18"/>
  <c r="F159" i="18"/>
  <c r="J159" i="18"/>
  <c r="I108" i="18"/>
  <c r="H108" i="18"/>
  <c r="F169" i="18"/>
  <c r="J169" i="18"/>
  <c r="F237" i="18"/>
  <c r="J237" i="18"/>
  <c r="J194" i="18"/>
  <c r="F194" i="18"/>
  <c r="J165" i="18"/>
  <c r="F165" i="18"/>
  <c r="F115" i="18"/>
  <c r="J115" i="18"/>
  <c r="I357" i="18"/>
  <c r="H357" i="18"/>
  <c r="F420" i="18"/>
  <c r="J420" i="18"/>
  <c r="F227" i="18"/>
  <c r="J227" i="18"/>
  <c r="D106" i="72" a="1"/>
  <c r="D106" i="72" s="1"/>
  <c r="D107" i="72" s="1" a="1"/>
  <c r="D107" i="72" s="1"/>
  <c r="D108" i="72" s="1" a="1"/>
  <c r="D108" i="72" s="1"/>
  <c r="H401" i="18"/>
  <c r="I401" i="18"/>
  <c r="H399" i="18"/>
  <c r="I399" i="18"/>
  <c r="H403" i="18"/>
  <c r="I403" i="18"/>
  <c r="J232" i="18"/>
  <c r="F232" i="18"/>
  <c r="F436" i="18"/>
  <c r="J436" i="18"/>
  <c r="F122" i="18"/>
  <c r="J122" i="18"/>
  <c r="F488" i="18"/>
  <c r="J488" i="18"/>
  <c r="I101" i="18"/>
  <c r="H101" i="18"/>
  <c r="F419" i="18"/>
  <c r="J419" i="18"/>
  <c r="D290" i="72" a="1"/>
  <c r="D290" i="72" s="1"/>
  <c r="F186" i="18"/>
  <c r="J186" i="18"/>
  <c r="I355" i="18"/>
  <c r="H355" i="18"/>
  <c r="J118" i="18"/>
  <c r="F118" i="18"/>
  <c r="F416" i="18"/>
  <c r="J416" i="18"/>
  <c r="F479" i="18"/>
  <c r="J479" i="18"/>
  <c r="I404" i="18"/>
  <c r="H404" i="18"/>
  <c r="J190" i="18"/>
  <c r="F190" i="18"/>
  <c r="F189" i="18"/>
  <c r="J189" i="18"/>
  <c r="I107" i="18"/>
  <c r="H107" i="18"/>
  <c r="H105" i="18"/>
  <c r="I105" i="18"/>
  <c r="F489" i="18"/>
  <c r="J489" i="18"/>
  <c r="V144" i="74"/>
  <c r="R144" i="74"/>
  <c r="S144" i="74" s="1"/>
  <c r="U144" i="74" s="1"/>
  <c r="W144" i="74"/>
  <c r="Y144" i="74" s="1"/>
  <c r="J234" i="18"/>
  <c r="F234" i="18"/>
  <c r="I365" i="18"/>
  <c r="H365" i="18"/>
  <c r="I353" i="18"/>
  <c r="H353" i="18"/>
  <c r="D231" i="72" a="1"/>
  <c r="D231" i="72" s="1"/>
  <c r="F375" i="18"/>
  <c r="J375" i="18"/>
  <c r="R21" i="66"/>
  <c r="V21" i="66"/>
  <c r="J116" i="18"/>
  <c r="F116" i="18"/>
  <c r="J231" i="18"/>
  <c r="F231" i="18"/>
  <c r="I407" i="18"/>
  <c r="H407" i="18"/>
  <c r="F486" i="18"/>
  <c r="J486" i="18"/>
  <c r="J197" i="18"/>
  <c r="F197" i="18"/>
  <c r="F376" i="18"/>
  <c r="J376" i="18"/>
  <c r="J168" i="18"/>
  <c r="F168" i="18"/>
  <c r="F161" i="18"/>
  <c r="J161" i="18"/>
  <c r="F410" i="18"/>
  <c r="J410" i="18"/>
  <c r="J448" i="18"/>
  <c r="F448" i="18"/>
  <c r="J126" i="18"/>
  <c r="F126" i="18"/>
  <c r="D74" i="72" a="1"/>
  <c r="D74" i="72" s="1"/>
  <c r="F239" i="18"/>
  <c r="J239" i="18"/>
  <c r="J188" i="18"/>
  <c r="F188" i="18"/>
  <c r="F482" i="18"/>
  <c r="J482" i="18"/>
  <c r="I153" i="18"/>
  <c r="H153" i="18"/>
  <c r="F120" i="18"/>
  <c r="J120" i="18"/>
  <c r="F417" i="18"/>
  <c r="J417" i="18"/>
  <c r="I142" i="18"/>
  <c r="H142" i="18"/>
  <c r="I147" i="18"/>
  <c r="H147" i="18"/>
  <c r="F164" i="18"/>
  <c r="J164" i="18"/>
  <c r="J414" i="18"/>
  <c r="F414" i="18"/>
  <c r="I394" i="18"/>
  <c r="H394" i="18"/>
  <c r="I397" i="18"/>
  <c r="H397" i="18"/>
  <c r="J226" i="18"/>
  <c r="F226" i="18"/>
  <c r="J157" i="18"/>
  <c r="F157" i="18"/>
  <c r="F415" i="18"/>
  <c r="J415" i="18"/>
  <c r="H111" i="18"/>
  <c r="I111" i="18"/>
  <c r="H110" i="18"/>
  <c r="I110" i="18"/>
  <c r="F366" i="18"/>
  <c r="J366" i="18"/>
  <c r="J483" i="18"/>
  <c r="F483" i="18"/>
  <c r="AA21" i="74"/>
  <c r="Z21" i="74"/>
  <c r="P21" i="74"/>
  <c r="F413" i="18"/>
  <c r="J413" i="18"/>
  <c r="I144" i="18"/>
  <c r="H144" i="18"/>
  <c r="H149" i="18"/>
  <c r="I149" i="18"/>
  <c r="J184" i="18"/>
  <c r="F184" i="18"/>
  <c r="F440" i="18"/>
  <c r="J440" i="18"/>
  <c r="I402" i="18"/>
  <c r="H402" i="18"/>
  <c r="I406" i="18"/>
  <c r="H406" i="18"/>
  <c r="J369" i="18"/>
  <c r="F369" i="18"/>
  <c r="F233" i="18"/>
  <c r="J233" i="18"/>
  <c r="J117" i="18"/>
  <c r="F117" i="18"/>
  <c r="I104" i="18"/>
  <c r="H104" i="18"/>
  <c r="I102" i="18"/>
  <c r="H102" i="18"/>
  <c r="F408" i="18"/>
  <c r="J408" i="18"/>
  <c r="F446" i="18"/>
  <c r="J446" i="18"/>
  <c r="J121" i="18"/>
  <c r="F121" i="18"/>
  <c r="J163" i="18"/>
  <c r="F163" i="18"/>
  <c r="F491" i="18"/>
  <c r="J491" i="18"/>
  <c r="J114" i="18"/>
  <c r="F114" i="18"/>
  <c r="F481" i="18"/>
  <c r="J481" i="18"/>
  <c r="F443" i="18"/>
  <c r="J443" i="18"/>
  <c r="AA142" i="74"/>
  <c r="Z142" i="74"/>
  <c r="P142" i="74"/>
  <c r="I360" i="18"/>
  <c r="H360" i="18"/>
  <c r="I363" i="18"/>
  <c r="H363" i="18"/>
  <c r="F193" i="18"/>
  <c r="J193" i="18"/>
  <c r="H146" i="18"/>
  <c r="I146" i="18"/>
  <c r="I154" i="18"/>
  <c r="H154" i="18"/>
  <c r="J124" i="18"/>
  <c r="F124" i="18"/>
  <c r="V128" i="74"/>
  <c r="R128" i="74"/>
  <c r="S128" i="74" s="1"/>
  <c r="U128" i="74" s="1"/>
  <c r="W128" i="74"/>
  <c r="Y128" i="74" s="1"/>
  <c r="J370" i="18"/>
  <c r="F370" i="18"/>
  <c r="F478" i="18"/>
  <c r="J478" i="18"/>
  <c r="F196" i="18"/>
  <c r="J196" i="18"/>
  <c r="J235" i="18"/>
  <c r="F235" i="18"/>
  <c r="I112" i="18"/>
  <c r="H112" i="18"/>
  <c r="J230" i="18"/>
  <c r="F230" i="18"/>
  <c r="J228" i="18"/>
  <c r="F228" i="18"/>
  <c r="D13" i="72" a="1"/>
  <c r="D13" i="72" s="1"/>
  <c r="J367" i="18"/>
  <c r="F367" i="18"/>
  <c r="F156" i="18"/>
  <c r="J156" i="18"/>
  <c r="F418" i="18"/>
  <c r="J418" i="18"/>
  <c r="I362" i="18"/>
  <c r="H362" i="18"/>
  <c r="I358" i="18"/>
  <c r="H358" i="18"/>
  <c r="F439" i="18"/>
  <c r="J439" i="18"/>
  <c r="I400" i="18"/>
  <c r="H400" i="18"/>
  <c r="I398" i="18"/>
  <c r="H398" i="18"/>
  <c r="J378" i="18"/>
  <c r="F378" i="18"/>
  <c r="I103" i="18"/>
  <c r="H103" i="18"/>
  <c r="F437" i="18"/>
  <c r="J437" i="18"/>
  <c r="Z69" i="74"/>
  <c r="AA69" i="74"/>
  <c r="P69" i="74"/>
  <c r="V215" i="66"/>
  <c r="R215" i="66"/>
  <c r="S215" i="66" s="1"/>
  <c r="U215" i="66" s="1"/>
  <c r="W215" i="66"/>
  <c r="Y215" i="66" s="1"/>
  <c r="F187" i="18"/>
  <c r="J187" i="18"/>
  <c r="J373" i="18"/>
  <c r="F373" i="18"/>
  <c r="J185" i="18"/>
  <c r="F185" i="18"/>
  <c r="F484" i="18"/>
  <c r="J484" i="18"/>
  <c r="J238" i="18"/>
  <c r="F238" i="18"/>
  <c r="I152" i="18"/>
  <c r="H152" i="18"/>
  <c r="Z9" i="66"/>
  <c r="Z153" i="66"/>
  <c r="P153" i="66"/>
  <c r="AA9" i="66"/>
  <c r="AA153" i="66"/>
  <c r="P9" i="66"/>
  <c r="D45" i="72" a="1"/>
  <c r="D45" i="72" s="1"/>
  <c r="J127" i="18"/>
  <c r="F127" i="18"/>
  <c r="J166" i="18"/>
  <c r="F166" i="18"/>
  <c r="F123" i="18"/>
  <c r="J123" i="18"/>
  <c r="J229" i="18"/>
  <c r="F229" i="18"/>
  <c r="F409" i="18"/>
  <c r="J409" i="18"/>
  <c r="I109" i="18"/>
  <c r="H109" i="18"/>
  <c r="J236" i="18"/>
  <c r="F236" i="18"/>
  <c r="AA71" i="74"/>
  <c r="Z71" i="74"/>
  <c r="P71" i="74"/>
  <c r="V71" i="66"/>
  <c r="W71" i="66"/>
  <c r="Y71" i="66" s="1"/>
  <c r="R71" i="66"/>
  <c r="S71" i="66" s="1"/>
  <c r="U71" i="66" s="1"/>
  <c r="J192" i="18"/>
  <c r="F192" i="18"/>
  <c r="F411" i="18"/>
  <c r="J411" i="18"/>
  <c r="H352" i="18"/>
  <c r="I352" i="18"/>
  <c r="H361" i="18"/>
  <c r="I361" i="18"/>
  <c r="I145" i="18"/>
  <c r="H145" i="18"/>
  <c r="F442" i="18"/>
  <c r="J442" i="18"/>
  <c r="D168" i="72" a="1"/>
  <c r="D168" i="72" s="1"/>
  <c r="D169" i="72" s="1" a="1"/>
  <c r="D169" i="72" s="1"/>
  <c r="D170" i="72" s="1" a="1"/>
  <c r="D170" i="72" s="1"/>
  <c r="J162" i="18"/>
  <c r="F162" i="18"/>
  <c r="I395" i="18"/>
  <c r="H395" i="18"/>
  <c r="F447" i="18"/>
  <c r="J447" i="18"/>
  <c r="F441" i="18"/>
  <c r="J441" i="18"/>
  <c r="F368" i="18"/>
  <c r="J368" i="18"/>
  <c r="I100" i="18"/>
  <c r="H100" i="18"/>
  <c r="I113" i="18"/>
  <c r="H113" i="18"/>
  <c r="F445" i="18"/>
  <c r="J445" i="18"/>
  <c r="F119" i="18"/>
  <c r="J119" i="18"/>
  <c r="F379" i="18"/>
  <c r="J379" i="18"/>
  <c r="J490" i="18"/>
  <c r="F490" i="18"/>
  <c r="I364" i="18"/>
  <c r="H364" i="18"/>
  <c r="I359" i="18"/>
  <c r="H359" i="18"/>
  <c r="F438" i="18"/>
  <c r="J438" i="18"/>
  <c r="J377" i="18"/>
  <c r="F377" i="18"/>
  <c r="H151" i="18"/>
  <c r="I151" i="18"/>
  <c r="I148" i="18"/>
  <c r="H148" i="18"/>
  <c r="Y153" i="66"/>
  <c r="F371" i="18"/>
  <c r="J371" i="18"/>
  <c r="I396" i="18"/>
  <c r="H396" i="18"/>
  <c r="Z117" i="66"/>
  <c r="AA261" i="66"/>
  <c r="AA117" i="66"/>
  <c r="Z261" i="66"/>
  <c r="P117" i="66"/>
  <c r="R286" i="66"/>
  <c r="S286" i="66" s="1"/>
  <c r="U286" i="66" s="1"/>
  <c r="V286" i="66"/>
  <c r="W286" i="66"/>
  <c r="Y286" i="66" s="1"/>
  <c r="J160" i="18"/>
  <c r="F160" i="18"/>
  <c r="F421" i="18"/>
  <c r="J421" i="18"/>
  <c r="F412" i="18"/>
  <c r="J412" i="18"/>
  <c r="V142" i="66"/>
  <c r="R142" i="66"/>
  <c r="S142" i="66" s="1"/>
  <c r="U142" i="66" s="1"/>
  <c r="W142" i="66"/>
  <c r="Y142" i="66" s="1"/>
  <c r="I354" i="18"/>
  <c r="H354" i="18"/>
  <c r="I356" i="18"/>
  <c r="H356" i="18"/>
  <c r="Q9" i="74"/>
  <c r="W9" i="74" s="1"/>
  <c r="X9" i="74"/>
  <c r="T9" i="74"/>
  <c r="S9" i="74"/>
  <c r="AC9" i="74"/>
  <c r="O9" i="74"/>
  <c r="F125" i="18"/>
  <c r="J125" i="18"/>
  <c r="F167" i="18"/>
  <c r="J167" i="18"/>
  <c r="I405" i="18"/>
  <c r="H405" i="18"/>
  <c r="AC117" i="74"/>
  <c r="Q117" i="74"/>
  <c r="O117" i="74"/>
  <c r="F449" i="18"/>
  <c r="J449" i="18"/>
  <c r="J158" i="18"/>
  <c r="F158" i="18"/>
  <c r="I106" i="18"/>
  <c r="H106" i="18"/>
  <c r="J191" i="18"/>
  <c r="F191" i="18"/>
  <c r="P261" i="66"/>
  <c r="W69" i="66"/>
  <c r="Y69" i="66" s="1"/>
  <c r="V69" i="66"/>
  <c r="R69" i="66"/>
  <c r="S69" i="66" s="1"/>
  <c r="U69" i="66" s="1"/>
  <c r="F487" i="18"/>
  <c r="J487" i="18"/>
  <c r="F485" i="18"/>
  <c r="J485" i="18"/>
  <c r="F480" i="18"/>
  <c r="J480" i="18"/>
  <c r="F444" i="18"/>
  <c r="J444" i="18"/>
  <c r="D266" i="72" a="1"/>
  <c r="D266" i="72" s="1"/>
  <c r="D204" i="72" a="1"/>
  <c r="D204" i="72" s="1"/>
  <c r="D142" i="72" a="1"/>
  <c r="D142" i="72" s="1"/>
  <c r="P119" i="74" l="1"/>
  <c r="W119" i="74" s="1"/>
  <c r="Y119" i="74" s="1"/>
  <c r="Z119" i="74"/>
  <c r="AE119" i="74"/>
  <c r="AF119" i="74" s="1"/>
  <c r="W263" i="66"/>
  <c r="Y263" i="66" s="1"/>
  <c r="V263" i="66"/>
  <c r="V119" i="66"/>
  <c r="W119" i="66"/>
  <c r="Y119" i="66" s="1"/>
  <c r="E39" i="77"/>
  <c r="AD9" i="74"/>
  <c r="AE9" i="74"/>
  <c r="AF9" i="74" s="1"/>
  <c r="AD117" i="74"/>
  <c r="AE117" i="74"/>
  <c r="AF117" i="74" s="1"/>
  <c r="V141" i="74"/>
  <c r="R141" i="74"/>
  <c r="S141" i="74" s="1"/>
  <c r="U141" i="74" s="1"/>
  <c r="W141" i="74"/>
  <c r="Y141" i="74" s="1"/>
  <c r="D109" i="72" a="1"/>
  <c r="D109" i="72" s="1"/>
  <c r="D110" i="72" s="1" a="1"/>
  <c r="D110" i="72" s="1"/>
  <c r="D111" i="72" s="1" a="1"/>
  <c r="D111" i="72" s="1"/>
  <c r="D171" i="72" a="1"/>
  <c r="D171" i="72" s="1"/>
  <c r="D172" i="72" s="1" a="1"/>
  <c r="D172" i="72" s="1"/>
  <c r="D173" i="72" s="1" a="1"/>
  <c r="D173" i="72" s="1"/>
  <c r="D174" i="72" s="1" a="1"/>
  <c r="D174" i="72" s="1"/>
  <c r="U9" i="74"/>
  <c r="Y9" i="74"/>
  <c r="F151" i="18"/>
  <c r="J151" i="18"/>
  <c r="F113" i="18"/>
  <c r="J113" i="18"/>
  <c r="F398" i="18"/>
  <c r="J398" i="18"/>
  <c r="J112" i="18"/>
  <c r="F112" i="18"/>
  <c r="F101" i="18"/>
  <c r="J101" i="18"/>
  <c r="J155" i="18"/>
  <c r="F155" i="18"/>
  <c r="J354" i="18"/>
  <c r="F354" i="18"/>
  <c r="F396" i="18"/>
  <c r="J396" i="18"/>
  <c r="V69" i="74"/>
  <c r="R69" i="74"/>
  <c r="S69" i="74" s="1"/>
  <c r="U69" i="74" s="1"/>
  <c r="W69" i="74"/>
  <c r="Y69" i="74" s="1"/>
  <c r="F102" i="18"/>
  <c r="J102" i="18"/>
  <c r="F110" i="18"/>
  <c r="J110" i="18"/>
  <c r="V153" i="66"/>
  <c r="R153" i="66"/>
  <c r="F400" i="18"/>
  <c r="J400" i="18"/>
  <c r="F363" i="18"/>
  <c r="J363" i="18"/>
  <c r="F149" i="18"/>
  <c r="J149" i="18"/>
  <c r="F403" i="18"/>
  <c r="J403" i="18"/>
  <c r="J104" i="18"/>
  <c r="F104" i="18"/>
  <c r="R261" i="66"/>
  <c r="S261" i="66" s="1"/>
  <c r="U261" i="66" s="1"/>
  <c r="W261" i="66"/>
  <c r="Y261" i="66" s="1"/>
  <c r="V261" i="66"/>
  <c r="P9" i="74"/>
  <c r="Z9" i="74"/>
  <c r="AA9" i="74"/>
  <c r="W117" i="66"/>
  <c r="Y117" i="66" s="1"/>
  <c r="R117" i="66"/>
  <c r="S117" i="66" s="1"/>
  <c r="U117" i="66" s="1"/>
  <c r="V117" i="66"/>
  <c r="J360" i="18"/>
  <c r="F360" i="18"/>
  <c r="F399" i="18"/>
  <c r="J399" i="18"/>
  <c r="J108" i="18"/>
  <c r="F108" i="18"/>
  <c r="F405" i="18"/>
  <c r="J405" i="18"/>
  <c r="J153" i="18"/>
  <c r="F153" i="18"/>
  <c r="F353" i="18"/>
  <c r="J353" i="18"/>
  <c r="F105" i="18"/>
  <c r="J105" i="18"/>
  <c r="J359" i="18"/>
  <c r="F359" i="18"/>
  <c r="J145" i="18"/>
  <c r="F145" i="18"/>
  <c r="F395" i="18"/>
  <c r="J395" i="18"/>
  <c r="J109" i="18"/>
  <c r="F109" i="18"/>
  <c r="F154" i="18"/>
  <c r="J154" i="18"/>
  <c r="F406" i="18"/>
  <c r="J406" i="18"/>
  <c r="J111" i="18"/>
  <c r="F111" i="18"/>
  <c r="F397" i="18"/>
  <c r="J397" i="18"/>
  <c r="F401" i="18"/>
  <c r="J401" i="18"/>
  <c r="D75" i="72" a="1"/>
  <c r="D75" i="72" s="1"/>
  <c r="J106" i="18"/>
  <c r="F106" i="18"/>
  <c r="F361" i="18"/>
  <c r="J361" i="18"/>
  <c r="F146" i="18"/>
  <c r="J146" i="18"/>
  <c r="R142" i="74"/>
  <c r="S142" i="74" s="1"/>
  <c r="U142" i="74" s="1"/>
  <c r="W142" i="74"/>
  <c r="Y142" i="74" s="1"/>
  <c r="V142" i="74"/>
  <c r="J144" i="18"/>
  <c r="F144" i="18"/>
  <c r="J147" i="18"/>
  <c r="F147" i="18"/>
  <c r="J365" i="18"/>
  <c r="F365" i="18"/>
  <c r="F100" i="18"/>
  <c r="J100" i="18"/>
  <c r="J148" i="18"/>
  <c r="F148" i="18"/>
  <c r="F402" i="18"/>
  <c r="J402" i="18"/>
  <c r="F394" i="18"/>
  <c r="J394" i="18"/>
  <c r="F407" i="18"/>
  <c r="J407" i="18"/>
  <c r="F107" i="18"/>
  <c r="J107" i="18"/>
  <c r="D46" i="72" a="1"/>
  <c r="D46" i="72" s="1"/>
  <c r="J103" i="18"/>
  <c r="F103" i="18"/>
  <c r="F358" i="18"/>
  <c r="J358" i="18"/>
  <c r="V21" i="74"/>
  <c r="R21" i="74"/>
  <c r="F142" i="18"/>
  <c r="J142" i="18"/>
  <c r="J355" i="18"/>
  <c r="F355" i="18"/>
  <c r="F143" i="18"/>
  <c r="J143" i="18"/>
  <c r="Z117" i="74"/>
  <c r="AA117" i="74"/>
  <c r="P117" i="74"/>
  <c r="J152" i="18"/>
  <c r="F152" i="18"/>
  <c r="F404" i="18"/>
  <c r="J404" i="18"/>
  <c r="D232" i="72" a="1"/>
  <c r="D232" i="72" s="1"/>
  <c r="J352" i="18"/>
  <c r="F352" i="18"/>
  <c r="J356" i="18"/>
  <c r="F356" i="18"/>
  <c r="J364" i="18"/>
  <c r="F364" i="18"/>
  <c r="R71" i="74"/>
  <c r="S71" i="74" s="1"/>
  <c r="U71" i="74" s="1"/>
  <c r="W71" i="74"/>
  <c r="Y71" i="74" s="1"/>
  <c r="V71" i="74"/>
  <c r="V9" i="66"/>
  <c r="R9" i="66"/>
  <c r="F362" i="18"/>
  <c r="J362" i="18"/>
  <c r="D14" i="72" a="1"/>
  <c r="D14" i="72" s="1"/>
  <c r="D291" i="72" a="1"/>
  <c r="D291" i="72" s="1"/>
  <c r="F357" i="18"/>
  <c r="J357" i="18"/>
  <c r="J150" i="18"/>
  <c r="F150" i="18"/>
  <c r="D267" i="72" a="1"/>
  <c r="D267" i="72" s="1"/>
  <c r="D205" i="72" a="1"/>
  <c r="D205" i="72" s="1"/>
  <c r="D143" i="72" a="1"/>
  <c r="D143" i="72" s="1"/>
  <c r="R119" i="74" l="1"/>
  <c r="S119" i="74" s="1"/>
  <c r="U119" i="74" s="1"/>
  <c r="V119" i="74"/>
  <c r="D233" i="72" a="1"/>
  <c r="D233" i="72" s="1"/>
  <c r="D234" i="72" s="1" a="1"/>
  <c r="D234" i="72" s="1"/>
  <c r="D235" i="72" s="1" a="1"/>
  <c r="D235" i="72" s="1"/>
  <c r="V117" i="74"/>
  <c r="W117" i="74"/>
  <c r="Y117" i="74" s="1"/>
  <c r="R117" i="74"/>
  <c r="S117" i="74" s="1"/>
  <c r="U117" i="74" s="1"/>
  <c r="D47" i="72" a="1"/>
  <c r="D47" i="72" s="1"/>
  <c r="V9" i="74"/>
  <c r="R9" i="74"/>
  <c r="D76" i="72" a="1"/>
  <c r="D76" i="72" s="1"/>
  <c r="D292" i="72" a="1"/>
  <c r="D292" i="72" s="1"/>
  <c r="D293" i="72" s="1" a="1"/>
  <c r="D293" i="72" s="1"/>
  <c r="D112" i="72" a="1"/>
  <c r="D112" i="72" s="1"/>
  <c r="D15" i="72" a="1"/>
  <c r="D15" i="72" s="1"/>
  <c r="D206" i="72" a="1"/>
  <c r="D206" i="72" s="1"/>
  <c r="D175" i="72" a="1"/>
  <c r="D175" i="72" s="1"/>
  <c r="D268" i="72" a="1"/>
  <c r="D268" i="72" s="1"/>
  <c r="D144" i="72" a="1"/>
  <c r="D144" i="72" s="1"/>
  <c r="D236" i="72" l="1" a="1"/>
  <c r="D236" i="72" s="1"/>
  <c r="D237" i="72" s="1" a="1"/>
  <c r="D237" i="72" s="1"/>
  <c r="D238" i="72" s="1" a="1"/>
  <c r="D238" i="72" s="1"/>
  <c r="D16" i="72" a="1"/>
  <c r="D16" i="72" s="1"/>
  <c r="D48" i="72" a="1"/>
  <c r="D48" i="72" s="1"/>
  <c r="D294" i="72" a="1"/>
  <c r="D294" i="72" s="1"/>
  <c r="D295" i="72" s="1" a="1"/>
  <c r="D295" i="72" s="1"/>
  <c r="D77" i="72" a="1"/>
  <c r="D77" i="72" s="1"/>
  <c r="D78" i="72" s="1" a="1"/>
  <c r="D78" i="72" s="1"/>
  <c r="D113" i="72" a="1"/>
  <c r="D113" i="72" s="1"/>
  <c r="D114" i="72" s="1" a="1"/>
  <c r="D114" i="72" s="1"/>
  <c r="D115" i="72" s="1" a="1"/>
  <c r="D115" i="72" s="1"/>
  <c r="D269" i="72" a="1"/>
  <c r="D269" i="72" s="1"/>
  <c r="D207" i="72" a="1"/>
  <c r="D207" i="72" s="1"/>
  <c r="D145" i="72" a="1"/>
  <c r="D145" i="72" s="1"/>
  <c r="D176" i="72" a="1"/>
  <c r="D176" i="72" s="1"/>
  <c r="D79" i="72" l="1" a="1"/>
  <c r="D79" i="72" s="1"/>
  <c r="D80" i="72" s="1" a="1"/>
  <c r="D80" i="72" s="1"/>
  <c r="D49" i="72" a="1"/>
  <c r="D49" i="72" s="1"/>
  <c r="D116" i="72" a="1"/>
  <c r="D116" i="72" s="1"/>
  <c r="D117" i="72" s="1" a="1"/>
  <c r="D117" i="72" s="1"/>
  <c r="D118" i="72" s="1" a="1"/>
  <c r="D118" i="72" s="1"/>
  <c r="D296" i="72" a="1"/>
  <c r="D296" i="72" s="1"/>
  <c r="D17" i="72" a="1"/>
  <c r="D17" i="72" s="1"/>
  <c r="D177" i="72" a="1"/>
  <c r="D177" i="72" s="1"/>
  <c r="D146" i="72" a="1"/>
  <c r="D146" i="72" s="1"/>
  <c r="D208" i="72" a="1"/>
  <c r="D208" i="72" s="1"/>
  <c r="D270" i="72" a="1"/>
  <c r="D270" i="72" s="1"/>
  <c r="D239" i="72" a="1"/>
  <c r="D239" i="72" s="1"/>
  <c r="D81" i="72" l="1" a="1"/>
  <c r="D81" i="72" s="1"/>
  <c r="D82" i="72" s="1" a="1"/>
  <c r="D82" i="72" s="1"/>
  <c r="D18" i="72" a="1"/>
  <c r="D18" i="72" s="1"/>
  <c r="D19" i="72" s="1" a="1"/>
  <c r="D19" i="72" s="1"/>
  <c r="D20" i="72" s="1" a="1"/>
  <c r="D20" i="72" s="1"/>
  <c r="D50" i="72" a="1"/>
  <c r="D50" i="72" s="1"/>
  <c r="D51" i="72" s="1" a="1"/>
  <c r="D51" i="72" s="1"/>
  <c r="D52" i="72" s="1" a="1"/>
  <c r="D52" i="72" s="1"/>
  <c r="D297" i="72" a="1"/>
  <c r="D297" i="72" s="1"/>
  <c r="D298" i="72" s="1" a="1"/>
  <c r="D298" i="72" s="1"/>
  <c r="D240" i="72" a="1"/>
  <c r="D240" i="72" s="1"/>
  <c r="D147" i="72" a="1"/>
  <c r="D147" i="72" s="1"/>
  <c r="D119" i="72" a="1"/>
  <c r="D119" i="72" s="1"/>
  <c r="D178" i="72" a="1"/>
  <c r="D178" i="72" s="1"/>
  <c r="D209" i="72" a="1"/>
  <c r="D209" i="72" s="1"/>
  <c r="D271" i="72" a="1"/>
  <c r="D271" i="72" s="1"/>
  <c r="D83" i="72" l="1" a="1"/>
  <c r="D83" i="72" s="1"/>
  <c r="D84" i="72" s="1" a="1"/>
  <c r="D84" i="72" s="1"/>
  <c r="D299" i="72" a="1"/>
  <c r="D299" i="72" s="1"/>
  <c r="D300" i="72" s="1" a="1"/>
  <c r="D300" i="72" s="1"/>
  <c r="D301" i="72" s="1" a="1"/>
  <c r="D301" i="72" s="1"/>
  <c r="D302" i="72" s="1" a="1"/>
  <c r="D302" i="72" s="1"/>
  <c r="D53" i="72" a="1"/>
  <c r="D53" i="72" s="1"/>
  <c r="D54" i="72" s="1" a="1"/>
  <c r="D54" i="72" s="1"/>
  <c r="D21" i="72" a="1"/>
  <c r="D21" i="72" s="1"/>
  <c r="D22" i="72" s="1" a="1"/>
  <c r="D22" i="72" s="1"/>
  <c r="D23" i="72" s="1" a="1"/>
  <c r="D23" i="72" s="1"/>
  <c r="D148" i="72" a="1"/>
  <c r="D148" i="72" s="1"/>
  <c r="D210" i="72" a="1"/>
  <c r="D210" i="72" s="1"/>
  <c r="D272" i="72" a="1"/>
  <c r="D272" i="72" s="1"/>
  <c r="D179" i="72" a="1"/>
  <c r="D179" i="72" s="1"/>
  <c r="D241" i="72" a="1"/>
  <c r="D241" i="72" s="1"/>
  <c r="D120" i="72" a="1"/>
  <c r="D120" i="72" s="1"/>
  <c r="D55" i="72" l="1" a="1"/>
  <c r="D55" i="72" s="1"/>
  <c r="D56" i="72" s="1" a="1"/>
  <c r="D56" i="72" s="1"/>
  <c r="D57" i="72" s="1" a="1"/>
  <c r="D57" i="72" s="1"/>
  <c r="D24" i="72" a="1"/>
  <c r="D24" i="72" s="1"/>
  <c r="D211" i="72" a="1"/>
  <c r="D211" i="72" s="1"/>
  <c r="D303" i="72" a="1"/>
  <c r="D303" i="72" s="1"/>
  <c r="D85" i="72" a="1"/>
  <c r="D85" i="72" s="1"/>
  <c r="D180" i="72" a="1"/>
  <c r="D180" i="72" s="1"/>
  <c r="D121" i="72" a="1"/>
  <c r="D121" i="72" s="1"/>
  <c r="D273" i="72" a="1"/>
  <c r="D273" i="72" s="1"/>
  <c r="D242" i="72" a="1"/>
  <c r="D242" i="72" s="1"/>
  <c r="D149" i="72" a="1"/>
  <c r="D149" i="72" s="1"/>
  <c r="D58" i="72" l="1" a="1"/>
  <c r="D58" i="72" s="1"/>
  <c r="D59" i="72" s="1" a="1"/>
  <c r="D59" i="72" s="1"/>
  <c r="D60" i="72" s="1" a="1"/>
  <c r="D60" i="72" s="1"/>
  <c r="D25" i="72" a="1"/>
  <c r="D25" i="72" s="1"/>
  <c r="D181" i="72" a="1"/>
  <c r="D181" i="72" s="1"/>
  <c r="D243" i="72" a="1"/>
  <c r="D243" i="72" s="1"/>
  <c r="D150" i="72" a="1"/>
  <c r="D150" i="72" s="1"/>
  <c r="D86" i="72" a="1"/>
  <c r="D86" i="72" s="1"/>
  <c r="D212" i="72" a="1"/>
  <c r="D212" i="72" s="1"/>
  <c r="D122" i="72" a="1"/>
  <c r="D122" i="72" s="1"/>
  <c r="D274" i="72" a="1"/>
  <c r="D274" i="72" s="1"/>
  <c r="D304" i="72" a="1"/>
  <c r="D304" i="72" s="1"/>
  <c r="D26" i="72" l="1" a="1"/>
  <c r="D26" i="72" s="1"/>
  <c r="D213" i="72" a="1"/>
  <c r="D213" i="72" s="1"/>
  <c r="D305" i="72" a="1"/>
  <c r="D305" i="72" s="1"/>
  <c r="D244" i="72" a="1"/>
  <c r="D244" i="72" s="1"/>
  <c r="D275" i="72" a="1"/>
  <c r="D275" i="72" s="1"/>
  <c r="D151" i="72" a="1"/>
  <c r="D151" i="72" s="1"/>
  <c r="D87" i="72" a="1"/>
  <c r="D87" i="72" s="1"/>
  <c r="D182" i="72" a="1"/>
  <c r="D182" i="72" s="1"/>
  <c r="D123" i="72" a="1"/>
  <c r="D123" i="72" s="1"/>
  <c r="D61" i="72" a="1"/>
  <c r="D61" i="72" s="1"/>
  <c r="D27" i="72" l="1" a="1"/>
  <c r="D27" i="72" s="1"/>
  <c r="D183" i="72" a="1"/>
  <c r="D183" i="72" s="1"/>
  <c r="D245" i="72" a="1"/>
  <c r="D245" i="72" s="1"/>
  <c r="D214" i="72" a="1"/>
  <c r="D214" i="72" s="1"/>
  <c r="D152" i="72" a="1"/>
  <c r="D152" i="72" s="1"/>
  <c r="D62" i="72" a="1"/>
  <c r="D62" i="72" s="1"/>
  <c r="D306" i="72" a="1"/>
  <c r="D306" i="72" s="1"/>
  <c r="D276" i="72" a="1"/>
  <c r="D276" i="72" s="1"/>
  <c r="D88" i="72" a="1"/>
  <c r="D88" i="72" s="1"/>
  <c r="D124" i="72" a="1"/>
  <c r="D124" i="72" s="1"/>
  <c r="D28" i="72" l="1" a="1"/>
  <c r="D28" i="72" s="1"/>
  <c r="D277" i="72" a="1"/>
  <c r="D277" i="72" s="1"/>
  <c r="D125" i="72" a="1"/>
  <c r="D125" i="72" s="1"/>
  <c r="D215" i="72" a="1"/>
  <c r="D215" i="72" s="1"/>
  <c r="D246" i="72" a="1"/>
  <c r="D246" i="72" s="1"/>
  <c r="D89" i="72" a="1"/>
  <c r="D89" i="72" s="1"/>
  <c r="D153" i="72" a="1"/>
  <c r="D153" i="72" s="1"/>
  <c r="D307" i="72" a="1"/>
  <c r="D307" i="72" s="1"/>
  <c r="D63" i="72" a="1"/>
  <c r="D63" i="72" s="1"/>
  <c r="D184" i="72" a="1"/>
  <c r="D184" i="72" s="1"/>
  <c r="D29" i="72" l="1" a="1"/>
  <c r="D29" i="72" s="1"/>
  <c r="D154" i="72" a="1"/>
  <c r="D154" i="72" s="1"/>
  <c r="D90" i="72" a="1"/>
  <c r="D90" i="72" s="1"/>
  <c r="D185" i="72" a="1"/>
  <c r="D185" i="72" s="1"/>
  <c r="D247" i="72" a="1"/>
  <c r="D247" i="72" s="1"/>
  <c r="D216" i="72" a="1"/>
  <c r="D216" i="72" s="1"/>
  <c r="D278" i="72" a="1"/>
  <c r="D278" i="72" s="1"/>
  <c r="D308" i="72" a="1"/>
  <c r="D308" i="72" s="1"/>
  <c r="D30" i="72" l="1" a="1"/>
  <c r="D30" i="72" s="1"/>
  <c r="D31" i="72" s="1" a="1"/>
  <c r="D31" i="72" s="1"/>
  <c r="D309" i="72" a="1"/>
  <c r="D309" i="72" s="1"/>
  <c r="D91" i="72" a="1"/>
  <c r="D91" i="72" s="1"/>
  <c r="D217" i="72" a="1"/>
  <c r="D217" i="72" s="1"/>
  <c r="D155" i="72" a="1"/>
  <c r="D155" i="72" s="1"/>
  <c r="D248" i="72" a="1"/>
  <c r="D248" i="72" s="1"/>
  <c r="D186" i="72" a="1"/>
  <c r="D186" i="72" s="1"/>
  <c r="D279" i="72" a="1"/>
  <c r="D279" i="72" s="1"/>
  <c r="D32" i="72" l="1" a="1"/>
  <c r="D32" i="72" s="1"/>
  <c r="D280" i="72" a="1"/>
  <c r="D280" i="72" s="1"/>
  <c r="D156" i="72" a="1"/>
  <c r="D156" i="72" s="1"/>
  <c r="D92" i="72" a="1"/>
  <c r="D92" i="72" s="1"/>
  <c r="D218" i="72" a="1"/>
  <c r="D218" i="72" s="1"/>
  <c r="D187" i="72" a="1"/>
  <c r="D187" i="72" s="1"/>
  <c r="D249" i="72" a="1"/>
  <c r="D249" i="72" s="1"/>
  <c r="D310" i="72" a="1"/>
  <c r="D310" i="72" s="1"/>
  <c r="D93" i="72" l="1" a="1"/>
  <c r="D93" i="72" s="1"/>
  <c r="D311" i="72" a="1"/>
  <c r="D311" i="72" s="1"/>
  <c r="D94" i="72" l="1" a="1"/>
  <c r="D94" i="72" s="1"/>
  <c r="H183" i="58" l="1"/>
  <c r="H183" i="37"/>
  <c r="H184" i="58"/>
  <c r="H184" i="37"/>
  <c r="H183" i="41" l="1"/>
  <c r="I410" i="37"/>
  <c r="I410" i="58"/>
  <c r="H370" i="58"/>
  <c r="H370" i="37"/>
  <c r="H377" i="58"/>
  <c r="H377" i="37"/>
  <c r="J373" i="58"/>
  <c r="J373" i="37"/>
  <c r="J376" i="58"/>
  <c r="J376" i="37"/>
  <c r="H410" i="58"/>
  <c r="H410" i="37"/>
  <c r="H284" i="58"/>
  <c r="H284" i="37"/>
  <c r="H394" i="58"/>
  <c r="H394" i="37"/>
  <c r="H236" i="58"/>
  <c r="H236" i="37"/>
  <c r="I409" i="37"/>
  <c r="I409" i="58"/>
  <c r="H254" i="58"/>
  <c r="H254" i="37"/>
  <c r="J394" i="58"/>
  <c r="J394" i="37"/>
  <c r="H320" i="58"/>
  <c r="H320" i="37"/>
  <c r="H398" i="58"/>
  <c r="H398" i="37"/>
  <c r="H386" i="58"/>
  <c r="H386" i="37"/>
  <c r="H351" i="58"/>
  <c r="H351" i="37"/>
  <c r="H328" i="58"/>
  <c r="H328" i="37"/>
  <c r="H184" i="41"/>
  <c r="I422" i="37"/>
  <c r="I422" i="58"/>
  <c r="H406" i="58"/>
  <c r="H406" i="37"/>
  <c r="I382" i="37"/>
  <c r="I382" i="58"/>
  <c r="H344" i="58"/>
  <c r="H344" i="37"/>
  <c r="J382" i="58"/>
  <c r="J382" i="37"/>
  <c r="H374" i="58"/>
  <c r="H374" i="37"/>
  <c r="I374" i="37"/>
  <c r="I374" i="58"/>
  <c r="J413" i="58"/>
  <c r="J413" i="37"/>
  <c r="I412" i="37"/>
  <c r="I412" i="58"/>
  <c r="I308" i="58"/>
  <c r="I308" i="37"/>
  <c r="J404" i="58"/>
  <c r="J404" i="37"/>
  <c r="I395" i="37"/>
  <c r="I395" i="58"/>
  <c r="H269" i="58"/>
  <c r="H269" i="37"/>
  <c r="J236" i="37"/>
  <c r="J236" i="58"/>
  <c r="I363" i="37"/>
  <c r="I363" i="58"/>
  <c r="J409" i="58"/>
  <c r="J409" i="37"/>
  <c r="H392" i="58"/>
  <c r="H392" i="37"/>
  <c r="I383" i="58"/>
  <c r="I383" i="37"/>
  <c r="H305" i="58"/>
  <c r="H305" i="37"/>
  <c r="J244" i="58"/>
  <c r="J244" i="37"/>
  <c r="H422" i="58"/>
  <c r="H422" i="37"/>
  <c r="J290" i="58"/>
  <c r="J290" i="37"/>
  <c r="J401" i="37"/>
  <c r="J401" i="58"/>
  <c r="H388" i="58"/>
  <c r="H388" i="37"/>
  <c r="H379" i="58"/>
  <c r="H379" i="37"/>
  <c r="H317" i="58"/>
  <c r="H317" i="37"/>
  <c r="J344" i="58"/>
  <c r="J344" i="37"/>
  <c r="H379" i="41" l="1"/>
  <c r="H305" i="41"/>
  <c r="I409" i="41"/>
  <c r="H377" i="41"/>
  <c r="J344" i="41"/>
  <c r="J376" i="41"/>
  <c r="J413" i="41"/>
  <c r="H344" i="41"/>
  <c r="H422" i="41"/>
  <c r="I374" i="41"/>
  <c r="I382" i="41"/>
  <c r="H254" i="41"/>
  <c r="H398" i="41"/>
  <c r="I308" i="41"/>
  <c r="H374" i="41"/>
  <c r="J236" i="41"/>
  <c r="J382" i="41"/>
  <c r="J394" i="41"/>
  <c r="H394" i="41"/>
  <c r="I410" i="41"/>
  <c r="H284" i="41"/>
  <c r="I395" i="41"/>
  <c r="J290" i="41"/>
  <c r="J409" i="41"/>
  <c r="I363" i="41"/>
  <c r="H320" i="41"/>
  <c r="H236" i="41"/>
  <c r="J401" i="41"/>
  <c r="H418" i="58"/>
  <c r="H418" i="37"/>
  <c r="J368" i="58"/>
  <c r="J368" i="37"/>
  <c r="H185" i="58"/>
  <c r="H185" i="37"/>
  <c r="J377" i="58"/>
  <c r="J377" i="37"/>
  <c r="H413" i="58"/>
  <c r="H413" i="37"/>
  <c r="H308" i="58"/>
  <c r="H308" i="37"/>
  <c r="J320" i="58"/>
  <c r="J320" i="37"/>
  <c r="H409" i="58"/>
  <c r="H409" i="37"/>
  <c r="I340" i="58"/>
  <c r="I340" i="37"/>
  <c r="H290" i="58"/>
  <c r="H290" i="37"/>
  <c r="I376" i="58"/>
  <c r="I376" i="37"/>
  <c r="J340" i="58"/>
  <c r="J340" i="37"/>
  <c r="J293" i="58"/>
  <c r="J293" i="37"/>
  <c r="J356" i="37"/>
  <c r="J356" i="58"/>
  <c r="H347" i="58"/>
  <c r="H347" i="37"/>
  <c r="J332" i="37"/>
  <c r="J332" i="58"/>
  <c r="J193" i="58"/>
  <c r="J193" i="37"/>
  <c r="H146" i="58"/>
  <c r="H146" i="37"/>
  <c r="H172" i="58"/>
  <c r="H172" i="37"/>
  <c r="I162" i="58"/>
  <c r="I162" i="37"/>
  <c r="I235" i="58"/>
  <c r="I235" i="37"/>
  <c r="J178" i="58"/>
  <c r="J178" i="37"/>
  <c r="H208" i="58"/>
  <c r="H208" i="37"/>
  <c r="I204" i="37"/>
  <c r="I204" i="58"/>
  <c r="J206" i="58"/>
  <c r="J206" i="37"/>
  <c r="I281" i="37"/>
  <c r="I281" i="58"/>
  <c r="I343" i="58"/>
  <c r="I343" i="37"/>
  <c r="H163" i="58"/>
  <c r="H163" i="37"/>
  <c r="I261" i="37"/>
  <c r="I261" i="58"/>
  <c r="I179" i="37"/>
  <c r="I179" i="58"/>
  <c r="H197" i="58"/>
  <c r="H197" i="37"/>
  <c r="H221" i="58"/>
  <c r="H221" i="37"/>
  <c r="I197" i="37"/>
  <c r="I197" i="58"/>
  <c r="I221" i="58"/>
  <c r="I221" i="37"/>
  <c r="H227" i="58"/>
  <c r="H227" i="37"/>
  <c r="H253" i="58"/>
  <c r="H253" i="37"/>
  <c r="H289" i="58"/>
  <c r="H289" i="37"/>
  <c r="H323" i="58"/>
  <c r="H323" i="37"/>
  <c r="H353" i="58"/>
  <c r="H353" i="37"/>
  <c r="J273" i="37"/>
  <c r="J273" i="58"/>
  <c r="J309" i="37"/>
  <c r="J309" i="58"/>
  <c r="J337" i="37"/>
  <c r="J337" i="58"/>
  <c r="H230" i="58"/>
  <c r="H230" i="37"/>
  <c r="H270" i="58"/>
  <c r="H270" i="37"/>
  <c r="H306" i="58"/>
  <c r="H306" i="37"/>
  <c r="H350" i="58"/>
  <c r="H350" i="37"/>
  <c r="H384" i="58"/>
  <c r="H384" i="37"/>
  <c r="I384" i="58"/>
  <c r="I384" i="37"/>
  <c r="J402" i="58"/>
  <c r="J402" i="37"/>
  <c r="H411" i="58"/>
  <c r="H411" i="37"/>
  <c r="I411" i="37"/>
  <c r="I411" i="58"/>
  <c r="J411" i="37"/>
  <c r="J411" i="58"/>
  <c r="J404" i="41"/>
  <c r="H386" i="41"/>
  <c r="H370" i="41"/>
  <c r="I421" i="37"/>
  <c r="I421" i="58"/>
  <c r="I373" i="37"/>
  <c r="I373" i="58"/>
  <c r="I290" i="58"/>
  <c r="I290" i="37"/>
  <c r="H421" i="58"/>
  <c r="H421" i="37"/>
  <c r="H348" i="58"/>
  <c r="H348" i="37"/>
  <c r="H415" i="58"/>
  <c r="H415" i="37"/>
  <c r="J410" i="58"/>
  <c r="J410" i="37"/>
  <c r="H244" i="58"/>
  <c r="H244" i="37"/>
  <c r="J422" i="37"/>
  <c r="J422" i="58"/>
  <c r="H263" i="58"/>
  <c r="H263" i="37"/>
  <c r="I283" i="58"/>
  <c r="I283" i="37"/>
  <c r="J195" i="58"/>
  <c r="J195" i="37"/>
  <c r="J219" i="37"/>
  <c r="J219" i="58"/>
  <c r="H148" i="58"/>
  <c r="H148" i="37"/>
  <c r="H174" i="58"/>
  <c r="H174" i="37"/>
  <c r="I164" i="58"/>
  <c r="I164" i="37"/>
  <c r="I243" i="58"/>
  <c r="I243" i="37"/>
  <c r="J180" i="58"/>
  <c r="J180" i="37"/>
  <c r="H210" i="58"/>
  <c r="H210" i="37"/>
  <c r="I301" i="37"/>
  <c r="I301" i="58"/>
  <c r="I206" i="37"/>
  <c r="I206" i="58"/>
  <c r="I291" i="58"/>
  <c r="I291" i="37"/>
  <c r="H141" i="58"/>
  <c r="H141" i="37"/>
  <c r="H165" i="58"/>
  <c r="H165" i="37"/>
  <c r="I157" i="58"/>
  <c r="I157" i="37"/>
  <c r="I181" i="37"/>
  <c r="I181" i="58"/>
  <c r="J145" i="58"/>
  <c r="J145" i="37"/>
  <c r="J169" i="58"/>
  <c r="J169" i="37"/>
  <c r="H199" i="58"/>
  <c r="H199" i="37"/>
  <c r="J223" i="58"/>
  <c r="J223" i="37"/>
  <c r="H229" i="58"/>
  <c r="H229" i="37"/>
  <c r="H255" i="58"/>
  <c r="H255" i="37"/>
  <c r="H291" i="58"/>
  <c r="H291" i="37"/>
  <c r="H325" i="58"/>
  <c r="H325" i="37"/>
  <c r="H357" i="58"/>
  <c r="H357" i="37"/>
  <c r="J339" i="58"/>
  <c r="J339" i="37"/>
  <c r="H234" i="58"/>
  <c r="H234" i="37"/>
  <c r="H274" i="58"/>
  <c r="H274" i="37"/>
  <c r="H310" i="58"/>
  <c r="H310" i="37"/>
  <c r="H354" i="58"/>
  <c r="H354" i="37"/>
  <c r="I280" i="37"/>
  <c r="I280" i="58"/>
  <c r="I316" i="37"/>
  <c r="I316" i="58"/>
  <c r="J230" i="37"/>
  <c r="J230" i="58"/>
  <c r="J270" i="37"/>
  <c r="J270" i="58"/>
  <c r="J306" i="58"/>
  <c r="J306" i="37"/>
  <c r="J350" i="58"/>
  <c r="J350" i="37"/>
  <c r="H390" i="58"/>
  <c r="H390" i="37"/>
  <c r="I390" i="37"/>
  <c r="I390" i="58"/>
  <c r="J408" i="58"/>
  <c r="J408" i="37"/>
  <c r="H417" i="58"/>
  <c r="H417" i="37"/>
  <c r="I417" i="58"/>
  <c r="I417" i="37"/>
  <c r="J417" i="58"/>
  <c r="J417" i="37"/>
  <c r="H332" i="58"/>
  <c r="H332" i="37"/>
  <c r="H410" i="41"/>
  <c r="I244" i="58"/>
  <c r="I244" i="37"/>
  <c r="H391" i="58"/>
  <c r="H391" i="37"/>
  <c r="J386" i="37"/>
  <c r="J386" i="58"/>
  <c r="H314" i="58"/>
  <c r="H314" i="37"/>
  <c r="J257" i="58"/>
  <c r="J257" i="37"/>
  <c r="J197" i="37"/>
  <c r="J197" i="58"/>
  <c r="J221" i="58"/>
  <c r="J221" i="37"/>
  <c r="H150" i="58"/>
  <c r="H150" i="37"/>
  <c r="H176" i="58"/>
  <c r="H176" i="37"/>
  <c r="I263" i="37"/>
  <c r="I263" i="58"/>
  <c r="J158" i="37"/>
  <c r="J158" i="58"/>
  <c r="J182" i="37"/>
  <c r="J182" i="58"/>
  <c r="H212" i="58"/>
  <c r="H212" i="37"/>
  <c r="I325" i="58"/>
  <c r="I325" i="37"/>
  <c r="I315" i="58"/>
  <c r="I315" i="37"/>
  <c r="J210" i="58"/>
  <c r="J210" i="37"/>
  <c r="I329" i="37"/>
  <c r="I329" i="58"/>
  <c r="H143" i="58"/>
  <c r="H143" i="37"/>
  <c r="H167" i="58"/>
  <c r="H167" i="37"/>
  <c r="I309" i="37"/>
  <c r="I309" i="58"/>
  <c r="I159" i="58"/>
  <c r="I159" i="37"/>
  <c r="H186" i="58"/>
  <c r="H186" i="37"/>
  <c r="J147" i="58"/>
  <c r="J147" i="37"/>
  <c r="J171" i="37"/>
  <c r="J171" i="58"/>
  <c r="H201" i="58"/>
  <c r="H201" i="37"/>
  <c r="J231" i="37"/>
  <c r="J231" i="58"/>
  <c r="I201" i="58"/>
  <c r="I201" i="37"/>
  <c r="I234" i="58"/>
  <c r="I234" i="37"/>
  <c r="H231" i="58"/>
  <c r="H231" i="37"/>
  <c r="H259" i="58"/>
  <c r="H259" i="37"/>
  <c r="H295" i="58"/>
  <c r="H295" i="37"/>
  <c r="H327" i="58"/>
  <c r="H327" i="37"/>
  <c r="J366" i="58"/>
  <c r="J366" i="37"/>
  <c r="J279" i="58"/>
  <c r="J279" i="37"/>
  <c r="J315" i="58"/>
  <c r="J315" i="37"/>
  <c r="J341" i="58"/>
  <c r="J341" i="37"/>
  <c r="H238" i="58"/>
  <c r="H238" i="37"/>
  <c r="H276" i="58"/>
  <c r="H276" i="37"/>
  <c r="H312" i="58"/>
  <c r="H312" i="37"/>
  <c r="I246" i="37"/>
  <c r="I246" i="58"/>
  <c r="I282" i="58"/>
  <c r="I282" i="37"/>
  <c r="I318" i="37"/>
  <c r="I318" i="58"/>
  <c r="J234" i="37"/>
  <c r="J234" i="58"/>
  <c r="J274" i="37"/>
  <c r="J274" i="58"/>
  <c r="J310" i="37"/>
  <c r="J310" i="58"/>
  <c r="J354" i="37"/>
  <c r="J354" i="58"/>
  <c r="H396" i="58"/>
  <c r="H396" i="37"/>
  <c r="I332" i="58"/>
  <c r="I332" i="37"/>
  <c r="H240" i="58"/>
  <c r="H240" i="37"/>
  <c r="I368" i="37"/>
  <c r="I368" i="58"/>
  <c r="H275" i="58"/>
  <c r="H275" i="37"/>
  <c r="H401" i="58"/>
  <c r="H401" i="37"/>
  <c r="J224" i="58"/>
  <c r="J224" i="37"/>
  <c r="H293" i="58"/>
  <c r="H293" i="37"/>
  <c r="H380" i="58"/>
  <c r="H380" i="37"/>
  <c r="H224" i="58"/>
  <c r="H224" i="37"/>
  <c r="H355" i="58"/>
  <c r="H355" i="37"/>
  <c r="H302" i="58"/>
  <c r="H302" i="37"/>
  <c r="J299" i="58"/>
  <c r="J299" i="37"/>
  <c r="H382" i="58"/>
  <c r="H382" i="37"/>
  <c r="H373" i="58"/>
  <c r="H373" i="37"/>
  <c r="I352" i="37"/>
  <c r="I352" i="58"/>
  <c r="H364" i="58"/>
  <c r="H364" i="37"/>
  <c r="H360" i="58"/>
  <c r="H360" i="37"/>
  <c r="I248" i="37"/>
  <c r="I248" i="58"/>
  <c r="J374" i="58"/>
  <c r="J374" i="37"/>
  <c r="J364" i="37"/>
  <c r="J364" i="58"/>
  <c r="I229" i="37"/>
  <c r="I229" i="58"/>
  <c r="H152" i="58"/>
  <c r="H152" i="37"/>
  <c r="H178" i="58"/>
  <c r="H178" i="37"/>
  <c r="I168" i="58"/>
  <c r="I168" i="37"/>
  <c r="J160" i="37"/>
  <c r="J160" i="58"/>
  <c r="H190" i="58"/>
  <c r="H190" i="37"/>
  <c r="H214" i="58"/>
  <c r="H214" i="37"/>
  <c r="I349" i="58"/>
  <c r="I349" i="37"/>
  <c r="I210" i="58"/>
  <c r="I210" i="37"/>
  <c r="I339" i="37"/>
  <c r="I339" i="58"/>
  <c r="J212" i="58"/>
  <c r="J212" i="37"/>
  <c r="I353" i="58"/>
  <c r="I353" i="37"/>
  <c r="H145" i="58"/>
  <c r="H145" i="37"/>
  <c r="H169" i="58"/>
  <c r="H169" i="37"/>
  <c r="I161" i="58"/>
  <c r="I161" i="37"/>
  <c r="I223" i="37"/>
  <c r="I223" i="58"/>
  <c r="J149" i="58"/>
  <c r="J149" i="37"/>
  <c r="J173" i="58"/>
  <c r="J173" i="37"/>
  <c r="H203" i="58"/>
  <c r="H203" i="37"/>
  <c r="I203" i="58"/>
  <c r="I203" i="37"/>
  <c r="I242" i="37"/>
  <c r="I242" i="58"/>
  <c r="H233" i="58"/>
  <c r="H233" i="37"/>
  <c r="H261" i="58"/>
  <c r="H261" i="37"/>
  <c r="H297" i="58"/>
  <c r="H297" i="37"/>
  <c r="H329" i="58"/>
  <c r="H329" i="37"/>
  <c r="J247" i="37"/>
  <c r="J247" i="58"/>
  <c r="J283" i="58"/>
  <c r="J283" i="37"/>
  <c r="J319" i="58"/>
  <c r="J319" i="37"/>
  <c r="H242" i="58"/>
  <c r="H242" i="37"/>
  <c r="H280" i="58"/>
  <c r="H280" i="37"/>
  <c r="H316" i="58"/>
  <c r="H316" i="37"/>
  <c r="H402" i="58"/>
  <c r="H402" i="37"/>
  <c r="I402" i="37"/>
  <c r="I402" i="58"/>
  <c r="J420" i="58"/>
  <c r="J420" i="37"/>
  <c r="I361" i="58"/>
  <c r="I361" i="37"/>
  <c r="J361" i="37"/>
  <c r="J361" i="58"/>
  <c r="H356" i="58"/>
  <c r="H356" i="37"/>
  <c r="H389" i="58"/>
  <c r="H389" i="37"/>
  <c r="H406" i="41"/>
  <c r="J395" i="37"/>
  <c r="J395" i="58"/>
  <c r="H412" i="58"/>
  <c r="H412" i="37"/>
  <c r="H251" i="58"/>
  <c r="H251" i="37"/>
  <c r="J317" i="37"/>
  <c r="J317" i="58"/>
  <c r="H368" i="58"/>
  <c r="H368" i="37"/>
  <c r="I266" i="58"/>
  <c r="I266" i="37"/>
  <c r="H397" i="58"/>
  <c r="H397" i="37"/>
  <c r="H311" i="58"/>
  <c r="H311" i="37"/>
  <c r="J311" i="37"/>
  <c r="J311" i="58"/>
  <c r="H257" i="58"/>
  <c r="H257" i="37"/>
  <c r="J418" i="37"/>
  <c r="J418" i="58"/>
  <c r="I385" i="37"/>
  <c r="I385" i="58"/>
  <c r="H400" i="58"/>
  <c r="H400" i="37"/>
  <c r="J272" i="37"/>
  <c r="J272" i="58"/>
  <c r="H281" i="58"/>
  <c r="H281" i="37"/>
  <c r="I413" i="58"/>
  <c r="I413" i="37"/>
  <c r="I320" i="37"/>
  <c r="I320" i="58"/>
  <c r="I401" i="58"/>
  <c r="I401" i="37"/>
  <c r="H278" i="58"/>
  <c r="H278" i="37"/>
  <c r="J201" i="37"/>
  <c r="J201" i="58"/>
  <c r="H154" i="58"/>
  <c r="H154" i="37"/>
  <c r="H180" i="58"/>
  <c r="H180" i="37"/>
  <c r="I146" i="37"/>
  <c r="I146" i="58"/>
  <c r="I170" i="37"/>
  <c r="I170" i="58"/>
  <c r="I311" i="58"/>
  <c r="I311" i="37"/>
  <c r="J162" i="37"/>
  <c r="J162" i="58"/>
  <c r="H192" i="58"/>
  <c r="H192" i="37"/>
  <c r="H216" i="58"/>
  <c r="H216" i="37"/>
  <c r="H363" i="58"/>
  <c r="H363" i="37"/>
  <c r="I212" i="58"/>
  <c r="I212" i="37"/>
  <c r="J214" i="58"/>
  <c r="J214" i="37"/>
  <c r="H147" i="58"/>
  <c r="H147" i="37"/>
  <c r="H171" i="58"/>
  <c r="H171" i="37"/>
  <c r="I163" i="58"/>
  <c r="I163" i="37"/>
  <c r="I231" i="37"/>
  <c r="I231" i="58"/>
  <c r="J151" i="58"/>
  <c r="J151" i="37"/>
  <c r="H205" i="58"/>
  <c r="H205" i="37"/>
  <c r="I265" i="37"/>
  <c r="I265" i="58"/>
  <c r="I205" i="58"/>
  <c r="I205" i="37"/>
  <c r="I245" i="58"/>
  <c r="I245" i="37"/>
  <c r="H235" i="58"/>
  <c r="H235" i="37"/>
  <c r="H265" i="58"/>
  <c r="H265" i="37"/>
  <c r="H301" i="58"/>
  <c r="H301" i="37"/>
  <c r="H331" i="58"/>
  <c r="H331" i="37"/>
  <c r="J349" i="58"/>
  <c r="J349" i="37"/>
  <c r="H246" i="58"/>
  <c r="H246" i="37"/>
  <c r="H282" i="58"/>
  <c r="H282" i="37"/>
  <c r="H318" i="58"/>
  <c r="H318" i="37"/>
  <c r="I252" i="37"/>
  <c r="I252" i="58"/>
  <c r="I288" i="58"/>
  <c r="I288" i="37"/>
  <c r="I326" i="37"/>
  <c r="I326" i="58"/>
  <c r="J242" i="58"/>
  <c r="J242" i="37"/>
  <c r="J280" i="58"/>
  <c r="J280" i="37"/>
  <c r="J316" i="58"/>
  <c r="J316" i="37"/>
  <c r="H359" i="58"/>
  <c r="H359" i="37"/>
  <c r="H408" i="58"/>
  <c r="H408" i="37"/>
  <c r="I408" i="37"/>
  <c r="I408" i="58"/>
  <c r="H365" i="58"/>
  <c r="H365" i="37"/>
  <c r="I365" i="37"/>
  <c r="I365" i="58"/>
  <c r="J365" i="37"/>
  <c r="J365" i="58"/>
  <c r="H260" i="58"/>
  <c r="H260" i="37"/>
  <c r="H317" i="41"/>
  <c r="J244" i="41"/>
  <c r="I254" i="37"/>
  <c r="I254" i="58"/>
  <c r="H324" i="58"/>
  <c r="H324" i="37"/>
  <c r="H272" i="58"/>
  <c r="H272" i="37"/>
  <c r="J391" i="58"/>
  <c r="J391" i="37"/>
  <c r="H343" i="58"/>
  <c r="H343" i="37"/>
  <c r="H287" i="58"/>
  <c r="H287" i="37"/>
  <c r="J403" i="58"/>
  <c r="J403" i="37"/>
  <c r="J302" i="58"/>
  <c r="J302" i="37"/>
  <c r="J421" i="37"/>
  <c r="J421" i="58"/>
  <c r="H376" i="58"/>
  <c r="H376" i="37"/>
  <c r="J275" i="58"/>
  <c r="J275" i="37"/>
  <c r="J232" i="37"/>
  <c r="J232" i="58"/>
  <c r="I377" i="58"/>
  <c r="I377" i="37"/>
  <c r="H340" i="58"/>
  <c r="H340" i="37"/>
  <c r="I307" i="58"/>
  <c r="I307" i="37"/>
  <c r="J203" i="37"/>
  <c r="J203" i="58"/>
  <c r="J245" i="37"/>
  <c r="J245" i="58"/>
  <c r="H156" i="58"/>
  <c r="H156" i="37"/>
  <c r="H182" i="58"/>
  <c r="H182" i="37"/>
  <c r="I148" i="37"/>
  <c r="I148" i="58"/>
  <c r="I172" i="58"/>
  <c r="I172" i="37"/>
  <c r="J164" i="58"/>
  <c r="J164" i="37"/>
  <c r="H194" i="58"/>
  <c r="H194" i="37"/>
  <c r="H218" i="58"/>
  <c r="H218" i="37"/>
  <c r="I214" i="58"/>
  <c r="I214" i="37"/>
  <c r="J192" i="58"/>
  <c r="J192" i="37"/>
  <c r="H149" i="58"/>
  <c r="H149" i="37"/>
  <c r="H173" i="58"/>
  <c r="H173" i="37"/>
  <c r="J177" i="58"/>
  <c r="J177" i="37"/>
  <c r="H207" i="58"/>
  <c r="H207" i="37"/>
  <c r="I289" i="58"/>
  <c r="I289" i="37"/>
  <c r="I255" i="37"/>
  <c r="I255" i="58"/>
  <c r="H237" i="58"/>
  <c r="H237" i="37"/>
  <c r="H267" i="58"/>
  <c r="H267" i="37"/>
  <c r="H303" i="58"/>
  <c r="H303" i="37"/>
  <c r="H333" i="58"/>
  <c r="H333" i="37"/>
  <c r="J253" i="37"/>
  <c r="J253" i="58"/>
  <c r="J289" i="58"/>
  <c r="J289" i="37"/>
  <c r="J353" i="37"/>
  <c r="J353" i="58"/>
  <c r="H250" i="58"/>
  <c r="H250" i="37"/>
  <c r="H286" i="58"/>
  <c r="H286" i="37"/>
  <c r="H322" i="58"/>
  <c r="H322" i="37"/>
  <c r="I256" i="58"/>
  <c r="I256" i="37"/>
  <c r="I292" i="37"/>
  <c r="I292" i="58"/>
  <c r="I330" i="37"/>
  <c r="I330" i="58"/>
  <c r="J246" i="37"/>
  <c r="J246" i="58"/>
  <c r="J282" i="58"/>
  <c r="J282" i="37"/>
  <c r="J318" i="58"/>
  <c r="J318" i="37"/>
  <c r="J362" i="58"/>
  <c r="J362" i="37"/>
  <c r="H414" i="58"/>
  <c r="H414" i="37"/>
  <c r="H369" i="58"/>
  <c r="H369" i="37"/>
  <c r="J281" i="58"/>
  <c r="J281" i="37"/>
  <c r="J284" i="58"/>
  <c r="J284" i="37"/>
  <c r="J383" i="58"/>
  <c r="J383" i="37"/>
  <c r="H188" i="58"/>
  <c r="H188" i="37"/>
  <c r="I391" i="37"/>
  <c r="I391" i="58"/>
  <c r="J419" i="58"/>
  <c r="J419" i="37"/>
  <c r="J343" i="58"/>
  <c r="J343" i="37"/>
  <c r="H232" i="58"/>
  <c r="H232" i="37"/>
  <c r="I284" i="37"/>
  <c r="I284" i="58"/>
  <c r="I331" i="58"/>
  <c r="I331" i="37"/>
  <c r="J205" i="37"/>
  <c r="J205" i="58"/>
  <c r="H158" i="58"/>
  <c r="H158" i="37"/>
  <c r="I224" i="37"/>
  <c r="I224" i="58"/>
  <c r="I150" i="37"/>
  <c r="I150" i="58"/>
  <c r="H196" i="58"/>
  <c r="H196" i="37"/>
  <c r="H220" i="58"/>
  <c r="H220" i="37"/>
  <c r="I192" i="37"/>
  <c r="I192" i="58"/>
  <c r="J194" i="58"/>
  <c r="J194" i="37"/>
  <c r="J233" i="58"/>
  <c r="J233" i="37"/>
  <c r="H151" i="58"/>
  <c r="H151" i="37"/>
  <c r="H175" i="58"/>
  <c r="H175" i="37"/>
  <c r="J179" i="58"/>
  <c r="J179" i="37"/>
  <c r="H209" i="58"/>
  <c r="H209" i="37"/>
  <c r="I279" i="37"/>
  <c r="I279" i="58"/>
  <c r="H239" i="58"/>
  <c r="H239" i="37"/>
  <c r="H271" i="58"/>
  <c r="H271" i="37"/>
  <c r="H307" i="58"/>
  <c r="H307" i="37"/>
  <c r="H335" i="58"/>
  <c r="H335" i="37"/>
  <c r="J255" i="37"/>
  <c r="J255" i="58"/>
  <c r="J291" i="58"/>
  <c r="J291" i="37"/>
  <c r="J325" i="58"/>
  <c r="J325" i="37"/>
  <c r="H252" i="58"/>
  <c r="H252" i="37"/>
  <c r="H288" i="58"/>
  <c r="H288" i="37"/>
  <c r="H326" i="58"/>
  <c r="H326" i="37"/>
  <c r="H420" i="58"/>
  <c r="H420" i="37"/>
  <c r="I420" i="37"/>
  <c r="I420" i="58"/>
  <c r="H375" i="58"/>
  <c r="H375" i="37"/>
  <c r="I375" i="58"/>
  <c r="I375" i="37"/>
  <c r="J375" i="58"/>
  <c r="J375" i="37"/>
  <c r="I364" i="37"/>
  <c r="I364" i="58"/>
  <c r="I328" i="58"/>
  <c r="I328" i="37"/>
  <c r="J254" i="37"/>
  <c r="J254" i="58"/>
  <c r="J392" i="58"/>
  <c r="J392" i="37"/>
  <c r="I422" i="41"/>
  <c r="I419" i="58"/>
  <c r="I419" i="37"/>
  <c r="I392" i="58"/>
  <c r="I392" i="37"/>
  <c r="I404" i="58"/>
  <c r="I404" i="37"/>
  <c r="J229" i="37"/>
  <c r="J229" i="58"/>
  <c r="I293" i="58"/>
  <c r="I293" i="37"/>
  <c r="H162" i="58"/>
  <c r="H162" i="37"/>
  <c r="I232" i="58"/>
  <c r="I232" i="37"/>
  <c r="I152" i="37"/>
  <c r="I152" i="58"/>
  <c r="J168" i="58"/>
  <c r="J168" i="37"/>
  <c r="H198" i="58"/>
  <c r="H198" i="37"/>
  <c r="I222" i="37"/>
  <c r="I222" i="58"/>
  <c r="I194" i="58"/>
  <c r="I194" i="37"/>
  <c r="J196" i="58"/>
  <c r="J196" i="37"/>
  <c r="J220" i="37"/>
  <c r="J220" i="58"/>
  <c r="J241" i="58"/>
  <c r="J241" i="37"/>
  <c r="H153" i="58"/>
  <c r="H153" i="37"/>
  <c r="H177" i="58"/>
  <c r="H177" i="37"/>
  <c r="I145" i="37"/>
  <c r="I145" i="58"/>
  <c r="I169" i="37"/>
  <c r="I169" i="58"/>
  <c r="I275" i="37"/>
  <c r="I275" i="58"/>
  <c r="J157" i="37"/>
  <c r="J157" i="58"/>
  <c r="J181" i="58"/>
  <c r="J181" i="37"/>
  <c r="H211" i="58"/>
  <c r="H211" i="37"/>
  <c r="I337" i="37"/>
  <c r="I337" i="58"/>
  <c r="I211" i="58"/>
  <c r="I211" i="37"/>
  <c r="H241" i="58"/>
  <c r="H241" i="37"/>
  <c r="H273" i="58"/>
  <c r="H273" i="37"/>
  <c r="H309" i="58"/>
  <c r="H309" i="37"/>
  <c r="H337" i="58"/>
  <c r="H337" i="37"/>
  <c r="J327" i="37"/>
  <c r="J327" i="58"/>
  <c r="H256" i="58"/>
  <c r="H256" i="37"/>
  <c r="H292" i="58"/>
  <c r="H292" i="37"/>
  <c r="H330" i="58"/>
  <c r="H330" i="37"/>
  <c r="I262" i="37"/>
  <c r="I262" i="58"/>
  <c r="I298" i="58"/>
  <c r="I298" i="37"/>
  <c r="I338" i="37"/>
  <c r="I338" i="58"/>
  <c r="J252" i="58"/>
  <c r="J252" i="37"/>
  <c r="J288" i="37"/>
  <c r="J288" i="58"/>
  <c r="J326" i="58"/>
  <c r="J326" i="37"/>
  <c r="H358" i="58"/>
  <c r="H358" i="37"/>
  <c r="J372" i="58"/>
  <c r="J372" i="37"/>
  <c r="H381" i="58"/>
  <c r="H381" i="37"/>
  <c r="I381" i="58"/>
  <c r="I381" i="37"/>
  <c r="J381" i="37"/>
  <c r="J381" i="58"/>
  <c r="H403" i="58"/>
  <c r="H403" i="37"/>
  <c r="J263" i="37"/>
  <c r="J263" i="58"/>
  <c r="J363" i="58"/>
  <c r="J363" i="37"/>
  <c r="H296" i="58"/>
  <c r="H296" i="37"/>
  <c r="J352" i="58"/>
  <c r="J352" i="37"/>
  <c r="I344" i="58"/>
  <c r="I344" i="37"/>
  <c r="H266" i="58"/>
  <c r="H266" i="37"/>
  <c r="I386" i="58"/>
  <c r="I386" i="37"/>
  <c r="H352" i="58"/>
  <c r="H352" i="37"/>
  <c r="H407" i="58"/>
  <c r="H407" i="37"/>
  <c r="I355" i="37"/>
  <c r="I355" i="58"/>
  <c r="I317" i="58"/>
  <c r="I317" i="37"/>
  <c r="H164" i="58"/>
  <c r="H164" i="37"/>
  <c r="I178" i="37"/>
  <c r="I178" i="58"/>
  <c r="J146" i="58"/>
  <c r="J146" i="37"/>
  <c r="J170" i="37"/>
  <c r="J170" i="58"/>
  <c r="H200" i="58"/>
  <c r="H200" i="37"/>
  <c r="I196" i="37"/>
  <c r="I196" i="58"/>
  <c r="I220" i="58"/>
  <c r="I220" i="37"/>
  <c r="I247" i="58"/>
  <c r="I247" i="37"/>
  <c r="H155" i="58"/>
  <c r="H155" i="37"/>
  <c r="H179" i="58"/>
  <c r="H179" i="37"/>
  <c r="I147" i="37"/>
  <c r="I147" i="58"/>
  <c r="I171" i="58"/>
  <c r="I171" i="37"/>
  <c r="I299" i="58"/>
  <c r="I299" i="37"/>
  <c r="J159" i="37"/>
  <c r="J159" i="58"/>
  <c r="H189" i="58"/>
  <c r="H189" i="37"/>
  <c r="H213" i="58"/>
  <c r="H213" i="37"/>
  <c r="I213" i="58"/>
  <c r="I213" i="37"/>
  <c r="I327" i="37"/>
  <c r="I327" i="58"/>
  <c r="H243" i="58"/>
  <c r="H243" i="37"/>
  <c r="H277" i="58"/>
  <c r="H277" i="37"/>
  <c r="H313" i="58"/>
  <c r="H313" i="37"/>
  <c r="H339" i="58"/>
  <c r="H339" i="37"/>
  <c r="J261" i="37"/>
  <c r="J261" i="58"/>
  <c r="J297" i="58"/>
  <c r="J297" i="37"/>
  <c r="J329" i="58"/>
  <c r="J329" i="37"/>
  <c r="H361" i="58"/>
  <c r="H361" i="37"/>
  <c r="H258" i="58"/>
  <c r="H258" i="37"/>
  <c r="H294" i="58"/>
  <c r="H294" i="37"/>
  <c r="H334" i="58"/>
  <c r="H334" i="37"/>
  <c r="I264" i="37"/>
  <c r="I264" i="58"/>
  <c r="I300" i="58"/>
  <c r="I300" i="37"/>
  <c r="I342" i="58"/>
  <c r="I342" i="37"/>
  <c r="J256" i="58"/>
  <c r="J256" i="37"/>
  <c r="J292" i="37"/>
  <c r="J292" i="58"/>
  <c r="J330" i="37"/>
  <c r="J330" i="58"/>
  <c r="H362" i="58"/>
  <c r="H362" i="37"/>
  <c r="I362" i="37"/>
  <c r="I362" i="58"/>
  <c r="H387" i="58"/>
  <c r="H387" i="37"/>
  <c r="H336" i="58"/>
  <c r="H336" i="37"/>
  <c r="H388" i="41"/>
  <c r="I383" i="41"/>
  <c r="H269" i="41"/>
  <c r="H328" i="41"/>
  <c r="J373" i="41"/>
  <c r="I302" i="37"/>
  <c r="I302" i="58"/>
  <c r="H383" i="58"/>
  <c r="H383" i="37"/>
  <c r="H367" i="58"/>
  <c r="H367" i="37"/>
  <c r="H419" i="58"/>
  <c r="H419" i="37"/>
  <c r="J328" i="37"/>
  <c r="J328" i="58"/>
  <c r="H187" i="58"/>
  <c r="H187" i="37"/>
  <c r="J211" i="58"/>
  <c r="J211" i="37"/>
  <c r="I341" i="58"/>
  <c r="I341" i="37"/>
  <c r="H166" i="58"/>
  <c r="H166" i="37"/>
  <c r="I180" i="37"/>
  <c r="I180" i="58"/>
  <c r="J148" i="37"/>
  <c r="J148" i="58"/>
  <c r="J172" i="37"/>
  <c r="J172" i="58"/>
  <c r="H202" i="58"/>
  <c r="H202" i="37"/>
  <c r="J235" i="58"/>
  <c r="J235" i="37"/>
  <c r="J222" i="58"/>
  <c r="J222" i="37"/>
  <c r="I233" i="58"/>
  <c r="I233" i="37"/>
  <c r="I271" i="58"/>
  <c r="I271" i="37"/>
  <c r="H157" i="58"/>
  <c r="H157" i="37"/>
  <c r="H181" i="58"/>
  <c r="H181" i="37"/>
  <c r="I149" i="37"/>
  <c r="I149" i="58"/>
  <c r="I173" i="58"/>
  <c r="I173" i="37"/>
  <c r="J161" i="37"/>
  <c r="J161" i="58"/>
  <c r="H191" i="58"/>
  <c r="H191" i="37"/>
  <c r="H215" i="58"/>
  <c r="H215" i="37"/>
  <c r="I215" i="58"/>
  <c r="I215" i="37"/>
  <c r="I351" i="58"/>
  <c r="I351" i="37"/>
  <c r="H245" i="58"/>
  <c r="H245" i="37"/>
  <c r="H279" i="58"/>
  <c r="H279" i="37"/>
  <c r="H315" i="58"/>
  <c r="H315" i="37"/>
  <c r="H341" i="58"/>
  <c r="H341" i="37"/>
  <c r="J265" i="37"/>
  <c r="J265" i="58"/>
  <c r="J301" i="58"/>
  <c r="J301" i="37"/>
  <c r="J331" i="58"/>
  <c r="J331" i="37"/>
  <c r="H160" i="58"/>
  <c r="H160" i="37"/>
  <c r="H262" i="58"/>
  <c r="H262" i="37"/>
  <c r="H298" i="58"/>
  <c r="H298" i="37"/>
  <c r="H338" i="58"/>
  <c r="H338" i="37"/>
  <c r="H366" i="58"/>
  <c r="H366" i="37"/>
  <c r="I366" i="37"/>
  <c r="I366" i="58"/>
  <c r="J384" i="37"/>
  <c r="J384" i="58"/>
  <c r="H393" i="58"/>
  <c r="H393" i="37"/>
  <c r="I393" i="37"/>
  <c r="I393" i="58"/>
  <c r="J393" i="37"/>
  <c r="J393" i="58"/>
  <c r="H416" i="58"/>
  <c r="H416" i="37"/>
  <c r="H248" i="58"/>
  <c r="H248" i="37"/>
  <c r="H404" i="58"/>
  <c r="H404" i="37"/>
  <c r="J412" i="58"/>
  <c r="J412" i="37"/>
  <c r="I418" i="58"/>
  <c r="I418" i="37"/>
  <c r="I356" i="58"/>
  <c r="I356" i="37"/>
  <c r="J355" i="37"/>
  <c r="J355" i="58"/>
  <c r="I367" i="37"/>
  <c r="I367" i="58"/>
  <c r="H395" i="58"/>
  <c r="H395" i="37"/>
  <c r="J351" i="37"/>
  <c r="J351" i="58"/>
  <c r="J213" i="58"/>
  <c r="J213" i="37"/>
  <c r="H142" i="58"/>
  <c r="H142" i="37"/>
  <c r="H168" i="58"/>
  <c r="H168" i="37"/>
  <c r="I273" i="37"/>
  <c r="I273" i="58"/>
  <c r="I158" i="37"/>
  <c r="I158" i="58"/>
  <c r="I182" i="37"/>
  <c r="I182" i="58"/>
  <c r="J150" i="37"/>
  <c r="J150" i="58"/>
  <c r="H204" i="58"/>
  <c r="H204" i="37"/>
  <c r="J243" i="37"/>
  <c r="J243" i="58"/>
  <c r="I230" i="37"/>
  <c r="I230" i="58"/>
  <c r="J202" i="37"/>
  <c r="J202" i="58"/>
  <c r="I241" i="58"/>
  <c r="I241" i="37"/>
  <c r="H159" i="58"/>
  <c r="H159" i="37"/>
  <c r="I151" i="37"/>
  <c r="I151" i="58"/>
  <c r="J163" i="37"/>
  <c r="J163" i="58"/>
  <c r="H193" i="58"/>
  <c r="H193" i="37"/>
  <c r="H217" i="58"/>
  <c r="H217" i="37"/>
  <c r="I193" i="58"/>
  <c r="I193" i="37"/>
  <c r="H223" i="58"/>
  <c r="H223" i="37"/>
  <c r="H247" i="58"/>
  <c r="H247" i="37"/>
  <c r="H283" i="58"/>
  <c r="H283" i="37"/>
  <c r="H319" i="58"/>
  <c r="H319" i="37"/>
  <c r="H345" i="58"/>
  <c r="H345" i="37"/>
  <c r="H222" i="58"/>
  <c r="H222" i="37"/>
  <c r="H264" i="58"/>
  <c r="H264" i="37"/>
  <c r="H300" i="58"/>
  <c r="H300" i="37"/>
  <c r="H342" i="58"/>
  <c r="H342" i="37"/>
  <c r="I270" i="37"/>
  <c r="I270" i="58"/>
  <c r="I306" i="58"/>
  <c r="I306" i="37"/>
  <c r="I350" i="58"/>
  <c r="I350" i="37"/>
  <c r="J262" i="37"/>
  <c r="J262" i="58"/>
  <c r="J298" i="58"/>
  <c r="J298" i="37"/>
  <c r="J338" i="37"/>
  <c r="J338" i="58"/>
  <c r="H372" i="58"/>
  <c r="H372" i="37"/>
  <c r="I372" i="37"/>
  <c r="I372" i="58"/>
  <c r="J390" i="37"/>
  <c r="J390" i="58"/>
  <c r="H399" i="58"/>
  <c r="H399" i="37"/>
  <c r="I399" i="37"/>
  <c r="I399" i="58"/>
  <c r="J399" i="37"/>
  <c r="J399" i="58"/>
  <c r="H392" i="41"/>
  <c r="I412" i="41"/>
  <c r="H351" i="41"/>
  <c r="J400" i="58"/>
  <c r="J400" i="37"/>
  <c r="J385" i="37"/>
  <c r="J385" i="58"/>
  <c r="I272" i="58"/>
  <c r="I272" i="37"/>
  <c r="J308" i="58"/>
  <c r="J308" i="37"/>
  <c r="I403" i="37"/>
  <c r="I403" i="58"/>
  <c r="I394" i="58"/>
  <c r="I394" i="37"/>
  <c r="H228" i="58"/>
  <c r="H228" i="37"/>
  <c r="I400" i="58"/>
  <c r="I400" i="37"/>
  <c r="H299" i="58"/>
  <c r="H299" i="37"/>
  <c r="J367" i="58"/>
  <c r="J367" i="37"/>
  <c r="H371" i="58"/>
  <c r="H371" i="37"/>
  <c r="J266" i="37"/>
  <c r="J266" i="58"/>
  <c r="J215" i="37"/>
  <c r="J215" i="58"/>
  <c r="H144" i="58"/>
  <c r="H144" i="37"/>
  <c r="H170" i="58"/>
  <c r="H170" i="37"/>
  <c r="I297" i="58"/>
  <c r="I297" i="37"/>
  <c r="I160" i="37"/>
  <c r="I160" i="58"/>
  <c r="J152" i="58"/>
  <c r="J152" i="37"/>
  <c r="H206" i="58"/>
  <c r="H206" i="37"/>
  <c r="I253" i="58"/>
  <c r="I253" i="37"/>
  <c r="I202" i="58"/>
  <c r="I202" i="37"/>
  <c r="J204" i="58"/>
  <c r="J204" i="37"/>
  <c r="I257" i="37"/>
  <c r="I257" i="58"/>
  <c r="I319" i="37"/>
  <c r="I319" i="58"/>
  <c r="H161" i="58"/>
  <c r="H161" i="37"/>
  <c r="I236" i="58"/>
  <c r="I236" i="37"/>
  <c r="I177" i="58"/>
  <c r="I177" i="37"/>
  <c r="H195" i="58"/>
  <c r="H195" i="37"/>
  <c r="H219" i="58"/>
  <c r="H219" i="37"/>
  <c r="I195" i="58"/>
  <c r="I195" i="37"/>
  <c r="I219" i="37"/>
  <c r="I219" i="58"/>
  <c r="H225" i="58"/>
  <c r="H225" i="37"/>
  <c r="H249" i="58"/>
  <c r="H249" i="37"/>
  <c r="H285" i="58"/>
  <c r="H285" i="37"/>
  <c r="H321" i="58"/>
  <c r="H321" i="37"/>
  <c r="H349" i="58"/>
  <c r="H349" i="37"/>
  <c r="J271" i="58"/>
  <c r="J271" i="37"/>
  <c r="J307" i="58"/>
  <c r="J307" i="37"/>
  <c r="H226" i="58"/>
  <c r="H226" i="37"/>
  <c r="H268" i="58"/>
  <c r="H268" i="37"/>
  <c r="H304" i="58"/>
  <c r="H304" i="37"/>
  <c r="H346" i="58"/>
  <c r="H346" i="37"/>
  <c r="I274" i="37"/>
  <c r="I274" i="58"/>
  <c r="I310" i="58"/>
  <c r="I310" i="37"/>
  <c r="I354" i="37"/>
  <c r="I354" i="58"/>
  <c r="J264" i="58"/>
  <c r="J264" i="37"/>
  <c r="J300" i="58"/>
  <c r="J300" i="37"/>
  <c r="J342" i="37"/>
  <c r="J342" i="58"/>
  <c r="H378" i="58"/>
  <c r="H378" i="37"/>
  <c r="H405" i="58"/>
  <c r="H405" i="37"/>
  <c r="H385" i="58"/>
  <c r="H385" i="37"/>
  <c r="J248" i="37"/>
  <c r="J248" i="58"/>
  <c r="J234" i="41" l="1"/>
  <c r="J375" i="41"/>
  <c r="H326" i="41"/>
  <c r="J194" i="41"/>
  <c r="H232" i="41"/>
  <c r="J383" i="41"/>
  <c r="J177" i="41"/>
  <c r="H149" i="41"/>
  <c r="H218" i="41"/>
  <c r="H182" i="41"/>
  <c r="I377" i="41"/>
  <c r="J391" i="41"/>
  <c r="H260" i="41"/>
  <c r="H359" i="41"/>
  <c r="I245" i="41"/>
  <c r="J214" i="41"/>
  <c r="I413" i="41"/>
  <c r="H257" i="41"/>
  <c r="J408" i="41"/>
  <c r="H234" i="41"/>
  <c r="H291" i="41"/>
  <c r="H199" i="41"/>
  <c r="H263" i="41"/>
  <c r="H421" i="41"/>
  <c r="J364" i="41"/>
  <c r="I350" i="41"/>
  <c r="H222" i="41"/>
  <c r="H283" i="41"/>
  <c r="H193" i="41"/>
  <c r="H159" i="41"/>
  <c r="H395" i="41"/>
  <c r="H404" i="41"/>
  <c r="H160" i="41"/>
  <c r="H279" i="41"/>
  <c r="H191" i="41"/>
  <c r="H157" i="41"/>
  <c r="J235" i="41"/>
  <c r="H419" i="41"/>
  <c r="I375" i="41"/>
  <c r="H288" i="41"/>
  <c r="H335" i="41"/>
  <c r="I331" i="41"/>
  <c r="J343" i="41"/>
  <c r="J284" i="41"/>
  <c r="H414" i="41"/>
  <c r="H237" i="41"/>
  <c r="J215" i="41"/>
  <c r="I362" i="41"/>
  <c r="J159" i="41"/>
  <c r="J288" i="41"/>
  <c r="I337" i="41"/>
  <c r="I145" i="41"/>
  <c r="J309" i="41"/>
  <c r="H194" i="41"/>
  <c r="H156" i="41"/>
  <c r="J316" i="41"/>
  <c r="H366" i="41"/>
  <c r="J301" i="41"/>
  <c r="I351" i="41"/>
  <c r="H271" i="41"/>
  <c r="J179" i="41"/>
  <c r="H151" i="41"/>
  <c r="H220" i="41"/>
  <c r="J318" i="41"/>
  <c r="H322" i="41"/>
  <c r="J192" i="41"/>
  <c r="J275" i="41"/>
  <c r="H287" i="41"/>
  <c r="H324" i="41"/>
  <c r="H365" i="41"/>
  <c r="J242" i="41"/>
  <c r="H246" i="41"/>
  <c r="H301" i="41"/>
  <c r="H278" i="41"/>
  <c r="H400" i="41"/>
  <c r="H397" i="41"/>
  <c r="I219" i="41"/>
  <c r="J342" i="41"/>
  <c r="I399" i="41"/>
  <c r="I151" i="41"/>
  <c r="I230" i="41"/>
  <c r="I393" i="41"/>
  <c r="I149" i="41"/>
  <c r="I180" i="41"/>
  <c r="I364" i="41"/>
  <c r="I279" i="41"/>
  <c r="J246" i="41"/>
  <c r="I320" i="41"/>
  <c r="J418" i="41"/>
  <c r="J270" i="41"/>
  <c r="I233" i="41"/>
  <c r="I341" i="41"/>
  <c r="H383" i="41"/>
  <c r="H205" i="41"/>
  <c r="H171" i="41"/>
  <c r="H363" i="41"/>
  <c r="I361" i="41"/>
  <c r="I210" i="41"/>
  <c r="I384" i="41"/>
  <c r="H253" i="41"/>
  <c r="I343" i="41"/>
  <c r="H208" i="41"/>
  <c r="H172" i="41"/>
  <c r="I340" i="41"/>
  <c r="J377" i="41"/>
  <c r="I248" i="41"/>
  <c r="I368" i="41"/>
  <c r="I329" i="41"/>
  <c r="J182" i="41"/>
  <c r="I411" i="41"/>
  <c r="I197" i="41"/>
  <c r="H385" i="41"/>
  <c r="H378" i="41"/>
  <c r="J307" i="41"/>
  <c r="H299" i="41"/>
  <c r="J308" i="41"/>
  <c r="I342" i="41"/>
  <c r="H361" i="41"/>
  <c r="H277" i="41"/>
  <c r="H155" i="41"/>
  <c r="I386" i="41"/>
  <c r="H296" i="41"/>
  <c r="J326" i="41"/>
  <c r="H330" i="41"/>
  <c r="I211" i="41"/>
  <c r="H356" i="41"/>
  <c r="J283" i="41"/>
  <c r="J212" i="41"/>
  <c r="H360" i="41"/>
  <c r="J299" i="41"/>
  <c r="J224" i="41"/>
  <c r="H240" i="41"/>
  <c r="J417" i="41"/>
  <c r="J350" i="41"/>
  <c r="H354" i="41"/>
  <c r="J229" i="41"/>
  <c r="J361" i="41"/>
  <c r="J247" i="41"/>
  <c r="I339" i="41"/>
  <c r="J310" i="41"/>
  <c r="I263" i="41"/>
  <c r="J197" i="41"/>
  <c r="J410" i="41"/>
  <c r="H342" i="41"/>
  <c r="J213" i="41"/>
  <c r="I356" i="41"/>
  <c r="H338" i="41"/>
  <c r="I215" i="41"/>
  <c r="I173" i="41"/>
  <c r="J211" i="41"/>
  <c r="I328" i="41"/>
  <c r="H420" i="41"/>
  <c r="J325" i="41"/>
  <c r="H239" i="41"/>
  <c r="J233" i="41"/>
  <c r="H196" i="41"/>
  <c r="H158" i="41"/>
  <c r="J282" i="41"/>
  <c r="H286" i="41"/>
  <c r="H333" i="41"/>
  <c r="I289" i="41"/>
  <c r="I214" i="41"/>
  <c r="I172" i="41"/>
  <c r="I307" i="41"/>
  <c r="H343" i="41"/>
  <c r="J349" i="41"/>
  <c r="H265" i="41"/>
  <c r="H147" i="41"/>
  <c r="H216" i="41"/>
  <c r="I417" i="41"/>
  <c r="J306" i="41"/>
  <c r="H310" i="41"/>
  <c r="I157" i="41"/>
  <c r="H405" i="41"/>
  <c r="J264" i="41"/>
  <c r="H268" i="41"/>
  <c r="H219" i="41"/>
  <c r="I236" i="41"/>
  <c r="I202" i="41"/>
  <c r="H228" i="41"/>
  <c r="I206" i="41"/>
  <c r="J302" i="41"/>
  <c r="H318" i="41"/>
  <c r="I372" i="41"/>
  <c r="J163" i="41"/>
  <c r="I367" i="41"/>
  <c r="I366" i="41"/>
  <c r="J161" i="41"/>
  <c r="I192" i="41"/>
  <c r="I150" i="41"/>
  <c r="I284" i="41"/>
  <c r="I255" i="41"/>
  <c r="J245" i="41"/>
  <c r="I365" i="41"/>
  <c r="I265" i="41"/>
  <c r="J279" i="41"/>
  <c r="I234" i="41"/>
  <c r="H186" i="41"/>
  <c r="I280" i="41"/>
  <c r="H411" i="41"/>
  <c r="H270" i="41"/>
  <c r="H323" i="41"/>
  <c r="H221" i="41"/>
  <c r="I162" i="41"/>
  <c r="H290" i="41"/>
  <c r="I205" i="41"/>
  <c r="I163" i="41"/>
  <c r="I311" i="41"/>
  <c r="H281" i="41"/>
  <c r="H251" i="41"/>
  <c r="J339" i="41"/>
  <c r="H255" i="41"/>
  <c r="J169" i="41"/>
  <c r="H210" i="41"/>
  <c r="H174" i="41"/>
  <c r="I290" i="41"/>
  <c r="I310" i="41"/>
  <c r="H206" i="41"/>
  <c r="H170" i="41"/>
  <c r="J367" i="41"/>
  <c r="J256" i="41"/>
  <c r="H258" i="41"/>
  <c r="H313" i="41"/>
  <c r="H213" i="41"/>
  <c r="H179" i="41"/>
  <c r="J352" i="41"/>
  <c r="H403" i="41"/>
  <c r="H358" i="41"/>
  <c r="I275" i="41"/>
  <c r="J168" i="41"/>
  <c r="I170" i="41"/>
  <c r="J272" i="41"/>
  <c r="I373" i="41"/>
  <c r="H413" i="41"/>
  <c r="H357" i="41"/>
  <c r="I291" i="41"/>
  <c r="I243" i="41"/>
  <c r="J385" i="41"/>
  <c r="I281" i="41"/>
  <c r="J196" i="41"/>
  <c r="J210" i="41"/>
  <c r="J221" i="41"/>
  <c r="I270" i="41"/>
  <c r="J355" i="41"/>
  <c r="H180" i="41"/>
  <c r="I401" i="41"/>
  <c r="I266" i="41"/>
  <c r="J195" i="41"/>
  <c r="H415" i="41"/>
  <c r="H362" i="41"/>
  <c r="J297" i="41"/>
  <c r="I299" i="41"/>
  <c r="I317" i="41"/>
  <c r="H407" i="41"/>
  <c r="J363" i="41"/>
  <c r="H381" i="41"/>
  <c r="J252" i="41"/>
  <c r="H256" i="41"/>
  <c r="H309" i="41"/>
  <c r="H211" i="41"/>
  <c r="H177" i="41"/>
  <c r="I194" i="41"/>
  <c r="H280" i="41"/>
  <c r="H329" i="41"/>
  <c r="I168" i="41"/>
  <c r="H355" i="41"/>
  <c r="H276" i="41"/>
  <c r="H327" i="41"/>
  <c r="J400" i="41"/>
  <c r="H334" i="41"/>
  <c r="I213" i="41"/>
  <c r="I171" i="41"/>
  <c r="J146" i="41"/>
  <c r="H352" i="41"/>
  <c r="J372" i="41"/>
  <c r="H273" i="41"/>
  <c r="J181" i="41"/>
  <c r="H153" i="41"/>
  <c r="I232" i="41"/>
  <c r="I392" i="41"/>
  <c r="H384" i="41"/>
  <c r="H227" i="41"/>
  <c r="J178" i="41"/>
  <c r="H409" i="41"/>
  <c r="J262" i="41"/>
  <c r="I158" i="41"/>
  <c r="J351" i="41"/>
  <c r="J328" i="41"/>
  <c r="J248" i="41"/>
  <c r="I354" i="41"/>
  <c r="J292" i="41"/>
  <c r="I147" i="41"/>
  <c r="I178" i="41"/>
  <c r="I355" i="41"/>
  <c r="J263" i="41"/>
  <c r="J327" i="41"/>
  <c r="J157" i="41"/>
  <c r="I402" i="41"/>
  <c r="I318" i="41"/>
  <c r="J171" i="41"/>
  <c r="J411" i="41"/>
  <c r="J273" i="41"/>
  <c r="I179" i="41"/>
  <c r="I293" i="41"/>
  <c r="H396" i="41"/>
  <c r="I282" i="41"/>
  <c r="J315" i="41"/>
  <c r="I235" i="41"/>
  <c r="C35" i="63"/>
  <c r="I274" i="41"/>
  <c r="D42" i="57"/>
  <c r="G149" i="66"/>
  <c r="O149" i="66" s="1"/>
  <c r="I257" i="41"/>
  <c r="C34" i="63"/>
  <c r="H372" i="41"/>
  <c r="H223" i="41"/>
  <c r="I241" i="41"/>
  <c r="I20" i="66"/>
  <c r="E2" i="53"/>
  <c r="G20" i="66"/>
  <c r="I68" i="66"/>
  <c r="I116" i="66"/>
  <c r="H142" i="41"/>
  <c r="H416" i="41"/>
  <c r="D46" i="57"/>
  <c r="G169" i="66"/>
  <c r="O169" i="66" s="1"/>
  <c r="J381" i="41"/>
  <c r="I169" i="41"/>
  <c r="I242" i="41"/>
  <c r="I223" i="41"/>
  <c r="J160" i="41"/>
  <c r="I229" i="41"/>
  <c r="J354" i="41"/>
  <c r="I246" i="41"/>
  <c r="J158" i="41"/>
  <c r="J386" i="41"/>
  <c r="I261" i="41"/>
  <c r="I204" i="41"/>
  <c r="J332" i="41"/>
  <c r="H346" i="41"/>
  <c r="J271" i="41"/>
  <c r="I177" i="41"/>
  <c r="J204" i="41"/>
  <c r="J152" i="41"/>
  <c r="C26" i="63"/>
  <c r="I272" i="41"/>
  <c r="I164" i="66"/>
  <c r="I260" i="66"/>
  <c r="E8" i="53"/>
  <c r="I212" i="66"/>
  <c r="G164" i="66"/>
  <c r="J172" i="41"/>
  <c r="H336" i="41"/>
  <c r="I300" i="41"/>
  <c r="J329" i="41"/>
  <c r="H243" i="41"/>
  <c r="I247" i="41"/>
  <c r="H200" i="41"/>
  <c r="H164" i="41"/>
  <c r="H266" i="41"/>
  <c r="I381" i="41"/>
  <c r="H292" i="41"/>
  <c r="H337" i="41"/>
  <c r="J254" i="41"/>
  <c r="I420" i="41"/>
  <c r="I224" i="41"/>
  <c r="J253" i="41"/>
  <c r="J203" i="41"/>
  <c r="I146" i="41"/>
  <c r="J395" i="41"/>
  <c r="H316" i="41"/>
  <c r="I203" i="41"/>
  <c r="I161" i="41"/>
  <c r="H364" i="41"/>
  <c r="H302" i="41"/>
  <c r="H401" i="41"/>
  <c r="I332" i="41"/>
  <c r="H312" i="41"/>
  <c r="J366" i="41"/>
  <c r="I201" i="41"/>
  <c r="I159" i="41"/>
  <c r="I315" i="41"/>
  <c r="H391" i="41"/>
  <c r="I181" i="41"/>
  <c r="J219" i="41"/>
  <c r="I421" i="41"/>
  <c r="J402" i="41"/>
  <c r="H230" i="41"/>
  <c r="H289" i="41"/>
  <c r="H197" i="41"/>
  <c r="H163" i="41"/>
  <c r="H347" i="41"/>
  <c r="C4" i="63"/>
  <c r="H144" i="41"/>
  <c r="C56" i="63"/>
  <c r="C55" i="63"/>
  <c r="J300" i="41"/>
  <c r="H304" i="41"/>
  <c r="H349" i="41"/>
  <c r="I195" i="41"/>
  <c r="I400" i="41"/>
  <c r="J399" i="41"/>
  <c r="J338" i="41"/>
  <c r="J202" i="41"/>
  <c r="J150" i="41"/>
  <c r="J393" i="41"/>
  <c r="J265" i="41"/>
  <c r="J148" i="41"/>
  <c r="C25" i="63"/>
  <c r="I302" i="41"/>
  <c r="C46" i="63"/>
  <c r="I404" i="41"/>
  <c r="I391" i="41"/>
  <c r="I254" i="41"/>
  <c r="I408" i="41"/>
  <c r="I326" i="41"/>
  <c r="I385" i="41"/>
  <c r="G5" i="66"/>
  <c r="D3" i="57"/>
  <c r="H225" i="41"/>
  <c r="J298" i="41"/>
  <c r="H300" i="41"/>
  <c r="D12" i="57"/>
  <c r="H345" i="41"/>
  <c r="G14" i="66"/>
  <c r="I193" i="41"/>
  <c r="I182" i="41"/>
  <c r="I418" i="41"/>
  <c r="H298" i="41"/>
  <c r="H341" i="41"/>
  <c r="J222" i="41"/>
  <c r="H187" i="41"/>
  <c r="I264" i="41"/>
  <c r="I327" i="41"/>
  <c r="J170" i="41"/>
  <c r="I152" i="41"/>
  <c r="C16" i="63"/>
  <c r="J291" i="41"/>
  <c r="H188" i="41"/>
  <c r="G24" i="66"/>
  <c r="D13" i="57"/>
  <c r="H369" i="41"/>
  <c r="H250" i="41"/>
  <c r="G30" i="66"/>
  <c r="D9" i="57"/>
  <c r="H303" i="41"/>
  <c r="D5" i="57"/>
  <c r="G17" i="66"/>
  <c r="H207" i="41"/>
  <c r="H173" i="41"/>
  <c r="C45" i="63"/>
  <c r="H340" i="41"/>
  <c r="H376" i="41"/>
  <c r="H408" i="41"/>
  <c r="I288" i="41"/>
  <c r="H235" i="41"/>
  <c r="J151" i="41"/>
  <c r="H192" i="41"/>
  <c r="H154" i="41"/>
  <c r="H368" i="41"/>
  <c r="I352" i="41"/>
  <c r="J274" i="41"/>
  <c r="J231" i="41"/>
  <c r="I309" i="41"/>
  <c r="H417" i="41"/>
  <c r="H274" i="41"/>
  <c r="H325" i="41"/>
  <c r="J223" i="41"/>
  <c r="I164" i="41"/>
  <c r="I283" i="41"/>
  <c r="H348" i="41"/>
  <c r="J337" i="41"/>
  <c r="J356" i="41"/>
  <c r="D51" i="57"/>
  <c r="G158" i="66"/>
  <c r="O158" i="66" s="1"/>
  <c r="D52" i="57"/>
  <c r="G168" i="66"/>
  <c r="O168" i="66" s="1"/>
  <c r="G174" i="66"/>
  <c r="D48" i="57"/>
  <c r="D44" i="57"/>
  <c r="G161" i="66"/>
  <c r="I148" i="41"/>
  <c r="C15" i="63"/>
  <c r="J420" i="41"/>
  <c r="H242" i="41"/>
  <c r="H297" i="41"/>
  <c r="H203" i="41"/>
  <c r="H169" i="41"/>
  <c r="I349" i="41"/>
  <c r="H373" i="41"/>
  <c r="H224" i="41"/>
  <c r="H275" i="41"/>
  <c r="H238" i="41"/>
  <c r="H295" i="41"/>
  <c r="H201" i="41"/>
  <c r="H167" i="41"/>
  <c r="I325" i="41"/>
  <c r="J257" i="41"/>
  <c r="H146" i="41"/>
  <c r="J293" i="41"/>
  <c r="H185" i="41"/>
  <c r="D4" i="57"/>
  <c r="G39" i="66"/>
  <c r="H494" i="37"/>
  <c r="H321" i="41"/>
  <c r="E392" i="38"/>
  <c r="N39" i="66" s="1"/>
  <c r="H493" i="37"/>
  <c r="E395" i="38"/>
  <c r="N183" i="66" s="1"/>
  <c r="H494" i="58"/>
  <c r="H493" i="58"/>
  <c r="G184" i="66" s="1"/>
  <c r="O184" i="66" s="1"/>
  <c r="D43" i="57"/>
  <c r="G183" i="66"/>
  <c r="I160" i="41"/>
  <c r="J266" i="41"/>
  <c r="H399" i="41"/>
  <c r="H264" i="41"/>
  <c r="H319" i="41"/>
  <c r="H217" i="41"/>
  <c r="J412" i="41"/>
  <c r="H393" i="41"/>
  <c r="H262" i="41"/>
  <c r="H315" i="41"/>
  <c r="H215" i="41"/>
  <c r="H181" i="41"/>
  <c r="J330" i="41"/>
  <c r="J261" i="41"/>
  <c r="I338" i="41"/>
  <c r="I222" i="41"/>
  <c r="H267" i="41"/>
  <c r="G15" i="66"/>
  <c r="D10" i="57"/>
  <c r="D6" i="57"/>
  <c r="G19" i="66"/>
  <c r="H165" i="41"/>
  <c r="G25" i="66"/>
  <c r="D7" i="57"/>
  <c r="H189" i="41"/>
  <c r="H226" i="41"/>
  <c r="D11" i="57"/>
  <c r="G34" i="66"/>
  <c r="H285" i="41"/>
  <c r="H195" i="41"/>
  <c r="H161" i="41"/>
  <c r="I253" i="41"/>
  <c r="I297" i="41"/>
  <c r="H371" i="41"/>
  <c r="I394" i="41"/>
  <c r="H294" i="41"/>
  <c r="H339" i="41"/>
  <c r="I220" i="41"/>
  <c r="I344" i="41"/>
  <c r="I298" i="41"/>
  <c r="H241" i="41"/>
  <c r="J241" i="41"/>
  <c r="H198" i="41"/>
  <c r="H162" i="41"/>
  <c r="I419" i="41"/>
  <c r="J255" i="41"/>
  <c r="J205" i="41"/>
  <c r="I330" i="41"/>
  <c r="J353" i="41"/>
  <c r="D49" i="57"/>
  <c r="G159" i="66"/>
  <c r="O159" i="66" s="1"/>
  <c r="J421" i="41"/>
  <c r="I252" i="41"/>
  <c r="I231" i="41"/>
  <c r="J162" i="41"/>
  <c r="J317" i="41"/>
  <c r="H389" i="41"/>
  <c r="H261" i="41"/>
  <c r="J173" i="41"/>
  <c r="H145" i="41"/>
  <c r="H214" i="41"/>
  <c r="H178" i="41"/>
  <c r="J374" i="41"/>
  <c r="H380" i="41"/>
  <c r="J341" i="41"/>
  <c r="H259" i="41"/>
  <c r="H143" i="41"/>
  <c r="H212" i="41"/>
  <c r="H176" i="41"/>
  <c r="I244" i="41"/>
  <c r="J230" i="41"/>
  <c r="D45" i="57"/>
  <c r="G163" i="66"/>
  <c r="O163" i="66" s="1"/>
  <c r="I301" i="41"/>
  <c r="H350" i="41"/>
  <c r="I221" i="41"/>
  <c r="J206" i="41"/>
  <c r="J340" i="41"/>
  <c r="J320" i="41"/>
  <c r="J368" i="41"/>
  <c r="G26" i="66"/>
  <c r="H141" i="41"/>
  <c r="D2" i="57"/>
  <c r="G42" i="66"/>
  <c r="D8" i="57"/>
  <c r="H249" i="41"/>
  <c r="M3" i="37"/>
  <c r="J390" i="41"/>
  <c r="J243" i="41"/>
  <c r="I273" i="41"/>
  <c r="J384" i="41"/>
  <c r="G35" i="66"/>
  <c r="D14" i="57"/>
  <c r="H387" i="41"/>
  <c r="E4" i="53"/>
  <c r="F4" i="53" s="1"/>
  <c r="I292" i="41"/>
  <c r="J232" i="41"/>
  <c r="J365" i="41"/>
  <c r="J201" i="41"/>
  <c r="J311" i="41"/>
  <c r="H402" i="41"/>
  <c r="J319" i="41"/>
  <c r="H233" i="41"/>
  <c r="J149" i="41"/>
  <c r="I353" i="41"/>
  <c r="H190" i="41"/>
  <c r="C6" i="63"/>
  <c r="H152" i="41"/>
  <c r="H382" i="41"/>
  <c r="H293" i="41"/>
  <c r="H231" i="41"/>
  <c r="J147" i="41"/>
  <c r="H150" i="41"/>
  <c r="H314" i="41"/>
  <c r="I390" i="41"/>
  <c r="I316" i="41"/>
  <c r="D41" i="57"/>
  <c r="G170" i="66"/>
  <c r="J422" i="41"/>
  <c r="H306" i="41"/>
  <c r="H353" i="41"/>
  <c r="J193" i="41"/>
  <c r="I376" i="41"/>
  <c r="H308" i="41"/>
  <c r="H418" i="41"/>
  <c r="G178" i="66"/>
  <c r="O178" i="66" s="1"/>
  <c r="D50" i="57"/>
  <c r="D47" i="57"/>
  <c r="G186" i="66"/>
  <c r="M3" i="58"/>
  <c r="I319" i="41"/>
  <c r="I403" i="41"/>
  <c r="I306" i="41"/>
  <c r="H247" i="41"/>
  <c r="H204" i="41"/>
  <c r="H168" i="41"/>
  <c r="H248" i="41"/>
  <c r="J331" i="41"/>
  <c r="H245" i="41"/>
  <c r="I271" i="41"/>
  <c r="H202" i="41"/>
  <c r="H166" i="41"/>
  <c r="H367" i="41"/>
  <c r="E10" i="53"/>
  <c r="F10" i="53" s="1"/>
  <c r="H4" i="53" s="1"/>
  <c r="D53" i="57"/>
  <c r="G179" i="66"/>
  <c r="I196" i="41"/>
  <c r="I262" i="41"/>
  <c r="J220" i="41"/>
  <c r="J392" i="41"/>
  <c r="H375" i="41"/>
  <c r="H252" i="41"/>
  <c r="H307" i="41"/>
  <c r="H209" i="41"/>
  <c r="H175" i="41"/>
  <c r="J419" i="41"/>
  <c r="J281" i="41"/>
  <c r="J362" i="41"/>
  <c r="I256" i="41"/>
  <c r="J289" i="41"/>
  <c r="J164" i="41"/>
  <c r="J403" i="41"/>
  <c r="H272" i="41"/>
  <c r="J280" i="41"/>
  <c r="H282" i="41"/>
  <c r="H331" i="41"/>
  <c r="I212" i="41"/>
  <c r="H311" i="41"/>
  <c r="H412" i="41"/>
  <c r="C36" i="63"/>
  <c r="H332" i="41"/>
  <c r="H390" i="41"/>
  <c r="H229" i="41"/>
  <c r="J145" i="41"/>
  <c r="J180" i="41"/>
  <c r="H148" i="41"/>
  <c r="C5" i="63"/>
  <c r="H244" i="41"/>
  <c r="M7" i="41" l="1"/>
  <c r="K49" i="39"/>
  <c r="E147" i="38" s="1"/>
  <c r="K48" i="39"/>
  <c r="E146" i="38" s="1"/>
  <c r="K170" i="66" s="1"/>
  <c r="O170" i="66" s="1"/>
  <c r="E401" i="38"/>
  <c r="H496" i="58" s="1"/>
  <c r="C51" i="39"/>
  <c r="E98" i="38" s="1"/>
  <c r="K42" i="66" s="1"/>
  <c r="O42" i="66" s="1"/>
  <c r="C50" i="39"/>
  <c r="E97" i="38" s="1"/>
  <c r="K30" i="66" s="1"/>
  <c r="O30" i="66" s="1"/>
  <c r="C47" i="39"/>
  <c r="E94" i="38" s="1"/>
  <c r="H455" i="37" s="1"/>
  <c r="C48" i="39"/>
  <c r="E95" i="38" s="1"/>
  <c r="H456" i="37" s="1"/>
  <c r="H10" i="53"/>
  <c r="G10" i="53" s="1"/>
  <c r="G4" i="53"/>
  <c r="I68" i="74"/>
  <c r="G26" i="74"/>
  <c r="O183" i="66"/>
  <c r="G20" i="74"/>
  <c r="G34" i="74"/>
  <c r="O34" i="66"/>
  <c r="K50" i="39"/>
  <c r="E148" i="38" s="1"/>
  <c r="O8" i="41"/>
  <c r="G35" i="74"/>
  <c r="I20" i="74"/>
  <c r="K51" i="39"/>
  <c r="E149" i="38" s="1"/>
  <c r="O19" i="66"/>
  <c r="G19" i="74"/>
  <c r="G15" i="74"/>
  <c r="O15" i="66"/>
  <c r="G185" i="66"/>
  <c r="E9" i="53"/>
  <c r="F9" i="53" s="1"/>
  <c r="H3" i="53" s="1"/>
  <c r="G30" i="74"/>
  <c r="G5" i="74"/>
  <c r="O5" i="66"/>
  <c r="M8" i="41"/>
  <c r="H493" i="41"/>
  <c r="G40" i="66"/>
  <c r="K47" i="39"/>
  <c r="E145" i="38" s="1"/>
  <c r="O9" i="41"/>
  <c r="M9" i="41"/>
  <c r="G25" i="74"/>
  <c r="O25" i="66"/>
  <c r="N39" i="74"/>
  <c r="G42" i="74"/>
  <c r="G24" i="74"/>
  <c r="O24" i="66"/>
  <c r="G14" i="74"/>
  <c r="O14" i="66"/>
  <c r="E3" i="53"/>
  <c r="F3" i="53" s="1"/>
  <c r="G41" i="66"/>
  <c r="H494" i="41"/>
  <c r="C49" i="39"/>
  <c r="E96" i="38" s="1"/>
  <c r="O39" i="66"/>
  <c r="G39" i="74"/>
  <c r="H457" i="58"/>
  <c r="K161" i="66"/>
  <c r="E398" i="38"/>
  <c r="G17" i="74"/>
  <c r="C23" i="34" s="1"/>
  <c r="C24" i="34" s="1"/>
  <c r="I116" i="74"/>
  <c r="H456" i="58" l="1"/>
  <c r="H456" i="41" s="1"/>
  <c r="H464" i="37"/>
  <c r="H497" i="58"/>
  <c r="E410" i="38" s="1"/>
  <c r="H495" i="58"/>
  <c r="C41" i="63" s="1"/>
  <c r="K26" i="66"/>
  <c r="O26" i="66" s="1"/>
  <c r="Z170" i="66" s="1"/>
  <c r="H465" i="37"/>
  <c r="K20" i="66"/>
  <c r="T20" i="66" s="1"/>
  <c r="G41" i="74"/>
  <c r="G3" i="53"/>
  <c r="H9" i="53"/>
  <c r="G9" i="53" s="1"/>
  <c r="G40" i="74"/>
  <c r="O40" i="66"/>
  <c r="S42" i="66"/>
  <c r="T42" i="66"/>
  <c r="Q42" i="66"/>
  <c r="W42" i="66" s="1"/>
  <c r="X42" i="66"/>
  <c r="X161" i="66"/>
  <c r="Q161" i="66"/>
  <c r="W161" i="66" s="1"/>
  <c r="T161" i="66"/>
  <c r="S161" i="66"/>
  <c r="AA158" i="66"/>
  <c r="AA14" i="66"/>
  <c r="Z14" i="66"/>
  <c r="Z158" i="66"/>
  <c r="AA15" i="66"/>
  <c r="Z15" i="66"/>
  <c r="AA159" i="66"/>
  <c r="Z159" i="66"/>
  <c r="Z34" i="66"/>
  <c r="Z178" i="66"/>
  <c r="AA34" i="66"/>
  <c r="AA178" i="66"/>
  <c r="E411" i="38"/>
  <c r="G181" i="66"/>
  <c r="AC15" i="74"/>
  <c r="O15" i="74"/>
  <c r="AC34" i="74"/>
  <c r="O34" i="74"/>
  <c r="O14" i="74"/>
  <c r="AC14" i="74"/>
  <c r="Z24" i="66"/>
  <c r="AA168" i="66"/>
  <c r="Z168" i="66"/>
  <c r="AA24" i="66"/>
  <c r="O19" i="74"/>
  <c r="AC19" i="74"/>
  <c r="H497" i="37"/>
  <c r="H495" i="37"/>
  <c r="H496" i="37"/>
  <c r="AC24" i="74"/>
  <c r="O24" i="74"/>
  <c r="Z19" i="66"/>
  <c r="AA163" i="66"/>
  <c r="Z163" i="66"/>
  <c r="AA19" i="66"/>
  <c r="T30" i="66"/>
  <c r="S30" i="66"/>
  <c r="Q30" i="66"/>
  <c r="W30" i="66" s="1"/>
  <c r="X30" i="66"/>
  <c r="K17" i="66"/>
  <c r="H457" i="37"/>
  <c r="H457" i="41" s="1"/>
  <c r="Q170" i="66"/>
  <c r="W170" i="66" s="1"/>
  <c r="X170" i="66"/>
  <c r="T170" i="66"/>
  <c r="S170" i="66"/>
  <c r="H455" i="58"/>
  <c r="H455" i="41" s="1"/>
  <c r="K164" i="66"/>
  <c r="D8" i="53"/>
  <c r="F8" i="53" s="1"/>
  <c r="H2" i="53" s="1"/>
  <c r="Z39" i="66"/>
  <c r="Z183" i="66"/>
  <c r="AA183" i="66"/>
  <c r="AA39" i="66"/>
  <c r="Z149" i="66"/>
  <c r="AA5" i="66"/>
  <c r="H5" i="6"/>
  <c r="Z5" i="66"/>
  <c r="AA149" i="66"/>
  <c r="T26" i="66"/>
  <c r="O5" i="74"/>
  <c r="AC5" i="74"/>
  <c r="K186" i="66"/>
  <c r="K42" i="74" s="1"/>
  <c r="H465" i="58"/>
  <c r="O161" i="66"/>
  <c r="K174" i="66"/>
  <c r="H464" i="58"/>
  <c r="E286" i="38"/>
  <c r="E280" i="38"/>
  <c r="D2" i="53"/>
  <c r="F2" i="53" s="1"/>
  <c r="AC39" i="74"/>
  <c r="O39" i="74"/>
  <c r="E298" i="38"/>
  <c r="N179" i="66" s="1"/>
  <c r="E292" i="38"/>
  <c r="AA25" i="66"/>
  <c r="Z25" i="66"/>
  <c r="AA169" i="66"/>
  <c r="Z169" i="66"/>
  <c r="AC25" i="74"/>
  <c r="O25" i="74"/>
  <c r="X20" i="66" l="1"/>
  <c r="S26" i="66"/>
  <c r="U26" i="66" s="1"/>
  <c r="X26" i="66"/>
  <c r="P170" i="66"/>
  <c r="R170" i="66" s="1"/>
  <c r="K26" i="74"/>
  <c r="Q26" i="66"/>
  <c r="W26" i="66" s="1"/>
  <c r="H464" i="41"/>
  <c r="AA26" i="66"/>
  <c r="G180" i="66"/>
  <c r="H465" i="41"/>
  <c r="K20" i="74"/>
  <c r="X20" i="74" s="1"/>
  <c r="P26" i="66"/>
  <c r="R26" i="66" s="1"/>
  <c r="AA170" i="66"/>
  <c r="AD19" i="74"/>
  <c r="F26" i="77" s="1"/>
  <c r="AE19" i="74"/>
  <c r="AF19" i="74" s="1"/>
  <c r="C26" i="77" s="1"/>
  <c r="AD15" i="74"/>
  <c r="F24" i="77" s="1"/>
  <c r="AE15" i="74"/>
  <c r="AF15" i="74" s="1"/>
  <c r="C24" i="77" s="1"/>
  <c r="AD39" i="74"/>
  <c r="AE39" i="74"/>
  <c r="AF39" i="74" s="1"/>
  <c r="AD5" i="74"/>
  <c r="F22" i="77" s="1"/>
  <c r="AE5" i="74"/>
  <c r="AF5" i="74" s="1"/>
  <c r="C22" i="77" s="1"/>
  <c r="AD24" i="74"/>
  <c r="AE24" i="74"/>
  <c r="AF24" i="74" s="1"/>
  <c r="AD25" i="74"/>
  <c r="F28" i="77" s="1"/>
  <c r="AE25" i="74"/>
  <c r="AF25" i="74" s="1"/>
  <c r="C28" i="77" s="1"/>
  <c r="AD14" i="74"/>
  <c r="AE14" i="74"/>
  <c r="AF14" i="74" s="1"/>
  <c r="AD34" i="74"/>
  <c r="AE34" i="74"/>
  <c r="AF34" i="74" s="1"/>
  <c r="Z26" i="66"/>
  <c r="U170" i="66"/>
  <c r="T42" i="74"/>
  <c r="Q42" i="74"/>
  <c r="W42" i="74" s="1"/>
  <c r="X42" i="74"/>
  <c r="S42" i="74"/>
  <c r="AC42" i="74"/>
  <c r="O42" i="74"/>
  <c r="AA39" i="74"/>
  <c r="Z39" i="74"/>
  <c r="C11" i="63"/>
  <c r="H495" i="41"/>
  <c r="C2" i="63"/>
  <c r="Y161" i="66"/>
  <c r="Y42" i="66"/>
  <c r="G36" i="66"/>
  <c r="E404" i="38"/>
  <c r="H497" i="41"/>
  <c r="AA19" i="74"/>
  <c r="Z19" i="74"/>
  <c r="AA15" i="74"/>
  <c r="Z15" i="74"/>
  <c r="G2" i="53"/>
  <c r="H8" i="53"/>
  <c r="G8" i="53" s="1"/>
  <c r="X174" i="66"/>
  <c r="T174" i="66"/>
  <c r="Q174" i="66"/>
  <c r="W174" i="66" s="1"/>
  <c r="S174" i="66"/>
  <c r="O174" i="66"/>
  <c r="Y30" i="66"/>
  <c r="U42" i="66"/>
  <c r="U30" i="66"/>
  <c r="X164" i="66"/>
  <c r="T164" i="66"/>
  <c r="T17" i="66"/>
  <c r="Q17" i="66"/>
  <c r="W17" i="66" s="1"/>
  <c r="X17" i="66"/>
  <c r="K17" i="74"/>
  <c r="S17" i="66"/>
  <c r="O17" i="66"/>
  <c r="K30" i="74"/>
  <c r="AA24" i="74"/>
  <c r="Z24" i="74"/>
  <c r="M180" i="66"/>
  <c r="H488" i="58"/>
  <c r="Q186" i="66"/>
  <c r="W186" i="66" s="1"/>
  <c r="X186" i="66"/>
  <c r="T186" i="66"/>
  <c r="S186" i="66"/>
  <c r="O186" i="66"/>
  <c r="AA14" i="74"/>
  <c r="Z14" i="74"/>
  <c r="H483" i="37"/>
  <c r="M35" i="66"/>
  <c r="X26" i="74"/>
  <c r="Q26" i="74"/>
  <c r="W26" i="74" s="1"/>
  <c r="T26" i="74"/>
  <c r="S26" i="74"/>
  <c r="AC26" i="74"/>
  <c r="H487" i="58"/>
  <c r="M181" i="66"/>
  <c r="E291" i="38"/>
  <c r="E297" i="38"/>
  <c r="N185" i="66" s="1"/>
  <c r="AA25" i="74"/>
  <c r="Z25" i="74"/>
  <c r="B18" i="8"/>
  <c r="N35" i="66"/>
  <c r="N35" i="74" s="1"/>
  <c r="O26" i="74"/>
  <c r="E279" i="38"/>
  <c r="E285" i="38"/>
  <c r="Y170" i="66"/>
  <c r="AA34" i="74"/>
  <c r="Z34" i="74"/>
  <c r="Z40" i="66"/>
  <c r="AA184" i="66"/>
  <c r="Z184" i="66"/>
  <c r="AA40" i="66"/>
  <c r="H483" i="58"/>
  <c r="M179" i="66"/>
  <c r="AA5" i="74"/>
  <c r="Z5" i="74"/>
  <c r="U161" i="66"/>
  <c r="O40" i="74"/>
  <c r="AC40" i="74"/>
  <c r="G37" i="66"/>
  <c r="G37" i="74" s="1"/>
  <c r="E405" i="38"/>
  <c r="H496" i="41"/>
  <c r="Y26" i="66" l="1"/>
  <c r="V170" i="66"/>
  <c r="V26" i="66"/>
  <c r="O180" i="66"/>
  <c r="T20" i="74"/>
  <c r="AD26" i="74"/>
  <c r="AE26" i="74"/>
  <c r="AF26" i="74" s="1"/>
  <c r="AD42" i="74"/>
  <c r="F32" i="77" s="1"/>
  <c r="AE42" i="74"/>
  <c r="AF42" i="74" s="1"/>
  <c r="C32" i="77" s="1"/>
  <c r="AD40" i="74"/>
  <c r="AE40" i="74"/>
  <c r="AF40" i="74" s="1"/>
  <c r="U174" i="66"/>
  <c r="Y17" i="66"/>
  <c r="Y26" i="74"/>
  <c r="Y186" i="66"/>
  <c r="U42" i="74"/>
  <c r="Y174" i="66"/>
  <c r="H482" i="37"/>
  <c r="M41" i="66"/>
  <c r="U26" i="74"/>
  <c r="E290" i="38"/>
  <c r="E296" i="38"/>
  <c r="N164" i="66" s="1"/>
  <c r="H482" i="58"/>
  <c r="M185" i="66"/>
  <c r="E278" i="38"/>
  <c r="E284" i="38"/>
  <c r="H488" i="37"/>
  <c r="H488" i="41" s="1"/>
  <c r="M36" i="66"/>
  <c r="O36" i="66" s="1"/>
  <c r="O181" i="66"/>
  <c r="S181" i="66"/>
  <c r="U181" i="66" s="1"/>
  <c r="Q181" i="66"/>
  <c r="W181" i="66" s="1"/>
  <c r="Y181" i="66" s="1"/>
  <c r="G36" i="74"/>
  <c r="S179" i="66"/>
  <c r="U179" i="66" s="1"/>
  <c r="Q179" i="66"/>
  <c r="W179" i="66" s="1"/>
  <c r="Y179" i="66" s="1"/>
  <c r="O179" i="66"/>
  <c r="S180" i="66"/>
  <c r="U180" i="66" s="1"/>
  <c r="Q180" i="66"/>
  <c r="W180" i="66" s="1"/>
  <c r="Y180" i="66" s="1"/>
  <c r="AA26" i="74"/>
  <c r="Z26" i="74"/>
  <c r="P26" i="74"/>
  <c r="H487" i="37"/>
  <c r="H487" i="41" s="1"/>
  <c r="M37" i="66"/>
  <c r="M35" i="74"/>
  <c r="Q35" i="66"/>
  <c r="W35" i="66" s="1"/>
  <c r="Y35" i="66" s="1"/>
  <c r="S35" i="66"/>
  <c r="U35" i="66" s="1"/>
  <c r="O35" i="66"/>
  <c r="AA42" i="74"/>
  <c r="P42" i="74"/>
  <c r="Z42" i="74"/>
  <c r="AA40" i="74"/>
  <c r="Z40" i="74"/>
  <c r="H483" i="41"/>
  <c r="X30" i="74"/>
  <c r="T30" i="74"/>
  <c r="Q30" i="74"/>
  <c r="W30" i="74" s="1"/>
  <c r="S30" i="74"/>
  <c r="AC30" i="74"/>
  <c r="O30" i="74"/>
  <c r="P174" i="66"/>
  <c r="Z174" i="66"/>
  <c r="AA30" i="66"/>
  <c r="AA174" i="66"/>
  <c r="Z30" i="66"/>
  <c r="P30" i="66"/>
  <c r="P186" i="66"/>
  <c r="P42" i="66"/>
  <c r="Z42" i="66"/>
  <c r="AA42" i="66"/>
  <c r="AA186" i="66"/>
  <c r="Z186" i="66"/>
  <c r="P161" i="66"/>
  <c r="AA161" i="66"/>
  <c r="Z17" i="66"/>
  <c r="Z161" i="66"/>
  <c r="P17" i="66"/>
  <c r="AA17" i="66"/>
  <c r="U186" i="66"/>
  <c r="U17" i="66"/>
  <c r="X17" i="74"/>
  <c r="T17" i="74"/>
  <c r="Q17" i="74"/>
  <c r="W17" i="74" s="1"/>
  <c r="S17" i="74"/>
  <c r="O17" i="74"/>
  <c r="AC17" i="74"/>
  <c r="Y42" i="74"/>
  <c r="N41" i="66"/>
  <c r="N41" i="74" s="1"/>
  <c r="F17" i="8"/>
  <c r="AD17" i="74" l="1"/>
  <c r="F25" i="77" s="1"/>
  <c r="AE17" i="74"/>
  <c r="C6" i="77"/>
  <c r="AD30" i="74"/>
  <c r="F29" i="77" s="1"/>
  <c r="AE30" i="74"/>
  <c r="AF30" i="74" s="1"/>
  <c r="C29" i="77" s="1"/>
  <c r="U30" i="74"/>
  <c r="M36" i="74"/>
  <c r="O36" i="74" s="1"/>
  <c r="U17" i="74"/>
  <c r="H482" i="41"/>
  <c r="R174" i="66"/>
  <c r="V174" i="66"/>
  <c r="Z30" i="74"/>
  <c r="AA30" i="74"/>
  <c r="P30" i="74"/>
  <c r="P179" i="66"/>
  <c r="V42" i="66"/>
  <c r="R42" i="66"/>
  <c r="V42" i="74"/>
  <c r="R42" i="74"/>
  <c r="M164" i="66"/>
  <c r="H481" i="58"/>
  <c r="R186" i="66"/>
  <c r="V186" i="66"/>
  <c r="O37" i="66"/>
  <c r="P181" i="66" s="1"/>
  <c r="S37" i="66"/>
  <c r="U37" i="66" s="1"/>
  <c r="Q37" i="66"/>
  <c r="W37" i="66" s="1"/>
  <c r="Y37" i="66" s="1"/>
  <c r="M37" i="74"/>
  <c r="Z180" i="66"/>
  <c r="AA180" i="66"/>
  <c r="P36" i="66"/>
  <c r="Z36" i="66"/>
  <c r="Z17" i="74"/>
  <c r="P17" i="74"/>
  <c r="AA17" i="74"/>
  <c r="Y30" i="74"/>
  <c r="P180" i="66"/>
  <c r="Y17" i="74"/>
  <c r="V17" i="66"/>
  <c r="R17" i="66"/>
  <c r="AA36" i="66"/>
  <c r="Q185" i="66"/>
  <c r="W185" i="66" s="1"/>
  <c r="Y185" i="66" s="1"/>
  <c r="S185" i="66"/>
  <c r="U185" i="66" s="1"/>
  <c r="O185" i="66"/>
  <c r="V26" i="74"/>
  <c r="R26" i="74"/>
  <c r="Q36" i="66"/>
  <c r="W36" i="66" s="1"/>
  <c r="Y36" i="66" s="1"/>
  <c r="S36" i="66"/>
  <c r="U36" i="66" s="1"/>
  <c r="R30" i="66"/>
  <c r="V30" i="66"/>
  <c r="Z179" i="66"/>
  <c r="P35" i="66"/>
  <c r="AA179" i="66"/>
  <c r="Z35" i="66"/>
  <c r="AA35" i="66"/>
  <c r="M41" i="74"/>
  <c r="S41" i="66"/>
  <c r="U41" i="66" s="1"/>
  <c r="Q41" i="66"/>
  <c r="W41" i="66" s="1"/>
  <c r="Y41" i="66" s="1"/>
  <c r="O41" i="66"/>
  <c r="N20" i="66"/>
  <c r="N20" i="74" s="1"/>
  <c r="B16" i="8"/>
  <c r="R161" i="66"/>
  <c r="V161" i="66"/>
  <c r="H481" i="37"/>
  <c r="M20" i="66"/>
  <c r="S35" i="74"/>
  <c r="U35" i="74" s="1"/>
  <c r="Q35" i="74"/>
  <c r="W35" i="74" s="1"/>
  <c r="Y35" i="74" s="1"/>
  <c r="O35" i="74"/>
  <c r="AC35" i="74"/>
  <c r="Q36" i="74" l="1"/>
  <c r="W36" i="74" s="1"/>
  <c r="Y36" i="74" s="1"/>
  <c r="S36" i="74"/>
  <c r="U36" i="74" s="1"/>
  <c r="AC36" i="74"/>
  <c r="AD36" i="74" s="1"/>
  <c r="AF17" i="74"/>
  <c r="C25" i="77" s="1"/>
  <c r="C40" i="77"/>
  <c r="AD35" i="74"/>
  <c r="AE35" i="74"/>
  <c r="AF35" i="74" s="1"/>
  <c r="H481" i="41"/>
  <c r="R181" i="66"/>
  <c r="V181" i="66"/>
  <c r="S41" i="74"/>
  <c r="U41" i="74" s="1"/>
  <c r="Q41" i="74"/>
  <c r="W41" i="74" s="1"/>
  <c r="Y41" i="74" s="1"/>
  <c r="O41" i="74"/>
  <c r="AC41" i="74"/>
  <c r="Z181" i="66"/>
  <c r="AA37" i="66"/>
  <c r="Z37" i="66"/>
  <c r="P37" i="66"/>
  <c r="AA181" i="66"/>
  <c r="P185" i="66"/>
  <c r="AA35" i="74"/>
  <c r="Z35" i="74"/>
  <c r="P35" i="74"/>
  <c r="V36" i="66"/>
  <c r="R36" i="66"/>
  <c r="R179" i="66"/>
  <c r="V179" i="66"/>
  <c r="V35" i="66"/>
  <c r="R35" i="66"/>
  <c r="S164" i="66"/>
  <c r="U164" i="66" s="1"/>
  <c r="Q164" i="66"/>
  <c r="W164" i="66" s="1"/>
  <c r="Y164" i="66" s="1"/>
  <c r="O164" i="66"/>
  <c r="M20" i="74"/>
  <c r="O20" i="66"/>
  <c r="Q20" i="66"/>
  <c r="W20" i="66" s="1"/>
  <c r="Y20" i="66" s="1"/>
  <c r="S20" i="66"/>
  <c r="U20" i="66" s="1"/>
  <c r="AA41" i="66"/>
  <c r="Z41" i="66"/>
  <c r="AA185" i="66"/>
  <c r="Z185" i="66"/>
  <c r="P41" i="66"/>
  <c r="V17" i="74"/>
  <c r="R17" i="74"/>
  <c r="R180" i="66"/>
  <c r="V180" i="66"/>
  <c r="Q37" i="74"/>
  <c r="W37" i="74" s="1"/>
  <c r="Y37" i="74" s="1"/>
  <c r="S37" i="74"/>
  <c r="U37" i="74" s="1"/>
  <c r="AC37" i="74"/>
  <c r="O37" i="74"/>
  <c r="V30" i="74"/>
  <c r="R30" i="74"/>
  <c r="Z36" i="74"/>
  <c r="AA36" i="74"/>
  <c r="P36" i="74"/>
  <c r="AE36" i="74" l="1"/>
  <c r="AF36" i="74" s="1"/>
  <c r="AD37" i="74"/>
  <c r="AE37" i="74"/>
  <c r="AF37" i="74" s="1"/>
  <c r="AD41" i="74"/>
  <c r="F27" i="77" s="1"/>
  <c r="F33" i="77" s="1"/>
  <c r="AE41" i="74"/>
  <c r="AF41" i="74" s="1"/>
  <c r="C27" i="77" s="1"/>
  <c r="R185" i="66"/>
  <c r="V185" i="66"/>
  <c r="V36" i="74"/>
  <c r="R36" i="74"/>
  <c r="AA41" i="74"/>
  <c r="Z41" i="74"/>
  <c r="P41" i="74"/>
  <c r="Z164" i="66"/>
  <c r="AA20" i="66"/>
  <c r="Z20" i="66"/>
  <c r="AA164" i="66"/>
  <c r="P20" i="66"/>
  <c r="R37" i="66"/>
  <c r="V37" i="66"/>
  <c r="O20" i="74"/>
  <c r="AC20" i="74"/>
  <c r="S20" i="74"/>
  <c r="U20" i="74" s="1"/>
  <c r="Q20" i="74"/>
  <c r="W20" i="74" s="1"/>
  <c r="Y20" i="74" s="1"/>
  <c r="V35" i="74"/>
  <c r="R35" i="74"/>
  <c r="V41" i="66"/>
  <c r="R41" i="66"/>
  <c r="Z37" i="74"/>
  <c r="P37" i="74"/>
  <c r="AA37" i="74"/>
  <c r="P164" i="66"/>
  <c r="C33" i="77" l="1"/>
  <c r="AD20" i="74"/>
  <c r="C7" i="77"/>
  <c r="AE20" i="74"/>
  <c r="AF20" i="74" s="1"/>
  <c r="V20" i="66"/>
  <c r="R20" i="66"/>
  <c r="P20" i="74"/>
  <c r="AA20" i="74"/>
  <c r="Z20" i="74"/>
  <c r="V37" i="74"/>
  <c r="R37" i="74"/>
  <c r="V41" i="74"/>
  <c r="R41" i="74"/>
  <c r="R164" i="66"/>
  <c r="V164" i="66"/>
  <c r="R20" i="74" l="1"/>
  <c r="V20" i="74"/>
  <c r="C41" i="77" l="1"/>
  <c r="C10" i="77" l="1"/>
  <c r="C44" i="77" l="1"/>
  <c r="J4" i="58" l="1"/>
  <c r="J4" i="37"/>
  <c r="I4" i="37"/>
  <c r="I4" i="58"/>
  <c r="G282" i="72"/>
  <c r="G251" i="72"/>
  <c r="H4" i="37" l="1"/>
  <c r="H4" i="58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H283" i="72"/>
  <c r="I284" i="72" s="1"/>
  <c r="J285" i="72" s="1"/>
  <c r="K286" i="72" s="1"/>
  <c r="L287" i="72" s="1"/>
  <c r="M288" i="72" s="1"/>
  <c r="N289" i="72" s="1"/>
  <c r="O290" i="72" s="1"/>
  <c r="E282" i="72"/>
  <c r="F282" i="72" s="1"/>
  <c r="E25" i="53"/>
  <c r="N4" i="58"/>
  <c r="G198" i="66"/>
  <c r="E19" i="53"/>
  <c r="G54" i="66"/>
  <c r="I4" i="41"/>
  <c r="D45" i="39" s="1"/>
  <c r="J4" i="41"/>
  <c r="M45" i="39" s="1"/>
  <c r="G102" i="66"/>
  <c r="E31" i="53"/>
  <c r="O4" i="58"/>
  <c r="G246" i="66"/>
  <c r="E37" i="53"/>
  <c r="E45" i="39" l="1"/>
  <c r="E124" i="38" s="1"/>
  <c r="L45" i="39"/>
  <c r="E158" i="38" s="1"/>
  <c r="G54" i="74"/>
  <c r="G283" i="72"/>
  <c r="H284" i="72" s="1"/>
  <c r="I285" i="72" s="1"/>
  <c r="J286" i="72" s="1"/>
  <c r="K287" i="72" s="1"/>
  <c r="L288" i="72" s="1"/>
  <c r="M289" i="72" s="1"/>
  <c r="N290" i="72" s="1"/>
  <c r="O291" i="72" s="1"/>
  <c r="G102" i="74"/>
  <c r="G252" i="72"/>
  <c r="H253" i="72" s="1"/>
  <c r="I254" i="72" s="1"/>
  <c r="J255" i="72" s="1"/>
  <c r="K256" i="72" s="1"/>
  <c r="L257" i="72" s="1"/>
  <c r="M258" i="72" s="1"/>
  <c r="N259" i="72" s="1"/>
  <c r="O260" i="72" s="1"/>
  <c r="E175" i="38"/>
  <c r="G150" i="66"/>
  <c r="M4" i="58"/>
  <c r="E13" i="53"/>
  <c r="E107" i="38"/>
  <c r="E7" i="53"/>
  <c r="G6" i="66"/>
  <c r="H4" i="41"/>
  <c r="C45" i="39" s="1"/>
  <c r="P260" i="72"/>
  <c r="Q261" i="72" s="1"/>
  <c r="R262" i="72" s="1"/>
  <c r="S263" i="72" s="1"/>
  <c r="T264" i="72" s="1"/>
  <c r="U265" i="72" s="1"/>
  <c r="V266" i="72" s="1"/>
  <c r="W267" i="72" s="1"/>
  <c r="X268" i="72" s="1"/>
  <c r="Y269" i="72" s="1"/>
  <c r="P292" i="72" l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P291" i="72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52" i="72"/>
  <c r="F252" i="72" s="1"/>
  <c r="G253" i="72" s="1"/>
  <c r="Z270" i="72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K102" i="66"/>
  <c r="D31" i="53"/>
  <c r="F31" i="53" s="1"/>
  <c r="H37" i="53" s="1"/>
  <c r="J466" i="37"/>
  <c r="E283" i="72"/>
  <c r="F283" i="72" s="1"/>
  <c r="G65" i="72"/>
  <c r="G96" i="72"/>
  <c r="G6" i="74"/>
  <c r="P261" i="72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4" i="72"/>
  <c r="G3" i="72"/>
  <c r="D19" i="53"/>
  <c r="F19" i="53" s="1"/>
  <c r="H25" i="53" s="1"/>
  <c r="I466" i="37"/>
  <c r="K54" i="66"/>
  <c r="G220" i="72"/>
  <c r="G189" i="72"/>
  <c r="G158" i="72"/>
  <c r="G127" i="72"/>
  <c r="C56" i="39"/>
  <c r="C59" i="39"/>
  <c r="C60" i="39" s="1"/>
  <c r="E90" i="38"/>
  <c r="K246" i="66"/>
  <c r="J466" i="58"/>
  <c r="D37" i="53"/>
  <c r="F37" i="53" s="1"/>
  <c r="H31" i="53" s="1"/>
  <c r="G31" i="53" s="1"/>
  <c r="I466" i="58"/>
  <c r="D25" i="53"/>
  <c r="F25" i="53" s="1"/>
  <c r="K198" i="66"/>
  <c r="K45" i="39"/>
  <c r="H254" i="72" l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53" i="72"/>
  <c r="F253" i="72" s="1"/>
  <c r="E331" i="38"/>
  <c r="E337" i="38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X246" i="66"/>
  <c r="T246" i="66"/>
  <c r="T54" i="66"/>
  <c r="K54" i="74"/>
  <c r="X54" i="66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K6" i="66"/>
  <c r="H474" i="37"/>
  <c r="H466" i="37"/>
  <c r="D7" i="53"/>
  <c r="F7" i="53" s="1"/>
  <c r="H13" i="53" s="1"/>
  <c r="I466" i="4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K56" i="39"/>
  <c r="E141" i="38"/>
  <c r="K59" i="39"/>
  <c r="K60" i="39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X198" i="66"/>
  <c r="T198" i="66"/>
  <c r="C58" i="39"/>
  <c r="C57" i="39"/>
  <c r="H19" i="53"/>
  <c r="G19" i="53" s="1"/>
  <c r="G25" i="53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J466" i="4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G37" i="53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T102" i="66"/>
  <c r="X102" i="66"/>
  <c r="K102" i="74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K57" i="39"/>
  <c r="K58" i="39"/>
  <c r="H466" i="58"/>
  <c r="H466" i="41" s="1"/>
  <c r="H474" i="58"/>
  <c r="K150" i="66"/>
  <c r="D13" i="53"/>
  <c r="F13" i="53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T102" i="74"/>
  <c r="X102" i="74"/>
  <c r="E254" i="72"/>
  <c r="F25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319" i="38"/>
  <c r="E325" i="38"/>
  <c r="N198" i="66" s="1"/>
  <c r="T54" i="74"/>
  <c r="X54" i="74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307" i="38"/>
  <c r="E313" i="38"/>
  <c r="H489" i="37"/>
  <c r="G7" i="66"/>
  <c r="H479" i="37"/>
  <c r="G8" i="66"/>
  <c r="N102" i="66"/>
  <c r="E349" i="38"/>
  <c r="N246" i="66" s="1"/>
  <c r="E343" i="38"/>
  <c r="X6" i="66"/>
  <c r="T6" i="66"/>
  <c r="M102" i="66"/>
  <c r="J486" i="37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D20" i="8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C20" i="8"/>
  <c r="N54" i="66"/>
  <c r="I486" i="58"/>
  <c r="M198" i="66"/>
  <c r="E285" i="72"/>
  <c r="F285" i="72" s="1"/>
  <c r="N102" i="74"/>
  <c r="G18" i="39"/>
  <c r="M54" i="66"/>
  <c r="I486" i="37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54" i="38"/>
  <c r="L8" i="66" s="1"/>
  <c r="H480" i="37"/>
  <c r="E4" i="72"/>
  <c r="F4" i="72" s="1"/>
  <c r="O102" i="66"/>
  <c r="Q102" i="66"/>
  <c r="H7" i="53"/>
  <c r="G7" i="53" s="1"/>
  <c r="G13" i="53"/>
  <c r="K6" i="74"/>
  <c r="T150" i="66"/>
  <c r="X150" i="66"/>
  <c r="H474" i="41"/>
  <c r="G152" i="66"/>
  <c r="G8" i="74" s="1"/>
  <c r="H479" i="58"/>
  <c r="H479" i="41" s="1"/>
  <c r="M7" i="66"/>
  <c r="E128" i="72"/>
  <c r="F128" i="72" s="1"/>
  <c r="H489" i="58"/>
  <c r="H489" i="41" s="1"/>
  <c r="G151" i="66"/>
  <c r="E97" i="72"/>
  <c r="F97" i="72" s="1"/>
  <c r="J486" i="58"/>
  <c r="J486" i="41" s="1"/>
  <c r="M246" i="66"/>
  <c r="E190" i="72"/>
  <c r="F190" i="72" s="1"/>
  <c r="E66" i="72"/>
  <c r="F66" i="72" s="1"/>
  <c r="E35" i="72"/>
  <c r="F35" i="72" s="1"/>
  <c r="I486" i="41" l="1"/>
  <c r="E222" i="72"/>
  <c r="F222" i="72" s="1"/>
  <c r="Q7" i="66"/>
  <c r="W7" i="66" s="1"/>
  <c r="Y7" i="66" s="1"/>
  <c r="O7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H480" i="58"/>
  <c r="E373" i="38" s="1"/>
  <c r="L171" i="66" s="1"/>
  <c r="O171" i="66" s="1"/>
  <c r="E372" i="38"/>
  <c r="L152" i="66" s="1"/>
  <c r="O152" i="66" s="1"/>
  <c r="E301" i="38"/>
  <c r="N150" i="66" s="1"/>
  <c r="E295" i="38"/>
  <c r="M54" i="74"/>
  <c r="Q54" i="66"/>
  <c r="O54" i="66"/>
  <c r="E289" i="38"/>
  <c r="E283" i="38"/>
  <c r="E160" i="72"/>
  <c r="F160" i="72" s="1"/>
  <c r="E355" i="38"/>
  <c r="L27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7" i="74"/>
  <c r="M151" i="66"/>
  <c r="Q151" i="66" s="1"/>
  <c r="W151" i="66" s="1"/>
  <c r="Y151" i="66" s="1"/>
  <c r="O8" i="66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Q198" i="66"/>
  <c r="O198" i="66"/>
  <c r="Q246" i="66"/>
  <c r="O246" i="66"/>
  <c r="P246" i="66" s="1"/>
  <c r="M102" i="74"/>
  <c r="E255" i="72"/>
  <c r="F255" i="72" s="1"/>
  <c r="N54" i="74"/>
  <c r="F18" i="39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T6" i="74"/>
  <c r="X6" i="74"/>
  <c r="L8" i="74" l="1"/>
  <c r="O8" i="74" s="1"/>
  <c r="AA8" i="74" s="1"/>
  <c r="H480" i="41"/>
  <c r="O151" i="66"/>
  <c r="P151" i="66" s="1"/>
  <c r="V151" i="66" s="1"/>
  <c r="E129" i="72"/>
  <c r="F129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P102" i="66"/>
  <c r="V102" i="66" s="1"/>
  <c r="AA102" i="66"/>
  <c r="E223" i="72"/>
  <c r="F223" i="72" s="1"/>
  <c r="P198" i="66"/>
  <c r="R198" i="66" s="1"/>
  <c r="S198" i="66" s="1"/>
  <c r="U198" i="66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Z102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H486" i="58"/>
  <c r="M150" i="66"/>
  <c r="Q102" i="74"/>
  <c r="AC102" i="74"/>
  <c r="O102" i="74"/>
  <c r="E67" i="72"/>
  <c r="F67" i="72" s="1"/>
  <c r="L27" i="74"/>
  <c r="O27" i="66"/>
  <c r="O54" i="74"/>
  <c r="Q54" i="74"/>
  <c r="AC54" i="74"/>
  <c r="V246" i="66"/>
  <c r="R246" i="66"/>
  <c r="S246" i="66" s="1"/>
  <c r="U246" i="66" s="1"/>
  <c r="W246" i="66"/>
  <c r="Y246" i="66" s="1"/>
  <c r="Z246" i="66"/>
  <c r="AA246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P7" i="66"/>
  <c r="Z151" i="66"/>
  <c r="AA151" i="66"/>
  <c r="AA7" i="66"/>
  <c r="Z7" i="66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H486" i="37"/>
  <c r="M6" i="66"/>
  <c r="E191" i="72"/>
  <c r="F191" i="72" s="1"/>
  <c r="N6" i="66"/>
  <c r="N6" i="74" s="1"/>
  <c r="B20" i="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AA54" i="66"/>
  <c r="Z54" i="66"/>
  <c r="Z198" i="66"/>
  <c r="P54" i="66"/>
  <c r="AA198" i="66"/>
  <c r="M7" i="74"/>
  <c r="Q7" i="74" s="1"/>
  <c r="W7" i="74" s="1"/>
  <c r="Y7" i="74" s="1"/>
  <c r="AA152" i="66"/>
  <c r="Z8" i="66"/>
  <c r="Z152" i="66"/>
  <c r="AA8" i="66"/>
  <c r="W102" i="66" l="1"/>
  <c r="Y102" i="66" s="1"/>
  <c r="R151" i="66"/>
  <c r="W198" i="66"/>
  <c r="Y198" i="66" s="1"/>
  <c r="V198" i="66"/>
  <c r="Z8" i="74"/>
  <c r="AC8" i="74"/>
  <c r="AD8" i="74" s="1"/>
  <c r="R102" i="66"/>
  <c r="S102" i="66" s="1"/>
  <c r="U102" i="66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H486" i="4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AE54" i="74"/>
  <c r="AD54" i="74"/>
  <c r="V7" i="66"/>
  <c r="R7" i="66"/>
  <c r="Z54" i="74"/>
  <c r="P54" i="74"/>
  <c r="AA54" i="74"/>
  <c r="E99" i="72"/>
  <c r="F99" i="72" s="1"/>
  <c r="AC7" i="74"/>
  <c r="E256" i="72"/>
  <c r="F256" i="72" s="1"/>
  <c r="O7" i="74"/>
  <c r="E6" i="72"/>
  <c r="F6" i="72" s="1"/>
  <c r="V54" i="66"/>
  <c r="W54" i="66"/>
  <c r="Y54" i="66" s="1"/>
  <c r="R54" i="66"/>
  <c r="S54" i="66" s="1"/>
  <c r="U54" i="66" s="1"/>
  <c r="E130" i="72"/>
  <c r="F130" i="72" s="1"/>
  <c r="Z27" i="66"/>
  <c r="AA27" i="66"/>
  <c r="AA171" i="66"/>
  <c r="Z171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AC27" i="74"/>
  <c r="O27" i="74"/>
  <c r="S150" i="66"/>
  <c r="U150" i="66" s="1"/>
  <c r="Q150" i="66"/>
  <c r="W150" i="66" s="1"/>
  <c r="Y150" i="66" s="1"/>
  <c r="O150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M6" i="74"/>
  <c r="S6" i="66"/>
  <c r="U6" i="66" s="1"/>
  <c r="Q6" i="66"/>
  <c r="W6" i="66" s="1"/>
  <c r="Y6" i="66" s="1"/>
  <c r="O6" i="66"/>
  <c r="AA102" i="74"/>
  <c r="P102" i="74"/>
  <c r="Z102" i="74"/>
  <c r="AD102" i="74"/>
  <c r="AE102" i="74"/>
  <c r="AE8" i="74" l="1"/>
  <c r="AF8" i="74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62" i="72"/>
  <c r="F162" i="72" s="1"/>
  <c r="AF54" i="74"/>
  <c r="E192" i="72"/>
  <c r="F192" i="72" s="1"/>
  <c r="V54" i="74"/>
  <c r="R54" i="74"/>
  <c r="S54" i="74" s="1"/>
  <c r="U54" i="74" s="1"/>
  <c r="W54" i="74"/>
  <c r="Y54" i="74" s="1"/>
  <c r="E225" i="72"/>
  <c r="F225" i="72" s="1"/>
  <c r="V102" i="74"/>
  <c r="R102" i="74"/>
  <c r="S102" i="74" s="1"/>
  <c r="U102" i="74" s="1"/>
  <c r="W102" i="74"/>
  <c r="Y102" i="74" s="1"/>
  <c r="P150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8" i="72"/>
  <c r="F38" i="72" s="1"/>
  <c r="AA150" i="66"/>
  <c r="AA6" i="66"/>
  <c r="Z6" i="66"/>
  <c r="Z150" i="66"/>
  <c r="P6" i="66"/>
  <c r="AA7" i="74"/>
  <c r="Z7" i="74"/>
  <c r="P7" i="74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AF102" i="74"/>
  <c r="Z27" i="74"/>
  <c r="AA27" i="74"/>
  <c r="O6" i="74"/>
  <c r="Q6" i="74"/>
  <c r="W6" i="74" s="1"/>
  <c r="Y6" i="74" s="1"/>
  <c r="S6" i="74"/>
  <c r="U6" i="74" s="1"/>
  <c r="AC6" i="74"/>
  <c r="AD27" i="74"/>
  <c r="AE27" i="74"/>
  <c r="AF27" i="74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AE7" i="74"/>
  <c r="AF7" i="74" s="1"/>
  <c r="AD7" i="74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288" i="72"/>
  <c r="F288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31" i="72" l="1"/>
  <c r="F131" i="72" s="1"/>
  <c r="E257" i="72"/>
  <c r="F257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63" i="72"/>
  <c r="F163" i="72" s="1"/>
  <c r="R150" i="66"/>
  <c r="V150" i="66"/>
  <c r="AE6" i="74"/>
  <c r="C38" i="77" s="1"/>
  <c r="C4" i="77"/>
  <c r="AD6" i="74"/>
  <c r="V6" i="66"/>
  <c r="R6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89" i="72"/>
  <c r="F28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P6" i="74"/>
  <c r="Z6" i="74"/>
  <c r="AA6" i="74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R7" i="74"/>
  <c r="V7" i="74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39" i="72" l="1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58" i="72"/>
  <c r="F258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26" i="72"/>
  <c r="F226" i="72" s="1"/>
  <c r="R6" i="74"/>
  <c r="V6" i="74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70" i="72"/>
  <c r="F70" i="72" s="1"/>
  <c r="AF6" i="74"/>
  <c r="E164" i="72" l="1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2" i="72"/>
  <c r="F10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9" i="72"/>
  <c r="F9" i="72" s="1"/>
  <c r="E194" i="72"/>
  <c r="F194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71" i="72"/>
  <c r="F71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91" i="72"/>
  <c r="F291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E227" i="72"/>
  <c r="F227" i="72" s="1"/>
  <c r="E41" i="72"/>
  <c r="F41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95" i="72"/>
  <c r="F195" i="72" s="1"/>
  <c r="E103" i="72"/>
  <c r="F103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72" i="72"/>
  <c r="F72" i="72" s="1"/>
  <c r="G7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92" i="72"/>
  <c r="F292" i="72" s="1"/>
  <c r="E261" i="72"/>
  <c r="F26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5" i="72"/>
  <c r="F135" i="72" s="1"/>
  <c r="E228" i="72"/>
  <c r="F228" i="72" s="1"/>
  <c r="E43" i="72" l="1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H74" i="72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1" i="72"/>
  <c r="F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96" i="72"/>
  <c r="F196" i="72" s="1"/>
  <c r="E104" i="72"/>
  <c r="F10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67" i="72"/>
  <c r="F167" i="72" s="1"/>
  <c r="E229" i="72" l="1"/>
  <c r="F229" i="72" s="1"/>
  <c r="E74" i="72"/>
  <c r="F74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93" i="72"/>
  <c r="F293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6" i="72"/>
  <c r="F136" i="72" s="1"/>
  <c r="E262" i="72"/>
  <c r="F262" i="72" s="1"/>
  <c r="E44" i="72"/>
  <c r="F44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68" i="72"/>
  <c r="F168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97" i="72"/>
  <c r="F197" i="72" s="1"/>
  <c r="E105" i="72"/>
  <c r="F105" i="72" s="1"/>
  <c r="E12" i="72"/>
  <c r="F12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7" i="72"/>
  <c r="F137" i="72" s="1"/>
  <c r="E230" i="72"/>
  <c r="F230" i="72" s="1"/>
  <c r="E263" i="72"/>
  <c r="F263" i="72" s="1"/>
  <c r="E75" i="72"/>
  <c r="F75" i="72" s="1"/>
  <c r="E45" i="72"/>
  <c r="F45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" i="72"/>
  <c r="F13" i="72" s="1"/>
  <c r="E169" i="72"/>
  <c r="F16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76" i="72"/>
  <c r="F76" i="72" s="1"/>
  <c r="E199" i="72"/>
  <c r="F199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6" i="72"/>
  <c r="F46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1" i="72"/>
  <c r="F231" i="72" s="1"/>
  <c r="E296" i="72"/>
  <c r="F296" i="72" s="1"/>
  <c r="E107" i="72"/>
  <c r="F107" i="72" s="1"/>
  <c r="E138" i="72"/>
  <c r="F138" i="72" s="1"/>
  <c r="E14" i="72" l="1"/>
  <c r="F1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5" i="72"/>
  <c r="F265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0" i="72"/>
  <c r="F17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7" i="72"/>
  <c r="F47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77" i="72"/>
  <c r="F77" i="72" s="1"/>
  <c r="E232" i="72"/>
  <c r="F232" i="72" s="1"/>
  <c r="E108" i="72"/>
  <c r="F108" i="72" s="1"/>
  <c r="E297" i="72"/>
  <c r="F297" i="72" s="1"/>
  <c r="E139" i="72"/>
  <c r="F139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 l="1"/>
  <c r="F1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6" i="72"/>
  <c r="F266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01" i="72"/>
  <c r="F201" i="72" s="1"/>
  <c r="E171" i="72"/>
  <c r="F171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3" i="72"/>
  <c r="F233" i="72" s="1"/>
  <c r="E109" i="72"/>
  <c r="F109" i="72" s="1"/>
  <c r="E140" i="72"/>
  <c r="F140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8" i="72"/>
  <c r="F29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72" i="72"/>
  <c r="F172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7" i="72"/>
  <c r="F267" i="72" s="1"/>
  <c r="E79" i="72"/>
  <c r="F79" i="72" s="1"/>
  <c r="E49" i="72"/>
  <c r="F49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0" i="72"/>
  <c r="F110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9" i="72"/>
  <c r="F299" i="72" s="1"/>
  <c r="E234" i="72"/>
  <c r="F23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41" i="72"/>
  <c r="F141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8" i="72"/>
  <c r="F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80" i="72"/>
  <c r="F80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50" i="72"/>
  <c r="F50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3" i="72"/>
  <c r="F173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04" i="72"/>
  <c r="F204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300" i="72"/>
  <c r="F30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35" i="72"/>
  <c r="F235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11" i="72"/>
  <c r="F111" i="72" s="1"/>
  <c r="E269" i="72"/>
  <c r="F269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9" i="72"/>
  <c r="F19" i="72" s="1"/>
  <c r="E51" i="72"/>
  <c r="F51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12" i="72" l="1"/>
  <c r="F112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301" i="72"/>
  <c r="F301" i="72" s="1"/>
  <c r="E82" i="72"/>
  <c r="F82" i="72" s="1"/>
  <c r="E206" i="72"/>
  <c r="F206" i="72" s="1"/>
  <c r="E175" i="72"/>
  <c r="F175" i="72" s="1"/>
  <c r="E270" i="72"/>
  <c r="F270" i="72" s="1"/>
  <c r="E236" i="72"/>
  <c r="F236" i="72" s="1"/>
  <c r="E144" i="72"/>
  <c r="F144" i="72" s="1"/>
  <c r="G207" i="72" l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" i="72"/>
  <c r="F20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52" i="72"/>
  <c r="F5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176" i="72"/>
  <c r="F176" i="72" s="1"/>
  <c r="E271" i="72"/>
  <c r="F271" i="72" s="1"/>
  <c r="E237" i="72"/>
  <c r="F237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3" i="72"/>
  <c r="F83" i="72" s="1"/>
  <c r="E207" i="72"/>
  <c r="F207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E114" i="72"/>
  <c r="F114" i="72" s="1"/>
  <c r="E21" i="72"/>
  <c r="F2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3" i="72"/>
  <c r="F53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6" i="72"/>
  <c r="F14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304" i="72"/>
  <c r="F304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08" i="72"/>
  <c r="F20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305" i="72" l="1"/>
  <c r="H306" i="72" s="1"/>
  <c r="I307" i="72" s="1"/>
  <c r="J308" i="72" s="1"/>
  <c r="K309" i="72" s="1"/>
  <c r="L310" i="72" s="1"/>
  <c r="M311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54" i="72"/>
  <c r="F54" i="72" s="1"/>
  <c r="E178" i="72"/>
  <c r="F178" i="72" s="1"/>
  <c r="E85" i="72"/>
  <c r="F85" i="72" s="1"/>
  <c r="E273" i="72"/>
  <c r="F273" i="72" s="1"/>
  <c r="E239" i="72"/>
  <c r="F239" i="72" s="1"/>
  <c r="E22" i="72"/>
  <c r="F22" i="72" s="1"/>
  <c r="E305" i="72" l="1"/>
  <c r="F305" i="72" s="1"/>
  <c r="G306" i="72" s="1"/>
  <c r="H307" i="72" s="1"/>
  <c r="I308" i="72" s="1"/>
  <c r="J309" i="72" s="1"/>
  <c r="K310" i="72" s="1"/>
  <c r="L311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G274" i="72"/>
  <c r="H275" i="72" s="1"/>
  <c r="I276" i="72" s="1"/>
  <c r="J277" i="72" s="1"/>
  <c r="K278" i="72" s="1"/>
  <c r="L279" i="72" s="1"/>
  <c r="M280" i="72" s="1"/>
  <c r="E116" i="72"/>
  <c r="F11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86" i="72"/>
  <c r="H87" i="72" s="1"/>
  <c r="I88" i="72" s="1"/>
  <c r="J89" i="72" s="1"/>
  <c r="K90" i="72" s="1"/>
  <c r="L91" i="72" s="1"/>
  <c r="M92" i="72" s="1"/>
  <c r="N93" i="72" s="1"/>
  <c r="O9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55" i="72"/>
  <c r="H56" i="72" s="1"/>
  <c r="I57" i="72" s="1"/>
  <c r="J58" i="72" s="1"/>
  <c r="K59" i="72" s="1"/>
  <c r="L60" i="72" s="1"/>
  <c r="M61" i="72" s="1"/>
  <c r="N62" i="72" s="1"/>
  <c r="O6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09" i="72"/>
  <c r="F209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E306" i="72"/>
  <c r="F306" i="72" s="1"/>
  <c r="G307" i="72" s="1"/>
  <c r="H308" i="72" s="1"/>
  <c r="I309" i="72" s="1"/>
  <c r="J310" i="72" s="1"/>
  <c r="K311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179" i="72"/>
  <c r="F179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40" i="72"/>
  <c r="F24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74" i="72"/>
  <c r="F274" i="72" s="1"/>
  <c r="E149" i="72"/>
  <c r="F149" i="72" s="1"/>
  <c r="E307" i="72" l="1"/>
  <c r="F307" i="72" s="1"/>
  <c r="G308" i="72" s="1"/>
  <c r="H309" i="72" s="1"/>
  <c r="I310" i="72" s="1"/>
  <c r="J311" i="72" s="1"/>
  <c r="E56" i="72"/>
  <c r="F56" i="72" s="1"/>
  <c r="G57" i="72" s="1"/>
  <c r="H58" i="72" s="1"/>
  <c r="I59" i="72" s="1"/>
  <c r="J60" i="72" s="1"/>
  <c r="K61" i="72" s="1"/>
  <c r="L62" i="72" s="1"/>
  <c r="M63" i="72" s="1"/>
  <c r="G275" i="72"/>
  <c r="H276" i="72" s="1"/>
  <c r="I277" i="72" s="1"/>
  <c r="J278" i="72" s="1"/>
  <c r="K279" i="72" s="1"/>
  <c r="L280" i="72" s="1"/>
  <c r="E117" i="72"/>
  <c r="F117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87" i="72"/>
  <c r="F87" i="72" s="1"/>
  <c r="E210" i="72"/>
  <c r="F210" i="72" s="1"/>
  <c r="G150" i="72"/>
  <c r="H151" i="72" s="1"/>
  <c r="I152" i="72" s="1"/>
  <c r="J153" i="72" s="1"/>
  <c r="K154" i="72" s="1"/>
  <c r="L155" i="72" s="1"/>
  <c r="M156" i="72" s="1"/>
  <c r="E24" i="72"/>
  <c r="F24" i="72" s="1"/>
  <c r="G180" i="72"/>
  <c r="H181" i="72" s="1"/>
  <c r="I182" i="72" s="1"/>
  <c r="J183" i="72" s="1"/>
  <c r="K184" i="72" s="1"/>
  <c r="L185" i="72" s="1"/>
  <c r="M186" i="72" s="1"/>
  <c r="N187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180" i="72"/>
  <c r="F180" i="72" s="1"/>
  <c r="G181" i="72" s="1"/>
  <c r="G88" i="72"/>
  <c r="H89" i="72" s="1"/>
  <c r="I90" i="72" s="1"/>
  <c r="J91" i="72" s="1"/>
  <c r="K92" i="72" s="1"/>
  <c r="L93" i="72" s="1"/>
  <c r="M94" i="72" s="1"/>
  <c r="E308" i="72"/>
  <c r="F308" i="72" s="1"/>
  <c r="G25" i="72"/>
  <c r="H26" i="72" s="1"/>
  <c r="I27" i="72" s="1"/>
  <c r="J28" i="72" s="1"/>
  <c r="K29" i="72" s="1"/>
  <c r="L30" i="72" s="1"/>
  <c r="M31" i="72" s="1"/>
  <c r="N32" i="72" s="1"/>
  <c r="E150" i="72"/>
  <c r="F150" i="72" s="1"/>
  <c r="G211" i="72"/>
  <c r="H212" i="72" s="1"/>
  <c r="I213" i="72" s="1"/>
  <c r="J214" i="72" s="1"/>
  <c r="K215" i="72" s="1"/>
  <c r="L216" i="72" s="1"/>
  <c r="M217" i="72" s="1"/>
  <c r="N218" i="72" s="1"/>
  <c r="G118" i="72"/>
  <c r="H119" i="72" s="1"/>
  <c r="I120" i="72" s="1"/>
  <c r="J121" i="72" s="1"/>
  <c r="K122" i="72" s="1"/>
  <c r="L123" i="72" s="1"/>
  <c r="M124" i="72" s="1"/>
  <c r="N125" i="72" s="1"/>
  <c r="E57" i="72"/>
  <c r="F57" i="72" s="1"/>
  <c r="E275" i="72"/>
  <c r="F275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H182" i="72"/>
  <c r="I183" i="72" s="1"/>
  <c r="J184" i="72" s="1"/>
  <c r="K185" i="72" s="1"/>
  <c r="L186" i="72" s="1"/>
  <c r="M187" i="72" s="1"/>
  <c r="E181" i="72"/>
  <c r="F181" i="72" s="1"/>
  <c r="G182" i="72" s="1"/>
  <c r="H183" i="72" s="1"/>
  <c r="I184" i="72" s="1"/>
  <c r="J185" i="72" s="1"/>
  <c r="K186" i="72" s="1"/>
  <c r="L187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G151" i="72"/>
  <c r="H152" i="72" s="1"/>
  <c r="I153" i="72" s="1"/>
  <c r="J154" i="72" s="1"/>
  <c r="K155" i="72" s="1"/>
  <c r="L156" i="72" s="1"/>
  <c r="E25" i="72"/>
  <c r="F25" i="72" s="1"/>
  <c r="G58" i="72"/>
  <c r="H59" i="72" s="1"/>
  <c r="I60" i="72" s="1"/>
  <c r="J61" i="72" s="1"/>
  <c r="K62" i="72" s="1"/>
  <c r="L63" i="72" s="1"/>
  <c r="G276" i="72"/>
  <c r="H277" i="72" s="1"/>
  <c r="I278" i="72" s="1"/>
  <c r="J279" i="72" s="1"/>
  <c r="K280" i="72" s="1"/>
  <c r="G309" i="72"/>
  <c r="H310" i="72" s="1"/>
  <c r="I311" i="72" s="1"/>
  <c r="E88" i="72"/>
  <c r="F88" i="72" s="1"/>
  <c r="E182" i="72" l="1"/>
  <c r="F182" i="72" s="1"/>
  <c r="G183" i="72" s="1"/>
  <c r="H184" i="72" s="1"/>
  <c r="I185" i="72" s="1"/>
  <c r="J186" i="72" s="1"/>
  <c r="K187" i="72" s="1"/>
  <c r="E276" i="72"/>
  <c r="F276" i="72" s="1"/>
  <c r="G277" i="72" s="1"/>
  <c r="H278" i="72" s="1"/>
  <c r="I279" i="72" s="1"/>
  <c r="J280" i="72" s="1"/>
  <c r="E58" i="72"/>
  <c r="F58" i="72" s="1"/>
  <c r="G59" i="72" s="1"/>
  <c r="H60" i="72" s="1"/>
  <c r="I61" i="72" s="1"/>
  <c r="J62" i="72" s="1"/>
  <c r="K63" i="72" s="1"/>
  <c r="E309" i="72"/>
  <c r="F309" i="72" s="1"/>
  <c r="G310" i="72" s="1"/>
  <c r="G26" i="72"/>
  <c r="H27" i="72" s="1"/>
  <c r="I28" i="72" s="1"/>
  <c r="J29" i="72" s="1"/>
  <c r="K30" i="72" s="1"/>
  <c r="L31" i="72" s="1"/>
  <c r="M32" i="72" s="1"/>
  <c r="E151" i="72"/>
  <c r="F151" i="72" s="1"/>
  <c r="G89" i="72"/>
  <c r="H90" i="72" s="1"/>
  <c r="I91" i="72" s="1"/>
  <c r="J92" i="72" s="1"/>
  <c r="K93" i="72" s="1"/>
  <c r="L94" i="72" s="1"/>
  <c r="E243" i="72"/>
  <c r="F243" i="72" s="1"/>
  <c r="E212" i="72"/>
  <c r="F212" i="72" s="1"/>
  <c r="E119" i="72"/>
  <c r="F119" i="72" s="1"/>
  <c r="E277" i="72" l="1"/>
  <c r="F277" i="72" s="1"/>
  <c r="G278" i="72" s="1"/>
  <c r="H279" i="72" s="1"/>
  <c r="I280" i="72" s="1"/>
  <c r="H311" i="72"/>
  <c r="E310" i="72"/>
  <c r="F310" i="72" s="1"/>
  <c r="G311" i="72" s="1"/>
  <c r="E183" i="72"/>
  <c r="F183" i="72" s="1"/>
  <c r="G184" i="72" s="1"/>
  <c r="H185" i="72" s="1"/>
  <c r="I186" i="72" s="1"/>
  <c r="J187" i="72" s="1"/>
  <c r="E26" i="72"/>
  <c r="F26" i="72" s="1"/>
  <c r="G152" i="72"/>
  <c r="H153" i="72" s="1"/>
  <c r="I154" i="72" s="1"/>
  <c r="J155" i="72" s="1"/>
  <c r="K156" i="72" s="1"/>
  <c r="G120" i="72"/>
  <c r="H121" i="72" s="1"/>
  <c r="I122" i="72" s="1"/>
  <c r="J123" i="72" s="1"/>
  <c r="K124" i="72" s="1"/>
  <c r="L125" i="72" s="1"/>
  <c r="G213" i="72"/>
  <c r="H214" i="72" s="1"/>
  <c r="I215" i="72" s="1"/>
  <c r="J216" i="72" s="1"/>
  <c r="K217" i="72" s="1"/>
  <c r="L218" i="72" s="1"/>
  <c r="G244" i="72"/>
  <c r="H245" i="72" s="1"/>
  <c r="I246" i="72" s="1"/>
  <c r="J247" i="72" s="1"/>
  <c r="K248" i="72" s="1"/>
  <c r="L249" i="72" s="1"/>
  <c r="E59" i="72"/>
  <c r="F59" i="72" s="1"/>
  <c r="E89" i="72"/>
  <c r="F89" i="72" s="1"/>
  <c r="E120" i="72" l="1"/>
  <c r="F120" i="72" s="1"/>
  <c r="G121" i="72" s="1"/>
  <c r="H122" i="72" s="1"/>
  <c r="I123" i="72" s="1"/>
  <c r="J124" i="72" s="1"/>
  <c r="K125" i="72" s="1"/>
  <c r="E184" i="72"/>
  <c r="F184" i="72" s="1"/>
  <c r="G185" i="72" s="1"/>
  <c r="H186" i="72" s="1"/>
  <c r="I187" i="72" s="1"/>
  <c r="E311" i="72"/>
  <c r="F311" i="72" s="1"/>
  <c r="E152" i="72"/>
  <c r="F152" i="72" s="1"/>
  <c r="G153" i="72" s="1"/>
  <c r="H154" i="72" s="1"/>
  <c r="I155" i="72" s="1"/>
  <c r="J156" i="72" s="1"/>
  <c r="E244" i="72"/>
  <c r="F244" i="72" s="1"/>
  <c r="G245" i="72" s="1"/>
  <c r="H246" i="72" s="1"/>
  <c r="I247" i="72" s="1"/>
  <c r="J248" i="72" s="1"/>
  <c r="K249" i="72" s="1"/>
  <c r="E213" i="72"/>
  <c r="F213" i="72" s="1"/>
  <c r="G214" i="72" s="1"/>
  <c r="H215" i="72" s="1"/>
  <c r="I216" i="72" s="1"/>
  <c r="J217" i="72" s="1"/>
  <c r="K218" i="72" s="1"/>
  <c r="G90" i="72"/>
  <c r="H91" i="72" s="1"/>
  <c r="I92" i="72" s="1"/>
  <c r="J93" i="72" s="1"/>
  <c r="K94" i="72" s="1"/>
  <c r="G27" i="72"/>
  <c r="H28" i="72" s="1"/>
  <c r="I29" i="72" s="1"/>
  <c r="J30" i="72" s="1"/>
  <c r="K31" i="72" s="1"/>
  <c r="L32" i="72" s="1"/>
  <c r="G60" i="72"/>
  <c r="H61" i="72" s="1"/>
  <c r="I62" i="72" s="1"/>
  <c r="J63" i="72" s="1"/>
  <c r="E278" i="72"/>
  <c r="F278" i="72" s="1"/>
  <c r="E121" i="72" l="1"/>
  <c r="F121" i="72" s="1"/>
  <c r="G122" i="72" s="1"/>
  <c r="H123" i="72" s="1"/>
  <c r="I124" i="72" s="1"/>
  <c r="J125" i="72" s="1"/>
  <c r="E245" i="72"/>
  <c r="F245" i="72" s="1"/>
  <c r="G246" i="72" s="1"/>
  <c r="H247" i="72" s="1"/>
  <c r="I248" i="72" s="1"/>
  <c r="J249" i="72" s="1"/>
  <c r="E185" i="72"/>
  <c r="F185" i="72" s="1"/>
  <c r="G186" i="72" s="1"/>
  <c r="H187" i="72" s="1"/>
  <c r="E60" i="72"/>
  <c r="F60" i="72" s="1"/>
  <c r="E214" i="72"/>
  <c r="F214" i="72" s="1"/>
  <c r="G279" i="72"/>
  <c r="H280" i="72" s="1"/>
  <c r="E27" i="72"/>
  <c r="F27" i="72" s="1"/>
  <c r="E90" i="72"/>
  <c r="F90" i="72" s="1"/>
  <c r="E153" i="72"/>
  <c r="F153" i="72" s="1"/>
  <c r="G91" i="72" l="1"/>
  <c r="H92" i="72" s="1"/>
  <c r="I93" i="72" s="1"/>
  <c r="J94" i="72" s="1"/>
  <c r="E186" i="72"/>
  <c r="F186" i="72" s="1"/>
  <c r="G187" i="72" s="1"/>
  <c r="E187" i="72" s="1"/>
  <c r="F187" i="72" s="1"/>
  <c r="G28" i="72"/>
  <c r="H29" i="72" s="1"/>
  <c r="I30" i="72" s="1"/>
  <c r="J31" i="72" s="1"/>
  <c r="K32" i="72" s="1"/>
  <c r="E246" i="72"/>
  <c r="F246" i="72" s="1"/>
  <c r="E279" i="72"/>
  <c r="F279" i="72" s="1"/>
  <c r="G280" i="72" s="1"/>
  <c r="E280" i="72" s="1"/>
  <c r="F280" i="72" s="1"/>
  <c r="G215" i="72"/>
  <c r="H216" i="72" s="1"/>
  <c r="I217" i="72" s="1"/>
  <c r="J218" i="72" s="1"/>
  <c r="E122" i="72"/>
  <c r="F122" i="72" s="1"/>
  <c r="G154" i="72"/>
  <c r="H155" i="72" s="1"/>
  <c r="I156" i="72" s="1"/>
  <c r="G61" i="72"/>
  <c r="H62" i="72" s="1"/>
  <c r="I63" i="72" s="1"/>
  <c r="E61" i="72" l="1"/>
  <c r="F61" i="72" s="1"/>
  <c r="G62" i="72" s="1"/>
  <c r="H63" i="72" s="1"/>
  <c r="E215" i="72"/>
  <c r="F215" i="72" s="1"/>
  <c r="G216" i="72" s="1"/>
  <c r="H217" i="72" s="1"/>
  <c r="I218" i="72" s="1"/>
  <c r="G247" i="72"/>
  <c r="H248" i="72" s="1"/>
  <c r="I249" i="72" s="1"/>
  <c r="E28" i="72"/>
  <c r="F28" i="72" s="1"/>
  <c r="G123" i="72"/>
  <c r="H124" i="72" s="1"/>
  <c r="I125" i="72" s="1"/>
  <c r="E154" i="72"/>
  <c r="F154" i="72" s="1"/>
  <c r="E91" i="72"/>
  <c r="F91" i="72" s="1"/>
  <c r="G155" i="72" l="1"/>
  <c r="H156" i="72" s="1"/>
  <c r="E62" i="72"/>
  <c r="F62" i="72" s="1"/>
  <c r="E123" i="72"/>
  <c r="F123" i="72" s="1"/>
  <c r="G29" i="72"/>
  <c r="H30" i="72" s="1"/>
  <c r="I31" i="72" s="1"/>
  <c r="J32" i="72" s="1"/>
  <c r="E247" i="72"/>
  <c r="F247" i="72" s="1"/>
  <c r="G92" i="72"/>
  <c r="H93" i="72" s="1"/>
  <c r="I94" i="72" s="1"/>
  <c r="E216" i="72"/>
  <c r="F216" i="72" s="1"/>
  <c r="E92" i="72" l="1"/>
  <c r="F92" i="72" s="1"/>
  <c r="G217" i="72"/>
  <c r="H218" i="72" s="1"/>
  <c r="G248" i="72"/>
  <c r="H249" i="72" s="1"/>
  <c r="E29" i="72"/>
  <c r="F29" i="72" s="1"/>
  <c r="G124" i="72"/>
  <c r="H125" i="72" s="1"/>
  <c r="G63" i="72"/>
  <c r="E63" i="72" s="1"/>
  <c r="F63" i="72" s="1"/>
  <c r="E155" i="72"/>
  <c r="F155" i="72" s="1"/>
  <c r="AL63" i="72" l="1"/>
  <c r="G156" i="72"/>
  <c r="E156" i="72" s="1"/>
  <c r="F156" i="72" s="1"/>
  <c r="E124" i="72"/>
  <c r="F124" i="72" s="1"/>
  <c r="G30" i="72"/>
  <c r="H31" i="72" s="1"/>
  <c r="I32" i="72" s="1"/>
  <c r="E248" i="72"/>
  <c r="F248" i="72" s="1"/>
  <c r="G249" i="72" s="1"/>
  <c r="E249" i="72" s="1"/>
  <c r="F249" i="72" s="1"/>
  <c r="E217" i="72"/>
  <c r="F217" i="72" s="1"/>
  <c r="G218" i="72" s="1"/>
  <c r="E218" i="72" s="1"/>
  <c r="F218" i="72" s="1"/>
  <c r="G93" i="72"/>
  <c r="H94" i="72" s="1"/>
  <c r="E30" i="72" l="1"/>
  <c r="F30" i="72" s="1"/>
  <c r="G125" i="72"/>
  <c r="E125" i="72" s="1"/>
  <c r="F125" i="72" s="1"/>
  <c r="AL125" i="72" s="1"/>
  <c r="E93" i="72"/>
  <c r="F93" i="72" s="1"/>
  <c r="G94" i="72" s="1"/>
  <c r="E94" i="72" s="1"/>
  <c r="F94" i="72" s="1"/>
  <c r="AL94" i="72" s="1"/>
  <c r="AL127" i="72" l="1"/>
  <c r="G31" i="72"/>
  <c r="H32" i="72" s="1"/>
  <c r="E31" i="72" l="1"/>
  <c r="F31" i="72" s="1"/>
  <c r="G32" i="72" s="1"/>
  <c r="E32" i="72" l="1"/>
  <c r="F32" i="72" s="1"/>
  <c r="D27" i="26" s="1" a="1"/>
  <c r="D27" i="26" s="1"/>
  <c r="H26" i="26" l="1" a="1"/>
  <c r="H26" i="26" s="1"/>
  <c r="I210" i="35" s="1"/>
  <c r="E28" i="26" a="1"/>
  <c r="E28" i="26" s="1"/>
  <c r="I191" i="35" s="1"/>
  <c r="J35" i="37" s="1"/>
  <c r="G29" i="26" a="1"/>
  <c r="G29" i="26" s="1"/>
  <c r="H213" i="35" s="1"/>
  <c r="D26" i="26" a="1"/>
  <c r="D26" i="26" s="1"/>
  <c r="H189" i="35" s="1"/>
  <c r="I28" i="37" s="1"/>
  <c r="D41" i="26" a="1"/>
  <c r="D41" i="26" s="1"/>
  <c r="H204" i="35" s="1"/>
  <c r="I89" i="37" s="1"/>
  <c r="F32" i="26" a="1"/>
  <c r="F32" i="26" s="1"/>
  <c r="G216" i="35" s="1"/>
  <c r="H53" i="58" s="1"/>
  <c r="H53" i="41" s="1"/>
  <c r="G27" i="26" a="1"/>
  <c r="G27" i="26" s="1"/>
  <c r="G33" i="26" a="1"/>
  <c r="G33" i="26" s="1"/>
  <c r="H217" i="35" s="1"/>
  <c r="D30" i="26" a="1"/>
  <c r="D30" i="26" s="1"/>
  <c r="H193" i="35" s="1"/>
  <c r="I46" i="37" s="1"/>
  <c r="H38" i="26" a="1"/>
  <c r="H38" i="26" s="1"/>
  <c r="I222" i="35" s="1"/>
  <c r="J75" i="58" s="1"/>
  <c r="G25" i="26" a="1"/>
  <c r="G25" i="26" s="1"/>
  <c r="H209" i="35" s="1"/>
  <c r="I26" i="58" s="1"/>
  <c r="H30" i="26" a="1"/>
  <c r="H30" i="26" s="1"/>
  <c r="I214" i="35" s="1"/>
  <c r="J46" i="58" s="1"/>
  <c r="E38" i="26" a="1"/>
  <c r="E38" i="26" s="1"/>
  <c r="I201" i="35" s="1"/>
  <c r="J78" i="37" s="1"/>
  <c r="E34" i="26" a="1"/>
  <c r="E34" i="26" s="1"/>
  <c r="I197" i="35" s="1"/>
  <c r="J60" i="37" s="1"/>
  <c r="E27" i="26" a="1"/>
  <c r="E27" i="26" s="1"/>
  <c r="G32" i="26" a="1"/>
  <c r="G32" i="26" s="1"/>
  <c r="H216" i="35" s="1"/>
  <c r="I53" i="58" s="1"/>
  <c r="E33" i="26" a="1"/>
  <c r="E33" i="26" s="1"/>
  <c r="I196" i="35" s="1"/>
  <c r="J58" i="37" s="1"/>
  <c r="E23" i="26" a="1"/>
  <c r="E23" i="26" s="1"/>
  <c r="I186" i="35" s="1"/>
  <c r="F33" i="26" a="1"/>
  <c r="F33" i="26" s="1"/>
  <c r="G217" i="35" s="1"/>
  <c r="H57" i="58" s="1"/>
  <c r="H57" i="41" s="1"/>
  <c r="F35" i="26" a="1"/>
  <c r="F35" i="26" s="1"/>
  <c r="E36" i="26" a="1"/>
  <c r="E36" i="26" s="1"/>
  <c r="I199" i="35" s="1"/>
  <c r="J70" i="37" s="1"/>
  <c r="E29" i="26" a="1"/>
  <c r="E29" i="26" s="1"/>
  <c r="I192" i="35" s="1"/>
  <c r="J40" i="37" s="1"/>
  <c r="G41" i="26" a="1"/>
  <c r="G41" i="26" s="1"/>
  <c r="H225" i="35" s="1"/>
  <c r="I87" i="58" s="1"/>
  <c r="D33" i="26" a="1"/>
  <c r="D33" i="26" s="1"/>
  <c r="H196" i="35" s="1"/>
  <c r="I57" i="37" s="1"/>
  <c r="H28" i="26" a="1"/>
  <c r="H28" i="26" s="1"/>
  <c r="I212" i="35" s="1"/>
  <c r="J36" i="58" s="1"/>
  <c r="F25" i="26" a="1"/>
  <c r="F25" i="26" s="1"/>
  <c r="G209" i="35" s="1"/>
  <c r="H23" i="58" s="1"/>
  <c r="H23" i="41" s="1"/>
  <c r="G28" i="26" a="1"/>
  <c r="G28" i="26" s="1"/>
  <c r="H212" i="35" s="1"/>
  <c r="I37" i="58" s="1"/>
  <c r="D37" i="26" a="1"/>
  <c r="D37" i="26" s="1"/>
  <c r="H200" i="35" s="1"/>
  <c r="I71" i="37" s="1"/>
  <c r="F23" i="26" a="1"/>
  <c r="F23" i="26" s="1"/>
  <c r="G207" i="35" s="1"/>
  <c r="F24" i="26" a="1"/>
  <c r="F24" i="26" s="1"/>
  <c r="G208" i="35" s="1"/>
  <c r="H21" i="58" s="1"/>
  <c r="H21" i="41" s="1"/>
  <c r="D31" i="26" a="1"/>
  <c r="D31" i="26" s="1"/>
  <c r="H194" i="35" s="1"/>
  <c r="D24" i="26" a="1"/>
  <c r="D24" i="26" s="1"/>
  <c r="H187" i="35" s="1"/>
  <c r="I19" i="37" s="1"/>
  <c r="D35" i="26" a="1"/>
  <c r="D35" i="26" s="1"/>
  <c r="H198" i="35" s="1"/>
  <c r="G31" i="26" a="1"/>
  <c r="G31" i="26" s="1"/>
  <c r="H215" i="35" s="1"/>
  <c r="H24" i="26" a="1"/>
  <c r="H24" i="26" s="1"/>
  <c r="I208" i="35" s="1"/>
  <c r="J21" i="58" s="1"/>
  <c r="G37" i="26" a="1"/>
  <c r="G37" i="26" s="1"/>
  <c r="H221" i="35" s="1"/>
  <c r="I74" i="58" s="1"/>
  <c r="H37" i="26" a="1"/>
  <c r="H37" i="26" s="1"/>
  <c r="I221" i="35" s="1"/>
  <c r="J73" i="58" s="1"/>
  <c r="G35" i="26" a="1"/>
  <c r="G35" i="26" s="1"/>
  <c r="H219" i="35" s="1"/>
  <c r="G38" i="26" a="1"/>
  <c r="G38" i="26" s="1"/>
  <c r="H222" i="35" s="1"/>
  <c r="I76" i="58" s="1"/>
  <c r="D25" i="26" a="1"/>
  <c r="D25" i="26" s="1"/>
  <c r="H188" i="35" s="1"/>
  <c r="I24" i="37" s="1"/>
  <c r="H39" i="26" a="1"/>
  <c r="H39" i="26" s="1"/>
  <c r="I223" i="35" s="1"/>
  <c r="F34" i="26" a="1"/>
  <c r="F34" i="26" s="1"/>
  <c r="G218" i="35" s="1"/>
  <c r="H62" i="58" s="1"/>
  <c r="H62" i="41" s="1"/>
  <c r="E40" i="26" a="1"/>
  <c r="E40" i="26" s="1"/>
  <c r="I203" i="35" s="1"/>
  <c r="J83" i="37" s="1"/>
  <c r="E31" i="26" a="1"/>
  <c r="E31" i="26" s="1"/>
  <c r="I194" i="35" s="1"/>
  <c r="E25" i="26" a="1"/>
  <c r="E25" i="26" s="1"/>
  <c r="I188" i="35" s="1"/>
  <c r="J25" i="37" s="1"/>
  <c r="D38" i="26" a="1"/>
  <c r="D38" i="26" s="1"/>
  <c r="H201" i="35" s="1"/>
  <c r="I75" i="37" s="1"/>
  <c r="I40" i="58"/>
  <c r="I41" i="58"/>
  <c r="I42" i="58"/>
  <c r="I39" i="58"/>
  <c r="G219" i="35"/>
  <c r="J27" i="58"/>
  <c r="J29" i="58"/>
  <c r="J30" i="58"/>
  <c r="J28" i="58"/>
  <c r="J69" i="37"/>
  <c r="H211" i="35"/>
  <c r="I190" i="35"/>
  <c r="I55" i="58"/>
  <c r="I56" i="58"/>
  <c r="I58" i="58"/>
  <c r="I57" i="58"/>
  <c r="J38" i="37"/>
  <c r="I44" i="37"/>
  <c r="I45" i="37"/>
  <c r="I43" i="37"/>
  <c r="AL32" i="72"/>
  <c r="E42" i="26" a="1"/>
  <c r="E42" i="26" s="1"/>
  <c r="I205" i="35" s="1"/>
  <c r="G36" i="26" a="1"/>
  <c r="G36" i="26" s="1"/>
  <c r="H220" i="35" s="1"/>
  <c r="F27" i="26" a="1"/>
  <c r="F27" i="26" s="1"/>
  <c r="G30" i="26" a="1"/>
  <c r="G30" i="26" s="1"/>
  <c r="H214" i="35" s="1"/>
  <c r="D34" i="26" a="1"/>
  <c r="D34" i="26" s="1"/>
  <c r="H197" i="35" s="1"/>
  <c r="E35" i="26" a="1"/>
  <c r="E35" i="26" s="1"/>
  <c r="G40" i="26" a="1"/>
  <c r="G40" i="26" s="1"/>
  <c r="H224" i="35" s="1"/>
  <c r="F42" i="26" a="1"/>
  <c r="F42" i="26" s="1"/>
  <c r="G226" i="35" s="1"/>
  <c r="D29" i="26" a="1"/>
  <c r="D29" i="26" s="1"/>
  <c r="H192" i="35" s="1"/>
  <c r="D42" i="26" a="1"/>
  <c r="D42" i="26" s="1"/>
  <c r="H205" i="35" s="1"/>
  <c r="E32" i="26" a="1"/>
  <c r="E32" i="26" s="1"/>
  <c r="I195" i="35" s="1"/>
  <c r="E24" i="26" a="1"/>
  <c r="E24" i="26" s="1"/>
  <c r="I187" i="35" s="1"/>
  <c r="H34" i="26" a="1"/>
  <c r="H34" i="26" s="1"/>
  <c r="I218" i="35" s="1"/>
  <c r="D40" i="26" a="1"/>
  <c r="D40" i="26" s="1"/>
  <c r="H203" i="35" s="1"/>
  <c r="G26" i="26" a="1"/>
  <c r="G26" i="26" s="1"/>
  <c r="H210" i="35" s="1"/>
  <c r="D23" i="26" a="1"/>
  <c r="D23" i="26" s="1"/>
  <c r="H35" i="26" a="1"/>
  <c r="H35" i="26" s="1"/>
  <c r="F29" i="26" a="1"/>
  <c r="F29" i="26" s="1"/>
  <c r="G213" i="35" s="1"/>
  <c r="E39" i="26" a="1"/>
  <c r="E39" i="26" s="1"/>
  <c r="G34" i="26" a="1"/>
  <c r="G34" i="26" s="1"/>
  <c r="H218" i="35" s="1"/>
  <c r="H36" i="26" a="1"/>
  <c r="H36" i="26" s="1"/>
  <c r="I220" i="35" s="1"/>
  <c r="G23" i="26" a="1"/>
  <c r="G23" i="26" s="1"/>
  <c r="F26" i="26" a="1"/>
  <c r="F26" i="26" s="1"/>
  <c r="G210" i="35" s="1"/>
  <c r="H29" i="26" a="1"/>
  <c r="H29" i="26" s="1"/>
  <c r="I213" i="35" s="1"/>
  <c r="G24" i="26" a="1"/>
  <c r="G24" i="26" s="1"/>
  <c r="H208" i="35" s="1"/>
  <c r="F37" i="26" a="1"/>
  <c r="F37" i="26" s="1"/>
  <c r="G221" i="35" s="1"/>
  <c r="F39" i="26" a="1"/>
  <c r="F39" i="26" s="1"/>
  <c r="E37" i="26" a="1"/>
  <c r="E37" i="26" s="1"/>
  <c r="I200" i="35" s="1"/>
  <c r="H32" i="26" a="1"/>
  <c r="H32" i="26" s="1"/>
  <c r="I216" i="35" s="1"/>
  <c r="E41" i="26" a="1"/>
  <c r="E41" i="26" s="1"/>
  <c r="I204" i="35" s="1"/>
  <c r="H33" i="26" a="1"/>
  <c r="H33" i="26" s="1"/>
  <c r="I217" i="35" s="1"/>
  <c r="H41" i="26" a="1"/>
  <c r="H41" i="26" s="1"/>
  <c r="I225" i="35" s="1"/>
  <c r="H23" i="26" a="1"/>
  <c r="H23" i="26" s="1"/>
  <c r="F31" i="26" a="1"/>
  <c r="F31" i="26" s="1"/>
  <c r="H25" i="26" a="1"/>
  <c r="H25" i="26" s="1"/>
  <c r="I209" i="35" s="1"/>
  <c r="H40" i="26" a="1"/>
  <c r="H40" i="26" s="1"/>
  <c r="I224" i="35" s="1"/>
  <c r="G42" i="26" a="1"/>
  <c r="G42" i="26" s="1"/>
  <c r="H226" i="35" s="1"/>
  <c r="F30" i="26" a="1"/>
  <c r="F30" i="26" s="1"/>
  <c r="G214" i="35" s="1"/>
  <c r="E30" i="26" a="1"/>
  <c r="E30" i="26" s="1"/>
  <c r="I193" i="35" s="1"/>
  <c r="G39" i="26" a="1"/>
  <c r="G39" i="26" s="1"/>
  <c r="D32" i="26" a="1"/>
  <c r="D32" i="26" s="1"/>
  <c r="H195" i="35" s="1"/>
  <c r="H27" i="26" a="1"/>
  <c r="H27" i="26" s="1"/>
  <c r="F41" i="26" a="1"/>
  <c r="F41" i="26" s="1"/>
  <c r="G225" i="35" s="1"/>
  <c r="D28" i="26" a="1"/>
  <c r="D28" i="26" s="1"/>
  <c r="H191" i="35" s="1"/>
  <c r="D39" i="26" a="1"/>
  <c r="D39" i="26" s="1"/>
  <c r="F40" i="26" a="1"/>
  <c r="F40" i="26" s="1"/>
  <c r="G224" i="35" s="1"/>
  <c r="F38" i="26" a="1"/>
  <c r="F38" i="26" s="1"/>
  <c r="G222" i="35" s="1"/>
  <c r="H31" i="26" a="1"/>
  <c r="H31" i="26" s="1"/>
  <c r="D36" i="26" a="1"/>
  <c r="D36" i="26" s="1"/>
  <c r="H199" i="35" s="1"/>
  <c r="H42" i="26" a="1"/>
  <c r="H42" i="26" s="1"/>
  <c r="I226" i="35" s="1"/>
  <c r="F36" i="26" a="1"/>
  <c r="F36" i="26" s="1"/>
  <c r="G220" i="35" s="1"/>
  <c r="F28" i="26" a="1"/>
  <c r="F28" i="26" s="1"/>
  <c r="G212" i="35" s="1"/>
  <c r="E26" i="26" a="1"/>
  <c r="E26" i="26" s="1"/>
  <c r="I189" i="35" s="1"/>
  <c r="I51" i="58"/>
  <c r="H190" i="35"/>
  <c r="J67" i="37" l="1"/>
  <c r="J68" i="37"/>
  <c r="J37" i="37"/>
  <c r="J36" i="37"/>
  <c r="J61" i="37"/>
  <c r="J62" i="37"/>
  <c r="J59" i="37"/>
  <c r="I88" i="37"/>
  <c r="I87" i="37"/>
  <c r="I87" i="41" s="1"/>
  <c r="I90" i="37"/>
  <c r="J55" i="37"/>
  <c r="J57" i="37"/>
  <c r="J56" i="37"/>
  <c r="I38" i="58"/>
  <c r="I89" i="58"/>
  <c r="J41" i="37"/>
  <c r="J76" i="58"/>
  <c r="J42" i="37"/>
  <c r="J77" i="58"/>
  <c r="I90" i="58"/>
  <c r="I88" i="58"/>
  <c r="J78" i="58"/>
  <c r="J78" i="41" s="1"/>
  <c r="J39" i="37"/>
  <c r="I23" i="58"/>
  <c r="I24" i="58"/>
  <c r="I24" i="41" s="1"/>
  <c r="I25" i="58"/>
  <c r="J44" i="58"/>
  <c r="I58" i="37"/>
  <c r="I58" i="41" s="1"/>
  <c r="I55" i="37"/>
  <c r="I55" i="41" s="1"/>
  <c r="J45" i="58"/>
  <c r="J43" i="58"/>
  <c r="I56" i="37"/>
  <c r="I56" i="41" s="1"/>
  <c r="I30" i="37"/>
  <c r="I29" i="37"/>
  <c r="I52" i="58"/>
  <c r="I27" i="37"/>
  <c r="I54" i="58"/>
  <c r="I72" i="37"/>
  <c r="J20" i="58"/>
  <c r="I36" i="58"/>
  <c r="I35" i="58"/>
  <c r="H20" i="58"/>
  <c r="H20" i="41" s="1"/>
  <c r="H51" i="58"/>
  <c r="H51" i="41" s="1"/>
  <c r="H52" i="58"/>
  <c r="H52" i="41" s="1"/>
  <c r="H54" i="58"/>
  <c r="H54" i="41" s="1"/>
  <c r="H19" i="58"/>
  <c r="H19" i="41" s="1"/>
  <c r="H22" i="58"/>
  <c r="H22" i="41" s="1"/>
  <c r="H56" i="58"/>
  <c r="H56" i="41" s="1"/>
  <c r="H58" i="58"/>
  <c r="H58" i="41" s="1"/>
  <c r="H55" i="58"/>
  <c r="H55" i="41" s="1"/>
  <c r="J77" i="37"/>
  <c r="I74" i="37"/>
  <c r="I74" i="41" s="1"/>
  <c r="I73" i="37"/>
  <c r="J76" i="37"/>
  <c r="J75" i="37"/>
  <c r="J75" i="41" s="1"/>
  <c r="J19" i="58"/>
  <c r="I20" i="37"/>
  <c r="I22" i="37"/>
  <c r="I21" i="37"/>
  <c r="J71" i="58"/>
  <c r="J72" i="58"/>
  <c r="J35" i="58"/>
  <c r="J35" i="41" s="1"/>
  <c r="J38" i="58"/>
  <c r="J38" i="41" s="1"/>
  <c r="J37" i="58"/>
  <c r="J37" i="41" s="1"/>
  <c r="I78" i="58"/>
  <c r="J22" i="58"/>
  <c r="H26" i="58"/>
  <c r="H26" i="41" s="1"/>
  <c r="H25" i="58"/>
  <c r="H25" i="41" s="1"/>
  <c r="H24" i="58"/>
  <c r="H24" i="41" s="1"/>
  <c r="J74" i="58"/>
  <c r="I77" i="58"/>
  <c r="I25" i="37"/>
  <c r="I71" i="58"/>
  <c r="I71" i="41" s="1"/>
  <c r="I75" i="58"/>
  <c r="I75" i="41" s="1"/>
  <c r="I73" i="58"/>
  <c r="I72" i="58"/>
  <c r="I77" i="37"/>
  <c r="I78" i="37"/>
  <c r="J26" i="37"/>
  <c r="J24" i="37"/>
  <c r="J86" i="37"/>
  <c r="I23" i="37"/>
  <c r="J84" i="37"/>
  <c r="I26" i="37"/>
  <c r="I26" i="41" s="1"/>
  <c r="I76" i="37"/>
  <c r="I76" i="41" s="1"/>
  <c r="J23" i="37"/>
  <c r="C51" i="26"/>
  <c r="J85" i="37"/>
  <c r="H61" i="58"/>
  <c r="H61" i="41" s="1"/>
  <c r="H60" i="58"/>
  <c r="H60" i="41" s="1"/>
  <c r="H59" i="58"/>
  <c r="H59" i="41" s="1"/>
  <c r="C52" i="26"/>
  <c r="J36" i="41"/>
  <c r="H69" i="58"/>
  <c r="H69" i="41" s="1"/>
  <c r="H70" i="58"/>
  <c r="H70" i="41" s="1"/>
  <c r="H67" i="58"/>
  <c r="H67" i="41" s="1"/>
  <c r="H68" i="58"/>
  <c r="H68" i="41" s="1"/>
  <c r="J45" i="37"/>
  <c r="J46" i="37"/>
  <c r="J46" i="41" s="1"/>
  <c r="J44" i="37"/>
  <c r="J43" i="37"/>
  <c r="J43" i="41" s="1"/>
  <c r="G223" i="35"/>
  <c r="E54" i="26"/>
  <c r="H54" i="26" s="1"/>
  <c r="I28" i="58"/>
  <c r="I28" i="41" s="1"/>
  <c r="I27" i="58"/>
  <c r="I29" i="58"/>
  <c r="I30" i="58"/>
  <c r="G211" i="35"/>
  <c r="E51" i="26"/>
  <c r="H51" i="26" s="1"/>
  <c r="H71" i="58"/>
  <c r="H71" i="41" s="1"/>
  <c r="H74" i="58"/>
  <c r="H74" i="41" s="1"/>
  <c r="H73" i="58"/>
  <c r="H73" i="41" s="1"/>
  <c r="H72" i="58"/>
  <c r="H72" i="41" s="1"/>
  <c r="I83" i="37"/>
  <c r="I85" i="37"/>
  <c r="I84" i="37"/>
  <c r="I86" i="37"/>
  <c r="I68" i="58"/>
  <c r="I67" i="58"/>
  <c r="I70" i="58"/>
  <c r="I69" i="58"/>
  <c r="I94" i="58"/>
  <c r="I93" i="58"/>
  <c r="I92" i="58"/>
  <c r="I91" i="58"/>
  <c r="I21" i="58"/>
  <c r="I20" i="58"/>
  <c r="I22" i="58"/>
  <c r="I19" i="58"/>
  <c r="I19" i="41" s="1"/>
  <c r="J62" i="58"/>
  <c r="J60" i="58"/>
  <c r="J60" i="41" s="1"/>
  <c r="J59" i="58"/>
  <c r="J59" i="41" s="1"/>
  <c r="J61" i="58"/>
  <c r="J61" i="41" s="1"/>
  <c r="J91" i="37"/>
  <c r="J94" i="37"/>
  <c r="J93" i="37"/>
  <c r="J92" i="37"/>
  <c r="G54" i="26"/>
  <c r="I68" i="37"/>
  <c r="I69" i="37"/>
  <c r="I67" i="37"/>
  <c r="I70" i="37"/>
  <c r="I215" i="35"/>
  <c r="G52" i="26"/>
  <c r="J86" i="58"/>
  <c r="J85" i="58"/>
  <c r="J84" i="58"/>
  <c r="J83" i="58"/>
  <c r="J83" i="41" s="1"/>
  <c r="J41" i="58"/>
  <c r="J40" i="58"/>
  <c r="J40" i="41" s="1"/>
  <c r="J42" i="58"/>
  <c r="J39" i="58"/>
  <c r="J21" i="37"/>
  <c r="J21" i="41" s="1"/>
  <c r="J19" i="37"/>
  <c r="J22" i="37"/>
  <c r="J20" i="37"/>
  <c r="J81" i="58"/>
  <c r="J82" i="58"/>
  <c r="J79" i="58"/>
  <c r="J80" i="58"/>
  <c r="I34" i="37"/>
  <c r="I32" i="37"/>
  <c r="I31" i="37"/>
  <c r="I33" i="37"/>
  <c r="H77" i="58"/>
  <c r="H77" i="41" s="1"/>
  <c r="H76" i="58"/>
  <c r="H76" i="41" s="1"/>
  <c r="H78" i="58"/>
  <c r="H78" i="41" s="1"/>
  <c r="H75" i="58"/>
  <c r="H75" i="41" s="1"/>
  <c r="J25" i="58"/>
  <c r="J25" i="41" s="1"/>
  <c r="J26" i="58"/>
  <c r="J24" i="58"/>
  <c r="J23" i="58"/>
  <c r="H27" i="58"/>
  <c r="H27" i="41" s="1"/>
  <c r="H30" i="58"/>
  <c r="H30" i="41" s="1"/>
  <c r="H28" i="58"/>
  <c r="H28" i="41" s="1"/>
  <c r="H29" i="58"/>
  <c r="H29" i="41" s="1"/>
  <c r="J51" i="37"/>
  <c r="J53" i="37"/>
  <c r="J52" i="37"/>
  <c r="J54" i="37"/>
  <c r="H45" i="58"/>
  <c r="H45" i="41" s="1"/>
  <c r="H46" i="58"/>
  <c r="H46" i="41" s="1"/>
  <c r="H44" i="58"/>
  <c r="H44" i="41" s="1"/>
  <c r="H43" i="58"/>
  <c r="H43" i="41" s="1"/>
  <c r="H83" i="58"/>
  <c r="H83" i="41" s="1"/>
  <c r="H85" i="58"/>
  <c r="H85" i="41" s="1"/>
  <c r="H84" i="58"/>
  <c r="H84" i="41" s="1"/>
  <c r="H86" i="58"/>
  <c r="H86" i="41" s="1"/>
  <c r="G215" i="35"/>
  <c r="E52" i="26"/>
  <c r="H52" i="26" s="1"/>
  <c r="H207" i="35"/>
  <c r="F50" i="26"/>
  <c r="I92" i="37"/>
  <c r="I91" i="37"/>
  <c r="I93" i="37"/>
  <c r="I94" i="37"/>
  <c r="J94" i="58"/>
  <c r="J93" i="58"/>
  <c r="J91" i="58"/>
  <c r="J92" i="58"/>
  <c r="C54" i="26"/>
  <c r="H202" i="35"/>
  <c r="G50" i="26"/>
  <c r="I207" i="35"/>
  <c r="J68" i="58"/>
  <c r="J68" i="41" s="1"/>
  <c r="J70" i="58"/>
  <c r="J70" i="41" s="1"/>
  <c r="J67" i="58"/>
  <c r="J67" i="41" s="1"/>
  <c r="J69" i="58"/>
  <c r="J69" i="41" s="1"/>
  <c r="I39" i="37"/>
  <c r="I39" i="41" s="1"/>
  <c r="I42" i="37"/>
  <c r="I42" i="41" s="1"/>
  <c r="I41" i="37"/>
  <c r="I41" i="41" s="1"/>
  <c r="I40" i="37"/>
  <c r="I40" i="41" s="1"/>
  <c r="D51" i="26"/>
  <c r="I57" i="41"/>
  <c r="I49" i="37"/>
  <c r="I48" i="37"/>
  <c r="I47" i="37"/>
  <c r="I50" i="37"/>
  <c r="I35" i="37"/>
  <c r="I37" i="37"/>
  <c r="I37" i="41" s="1"/>
  <c r="I38" i="37"/>
  <c r="I36" i="37"/>
  <c r="J89" i="58"/>
  <c r="J88" i="58"/>
  <c r="J90" i="58"/>
  <c r="J87" i="58"/>
  <c r="I60" i="58"/>
  <c r="I62" i="58"/>
  <c r="I59" i="58"/>
  <c r="I61" i="58"/>
  <c r="H92" i="58"/>
  <c r="H92" i="41" s="1"/>
  <c r="H93" i="58"/>
  <c r="H93" i="41" s="1"/>
  <c r="H94" i="58"/>
  <c r="H94" i="41" s="1"/>
  <c r="H91" i="58"/>
  <c r="H91" i="41" s="1"/>
  <c r="J32" i="37"/>
  <c r="J31" i="37"/>
  <c r="J33" i="37"/>
  <c r="J34" i="37"/>
  <c r="H89" i="58"/>
  <c r="H89" i="41" s="1"/>
  <c r="H90" i="58"/>
  <c r="H90" i="41" s="1"/>
  <c r="H87" i="58"/>
  <c r="H87" i="41" s="1"/>
  <c r="H88" i="58"/>
  <c r="H88" i="41" s="1"/>
  <c r="J57" i="58"/>
  <c r="J56" i="58"/>
  <c r="J58" i="58"/>
  <c r="J58" i="41" s="1"/>
  <c r="J55" i="58"/>
  <c r="I202" i="35"/>
  <c r="D54" i="26"/>
  <c r="I83" i="58"/>
  <c r="I86" i="58"/>
  <c r="I85" i="58"/>
  <c r="I84" i="58"/>
  <c r="F52" i="26"/>
  <c r="H17" i="58"/>
  <c r="H16" i="58"/>
  <c r="H15" i="58"/>
  <c r="H18" i="58"/>
  <c r="H18" i="41" s="1"/>
  <c r="J18" i="37"/>
  <c r="J17" i="37"/>
  <c r="J16" i="37"/>
  <c r="J15" i="37"/>
  <c r="F51" i="26"/>
  <c r="F53" i="26"/>
  <c r="I211" i="35"/>
  <c r="G51" i="26"/>
  <c r="J89" i="37"/>
  <c r="J88" i="37"/>
  <c r="J87" i="37"/>
  <c r="J90" i="37"/>
  <c r="H41" i="58"/>
  <c r="H41" i="41" s="1"/>
  <c r="H40" i="58"/>
  <c r="H40" i="41" s="1"/>
  <c r="H42" i="58"/>
  <c r="H42" i="41" s="1"/>
  <c r="H39" i="58"/>
  <c r="H39" i="41" s="1"/>
  <c r="D53" i="26"/>
  <c r="I198" i="35"/>
  <c r="I47" i="58"/>
  <c r="I50" i="58"/>
  <c r="I48" i="58"/>
  <c r="I49" i="58"/>
  <c r="E50" i="26"/>
  <c r="H50" i="26" s="1"/>
  <c r="D50" i="26"/>
  <c r="I34" i="58"/>
  <c r="I33" i="58"/>
  <c r="I32" i="58"/>
  <c r="I31" i="58"/>
  <c r="I64" i="58"/>
  <c r="I63" i="58"/>
  <c r="I65" i="58"/>
  <c r="I66" i="58"/>
  <c r="I89" i="41"/>
  <c r="J29" i="37"/>
  <c r="J29" i="41" s="1"/>
  <c r="J28" i="37"/>
  <c r="J28" i="41" s="1"/>
  <c r="J27" i="37"/>
  <c r="J27" i="41" s="1"/>
  <c r="J30" i="37"/>
  <c r="J30" i="41" s="1"/>
  <c r="I53" i="37"/>
  <c r="I53" i="41" s="1"/>
  <c r="I52" i="37"/>
  <c r="I51" i="37"/>
  <c r="I51" i="41" s="1"/>
  <c r="I54" i="37"/>
  <c r="J51" i="58"/>
  <c r="J53" i="58"/>
  <c r="J54" i="58"/>
  <c r="J52" i="58"/>
  <c r="I219" i="35"/>
  <c r="G53" i="26"/>
  <c r="I62" i="37"/>
  <c r="I60" i="37"/>
  <c r="I61" i="37"/>
  <c r="I59" i="37"/>
  <c r="C53" i="26"/>
  <c r="D52" i="26"/>
  <c r="E53" i="26"/>
  <c r="H53" i="26" s="1"/>
  <c r="H35" i="58"/>
  <c r="H35" i="41" s="1"/>
  <c r="H37" i="58"/>
  <c r="H37" i="41" s="1"/>
  <c r="H38" i="58"/>
  <c r="H38" i="41" s="1"/>
  <c r="H36" i="58"/>
  <c r="H36" i="41" s="1"/>
  <c r="H223" i="35"/>
  <c r="F54" i="26"/>
  <c r="J74" i="37"/>
  <c r="J71" i="37"/>
  <c r="J72" i="37"/>
  <c r="J73" i="37"/>
  <c r="J73" i="41" s="1"/>
  <c r="H186" i="35"/>
  <c r="C50" i="26"/>
  <c r="I43" i="58"/>
  <c r="I43" i="41" s="1"/>
  <c r="I46" i="58"/>
  <c r="I46" i="41" s="1"/>
  <c r="I44" i="58"/>
  <c r="I44" i="41" s="1"/>
  <c r="I45" i="58"/>
  <c r="I45" i="41" s="1"/>
  <c r="I65" i="37"/>
  <c r="I64" i="37"/>
  <c r="I63" i="37"/>
  <c r="I66" i="37"/>
  <c r="J50" i="37"/>
  <c r="J49" i="37"/>
  <c r="J47" i="37"/>
  <c r="J48" i="37"/>
  <c r="H63" i="58"/>
  <c r="H63" i="41" s="1"/>
  <c r="H66" i="58"/>
  <c r="H66" i="41" s="1"/>
  <c r="H65" i="58"/>
  <c r="H65" i="41" s="1"/>
  <c r="H64" i="58"/>
  <c r="H64" i="41" s="1"/>
  <c r="J62" i="41" l="1"/>
  <c r="I38" i="41"/>
  <c r="J56" i="41"/>
  <c r="I88" i="41"/>
  <c r="J39" i="41"/>
  <c r="I52" i="41"/>
  <c r="J55" i="41"/>
  <c r="J57" i="41"/>
  <c r="J45" i="41"/>
  <c r="I27" i="41"/>
  <c r="I23" i="41"/>
  <c r="J71" i="41"/>
  <c r="J42" i="41"/>
  <c r="I77" i="41"/>
  <c r="I90" i="41"/>
  <c r="I30" i="41"/>
  <c r="I36" i="41"/>
  <c r="J41" i="41"/>
  <c r="J77" i="41"/>
  <c r="J20" i="41"/>
  <c r="J44" i="41"/>
  <c r="I29" i="41"/>
  <c r="I25" i="41"/>
  <c r="I35" i="41"/>
  <c r="J76" i="41"/>
  <c r="I73" i="41"/>
  <c r="I54" i="41"/>
  <c r="I72" i="41"/>
  <c r="J19" i="41"/>
  <c r="I91" i="41"/>
  <c r="I92" i="41"/>
  <c r="I61" i="41"/>
  <c r="J23" i="41"/>
  <c r="I93" i="41"/>
  <c r="I51" i="26"/>
  <c r="I22" i="41"/>
  <c r="I20" i="41"/>
  <c r="J24" i="41"/>
  <c r="J86" i="41"/>
  <c r="I53" i="26"/>
  <c r="I52" i="26"/>
  <c r="J74" i="41"/>
  <c r="I21" i="41"/>
  <c r="J84" i="41"/>
  <c r="J72" i="41"/>
  <c r="I60" i="41"/>
  <c r="J22" i="41"/>
  <c r="J88" i="41"/>
  <c r="I94" i="41"/>
  <c r="I78" i="41"/>
  <c r="J50" i="26"/>
  <c r="J26" i="41"/>
  <c r="I69" i="41"/>
  <c r="I67" i="41"/>
  <c r="J85" i="41"/>
  <c r="J90" i="41"/>
  <c r="J54" i="26"/>
  <c r="J89" i="41"/>
  <c r="J52" i="26"/>
  <c r="I70" i="41"/>
  <c r="I66" i="41"/>
  <c r="I68" i="41"/>
  <c r="J87" i="41"/>
  <c r="I47" i="41"/>
  <c r="I64" i="41"/>
  <c r="I32" i="41"/>
  <c r="I63" i="41"/>
  <c r="I50" i="41"/>
  <c r="I31" i="41"/>
  <c r="I65" i="41"/>
  <c r="J34" i="58"/>
  <c r="J34" i="41" s="1"/>
  <c r="J31" i="58"/>
  <c r="J31" i="41" s="1"/>
  <c r="J32" i="58"/>
  <c r="J32" i="41" s="1"/>
  <c r="J33" i="58"/>
  <c r="J33" i="41" s="1"/>
  <c r="H16" i="41"/>
  <c r="I48" i="41"/>
  <c r="I15" i="58"/>
  <c r="I18" i="58"/>
  <c r="I17" i="58"/>
  <c r="I16" i="58"/>
  <c r="I34" i="41"/>
  <c r="I80" i="58"/>
  <c r="I81" i="58"/>
  <c r="I82" i="58"/>
  <c r="I79" i="58"/>
  <c r="J65" i="37"/>
  <c r="J66" i="37"/>
  <c r="J63" i="37"/>
  <c r="J64" i="37"/>
  <c r="H17" i="41"/>
  <c r="I49" i="41"/>
  <c r="H82" i="58"/>
  <c r="H82" i="41" s="1"/>
  <c r="H80" i="58"/>
  <c r="H80" i="41" s="1"/>
  <c r="H81" i="58"/>
  <c r="H81" i="41" s="1"/>
  <c r="H79" i="58"/>
  <c r="H79" i="41" s="1"/>
  <c r="I59" i="41"/>
  <c r="J53" i="26"/>
  <c r="H49" i="58"/>
  <c r="H49" i="41" s="1"/>
  <c r="H47" i="58"/>
  <c r="H47" i="41" s="1"/>
  <c r="H48" i="58"/>
  <c r="H48" i="41" s="1"/>
  <c r="H50" i="58"/>
  <c r="H50" i="41" s="1"/>
  <c r="H15" i="41"/>
  <c r="J54" i="41"/>
  <c r="J92" i="41"/>
  <c r="I62" i="41"/>
  <c r="J18" i="58"/>
  <c r="J18" i="41" s="1"/>
  <c r="J17" i="58"/>
  <c r="J17" i="41" s="1"/>
  <c r="J16" i="58"/>
  <c r="J15" i="58"/>
  <c r="J52" i="41"/>
  <c r="J93" i="41"/>
  <c r="I86" i="41"/>
  <c r="I50" i="26"/>
  <c r="J53" i="41"/>
  <c r="J94" i="41"/>
  <c r="I84" i="41"/>
  <c r="I15" i="37"/>
  <c r="I17" i="37"/>
  <c r="I16" i="37"/>
  <c r="I18" i="37"/>
  <c r="J63" i="58"/>
  <c r="J65" i="58"/>
  <c r="J64" i="58"/>
  <c r="J66" i="58"/>
  <c r="I81" i="37"/>
  <c r="I82" i="37"/>
  <c r="I80" i="37"/>
  <c r="I79" i="37"/>
  <c r="J51" i="41"/>
  <c r="J91" i="41"/>
  <c r="I85" i="41"/>
  <c r="H33" i="58"/>
  <c r="H33" i="41" s="1"/>
  <c r="H34" i="58"/>
  <c r="H34" i="41" s="1"/>
  <c r="H32" i="58"/>
  <c r="H32" i="41" s="1"/>
  <c r="H31" i="58"/>
  <c r="H31" i="41" s="1"/>
  <c r="J51" i="26"/>
  <c r="I54" i="26"/>
  <c r="J49" i="58"/>
  <c r="J49" i="41" s="1"/>
  <c r="J50" i="58"/>
  <c r="J50" i="41" s="1"/>
  <c r="J48" i="58"/>
  <c r="J48" i="41" s="1"/>
  <c r="J47" i="58"/>
  <c r="J47" i="41" s="1"/>
  <c r="I83" i="41"/>
  <c r="J80" i="37"/>
  <c r="J80" i="41" s="1"/>
  <c r="J82" i="37"/>
  <c r="J82" i="41" s="1"/>
  <c r="J81" i="37"/>
  <c r="J81" i="41" s="1"/>
  <c r="J79" i="37"/>
  <c r="J79" i="41" s="1"/>
  <c r="I33" i="41"/>
  <c r="I80" i="41" l="1"/>
  <c r="I18" i="41"/>
  <c r="I79" i="41"/>
  <c r="I81" i="41"/>
  <c r="I82" i="41"/>
  <c r="J66" i="41"/>
  <c r="J65" i="41"/>
  <c r="J63" i="41"/>
  <c r="I17" i="41"/>
  <c r="C18" i="63"/>
  <c r="I424" i="37"/>
  <c r="E17" i="53" s="1"/>
  <c r="F17" i="53" s="1"/>
  <c r="H23" i="53" s="1"/>
  <c r="I423" i="37"/>
  <c r="I15" i="41"/>
  <c r="I16" i="41"/>
  <c r="J423" i="58"/>
  <c r="J424" i="58"/>
  <c r="E35" i="53" s="1"/>
  <c r="F35" i="53" s="1"/>
  <c r="H29" i="53" s="1"/>
  <c r="C58" i="63"/>
  <c r="H424" i="58"/>
  <c r="C28" i="63"/>
  <c r="H423" i="58"/>
  <c r="J15" i="41"/>
  <c r="J16" i="41"/>
  <c r="J423" i="37"/>
  <c r="C38" i="63"/>
  <c r="C48" i="63"/>
  <c r="J424" i="37"/>
  <c r="E29" i="53" s="1"/>
  <c r="F29" i="53" s="1"/>
  <c r="J64" i="41"/>
  <c r="I423" i="58"/>
  <c r="I424" i="58"/>
  <c r="G242" i="66" s="1"/>
  <c r="G290" i="66" l="1"/>
  <c r="H35" i="53"/>
  <c r="G35" i="53" s="1"/>
  <c r="E341" i="38" s="1"/>
  <c r="G29" i="53"/>
  <c r="E329" i="38" s="1"/>
  <c r="J425" i="37"/>
  <c r="E335" i="38"/>
  <c r="N147" i="66" s="1"/>
  <c r="G147" i="66"/>
  <c r="J423" i="41"/>
  <c r="J425" i="58"/>
  <c r="G291" i="66"/>
  <c r="E347" i="38"/>
  <c r="N291" i="66" s="1"/>
  <c r="G98" i="66"/>
  <c r="E23" i="53"/>
  <c r="F23" i="53" s="1"/>
  <c r="E299" i="38"/>
  <c r="N195" i="66" s="1"/>
  <c r="N51" i="74" s="1"/>
  <c r="H425" i="58"/>
  <c r="H423" i="41"/>
  <c r="G195" i="66"/>
  <c r="I425" i="37"/>
  <c r="I423" i="41"/>
  <c r="G99" i="66"/>
  <c r="E311" i="38"/>
  <c r="N99" i="66" s="1"/>
  <c r="I424" i="41"/>
  <c r="I425" i="58"/>
  <c r="G243" i="66"/>
  <c r="E323" i="38"/>
  <c r="N243" i="66" s="1"/>
  <c r="H424" i="41"/>
  <c r="E11" i="53"/>
  <c r="F11" i="53" s="1"/>
  <c r="G194" i="66"/>
  <c r="G146" i="66"/>
  <c r="J424" i="41"/>
  <c r="N147" i="74" l="1"/>
  <c r="N99" i="74"/>
  <c r="O243" i="66"/>
  <c r="H17" i="53"/>
  <c r="G17" i="53" s="1"/>
  <c r="E305" i="38" s="1"/>
  <c r="G23" i="53"/>
  <c r="E317" i="38" s="1"/>
  <c r="O291" i="66"/>
  <c r="G98" i="74"/>
  <c r="C59" i="63"/>
  <c r="C49" i="63"/>
  <c r="G99" i="74"/>
  <c r="O99" i="66"/>
  <c r="C19" i="63"/>
  <c r="I425" i="41"/>
  <c r="G146" i="74"/>
  <c r="O195" i="66"/>
  <c r="G51" i="74"/>
  <c r="O147" i="66"/>
  <c r="G147" i="74"/>
  <c r="G50" i="74"/>
  <c r="G11" i="53"/>
  <c r="E293" i="38" s="1"/>
  <c r="H5" i="53"/>
  <c r="G5" i="53" s="1"/>
  <c r="E281" i="38" s="1"/>
  <c r="C32" i="63"/>
  <c r="C39" i="63"/>
  <c r="H425" i="41"/>
  <c r="M3" i="41" s="1"/>
  <c r="C29" i="63"/>
  <c r="J425" i="41"/>
  <c r="M146" i="66"/>
  <c r="J484" i="37"/>
  <c r="J484" i="58"/>
  <c r="M290" i="66"/>
  <c r="H484" i="37" l="1"/>
  <c r="M50" i="66"/>
  <c r="H484" i="58"/>
  <c r="M194" i="66"/>
  <c r="AA243" i="66"/>
  <c r="Z99" i="66"/>
  <c r="Z243" i="66"/>
  <c r="AA99" i="66"/>
  <c r="AC147" i="74"/>
  <c r="O147" i="74"/>
  <c r="Q146" i="66"/>
  <c r="M146" i="74"/>
  <c r="Q146" i="74" s="1"/>
  <c r="AA291" i="66"/>
  <c r="Z147" i="66"/>
  <c r="Z291" i="66"/>
  <c r="AA147" i="66"/>
  <c r="AC99" i="74"/>
  <c r="O99" i="74"/>
  <c r="O51" i="74"/>
  <c r="AC51" i="74"/>
  <c r="AA195" i="66"/>
  <c r="Z195" i="66"/>
  <c r="Z51" i="66"/>
  <c r="AA51" i="66"/>
  <c r="J484" i="41"/>
  <c r="O146" i="66"/>
  <c r="Q290" i="66"/>
  <c r="O290" i="66"/>
  <c r="I484" i="58"/>
  <c r="M242" i="66"/>
  <c r="I484" i="37"/>
  <c r="M98" i="66"/>
  <c r="I484" i="41" l="1"/>
  <c r="H484" i="41"/>
  <c r="Q242" i="66"/>
  <c r="O242" i="66"/>
  <c r="Z147" i="74"/>
  <c r="AA147" i="74"/>
  <c r="P290" i="66"/>
  <c r="Q98" i="66"/>
  <c r="M98" i="74"/>
  <c r="O98" i="66"/>
  <c r="AD147" i="74"/>
  <c r="AE147" i="74"/>
  <c r="AF147" i="74" s="1"/>
  <c r="AD51" i="74"/>
  <c r="AE51" i="74"/>
  <c r="AF51" i="74" s="1"/>
  <c r="Z51" i="74"/>
  <c r="AA51" i="74"/>
  <c r="AC146" i="74"/>
  <c r="Z99" i="74"/>
  <c r="AA99" i="74"/>
  <c r="O146" i="74"/>
  <c r="AD99" i="74"/>
  <c r="AE99" i="74"/>
  <c r="AF99" i="74" s="1"/>
  <c r="Z146" i="66"/>
  <c r="AA146" i="66"/>
  <c r="P146" i="66"/>
  <c r="AA290" i="66"/>
  <c r="Z290" i="66"/>
  <c r="S194" i="66"/>
  <c r="U194" i="66" s="1"/>
  <c r="Q194" i="66"/>
  <c r="W194" i="66" s="1"/>
  <c r="Y194" i="66" s="1"/>
  <c r="O194" i="66"/>
  <c r="Q50" i="66"/>
  <c r="W50" i="66" s="1"/>
  <c r="Y50" i="66" s="1"/>
  <c r="M50" i="74"/>
  <c r="O50" i="66"/>
  <c r="S50" i="66"/>
  <c r="U50" i="66" s="1"/>
  <c r="P194" i="66" l="1"/>
  <c r="V194" i="66" s="1"/>
  <c r="P242" i="66"/>
  <c r="V242" i="66" s="1"/>
  <c r="W146" i="66"/>
  <c r="Y146" i="66" s="1"/>
  <c r="R146" i="66"/>
  <c r="S146" i="66" s="1"/>
  <c r="U146" i="66" s="1"/>
  <c r="V146" i="66"/>
  <c r="Z242" i="66"/>
  <c r="P98" i="66"/>
  <c r="AA242" i="66"/>
  <c r="Z98" i="66"/>
  <c r="AA98" i="66"/>
  <c r="Q98" i="74"/>
  <c r="O98" i="74"/>
  <c r="AC98" i="74"/>
  <c r="AA194" i="66"/>
  <c r="Z50" i="66"/>
  <c r="P50" i="66"/>
  <c r="AA50" i="66"/>
  <c r="Z194" i="66"/>
  <c r="S50" i="74"/>
  <c r="U50" i="74" s="1"/>
  <c r="Q50" i="74"/>
  <c r="W50" i="74" s="1"/>
  <c r="Y50" i="74" s="1"/>
  <c r="O50" i="74"/>
  <c r="AC50" i="74"/>
  <c r="P146" i="74"/>
  <c r="AA146" i="74"/>
  <c r="Z146" i="74"/>
  <c r="R290" i="66"/>
  <c r="S290" i="66" s="1"/>
  <c r="U290" i="66" s="1"/>
  <c r="W290" i="66"/>
  <c r="Y290" i="66" s="1"/>
  <c r="V290" i="66"/>
  <c r="AD146" i="74"/>
  <c r="AE146" i="74"/>
  <c r="R194" i="66" l="1"/>
  <c r="R242" i="66"/>
  <c r="S242" i="66" s="1"/>
  <c r="U242" i="66" s="1"/>
  <c r="W242" i="66"/>
  <c r="Y242" i="66" s="1"/>
  <c r="Z98" i="74"/>
  <c r="P98" i="74"/>
  <c r="AA98" i="74"/>
  <c r="V146" i="74"/>
  <c r="R146" i="74"/>
  <c r="S146" i="74" s="1"/>
  <c r="U146" i="74" s="1"/>
  <c r="W146" i="74"/>
  <c r="Y146" i="74" s="1"/>
  <c r="AF146" i="74"/>
  <c r="AD50" i="74"/>
  <c r="AE50" i="74"/>
  <c r="C43" i="77" s="1"/>
  <c r="C45" i="77" s="1"/>
  <c r="C9" i="77"/>
  <c r="C11" i="77" s="1"/>
  <c r="AD98" i="74"/>
  <c r="AE98" i="74"/>
  <c r="AA50" i="74"/>
  <c r="P50" i="74"/>
  <c r="Z50" i="74"/>
  <c r="R98" i="66"/>
  <c r="S98" i="66" s="1"/>
  <c r="U98" i="66" s="1"/>
  <c r="V98" i="66"/>
  <c r="W98" i="66"/>
  <c r="Y98" i="66" s="1"/>
  <c r="V50" i="66"/>
  <c r="R50" i="66"/>
  <c r="AF50" i="74" l="1"/>
  <c r="AF98" i="74"/>
  <c r="V50" i="74"/>
  <c r="R50" i="74"/>
  <c r="V98" i="74"/>
  <c r="R98" i="74"/>
  <c r="S98" i="74" s="1"/>
  <c r="U98" i="74" s="1"/>
  <c r="W98" i="74"/>
  <c r="Y98" i="74" s="1"/>
  <c r="D45" i="17"/>
  <c r="D56" i="17" s="1"/>
  <c r="E56" i="17"/>
  <c r="E55" i="17"/>
  <c r="D42" i="17"/>
  <c r="D41" i="17"/>
  <c r="D38" i="17"/>
  <c r="D39" i="17"/>
  <c r="D37" i="17"/>
  <c r="D36" i="17"/>
  <c r="E46" i="17"/>
  <c r="D55" i="17" l="1"/>
  <c r="E47" i="17" a="1"/>
  <c r="E47" i="17" s="1"/>
  <c r="I45" i="20" s="1"/>
  <c r="D32" i="17"/>
  <c r="I17" i="20" l="1"/>
  <c r="I40" i="20"/>
  <c r="R18" i="20"/>
  <c r="I46" i="20"/>
  <c r="R44" i="20"/>
  <c r="R6" i="20"/>
  <c r="R36" i="20"/>
  <c r="R13" i="20"/>
  <c r="R7" i="20"/>
  <c r="R39" i="20"/>
  <c r="I14" i="20"/>
  <c r="I44" i="20"/>
  <c r="R34" i="20"/>
  <c r="R37" i="20"/>
  <c r="R9" i="20"/>
  <c r="I10" i="20"/>
  <c r="I15" i="20"/>
  <c r="I19" i="20"/>
  <c r="I18" i="20"/>
  <c r="I34" i="20"/>
  <c r="R41" i="20"/>
  <c r="I35" i="20"/>
  <c r="R12" i="20"/>
  <c r="R38" i="20"/>
  <c r="I6" i="20"/>
  <c r="R40" i="20"/>
  <c r="I9" i="20"/>
  <c r="I13" i="20"/>
  <c r="I39" i="20"/>
  <c r="I43" i="20"/>
  <c r="R14" i="20"/>
  <c r="I11" i="20"/>
  <c r="I16" i="20"/>
  <c r="I41" i="20"/>
  <c r="R8" i="20"/>
  <c r="R15" i="20"/>
  <c r="R46" i="20"/>
  <c r="I36" i="20"/>
  <c r="I38" i="20"/>
  <c r="R19" i="20"/>
  <c r="R45" i="20"/>
  <c r="I7" i="20"/>
  <c r="R33" i="20"/>
  <c r="R11" i="20"/>
  <c r="R42" i="20"/>
  <c r="R17" i="20"/>
  <c r="R16" i="20"/>
  <c r="I33" i="20"/>
  <c r="R35" i="20"/>
  <c r="I42" i="20"/>
  <c r="R43" i="20"/>
  <c r="I12" i="20"/>
  <c r="R10" i="20"/>
  <c r="I8" i="20"/>
  <c r="I37" i="20"/>
  <c r="D47" i="17" a="1"/>
  <c r="D47" i="17" s="1"/>
  <c r="D46" i="17"/>
  <c r="I100" i="35" l="1" a="1"/>
  <c r="I100" i="35" s="1"/>
  <c r="I58" i="35" a="1"/>
  <c r="I58" i="35" s="1"/>
  <c r="G30" i="18" a="1"/>
  <c r="G30" i="18" s="1"/>
  <c r="G289" i="18" a="1"/>
  <c r="G289" i="18" s="1"/>
  <c r="I132" i="35" a="1"/>
  <c r="I132" i="35" s="1"/>
  <c r="I95" i="35" a="1"/>
  <c r="I95" i="35" s="1"/>
  <c r="G283" i="18" a="1"/>
  <c r="G283" i="18" s="1"/>
  <c r="G33" i="18" a="1"/>
  <c r="G33" i="18" s="1"/>
  <c r="G288" i="18" a="1"/>
  <c r="G288" i="18" s="1"/>
  <c r="G81" i="18" a="1"/>
  <c r="G81" i="18" s="1"/>
  <c r="I81" i="18" s="1"/>
  <c r="I14" i="35" a="1"/>
  <c r="I14" i="35" s="1"/>
  <c r="J370" i="37" s="1"/>
  <c r="I88" i="35" a="1"/>
  <c r="I88" i="35" s="1"/>
  <c r="J228" i="58" s="1"/>
  <c r="G324" i="18" a="1"/>
  <c r="G324" i="18" s="1"/>
  <c r="G293" i="18" a="1"/>
  <c r="G293" i="18" s="1"/>
  <c r="H293" i="18" s="1"/>
  <c r="I137" i="35" a="1"/>
  <c r="I137" i="35" s="1"/>
  <c r="G325" i="18" a="1"/>
  <c r="G325" i="18" s="1"/>
  <c r="G328" i="18" a="1"/>
  <c r="G328" i="18" s="1"/>
  <c r="H328" i="18" s="1"/>
  <c r="G295" i="18" a="1"/>
  <c r="G295" i="18" s="1"/>
  <c r="G290" i="18" a="1"/>
  <c r="G290" i="18" s="1"/>
  <c r="I96" i="35" a="1"/>
  <c r="I96" i="35" s="1"/>
  <c r="G294" i="18" a="1"/>
  <c r="G294" i="18" s="1"/>
  <c r="I89" i="35" a="1"/>
  <c r="I89" i="35" s="1"/>
  <c r="J323" i="58" s="1"/>
  <c r="G292" i="18" a="1"/>
  <c r="G292" i="18" s="1"/>
  <c r="H292" i="18" s="1"/>
  <c r="I93" i="35" a="1"/>
  <c r="I93" i="35" s="1"/>
  <c r="J251" i="58" s="1"/>
  <c r="I99" i="35" a="1"/>
  <c r="I99" i="35" s="1"/>
  <c r="I91" i="35" a="1"/>
  <c r="I91" i="35" s="1"/>
  <c r="J183" i="58" s="1"/>
  <c r="I3" i="35" a="1"/>
  <c r="I3" i="35" s="1"/>
  <c r="I92" i="35" a="1"/>
  <c r="I92" i="35" s="1"/>
  <c r="I47" i="20"/>
  <c r="I90" i="35" a="1"/>
  <c r="I90" i="35" s="1"/>
  <c r="I133" i="35" a="1"/>
  <c r="I133" i="35" s="1"/>
  <c r="I97" i="35" a="1"/>
  <c r="I97" i="35" s="1"/>
  <c r="I136" i="35" a="1"/>
  <c r="I136" i="35" s="1"/>
  <c r="I57" i="35" a="1"/>
  <c r="I57" i="35" s="1"/>
  <c r="J398" i="37" s="1"/>
  <c r="I98" i="35" a="1"/>
  <c r="I98" i="35" s="1"/>
  <c r="J370" i="58" s="1"/>
  <c r="I94" i="35" a="1"/>
  <c r="I94" i="35" s="1"/>
  <c r="J305" i="58" s="1"/>
  <c r="G282" i="18" a="1"/>
  <c r="G282" i="18" s="1"/>
  <c r="I6" i="35" a="1"/>
  <c r="I6" i="35" s="1"/>
  <c r="J209" i="37" s="1"/>
  <c r="I13" i="35" a="1"/>
  <c r="I13" i="35" s="1"/>
  <c r="I55" i="35" a="1"/>
  <c r="I55" i="35" s="1"/>
  <c r="I46" i="35" a="1"/>
  <c r="I46" i="35" s="1"/>
  <c r="J237" i="37" s="1"/>
  <c r="G37" i="18" a="1"/>
  <c r="G37" i="18" s="1"/>
  <c r="H37" i="18" s="1"/>
  <c r="G35" i="18" a="1"/>
  <c r="G35" i="18" s="1"/>
  <c r="I49" i="35" a="1"/>
  <c r="I49" i="35" s="1"/>
  <c r="J187" i="37" s="1"/>
  <c r="G327" i="18" a="1"/>
  <c r="G327" i="18" s="1"/>
  <c r="I138" i="35" a="1"/>
  <c r="I138" i="35" s="1"/>
  <c r="J295" i="58" s="1"/>
  <c r="I20" i="20"/>
  <c r="G291" i="18" a="1"/>
  <c r="G291" i="18" s="1"/>
  <c r="I291" i="18" s="1"/>
  <c r="G286" i="18" a="1"/>
  <c r="G286" i="18" s="1"/>
  <c r="G43" i="18" a="1"/>
  <c r="G43" i="18" s="1"/>
  <c r="H43" i="18" s="1"/>
  <c r="G72" i="18" a="1"/>
  <c r="G72" i="18" s="1"/>
  <c r="H72" i="18" s="1"/>
  <c r="G85" i="18" a="1"/>
  <c r="G85" i="18" s="1"/>
  <c r="G39" i="18" a="1"/>
  <c r="G39" i="18" s="1"/>
  <c r="H39" i="18" s="1"/>
  <c r="I87" i="35" a="1"/>
  <c r="I87" i="35" s="1"/>
  <c r="G284" i="18" a="1"/>
  <c r="G284" i="18" s="1"/>
  <c r="G285" i="18" a="1"/>
  <c r="G285" i="18" s="1"/>
  <c r="I285" i="18" s="1"/>
  <c r="I50" i="35" a="1"/>
  <c r="I50" i="35" s="1"/>
  <c r="I53" i="35" a="1"/>
  <c r="I53" i="35" s="1"/>
  <c r="J277" i="37" s="1"/>
  <c r="G287" i="18" a="1"/>
  <c r="G287" i="18" s="1"/>
  <c r="I287" i="18" s="1"/>
  <c r="I12" i="35" a="1"/>
  <c r="I12" i="35" s="1"/>
  <c r="J286" i="37" s="1"/>
  <c r="G84" i="18" a="1"/>
  <c r="G84" i="18" s="1"/>
  <c r="G75" i="18" a="1"/>
  <c r="G75" i="18" s="1"/>
  <c r="H75" i="18" s="1"/>
  <c r="I5" i="35" a="1"/>
  <c r="I5" i="35" s="1"/>
  <c r="I9" i="35" a="1"/>
  <c r="I9" i="35" s="1"/>
  <c r="I48" i="35" a="1"/>
  <c r="I48" i="35" s="1"/>
  <c r="J216" i="37" s="1"/>
  <c r="I51" i="35" a="1"/>
  <c r="I51" i="35" s="1"/>
  <c r="G80" i="18" a="1"/>
  <c r="G80" i="18" s="1"/>
  <c r="I15" i="35" a="1"/>
  <c r="I15" i="35" s="1"/>
  <c r="J387" i="37" s="1"/>
  <c r="G76" i="18" a="1"/>
  <c r="G76" i="18" s="1"/>
  <c r="G334" i="18" a="1"/>
  <c r="G334" i="18" s="1"/>
  <c r="G40" i="18" a="1"/>
  <c r="G40" i="18" s="1"/>
  <c r="H40" i="18" s="1"/>
  <c r="G32" i="18" a="1"/>
  <c r="G32" i="18" s="1"/>
  <c r="H32" i="18" s="1"/>
  <c r="R20" i="20"/>
  <c r="G336" i="18" a="1"/>
  <c r="G336" i="18" s="1"/>
  <c r="I336" i="18" s="1"/>
  <c r="G42" i="18" a="1"/>
  <c r="G42" i="18" s="1"/>
  <c r="G333" i="18" a="1"/>
  <c r="G333" i="18" s="1"/>
  <c r="I7" i="35" a="1"/>
  <c r="I7" i="35" s="1"/>
  <c r="J166" i="37" s="1"/>
  <c r="I8" i="35" a="1"/>
  <c r="I8" i="35" s="1"/>
  <c r="G41" i="18" a="1"/>
  <c r="G41" i="18" s="1"/>
  <c r="G73" i="18" a="1"/>
  <c r="G73" i="18" s="1"/>
  <c r="I73" i="18" s="1"/>
  <c r="G34" i="18" a="1"/>
  <c r="G34" i="18" s="1"/>
  <c r="G79" i="18" a="1"/>
  <c r="G79" i="18" s="1"/>
  <c r="H79" i="18" s="1"/>
  <c r="G36" i="18" a="1"/>
  <c r="G36" i="18" s="1"/>
  <c r="H36" i="18" s="1"/>
  <c r="G83" i="18" a="1"/>
  <c r="G83" i="18" s="1"/>
  <c r="H83" i="18" s="1"/>
  <c r="I140" i="35" a="1"/>
  <c r="I140" i="35" s="1"/>
  <c r="G335" i="18" a="1"/>
  <c r="G335" i="18" s="1"/>
  <c r="H335" i="18" s="1"/>
  <c r="G330" i="18" a="1"/>
  <c r="G330" i="18" s="1"/>
  <c r="G38" i="18" a="1"/>
  <c r="G38" i="18" s="1"/>
  <c r="I10" i="35" a="1"/>
  <c r="I10" i="35" s="1"/>
  <c r="J304" i="37" s="1"/>
  <c r="I52" i="35" a="1"/>
  <c r="I52" i="35" s="1"/>
  <c r="I47" i="35" a="1"/>
  <c r="I47" i="35" s="1"/>
  <c r="R47" i="20"/>
  <c r="G329" i="18" a="1"/>
  <c r="G329" i="18" s="1"/>
  <c r="I139" i="35" a="1"/>
  <c r="I139" i="35" s="1"/>
  <c r="J359" i="58" s="1"/>
  <c r="G332" i="18" a="1"/>
  <c r="G332" i="18" s="1"/>
  <c r="H332" i="18" s="1"/>
  <c r="I141" i="35" a="1"/>
  <c r="I141" i="35" s="1"/>
  <c r="J397" i="58" s="1"/>
  <c r="G31" i="18" a="1"/>
  <c r="G31" i="18" s="1"/>
  <c r="I16" i="35" a="1"/>
  <c r="I16" i="35" s="1"/>
  <c r="J407" i="37" s="1"/>
  <c r="I56" i="35" a="1"/>
  <c r="I56" i="35" s="1"/>
  <c r="I45" i="35" a="1"/>
  <c r="I45" i="35" s="1"/>
  <c r="G331" i="18" a="1"/>
  <c r="G331" i="18" s="1"/>
  <c r="I331" i="18" s="1"/>
  <c r="I130" i="35" a="1"/>
  <c r="I130" i="35" s="1"/>
  <c r="I142" i="35" a="1"/>
  <c r="I142" i="35" s="1"/>
  <c r="G78" i="18" a="1"/>
  <c r="G78" i="18" s="1"/>
  <c r="I78" i="18" s="1"/>
  <c r="G337" i="18" a="1"/>
  <c r="G337" i="18" s="1"/>
  <c r="I131" i="35" a="1"/>
  <c r="I131" i="35" s="1"/>
  <c r="J333" i="58" s="1"/>
  <c r="I135" i="35" a="1"/>
  <c r="I135" i="35" s="1"/>
  <c r="J258" i="58" s="1"/>
  <c r="I4" i="35" a="1"/>
  <c r="I4" i="35" s="1"/>
  <c r="J226" i="37" s="1"/>
  <c r="I11" i="35" a="1"/>
  <c r="I11" i="35" s="1"/>
  <c r="G77" i="18" a="1"/>
  <c r="G77" i="18" s="1"/>
  <c r="I77" i="18" s="1"/>
  <c r="I54" i="35" a="1"/>
  <c r="I54" i="35" s="1"/>
  <c r="G326" i="18" a="1"/>
  <c r="G326" i="18" s="1"/>
  <c r="H326" i="18" s="1"/>
  <c r="I134" i="35" a="1"/>
  <c r="I134" i="35" s="1"/>
  <c r="J200" i="58" s="1"/>
  <c r="G74" i="18" a="1"/>
  <c r="G74" i="18" s="1"/>
  <c r="G82" i="18" a="1"/>
  <c r="G82" i="18" s="1"/>
  <c r="I129" i="35" a="1"/>
  <c r="I129" i="35" s="1"/>
  <c r="J155" i="58" s="1"/>
  <c r="J269" i="58"/>
  <c r="J268" i="58"/>
  <c r="J267" i="58"/>
  <c r="J347" i="58"/>
  <c r="J346" i="58"/>
  <c r="J345" i="58"/>
  <c r="J348" i="58"/>
  <c r="J190" i="37"/>
  <c r="J191" i="37"/>
  <c r="J189" i="37"/>
  <c r="H282" i="18"/>
  <c r="I282" i="18"/>
  <c r="J269" i="37"/>
  <c r="J269" i="41" s="1"/>
  <c r="J268" i="37"/>
  <c r="J267" i="37"/>
  <c r="J294" i="37"/>
  <c r="J295" i="37"/>
  <c r="J296" i="37"/>
  <c r="I326" i="18"/>
  <c r="J406" i="58"/>
  <c r="J405" i="58"/>
  <c r="J407" i="58"/>
  <c r="I294" i="18"/>
  <c r="H294" i="18"/>
  <c r="H30" i="18"/>
  <c r="I30" i="18"/>
  <c r="I35" i="18"/>
  <c r="H35" i="18"/>
  <c r="H327" i="18"/>
  <c r="I327" i="18"/>
  <c r="H295" i="18"/>
  <c r="I295" i="18"/>
  <c r="H41" i="18"/>
  <c r="I41" i="18"/>
  <c r="J358" i="37"/>
  <c r="J357" i="37"/>
  <c r="J360" i="37"/>
  <c r="J359" i="37"/>
  <c r="J258" i="37"/>
  <c r="J259" i="37"/>
  <c r="J260" i="37"/>
  <c r="I324" i="18"/>
  <c r="H324" i="18"/>
  <c r="J312" i="58"/>
  <c r="J313" i="58"/>
  <c r="J314" i="58"/>
  <c r="I288" i="18"/>
  <c r="H288" i="18"/>
  <c r="J208" i="58"/>
  <c r="J209" i="58"/>
  <c r="J207" i="58"/>
  <c r="I34" i="18"/>
  <c r="H34" i="18"/>
  <c r="J200" i="37"/>
  <c r="J199" i="37"/>
  <c r="J198" i="37"/>
  <c r="J415" i="37"/>
  <c r="J416" i="37"/>
  <c r="J414" i="37"/>
  <c r="J216" i="58"/>
  <c r="J218" i="58"/>
  <c r="J217" i="58"/>
  <c r="I333" i="18"/>
  <c r="H333" i="18"/>
  <c r="J191" i="58"/>
  <c r="J190" i="58"/>
  <c r="J189" i="58"/>
  <c r="I84" i="18"/>
  <c r="H84" i="18"/>
  <c r="J278" i="58"/>
  <c r="J277" i="58"/>
  <c r="J276" i="58"/>
  <c r="J380" i="58"/>
  <c r="J378" i="58"/>
  <c r="J379" i="58"/>
  <c r="H289" i="18"/>
  <c r="I289" i="18"/>
  <c r="H283" i="18"/>
  <c r="I283" i="18"/>
  <c r="H286" i="18"/>
  <c r="I286" i="18"/>
  <c r="I42" i="18"/>
  <c r="H42" i="18"/>
  <c r="J240" i="37"/>
  <c r="J144" i="58"/>
  <c r="J143" i="58"/>
  <c r="J141" i="58"/>
  <c r="J142" i="58"/>
  <c r="H284" i="18"/>
  <c r="I284" i="18"/>
  <c r="J322" i="37"/>
  <c r="J323" i="37"/>
  <c r="J324" i="37"/>
  <c r="J321" i="37"/>
  <c r="H74" i="18"/>
  <c r="I74" i="18"/>
  <c r="I82" i="18"/>
  <c r="H82" i="18"/>
  <c r="H330" i="18"/>
  <c r="I330" i="18"/>
  <c r="J144" i="37"/>
  <c r="J142" i="37"/>
  <c r="J143" i="37"/>
  <c r="J141" i="37"/>
  <c r="J188" i="37"/>
  <c r="J174" i="37"/>
  <c r="J175" i="37"/>
  <c r="J186" i="37"/>
  <c r="I80" i="18"/>
  <c r="H80" i="18"/>
  <c r="J285" i="58"/>
  <c r="J287" i="58"/>
  <c r="J286" i="58"/>
  <c r="J389" i="58"/>
  <c r="J388" i="58"/>
  <c r="J387" i="58"/>
  <c r="I38" i="18"/>
  <c r="H38" i="18"/>
  <c r="J305" i="37"/>
  <c r="J312" i="37"/>
  <c r="J313" i="37"/>
  <c r="J314" i="37"/>
  <c r="J334" i="37"/>
  <c r="J336" i="37"/>
  <c r="J335" i="37"/>
  <c r="J333" i="37"/>
  <c r="H329" i="18"/>
  <c r="I329" i="18"/>
  <c r="O6" i="20"/>
  <c r="F19" i="20"/>
  <c r="O7" i="20"/>
  <c r="O9" i="20"/>
  <c r="F39" i="20"/>
  <c r="O38" i="20"/>
  <c r="O35" i="20"/>
  <c r="O15" i="20"/>
  <c r="F17" i="20"/>
  <c r="O40" i="20"/>
  <c r="O43" i="20"/>
  <c r="F10" i="20"/>
  <c r="O17" i="20"/>
  <c r="F45" i="20"/>
  <c r="O11" i="20"/>
  <c r="F18" i="20"/>
  <c r="O10" i="20"/>
  <c r="F16" i="20"/>
  <c r="O18" i="20"/>
  <c r="O14" i="20"/>
  <c r="F8" i="20"/>
  <c r="O33" i="20"/>
  <c r="F6" i="20"/>
  <c r="O37" i="20"/>
  <c r="O41" i="20"/>
  <c r="O45" i="20"/>
  <c r="O44" i="20"/>
  <c r="F40" i="20"/>
  <c r="O16" i="20"/>
  <c r="F38" i="20"/>
  <c r="F12" i="20"/>
  <c r="O8" i="20"/>
  <c r="F41" i="20"/>
  <c r="F7" i="20"/>
  <c r="F15" i="20"/>
  <c r="O12" i="20"/>
  <c r="O13" i="20"/>
  <c r="F14" i="20"/>
  <c r="F35" i="20"/>
  <c r="O46" i="20"/>
  <c r="F44" i="20"/>
  <c r="F34" i="20"/>
  <c r="O42" i="20"/>
  <c r="O39" i="20"/>
  <c r="F11" i="20"/>
  <c r="F36" i="20"/>
  <c r="F37" i="20"/>
  <c r="F43" i="20"/>
  <c r="O19" i="20"/>
  <c r="F13" i="20"/>
  <c r="F42" i="20"/>
  <c r="F33" i="20"/>
  <c r="O36" i="20"/>
  <c r="O34" i="20"/>
  <c r="F46" i="20"/>
  <c r="F9" i="20"/>
  <c r="J347" i="37"/>
  <c r="J348" i="37"/>
  <c r="J345" i="37"/>
  <c r="J346" i="37"/>
  <c r="J346" i="41" s="1"/>
  <c r="H76" i="18"/>
  <c r="I76" i="18"/>
  <c r="I85" i="18"/>
  <c r="H85" i="18"/>
  <c r="I334" i="18"/>
  <c r="H334" i="18"/>
  <c r="J296" i="58"/>
  <c r="J165" i="58"/>
  <c r="J250" i="37"/>
  <c r="J251" i="37"/>
  <c r="J249" i="37"/>
  <c r="I33" i="18"/>
  <c r="H33" i="18"/>
  <c r="J176" i="58"/>
  <c r="J187" i="58"/>
  <c r="J186" i="58"/>
  <c r="J188" i="58"/>
  <c r="J175" i="58"/>
  <c r="J174" i="58"/>
  <c r="H325" i="18"/>
  <c r="I325" i="18"/>
  <c r="J185" i="37"/>
  <c r="H31" i="18"/>
  <c r="I31" i="18"/>
  <c r="J405" i="37"/>
  <c r="J405" i="41" s="1"/>
  <c r="J378" i="37"/>
  <c r="J379" i="37"/>
  <c r="J380" i="37"/>
  <c r="J154" i="37"/>
  <c r="J153" i="37"/>
  <c r="J156" i="37"/>
  <c r="J155" i="37"/>
  <c r="J239" i="58"/>
  <c r="J237" i="58"/>
  <c r="J238" i="58"/>
  <c r="J240" i="58"/>
  <c r="J414" i="58"/>
  <c r="J416" i="58"/>
  <c r="J415" i="58"/>
  <c r="I290" i="18"/>
  <c r="H290" i="18"/>
  <c r="J388" i="37"/>
  <c r="J389" i="37"/>
  <c r="I337" i="18"/>
  <c r="H337" i="18"/>
  <c r="J335" i="58" l="1"/>
  <c r="J336" i="58"/>
  <c r="J278" i="37"/>
  <c r="J278" i="41" s="1"/>
  <c r="J334" i="58"/>
  <c r="J360" i="58"/>
  <c r="J396" i="37"/>
  <c r="J397" i="37"/>
  <c r="J294" i="58"/>
  <c r="J313" i="41"/>
  <c r="I72" i="18"/>
  <c r="H285" i="18"/>
  <c r="J154" i="58"/>
  <c r="J154" i="41" s="1"/>
  <c r="J156" i="58"/>
  <c r="J153" i="58"/>
  <c r="J153" i="41" s="1"/>
  <c r="J371" i="58"/>
  <c r="J369" i="58"/>
  <c r="J378" i="41"/>
  <c r="I292" i="18"/>
  <c r="J277" i="41"/>
  <c r="I79" i="18"/>
  <c r="J79" i="18" s="1"/>
  <c r="J321" i="58"/>
  <c r="J371" i="37"/>
  <c r="J322" i="58"/>
  <c r="I40" i="18"/>
  <c r="J40" i="18" s="1"/>
  <c r="J369" i="37"/>
  <c r="I36" i="18"/>
  <c r="F36" i="18" s="1"/>
  <c r="J324" i="58"/>
  <c r="J324" i="41" s="1"/>
  <c r="H287" i="18"/>
  <c r="I332" i="18"/>
  <c r="J260" i="58"/>
  <c r="J260" i="41" s="1"/>
  <c r="J276" i="37"/>
  <c r="J276" i="41" s="1"/>
  <c r="J357" i="58"/>
  <c r="J357" i="41" s="1"/>
  <c r="J259" i="58"/>
  <c r="J259" i="41" s="1"/>
  <c r="J358" i="58"/>
  <c r="H81" i="18"/>
  <c r="J388" i="41"/>
  <c r="H291" i="18"/>
  <c r="J291" i="18" s="1"/>
  <c r="J398" i="58"/>
  <c r="J398" i="41" s="1"/>
  <c r="J347" i="41"/>
  <c r="I37" i="18"/>
  <c r="J285" i="37"/>
  <c r="J396" i="58"/>
  <c r="D79" i="57" s="1"/>
  <c r="J287" i="37"/>
  <c r="J287" i="41" s="1"/>
  <c r="J380" i="41"/>
  <c r="J225" i="58"/>
  <c r="D68" i="57" s="1"/>
  <c r="J208" i="37"/>
  <c r="J208" i="41" s="1"/>
  <c r="J268" i="41"/>
  <c r="J286" i="41"/>
  <c r="J226" i="58"/>
  <c r="J226" i="41" s="1"/>
  <c r="J227" i="58"/>
  <c r="I32" i="18"/>
  <c r="J303" i="58"/>
  <c r="J249" i="58"/>
  <c r="J249" i="41" s="1"/>
  <c r="J304" i="58"/>
  <c r="J304" i="41" s="1"/>
  <c r="J323" i="41"/>
  <c r="J250" i="58"/>
  <c r="J250" i="41" s="1"/>
  <c r="I83" i="18"/>
  <c r="F83" i="18" s="1"/>
  <c r="J251" i="41"/>
  <c r="J225" i="37"/>
  <c r="J227" i="37"/>
  <c r="J228" i="37"/>
  <c r="J228" i="41" s="1"/>
  <c r="J312" i="41"/>
  <c r="J305" i="41"/>
  <c r="J407" i="41"/>
  <c r="J406" i="37"/>
  <c r="J406" i="41" s="1"/>
  <c r="J185" i="58"/>
  <c r="J185" i="41" s="1"/>
  <c r="J167" i="58"/>
  <c r="J207" i="37"/>
  <c r="J207" i="41" s="1"/>
  <c r="J184" i="58"/>
  <c r="H77" i="18"/>
  <c r="J166" i="58"/>
  <c r="J166" i="41" s="1"/>
  <c r="I43" i="18"/>
  <c r="J43" i="18" s="1"/>
  <c r="I75" i="18"/>
  <c r="F75" i="18" s="1"/>
  <c r="J397" i="41"/>
  <c r="H336" i="18"/>
  <c r="J336" i="18" s="1"/>
  <c r="I335" i="18"/>
  <c r="J216" i="41"/>
  <c r="I328" i="18"/>
  <c r="F328" i="18" s="1"/>
  <c r="H331" i="18"/>
  <c r="J331" i="18" s="1"/>
  <c r="J200" i="41"/>
  <c r="I39" i="18"/>
  <c r="F39" i="18" s="1"/>
  <c r="J165" i="37"/>
  <c r="J165" i="41" s="1"/>
  <c r="J348" i="41"/>
  <c r="J198" i="58"/>
  <c r="J198" i="41" s="1"/>
  <c r="J314" i="41"/>
  <c r="J199" i="58"/>
  <c r="J199" i="41" s="1"/>
  <c r="I293" i="18"/>
  <c r="J217" i="37"/>
  <c r="J217" i="41" s="1"/>
  <c r="J156" i="41"/>
  <c r="J218" i="37"/>
  <c r="J218" i="41" s="1"/>
  <c r="J239" i="37"/>
  <c r="J239" i="41" s="1"/>
  <c r="J183" i="37"/>
  <c r="J183" i="41" s="1"/>
  <c r="J184" i="37"/>
  <c r="J167" i="37"/>
  <c r="J303" i="37"/>
  <c r="D35" i="57" s="1"/>
  <c r="J238" i="37"/>
  <c r="E26" i="53" s="1"/>
  <c r="H73" i="18"/>
  <c r="J155" i="41"/>
  <c r="J176" i="37"/>
  <c r="J176" i="41" s="1"/>
  <c r="J379" i="41"/>
  <c r="J389" i="41"/>
  <c r="H78" i="18"/>
  <c r="J78" i="18" s="1"/>
  <c r="D78" i="57"/>
  <c r="G264" i="66"/>
  <c r="O264" i="66" s="1"/>
  <c r="F331" i="18"/>
  <c r="F325" i="18"/>
  <c r="J325" i="18"/>
  <c r="F33" i="18"/>
  <c r="J33" i="18"/>
  <c r="F332" i="18"/>
  <c r="J332" i="18"/>
  <c r="D38" i="57"/>
  <c r="J345" i="41"/>
  <c r="G110" i="66"/>
  <c r="J336" i="41"/>
  <c r="J186" i="41"/>
  <c r="D28" i="57"/>
  <c r="J141" i="41"/>
  <c r="G122" i="66"/>
  <c r="F291" i="18"/>
  <c r="J414" i="41"/>
  <c r="J288" i="18"/>
  <c r="F288" i="18"/>
  <c r="J358" i="41"/>
  <c r="J327" i="18"/>
  <c r="F327" i="18"/>
  <c r="F30" i="18"/>
  <c r="J30" i="18"/>
  <c r="J296" i="41"/>
  <c r="J209" i="41"/>
  <c r="J189" i="41"/>
  <c r="D33" i="57"/>
  <c r="G121" i="66"/>
  <c r="O3" i="37"/>
  <c r="D34" i="57"/>
  <c r="G138" i="66"/>
  <c r="G64" i="18" a="1"/>
  <c r="G64" i="18" s="1"/>
  <c r="G60" i="18" a="1"/>
  <c r="G60" i="18" s="1"/>
  <c r="G66" i="18" a="1"/>
  <c r="G66" i="18" s="1"/>
  <c r="H54" i="35" a="1"/>
  <c r="H54" i="35" s="1"/>
  <c r="G71" i="18" a="1"/>
  <c r="G71" i="18" s="1"/>
  <c r="H56" i="35" a="1"/>
  <c r="H56" i="35" s="1"/>
  <c r="H53" i="35" a="1"/>
  <c r="H53" i="35" s="1"/>
  <c r="G65" i="18" a="1"/>
  <c r="G65" i="18" s="1"/>
  <c r="G58" i="18" a="1"/>
  <c r="G58" i="18" s="1"/>
  <c r="H52" i="35" a="1"/>
  <c r="H52" i="35" s="1"/>
  <c r="G67" i="18" a="1"/>
  <c r="G67" i="18" s="1"/>
  <c r="H51" i="35" a="1"/>
  <c r="H51" i="35" s="1"/>
  <c r="G62" i="18" a="1"/>
  <c r="G62" i="18" s="1"/>
  <c r="G63" i="18" a="1"/>
  <c r="G63" i="18" s="1"/>
  <c r="G69" i="18" a="1"/>
  <c r="G69" i="18" s="1"/>
  <c r="H46" i="35" a="1"/>
  <c r="H46" i="35" s="1"/>
  <c r="H47" i="35" a="1"/>
  <c r="H47" i="35" s="1"/>
  <c r="G70" i="18" a="1"/>
  <c r="G70" i="18" s="1"/>
  <c r="O20" i="20"/>
  <c r="H58" i="35" a="1"/>
  <c r="H58" i="35" s="1"/>
  <c r="G68" i="18" a="1"/>
  <c r="G68" i="18" s="1"/>
  <c r="H57" i="35" a="1"/>
  <c r="H57" i="35" s="1"/>
  <c r="G59" i="18" a="1"/>
  <c r="G59" i="18" s="1"/>
  <c r="H48" i="35" a="1"/>
  <c r="H48" i="35" s="1"/>
  <c r="G61" i="18" a="1"/>
  <c r="G61" i="18" s="1"/>
  <c r="H55" i="35" a="1"/>
  <c r="H55" i="35" s="1"/>
  <c r="H50" i="35" a="1"/>
  <c r="H50" i="35" s="1"/>
  <c r="H45" i="35" a="1"/>
  <c r="H45" i="35" s="1"/>
  <c r="H49" i="35" a="1"/>
  <c r="H49" i="35" s="1"/>
  <c r="J334" i="41"/>
  <c r="J175" i="41"/>
  <c r="J143" i="41"/>
  <c r="J285" i="18"/>
  <c r="F285" i="18"/>
  <c r="J42" i="18"/>
  <c r="F42" i="18"/>
  <c r="J416" i="41"/>
  <c r="J72" i="18"/>
  <c r="F72" i="18"/>
  <c r="J295" i="41"/>
  <c r="J191" i="41"/>
  <c r="J174" i="41"/>
  <c r="J142" i="41"/>
  <c r="J284" i="18"/>
  <c r="F284" i="18"/>
  <c r="F286" i="18"/>
  <c r="J286" i="18"/>
  <c r="D72" i="57"/>
  <c r="J415" i="41"/>
  <c r="J294" i="41"/>
  <c r="J190" i="41"/>
  <c r="G17" i="18" a="1"/>
  <c r="G17" i="18" s="1"/>
  <c r="G20" i="18" a="1"/>
  <c r="G20" i="18" s="1"/>
  <c r="G29" i="18" a="1"/>
  <c r="G29" i="18" s="1"/>
  <c r="G18" i="18" a="1"/>
  <c r="G18" i="18" s="1"/>
  <c r="H14" i="35" a="1"/>
  <c r="H14" i="35" s="1"/>
  <c r="H16" i="35" a="1"/>
  <c r="H16" i="35" s="1"/>
  <c r="G16" i="18" a="1"/>
  <c r="G16" i="18" s="1"/>
  <c r="H8" i="35" a="1"/>
  <c r="H8" i="35" s="1"/>
  <c r="G28" i="18" a="1"/>
  <c r="G28" i="18" s="1"/>
  <c r="H4" i="35" a="1"/>
  <c r="H4" i="35" s="1"/>
  <c r="H10" i="35" a="1"/>
  <c r="H10" i="35" s="1"/>
  <c r="H15" i="35" a="1"/>
  <c r="H15" i="35" s="1"/>
  <c r="H12" i="35" a="1"/>
  <c r="H12" i="35" s="1"/>
  <c r="H7" i="35" a="1"/>
  <c r="H7" i="35" s="1"/>
  <c r="G25" i="18" a="1"/>
  <c r="G25" i="18" s="1"/>
  <c r="G27" i="18" a="1"/>
  <c r="G27" i="18" s="1"/>
  <c r="H5" i="35" a="1"/>
  <c r="H5" i="35" s="1"/>
  <c r="G26" i="18" a="1"/>
  <c r="G26" i="18" s="1"/>
  <c r="G19" i="18" a="1"/>
  <c r="G19" i="18" s="1"/>
  <c r="G23" i="18" a="1"/>
  <c r="G23" i="18" s="1"/>
  <c r="F20" i="20"/>
  <c r="H11" i="35" a="1"/>
  <c r="H11" i="35" s="1"/>
  <c r="G24" i="18" a="1"/>
  <c r="G24" i="18" s="1"/>
  <c r="G22" i="18" a="1"/>
  <c r="G22" i="18" s="1"/>
  <c r="H3" i="35" a="1"/>
  <c r="H3" i="35" s="1"/>
  <c r="H13" i="35" a="1"/>
  <c r="H13" i="35" s="1"/>
  <c r="H6" i="35" a="1"/>
  <c r="H6" i="35" s="1"/>
  <c r="G21" i="18" a="1"/>
  <c r="G21" i="18" s="1"/>
  <c r="H9" i="35" a="1"/>
  <c r="H9" i="35" s="1"/>
  <c r="J287" i="18"/>
  <c r="F287" i="18"/>
  <c r="G274" i="66"/>
  <c r="O274" i="66" s="1"/>
  <c r="D76" i="57"/>
  <c r="J144" i="41"/>
  <c r="F82" i="18"/>
  <c r="J82" i="18"/>
  <c r="J41" i="18"/>
  <c r="F41" i="18"/>
  <c r="F294" i="18"/>
  <c r="J294" i="18"/>
  <c r="J282" i="18"/>
  <c r="F282" i="18"/>
  <c r="F337" i="18"/>
  <c r="J337" i="18"/>
  <c r="J285" i="41"/>
  <c r="D37" i="57"/>
  <c r="G130" i="66"/>
  <c r="H133" i="35" a="1"/>
  <c r="H133" i="35" s="1"/>
  <c r="G317" i="18" a="1"/>
  <c r="G317" i="18" s="1"/>
  <c r="H132" i="35" a="1"/>
  <c r="H132" i="35" s="1"/>
  <c r="G313" i="18" a="1"/>
  <c r="G313" i="18" s="1"/>
  <c r="G320" i="18" a="1"/>
  <c r="G320" i="18" s="1"/>
  <c r="G322" i="18" a="1"/>
  <c r="G322" i="18" s="1"/>
  <c r="H140" i="35" a="1"/>
  <c r="H140" i="35" s="1"/>
  <c r="G318" i="18" a="1"/>
  <c r="G318" i="18" s="1"/>
  <c r="G311" i="18" a="1"/>
  <c r="G311" i="18" s="1"/>
  <c r="H129" i="35" a="1"/>
  <c r="H129" i="35" s="1"/>
  <c r="H138" i="35" a="1"/>
  <c r="H138" i="35" s="1"/>
  <c r="H134" i="35" a="1"/>
  <c r="H134" i="35" s="1"/>
  <c r="H141" i="35" a="1"/>
  <c r="H141" i="35" s="1"/>
  <c r="H136" i="35" a="1"/>
  <c r="H136" i="35" s="1"/>
  <c r="G316" i="18" a="1"/>
  <c r="G316" i="18" s="1"/>
  <c r="H130" i="35" a="1"/>
  <c r="H130" i="35" s="1"/>
  <c r="G321" i="18" a="1"/>
  <c r="G321" i="18" s="1"/>
  <c r="H142" i="35" a="1"/>
  <c r="H142" i="35" s="1"/>
  <c r="G310" i="18" a="1"/>
  <c r="G310" i="18" s="1"/>
  <c r="H139" i="35" a="1"/>
  <c r="H139" i="35" s="1"/>
  <c r="G323" i="18" a="1"/>
  <c r="G323" i="18" s="1"/>
  <c r="G315" i="18" a="1"/>
  <c r="G315" i="18" s="1"/>
  <c r="O47" i="20"/>
  <c r="G319" i="18" a="1"/>
  <c r="G319" i="18" s="1"/>
  <c r="H135" i="35" a="1"/>
  <c r="H135" i="35" s="1"/>
  <c r="G312" i="18" a="1"/>
  <c r="G312" i="18" s="1"/>
  <c r="G314" i="18" a="1"/>
  <c r="G314" i="18" s="1"/>
  <c r="H137" i="35" a="1"/>
  <c r="H137" i="35" s="1"/>
  <c r="H131" i="35" a="1"/>
  <c r="H131" i="35" s="1"/>
  <c r="J187" i="41"/>
  <c r="J74" i="18"/>
  <c r="F74" i="18"/>
  <c r="J283" i="18"/>
  <c r="F283" i="18"/>
  <c r="J77" i="18"/>
  <c r="F77" i="18"/>
  <c r="F336" i="18"/>
  <c r="J188" i="41"/>
  <c r="D67" i="57"/>
  <c r="G266" i="66"/>
  <c r="J324" i="18"/>
  <c r="F324" i="18"/>
  <c r="J267" i="41"/>
  <c r="G270" i="66"/>
  <c r="D74" i="57"/>
  <c r="F334" i="18"/>
  <c r="J334" i="18"/>
  <c r="F289" i="18"/>
  <c r="J289" i="18"/>
  <c r="F79" i="18"/>
  <c r="F333" i="18"/>
  <c r="J333" i="18"/>
  <c r="J290" i="18"/>
  <c r="F290" i="18"/>
  <c r="F34" i="18"/>
  <c r="J34" i="18"/>
  <c r="D73" i="57"/>
  <c r="F81" i="18"/>
  <c r="J81" i="18"/>
  <c r="G255" i="66"/>
  <c r="O255" i="66" s="1"/>
  <c r="D75" i="57"/>
  <c r="J292" i="18"/>
  <c r="F292" i="18"/>
  <c r="F85" i="18"/>
  <c r="J85" i="18"/>
  <c r="J329" i="18"/>
  <c r="F329" i="18"/>
  <c r="J330" i="18"/>
  <c r="F330" i="18"/>
  <c r="J493" i="37"/>
  <c r="G135" i="66"/>
  <c r="J321" i="41"/>
  <c r="D30" i="57"/>
  <c r="E394" i="38"/>
  <c r="N135" i="66" s="1"/>
  <c r="J494" i="37"/>
  <c r="E397" i="38"/>
  <c r="N279" i="66" s="1"/>
  <c r="G279" i="66"/>
  <c r="D69" i="57"/>
  <c r="J494" i="58"/>
  <c r="J493" i="58"/>
  <c r="G280" i="66" s="1"/>
  <c r="O280" i="66" s="1"/>
  <c r="D70" i="57"/>
  <c r="G257" i="66"/>
  <c r="J258" i="41"/>
  <c r="F76" i="18"/>
  <c r="J76" i="18"/>
  <c r="J38" i="18"/>
  <c r="F38" i="18"/>
  <c r="J371" i="41"/>
  <c r="J84" i="18"/>
  <c r="F84" i="18"/>
  <c r="J359" i="41"/>
  <c r="J35" i="18"/>
  <c r="F35" i="18"/>
  <c r="F78" i="18"/>
  <c r="H92" i="35" a="1"/>
  <c r="H92" i="35" s="1"/>
  <c r="H97" i="35" a="1"/>
  <c r="H97" i="35" s="1"/>
  <c r="H100" i="35" a="1"/>
  <c r="H100" i="35" s="1"/>
  <c r="H95" i="35" a="1"/>
  <c r="H95" i="35" s="1"/>
  <c r="G271" i="18" a="1"/>
  <c r="G271" i="18" s="1"/>
  <c r="G281" i="18" a="1"/>
  <c r="G281" i="18" s="1"/>
  <c r="G273" i="18" a="1"/>
  <c r="G273" i="18" s="1"/>
  <c r="G276" i="18" a="1"/>
  <c r="G276" i="18" s="1"/>
  <c r="H96" i="35" a="1"/>
  <c r="H96" i="35" s="1"/>
  <c r="G280" i="18" a="1"/>
  <c r="G280" i="18" s="1"/>
  <c r="H98" i="35" a="1"/>
  <c r="H98" i="35" s="1"/>
  <c r="G270" i="18" a="1"/>
  <c r="G270" i="18" s="1"/>
  <c r="G269" i="18" a="1"/>
  <c r="G269" i="18" s="1"/>
  <c r="G279" i="18" a="1"/>
  <c r="G279" i="18" s="1"/>
  <c r="H87" i="35" a="1"/>
  <c r="H87" i="35" s="1"/>
  <c r="H88" i="35" a="1"/>
  <c r="H88" i="35" s="1"/>
  <c r="G274" i="18" a="1"/>
  <c r="G274" i="18" s="1"/>
  <c r="G272" i="18" a="1"/>
  <c r="G272" i="18" s="1"/>
  <c r="H91" i="35" a="1"/>
  <c r="H91" i="35" s="1"/>
  <c r="H93" i="35" a="1"/>
  <c r="H93" i="35" s="1"/>
  <c r="H99" i="35" a="1"/>
  <c r="H99" i="35" s="1"/>
  <c r="G275" i="18" a="1"/>
  <c r="G275" i="18" s="1"/>
  <c r="F47" i="20"/>
  <c r="G277" i="18" a="1"/>
  <c r="G277" i="18" s="1"/>
  <c r="H89" i="35" a="1"/>
  <c r="H89" i="35" s="1"/>
  <c r="H90" i="35" a="1"/>
  <c r="H90" i="35" s="1"/>
  <c r="H94" i="35" a="1"/>
  <c r="H94" i="35" s="1"/>
  <c r="G278" i="18" a="1"/>
  <c r="G278" i="18" s="1"/>
  <c r="G268" i="18" a="1"/>
  <c r="G268" i="18" s="1"/>
  <c r="J333" i="41"/>
  <c r="F335" i="18"/>
  <c r="J335" i="18"/>
  <c r="J237" i="41"/>
  <c r="J73" i="18"/>
  <c r="F73" i="18"/>
  <c r="J360" i="41"/>
  <c r="F295" i="18"/>
  <c r="J295" i="18"/>
  <c r="F32" i="18"/>
  <c r="J32" i="18"/>
  <c r="F37" i="18"/>
  <c r="J37" i="18"/>
  <c r="J293" i="18"/>
  <c r="F293" i="18"/>
  <c r="D40" i="57"/>
  <c r="J387" i="41"/>
  <c r="E28" i="53"/>
  <c r="F28" i="53" s="1"/>
  <c r="G131" i="66"/>
  <c r="J31" i="18"/>
  <c r="F31" i="18"/>
  <c r="D71" i="57"/>
  <c r="G259" i="66"/>
  <c r="O259" i="66" s="1"/>
  <c r="J335" i="41"/>
  <c r="F80" i="18"/>
  <c r="J80" i="18"/>
  <c r="J370" i="41"/>
  <c r="J322" i="41"/>
  <c r="J240" i="41"/>
  <c r="F326" i="18"/>
  <c r="J326" i="18"/>
  <c r="J227" i="41" l="1"/>
  <c r="C54" i="63"/>
  <c r="F40" i="18"/>
  <c r="J238" i="41"/>
  <c r="G245" i="66"/>
  <c r="O245" i="66" s="1"/>
  <c r="G265" i="66"/>
  <c r="O265" i="66" s="1"/>
  <c r="D31" i="57"/>
  <c r="M48" i="39"/>
  <c r="G254" i="66"/>
  <c r="O254" i="66" s="1"/>
  <c r="D77" i="57"/>
  <c r="E48" i="39"/>
  <c r="J167" i="41"/>
  <c r="J369" i="41"/>
  <c r="G260" i="66"/>
  <c r="J225" i="41"/>
  <c r="J36" i="18"/>
  <c r="E32" i="53"/>
  <c r="F43" i="18"/>
  <c r="D29" i="57"/>
  <c r="G101" i="66"/>
  <c r="J39" i="18"/>
  <c r="G120" i="66"/>
  <c r="G120" i="74" s="1"/>
  <c r="D39" i="57"/>
  <c r="G282" i="66"/>
  <c r="G138" i="74" s="1"/>
  <c r="O3" i="58"/>
  <c r="E49" i="39"/>
  <c r="E130" i="38" s="1"/>
  <c r="J457" i="37" s="1"/>
  <c r="M49" i="39"/>
  <c r="E181" i="38" s="1"/>
  <c r="K257" i="66" s="1"/>
  <c r="G113" i="66"/>
  <c r="G113" i="74" s="1"/>
  <c r="J396" i="41"/>
  <c r="E34" i="53"/>
  <c r="F34" i="53" s="1"/>
  <c r="H28" i="53" s="1"/>
  <c r="G28" i="53" s="1"/>
  <c r="G111" i="66"/>
  <c r="D36" i="57"/>
  <c r="G275" i="66"/>
  <c r="J328" i="18"/>
  <c r="J83" i="18"/>
  <c r="M51" i="39"/>
  <c r="E183" i="38" s="1"/>
  <c r="J465" i="58" s="1"/>
  <c r="G116" i="66"/>
  <c r="G115" i="66"/>
  <c r="G115" i="74" s="1"/>
  <c r="M47" i="39"/>
  <c r="E179" i="38" s="1"/>
  <c r="D32" i="53" s="1"/>
  <c r="J75" i="18"/>
  <c r="G126" i="66"/>
  <c r="G126" i="74" s="1"/>
  <c r="O7" i="41"/>
  <c r="J303" i="41"/>
  <c r="J184" i="41"/>
  <c r="N135" i="74"/>
  <c r="D32" i="57"/>
  <c r="E403" i="38"/>
  <c r="C24" i="63"/>
  <c r="O279" i="66"/>
  <c r="E400" i="38"/>
  <c r="J495" i="37" s="1"/>
  <c r="E51" i="39"/>
  <c r="E132" i="38" s="1"/>
  <c r="K138" i="66" s="1"/>
  <c r="I274" i="18"/>
  <c r="H274" i="18"/>
  <c r="I318" i="18"/>
  <c r="H318" i="18"/>
  <c r="H278" i="18"/>
  <c r="I278" i="18"/>
  <c r="I226" i="58"/>
  <c r="I228" i="58"/>
  <c r="I227" i="58"/>
  <c r="I225" i="58"/>
  <c r="I267" i="58"/>
  <c r="I269" i="58"/>
  <c r="I268" i="58"/>
  <c r="G136" i="66"/>
  <c r="J493" i="41"/>
  <c r="I310" i="18"/>
  <c r="H310" i="18"/>
  <c r="I379" i="58"/>
  <c r="I380" i="58"/>
  <c r="I378" i="58"/>
  <c r="H22" i="18"/>
  <c r="I22" i="18"/>
  <c r="I389" i="37"/>
  <c r="I387" i="37"/>
  <c r="I388" i="37"/>
  <c r="E47" i="39"/>
  <c r="E128" i="38" s="1"/>
  <c r="I153" i="37"/>
  <c r="I156" i="37"/>
  <c r="I155" i="37"/>
  <c r="I154" i="37"/>
  <c r="I237" i="37"/>
  <c r="I240" i="37"/>
  <c r="I239" i="37"/>
  <c r="I238" i="37"/>
  <c r="I295" i="37"/>
  <c r="I296" i="37"/>
  <c r="I294" i="37"/>
  <c r="O121" i="66"/>
  <c r="H34" i="53"/>
  <c r="H271" i="18"/>
  <c r="I271" i="18"/>
  <c r="I144" i="58"/>
  <c r="I141" i="58"/>
  <c r="I142" i="58"/>
  <c r="I143" i="58"/>
  <c r="I405" i="58"/>
  <c r="I406" i="58"/>
  <c r="I407" i="58"/>
  <c r="E180" i="38"/>
  <c r="I414" i="58"/>
  <c r="I415" i="58"/>
  <c r="I416" i="58"/>
  <c r="I322" i="18"/>
  <c r="H322" i="18"/>
  <c r="I24" i="18"/>
  <c r="H24" i="18"/>
  <c r="I305" i="37"/>
  <c r="I303" i="37"/>
  <c r="I304" i="37"/>
  <c r="I200" i="37"/>
  <c r="I198" i="37"/>
  <c r="I199" i="37"/>
  <c r="I69" i="18"/>
  <c r="H69" i="18"/>
  <c r="H66" i="18"/>
  <c r="I66" i="18"/>
  <c r="I276" i="18"/>
  <c r="H276" i="18"/>
  <c r="I183" i="58"/>
  <c r="I167" i="58"/>
  <c r="I166" i="58"/>
  <c r="I185" i="58"/>
  <c r="I184" i="58"/>
  <c r="I165" i="58"/>
  <c r="I281" i="18"/>
  <c r="H281" i="18"/>
  <c r="I208" i="58"/>
  <c r="I209" i="58"/>
  <c r="I207" i="58"/>
  <c r="I279" i="18"/>
  <c r="H279" i="18"/>
  <c r="I348" i="58"/>
  <c r="I346" i="58"/>
  <c r="I347" i="58"/>
  <c r="I345" i="58"/>
  <c r="G281" i="66"/>
  <c r="E33" i="53"/>
  <c r="F33" i="53" s="1"/>
  <c r="I333" i="58"/>
  <c r="I335" i="58"/>
  <c r="I334" i="58"/>
  <c r="I336" i="58"/>
  <c r="I321" i="18"/>
  <c r="H321" i="18"/>
  <c r="H320" i="18"/>
  <c r="I320" i="18"/>
  <c r="I269" i="37"/>
  <c r="I268" i="37"/>
  <c r="I267" i="37"/>
  <c r="I226" i="37"/>
  <c r="I225" i="37"/>
  <c r="I228" i="37"/>
  <c r="I227" i="37"/>
  <c r="I360" i="37"/>
  <c r="I359" i="37"/>
  <c r="I358" i="37"/>
  <c r="I357" i="37"/>
  <c r="H63" i="18"/>
  <c r="I63" i="18"/>
  <c r="H60" i="18"/>
  <c r="I60" i="18"/>
  <c r="I276" i="58"/>
  <c r="I277" i="58"/>
  <c r="I278" i="58"/>
  <c r="I240" i="58"/>
  <c r="I238" i="58"/>
  <c r="I237" i="58"/>
  <c r="I239" i="58"/>
  <c r="I313" i="18"/>
  <c r="H313" i="18"/>
  <c r="I28" i="18"/>
  <c r="H28" i="18"/>
  <c r="I61" i="18"/>
  <c r="H61" i="18"/>
  <c r="H62" i="18"/>
  <c r="I62" i="18"/>
  <c r="H64" i="18"/>
  <c r="I64" i="18"/>
  <c r="J494" i="41"/>
  <c r="E27" i="53"/>
  <c r="F27" i="53" s="1"/>
  <c r="G137" i="66"/>
  <c r="I319" i="18"/>
  <c r="H319" i="18"/>
  <c r="I304" i="58"/>
  <c r="I305" i="58"/>
  <c r="I303" i="58"/>
  <c r="I321" i="58"/>
  <c r="I323" i="58"/>
  <c r="I322" i="58"/>
  <c r="I324" i="58"/>
  <c r="I269" i="18"/>
  <c r="H269" i="18"/>
  <c r="I190" i="58"/>
  <c r="I191" i="58"/>
  <c r="I189" i="58"/>
  <c r="O111" i="66"/>
  <c r="G111" i="74"/>
  <c r="I314" i="18"/>
  <c r="H314" i="18"/>
  <c r="I316" i="18"/>
  <c r="H316" i="18"/>
  <c r="I216" i="58"/>
  <c r="I217" i="58"/>
  <c r="I218" i="58"/>
  <c r="H23" i="18"/>
  <c r="I23" i="18"/>
  <c r="I189" i="37"/>
  <c r="I191" i="37"/>
  <c r="I190" i="37"/>
  <c r="I218" i="37"/>
  <c r="I217" i="37"/>
  <c r="I216" i="37"/>
  <c r="I260" i="37"/>
  <c r="I258" i="37"/>
  <c r="I259" i="37"/>
  <c r="J496" i="58"/>
  <c r="J497" i="58"/>
  <c r="J495" i="58"/>
  <c r="I250" i="58"/>
  <c r="I251" i="58"/>
  <c r="I249" i="58"/>
  <c r="G135" i="74"/>
  <c r="O135" i="66"/>
  <c r="H270" i="18"/>
  <c r="I270" i="18"/>
  <c r="I370" i="58"/>
  <c r="I371" i="58"/>
  <c r="I369" i="58"/>
  <c r="I312" i="18"/>
  <c r="H312" i="18"/>
  <c r="I313" i="58"/>
  <c r="I312" i="58"/>
  <c r="I314" i="58"/>
  <c r="H317" i="18"/>
  <c r="I317" i="18"/>
  <c r="I19" i="18"/>
  <c r="H19" i="18"/>
  <c r="H16" i="18"/>
  <c r="I16" i="18"/>
  <c r="I59" i="18"/>
  <c r="H59" i="18"/>
  <c r="H67" i="18"/>
  <c r="I67" i="18"/>
  <c r="G122" i="74"/>
  <c r="H277" i="18"/>
  <c r="I277" i="18"/>
  <c r="I275" i="18"/>
  <c r="H275" i="18"/>
  <c r="I280" i="18"/>
  <c r="H280" i="18"/>
  <c r="O101" i="66"/>
  <c r="G101" i="74"/>
  <c r="I258" i="58"/>
  <c r="I260" i="58"/>
  <c r="I259" i="58"/>
  <c r="I396" i="58"/>
  <c r="I397" i="58"/>
  <c r="I398" i="58"/>
  <c r="I174" i="58"/>
  <c r="I175" i="58"/>
  <c r="I188" i="58"/>
  <c r="I186" i="58"/>
  <c r="I187" i="58"/>
  <c r="I176" i="58"/>
  <c r="H26" i="18"/>
  <c r="I26" i="18"/>
  <c r="I406" i="37"/>
  <c r="I405" i="37"/>
  <c r="I407" i="37"/>
  <c r="I396" i="37"/>
  <c r="I398" i="37"/>
  <c r="I397" i="37"/>
  <c r="I313" i="37"/>
  <c r="I312" i="37"/>
  <c r="I314" i="37"/>
  <c r="E129" i="38"/>
  <c r="I199" i="58"/>
  <c r="I200" i="58"/>
  <c r="I198" i="58"/>
  <c r="O130" i="66"/>
  <c r="G130" i="74"/>
  <c r="I251" i="37"/>
  <c r="I250" i="37"/>
  <c r="I249" i="37"/>
  <c r="I324" i="37"/>
  <c r="I323" i="37"/>
  <c r="I322" i="37"/>
  <c r="I321" i="37"/>
  <c r="I370" i="37"/>
  <c r="I369" i="37"/>
  <c r="I371" i="37"/>
  <c r="H68" i="18"/>
  <c r="I68" i="18"/>
  <c r="I58" i="18"/>
  <c r="H58" i="18"/>
  <c r="I294" i="58"/>
  <c r="I296" i="58"/>
  <c r="I295" i="58"/>
  <c r="I21" i="18"/>
  <c r="H21" i="18"/>
  <c r="H27" i="18"/>
  <c r="I27" i="18"/>
  <c r="H18" i="18"/>
  <c r="I18" i="18"/>
  <c r="I414" i="37"/>
  <c r="I416" i="37"/>
  <c r="I416" i="41" s="1"/>
  <c r="I415" i="37"/>
  <c r="I415" i="41" s="1"/>
  <c r="H65" i="18"/>
  <c r="I65" i="18"/>
  <c r="I273" i="18"/>
  <c r="H273" i="18"/>
  <c r="H315" i="18"/>
  <c r="I315" i="18"/>
  <c r="I153" i="58"/>
  <c r="I155" i="58"/>
  <c r="I156" i="58"/>
  <c r="I154" i="58"/>
  <c r="I208" i="37"/>
  <c r="I208" i="41" s="1"/>
  <c r="I209" i="37"/>
  <c r="I207" i="37"/>
  <c r="I25" i="18"/>
  <c r="H25" i="18"/>
  <c r="H29" i="18"/>
  <c r="I29" i="18"/>
  <c r="I278" i="37"/>
  <c r="I277" i="37"/>
  <c r="I276" i="37"/>
  <c r="I276" i="41" s="1"/>
  <c r="G131" i="74"/>
  <c r="I387" i="58"/>
  <c r="I389" i="58"/>
  <c r="I388" i="58"/>
  <c r="I323" i="18"/>
  <c r="H323" i="18"/>
  <c r="H311" i="18"/>
  <c r="I311" i="18"/>
  <c r="I347" i="37"/>
  <c r="I346" i="37"/>
  <c r="I348" i="37"/>
  <c r="I345" i="37"/>
  <c r="I167" i="37"/>
  <c r="I183" i="37"/>
  <c r="I183" i="41" s="1"/>
  <c r="I185" i="37"/>
  <c r="I184" i="37"/>
  <c r="I165" i="37"/>
  <c r="I166" i="37"/>
  <c r="I20" i="18"/>
  <c r="H20" i="18"/>
  <c r="H70" i="18"/>
  <c r="I70" i="18"/>
  <c r="I378" i="37"/>
  <c r="I378" i="41" s="1"/>
  <c r="I380" i="37"/>
  <c r="I380" i="41" s="1"/>
  <c r="I379" i="37"/>
  <c r="I379" i="41" s="1"/>
  <c r="I286" i="58"/>
  <c r="I287" i="58"/>
  <c r="I285" i="58"/>
  <c r="H272" i="18"/>
  <c r="I272" i="18"/>
  <c r="H268" i="18"/>
  <c r="I268" i="18"/>
  <c r="I360" i="58"/>
  <c r="I359" i="58"/>
  <c r="I358" i="58"/>
  <c r="I357" i="58"/>
  <c r="I143" i="37"/>
  <c r="I144" i="37"/>
  <c r="I141" i="37"/>
  <c r="I142" i="37"/>
  <c r="I287" i="37"/>
  <c r="I286" i="37"/>
  <c r="I285" i="37"/>
  <c r="H17" i="18"/>
  <c r="I17" i="18"/>
  <c r="I176" i="37"/>
  <c r="I188" i="37"/>
  <c r="I174" i="37"/>
  <c r="I187" i="37"/>
  <c r="I175" i="37"/>
  <c r="I175" i="41" s="1"/>
  <c r="I186" i="37"/>
  <c r="I186" i="41" s="1"/>
  <c r="I335" i="37"/>
  <c r="I335" i="41" s="1"/>
  <c r="I333" i="37"/>
  <c r="I333" i="41" s="1"/>
  <c r="I334" i="37"/>
  <c r="I336" i="37"/>
  <c r="I336" i="41" s="1"/>
  <c r="H71" i="18"/>
  <c r="I71" i="18"/>
  <c r="O110" i="66"/>
  <c r="G110" i="74"/>
  <c r="G121" i="74" l="1"/>
  <c r="G116" i="74"/>
  <c r="I167" i="41"/>
  <c r="O115" i="66"/>
  <c r="Z259" i="66" s="1"/>
  <c r="I348" i="41"/>
  <c r="K113" i="66"/>
  <c r="I227" i="41"/>
  <c r="F32" i="53"/>
  <c r="I187" i="41"/>
  <c r="G34" i="53"/>
  <c r="E340" i="38" s="1"/>
  <c r="I414" i="41"/>
  <c r="I166" i="41"/>
  <c r="I334" i="41"/>
  <c r="I209" i="41"/>
  <c r="I346" i="41"/>
  <c r="O120" i="66"/>
  <c r="I277" i="41"/>
  <c r="I269" i="41"/>
  <c r="I188" i="41"/>
  <c r="I406" i="41"/>
  <c r="I184" i="41"/>
  <c r="J457" i="58"/>
  <c r="J457" i="41" s="1"/>
  <c r="I278" i="41"/>
  <c r="I405" i="41"/>
  <c r="I226" i="41"/>
  <c r="I174" i="41"/>
  <c r="I268" i="41"/>
  <c r="I407" i="41"/>
  <c r="K282" i="66"/>
  <c r="O282" i="66" s="1"/>
  <c r="I371" i="41"/>
  <c r="I228" i="41"/>
  <c r="I322" i="41"/>
  <c r="I314" i="41"/>
  <c r="I217" i="41"/>
  <c r="J455" i="58"/>
  <c r="I250" i="41"/>
  <c r="I185" i="41"/>
  <c r="N8" i="41" s="1"/>
  <c r="E50" i="39"/>
  <c r="E131" i="38" s="1"/>
  <c r="M50" i="39"/>
  <c r="E182" i="38" s="1"/>
  <c r="I323" i="41"/>
  <c r="K260" i="66"/>
  <c r="I324" i="41"/>
  <c r="I313" i="41"/>
  <c r="I347" i="41"/>
  <c r="I312" i="41"/>
  <c r="I176" i="41"/>
  <c r="I251" i="41"/>
  <c r="I216" i="41"/>
  <c r="I370" i="41"/>
  <c r="I397" i="41"/>
  <c r="G24" i="39"/>
  <c r="O138" i="66"/>
  <c r="J465" i="37"/>
  <c r="J465" i="41" s="1"/>
  <c r="J497" i="37"/>
  <c r="E408" i="38" s="1"/>
  <c r="J496" i="37"/>
  <c r="E409" i="38" s="1"/>
  <c r="I396" i="41"/>
  <c r="I287" i="41"/>
  <c r="E334" i="38"/>
  <c r="E328" i="38"/>
  <c r="AC115" i="74"/>
  <c r="O115" i="74"/>
  <c r="D17" i="57"/>
  <c r="I321" i="41"/>
  <c r="G87" i="66"/>
  <c r="E393" i="38"/>
  <c r="N87" i="66" s="1"/>
  <c r="I494" i="37"/>
  <c r="I493" i="37"/>
  <c r="J456" i="37"/>
  <c r="K122" i="66"/>
  <c r="F16" i="18"/>
  <c r="J16" i="18"/>
  <c r="I259" i="41"/>
  <c r="F269" i="18"/>
  <c r="J269" i="18"/>
  <c r="I225" i="41"/>
  <c r="D16" i="57"/>
  <c r="G53" i="66"/>
  <c r="I295" i="41"/>
  <c r="I389" i="41"/>
  <c r="X257" i="66"/>
  <c r="T257" i="66"/>
  <c r="Q257" i="66"/>
  <c r="J71" i="18"/>
  <c r="F71" i="18"/>
  <c r="J17" i="18"/>
  <c r="F17" i="18"/>
  <c r="I285" i="41"/>
  <c r="G82" i="66"/>
  <c r="D24" i="57"/>
  <c r="F268" i="18"/>
  <c r="J268" i="18"/>
  <c r="F311" i="18"/>
  <c r="J311" i="18"/>
  <c r="E23" i="34"/>
  <c r="O101" i="74"/>
  <c r="AC101" i="74"/>
  <c r="I258" i="41"/>
  <c r="F64" i="18"/>
  <c r="J64" i="18"/>
  <c r="J313" i="18"/>
  <c r="F313" i="18"/>
  <c r="H27" i="53"/>
  <c r="G27" i="53" s="1"/>
  <c r="F281" i="18"/>
  <c r="J281" i="18"/>
  <c r="F322" i="18"/>
  <c r="J322" i="18"/>
  <c r="E20" i="53"/>
  <c r="G212" i="66"/>
  <c r="I238" i="41"/>
  <c r="F22" i="18"/>
  <c r="J22" i="18"/>
  <c r="G207" i="66"/>
  <c r="O207" i="66" s="1"/>
  <c r="D62" i="57"/>
  <c r="Z254" i="66"/>
  <c r="AA254" i="66"/>
  <c r="AA110" i="66"/>
  <c r="Z110" i="66"/>
  <c r="I286" i="41"/>
  <c r="J20" i="18"/>
  <c r="F20" i="18"/>
  <c r="AA101" i="66"/>
  <c r="J5" i="6"/>
  <c r="AA245" i="66"/>
  <c r="Z245" i="66"/>
  <c r="Z101" i="66"/>
  <c r="J270" i="18"/>
  <c r="F270" i="18"/>
  <c r="I260" i="41"/>
  <c r="J60" i="18"/>
  <c r="F60" i="18"/>
  <c r="G63" i="66"/>
  <c r="D23" i="57"/>
  <c r="I267" i="41"/>
  <c r="G211" i="66"/>
  <c r="O211" i="66" s="1"/>
  <c r="D58" i="57"/>
  <c r="J69" i="18"/>
  <c r="F69" i="18"/>
  <c r="D54" i="57"/>
  <c r="G218" i="66"/>
  <c r="I239" i="41"/>
  <c r="G197" i="66"/>
  <c r="O197" i="66" s="1"/>
  <c r="D55" i="57"/>
  <c r="F19" i="18"/>
  <c r="J19" i="18"/>
  <c r="J316" i="18"/>
  <c r="F316" i="18"/>
  <c r="F62" i="18"/>
  <c r="J62" i="18"/>
  <c r="G206" i="66"/>
  <c r="O206" i="66" s="1"/>
  <c r="D64" i="57"/>
  <c r="I199" i="41"/>
  <c r="C44" i="63"/>
  <c r="I240" i="41"/>
  <c r="Q138" i="66"/>
  <c r="T138" i="66"/>
  <c r="X138" i="66"/>
  <c r="K138" i="74"/>
  <c r="O138" i="74" s="1"/>
  <c r="J272" i="18"/>
  <c r="F272" i="18"/>
  <c r="J315" i="18"/>
  <c r="F315" i="18"/>
  <c r="I142" i="41"/>
  <c r="G68" i="66"/>
  <c r="E14" i="53"/>
  <c r="G67" i="66"/>
  <c r="D19" i="57"/>
  <c r="I165" i="41"/>
  <c r="J323" i="18"/>
  <c r="F323" i="18"/>
  <c r="J29" i="18"/>
  <c r="F29" i="18"/>
  <c r="J18" i="18"/>
  <c r="F18" i="18"/>
  <c r="J58" i="18"/>
  <c r="F58" i="18"/>
  <c r="N3" i="37"/>
  <c r="I249" i="41"/>
  <c r="D21" i="57"/>
  <c r="G90" i="66"/>
  <c r="F280" i="18"/>
  <c r="J280" i="18"/>
  <c r="F317" i="18"/>
  <c r="J317" i="18"/>
  <c r="AA279" i="66"/>
  <c r="Z279" i="66"/>
  <c r="AA135" i="66"/>
  <c r="Z135" i="66"/>
  <c r="I493" i="58"/>
  <c r="G232" i="66" s="1"/>
  <c r="O232" i="66" s="1"/>
  <c r="I494" i="58"/>
  <c r="E396" i="38"/>
  <c r="N231" i="66" s="1"/>
  <c r="D56" i="57"/>
  <c r="G231" i="66"/>
  <c r="J63" i="18"/>
  <c r="F63" i="18"/>
  <c r="I198" i="41"/>
  <c r="F271" i="18"/>
  <c r="J271" i="18"/>
  <c r="I237" i="41"/>
  <c r="AA115" i="66"/>
  <c r="AA259" i="66"/>
  <c r="Z115" i="66"/>
  <c r="D15" i="57"/>
  <c r="I141" i="41"/>
  <c r="G74" i="66"/>
  <c r="D63" i="57"/>
  <c r="G226" i="66"/>
  <c r="O226" i="66" s="1"/>
  <c r="H26" i="53"/>
  <c r="F68" i="18"/>
  <c r="J68" i="18"/>
  <c r="AC135" i="74"/>
  <c r="O135" i="74"/>
  <c r="I218" i="41"/>
  <c r="F314" i="18"/>
  <c r="J314" i="18"/>
  <c r="G222" i="66"/>
  <c r="D61" i="57"/>
  <c r="F320" i="18"/>
  <c r="J320" i="18"/>
  <c r="I200" i="41"/>
  <c r="J456" i="58"/>
  <c r="K266" i="66"/>
  <c r="I154" i="41"/>
  <c r="O110" i="74"/>
  <c r="AC110" i="74"/>
  <c r="C14" i="63"/>
  <c r="I144" i="41"/>
  <c r="J27" i="18"/>
  <c r="F27" i="18"/>
  <c r="I398" i="41"/>
  <c r="J275" i="18"/>
  <c r="F275" i="18"/>
  <c r="AA282" i="66"/>
  <c r="Z282" i="66"/>
  <c r="Z138" i="66"/>
  <c r="AA138" i="66"/>
  <c r="P138" i="66"/>
  <c r="N3" i="58"/>
  <c r="D60" i="57"/>
  <c r="G234" i="66"/>
  <c r="I190" i="41"/>
  <c r="O111" i="74"/>
  <c r="AC111" i="74"/>
  <c r="J61" i="18"/>
  <c r="F61" i="18"/>
  <c r="I357" i="41"/>
  <c r="I155" i="41"/>
  <c r="J278" i="18"/>
  <c r="F278" i="18"/>
  <c r="C31" i="63"/>
  <c r="J495" i="41"/>
  <c r="O3" i="41" s="1"/>
  <c r="C22" i="63"/>
  <c r="I143" i="41"/>
  <c r="F25" i="18"/>
  <c r="J25" i="18"/>
  <c r="J273" i="18"/>
  <c r="F273" i="18"/>
  <c r="T113" i="66"/>
  <c r="Q113" i="66"/>
  <c r="X113" i="66"/>
  <c r="K113" i="74"/>
  <c r="AC130" i="74"/>
  <c r="O130" i="74"/>
  <c r="Z264" i="66"/>
  <c r="AA264" i="66"/>
  <c r="Z120" i="66"/>
  <c r="AA120" i="66"/>
  <c r="I191" i="41"/>
  <c r="Z111" i="66"/>
  <c r="AA111" i="66"/>
  <c r="Z255" i="66"/>
  <c r="AA255" i="66"/>
  <c r="I358" i="41"/>
  <c r="I304" i="41"/>
  <c r="I156" i="41"/>
  <c r="T282" i="66"/>
  <c r="X282" i="66"/>
  <c r="Q282" i="66"/>
  <c r="G227" i="66"/>
  <c r="D66" i="57"/>
  <c r="E22" i="53"/>
  <c r="F22" i="53" s="1"/>
  <c r="D18" i="57"/>
  <c r="I207" i="41"/>
  <c r="G65" i="66"/>
  <c r="J65" i="18"/>
  <c r="F65" i="18"/>
  <c r="AA130" i="66"/>
  <c r="AA274" i="66"/>
  <c r="Z130" i="66"/>
  <c r="Z274" i="66"/>
  <c r="AC120" i="74"/>
  <c r="O120" i="74"/>
  <c r="J67" i="18"/>
  <c r="F67" i="18"/>
  <c r="G73" i="66"/>
  <c r="I189" i="41"/>
  <c r="D20" i="57"/>
  <c r="D59" i="57"/>
  <c r="G217" i="66"/>
  <c r="O217" i="66" s="1"/>
  <c r="I359" i="41"/>
  <c r="F321" i="18"/>
  <c r="J321" i="18"/>
  <c r="F279" i="18"/>
  <c r="J279" i="18"/>
  <c r="D22" i="57"/>
  <c r="I303" i="41"/>
  <c r="L50" i="39" s="1"/>
  <c r="E165" i="38" s="1"/>
  <c r="G78" i="66"/>
  <c r="Z265" i="66"/>
  <c r="Z121" i="66"/>
  <c r="AA265" i="66"/>
  <c r="AA121" i="66"/>
  <c r="I153" i="41"/>
  <c r="D48" i="39" s="1"/>
  <c r="F310" i="18"/>
  <c r="J310" i="18"/>
  <c r="I345" i="41"/>
  <c r="D25" i="57"/>
  <c r="G62" i="66"/>
  <c r="J21" i="18"/>
  <c r="F21" i="18"/>
  <c r="F277" i="18"/>
  <c r="J277" i="18"/>
  <c r="C61" i="63"/>
  <c r="C52" i="63"/>
  <c r="F23" i="18"/>
  <c r="J23" i="18"/>
  <c r="J319" i="18"/>
  <c r="F319" i="18"/>
  <c r="I360" i="41"/>
  <c r="G209" i="66"/>
  <c r="D57" i="57"/>
  <c r="F276" i="18"/>
  <c r="J276" i="18"/>
  <c r="I305" i="41"/>
  <c r="O121" i="74"/>
  <c r="AC121" i="74"/>
  <c r="J455" i="37"/>
  <c r="D26" i="53"/>
  <c r="F26" i="53" s="1"/>
  <c r="K116" i="66"/>
  <c r="F318" i="18"/>
  <c r="J318" i="18"/>
  <c r="D26" i="57"/>
  <c r="I369" i="41"/>
  <c r="G72" i="66"/>
  <c r="F312" i="18"/>
  <c r="J312" i="18"/>
  <c r="E414" i="38"/>
  <c r="G276" i="66"/>
  <c r="G137" i="74"/>
  <c r="P282" i="66"/>
  <c r="I294" i="41"/>
  <c r="I388" i="41"/>
  <c r="G136" i="74"/>
  <c r="O136" i="66"/>
  <c r="T260" i="66"/>
  <c r="X260" i="66"/>
  <c r="F70" i="18"/>
  <c r="J70" i="18"/>
  <c r="F26" i="18"/>
  <c r="J26" i="18"/>
  <c r="F59" i="18"/>
  <c r="J59" i="18"/>
  <c r="G216" i="66"/>
  <c r="O216" i="66" s="1"/>
  <c r="D65" i="57"/>
  <c r="E415" i="38"/>
  <c r="G277" i="66"/>
  <c r="H33" i="53"/>
  <c r="G33" i="53" s="1"/>
  <c r="F28" i="18"/>
  <c r="J28" i="18"/>
  <c r="F66" i="18"/>
  <c r="J66" i="18"/>
  <c r="J24" i="18"/>
  <c r="F24" i="18"/>
  <c r="I296" i="41"/>
  <c r="D27" i="57"/>
  <c r="I387" i="41"/>
  <c r="E16" i="53"/>
  <c r="F16" i="53" s="1"/>
  <c r="G83" i="66"/>
  <c r="F274" i="18"/>
  <c r="J274" i="18"/>
  <c r="E346" i="38" l="1"/>
  <c r="N275" i="66" s="1"/>
  <c r="D49" i="39"/>
  <c r="E113" i="38" s="1"/>
  <c r="K65" i="66" s="1"/>
  <c r="N9" i="41"/>
  <c r="N7" i="41"/>
  <c r="D51" i="39"/>
  <c r="E115" i="38" s="1"/>
  <c r="I465" i="37" s="1"/>
  <c r="G132" i="66"/>
  <c r="J497" i="41"/>
  <c r="K270" i="66"/>
  <c r="J464" i="58"/>
  <c r="J464" i="37"/>
  <c r="K126" i="66"/>
  <c r="AC138" i="74"/>
  <c r="AD138" i="74" s="1"/>
  <c r="H32" i="77" s="1"/>
  <c r="D47" i="39"/>
  <c r="E111" i="38" s="1"/>
  <c r="K68" i="66" s="1"/>
  <c r="J496" i="41"/>
  <c r="G133" i="66"/>
  <c r="G133" i="74" s="1"/>
  <c r="L51" i="39"/>
  <c r="E166" i="38" s="1"/>
  <c r="I465" i="58" s="1"/>
  <c r="L47" i="39"/>
  <c r="E162" i="38" s="1"/>
  <c r="I455" i="58" s="1"/>
  <c r="L48" i="39"/>
  <c r="E163" i="38" s="1"/>
  <c r="D50" i="39"/>
  <c r="E114" i="38" s="1"/>
  <c r="I464" i="37" s="1"/>
  <c r="I464" i="58"/>
  <c r="K222" i="66"/>
  <c r="O222" i="66" s="1"/>
  <c r="E345" i="38"/>
  <c r="N281" i="66" s="1"/>
  <c r="E339" i="38"/>
  <c r="G73" i="74"/>
  <c r="O73" i="66"/>
  <c r="G65" i="74"/>
  <c r="AD111" i="74"/>
  <c r="H24" i="77" s="1"/>
  <c r="AE111" i="74"/>
  <c r="AF111" i="74" s="1"/>
  <c r="E24" i="77" s="1"/>
  <c r="AA110" i="74"/>
  <c r="Z110" i="74"/>
  <c r="M132" i="66"/>
  <c r="O132" i="66" s="1"/>
  <c r="J488" i="37"/>
  <c r="E399" i="38"/>
  <c r="AA101" i="74"/>
  <c r="Z101" i="74"/>
  <c r="J456" i="41"/>
  <c r="H32" i="53"/>
  <c r="G32" i="53" s="1"/>
  <c r="G26" i="53"/>
  <c r="AA111" i="74"/>
  <c r="Z111" i="74"/>
  <c r="I493" i="41"/>
  <c r="G88" i="66"/>
  <c r="J455" i="41"/>
  <c r="AA130" i="74"/>
  <c r="Z130" i="74"/>
  <c r="G74" i="74"/>
  <c r="G68" i="74"/>
  <c r="G82" i="74"/>
  <c r="O82" i="66"/>
  <c r="I494" i="41"/>
  <c r="E15" i="53"/>
  <c r="F15" i="53" s="1"/>
  <c r="G89" i="66"/>
  <c r="E112" i="38"/>
  <c r="G53" i="74"/>
  <c r="O53" i="66"/>
  <c r="N87" i="74"/>
  <c r="J487" i="37"/>
  <c r="M133" i="66"/>
  <c r="AA136" i="66"/>
  <c r="AA280" i="66"/>
  <c r="Z136" i="66"/>
  <c r="Z280" i="66"/>
  <c r="AA121" i="74"/>
  <c r="Z121" i="74"/>
  <c r="AD120" i="74"/>
  <c r="AE120" i="74"/>
  <c r="AF120" i="74" s="1"/>
  <c r="Q113" i="74"/>
  <c r="T113" i="74"/>
  <c r="X113" i="74"/>
  <c r="Z135" i="74"/>
  <c r="AA135" i="74"/>
  <c r="O63" i="66"/>
  <c r="G63" i="74"/>
  <c r="M275" i="66"/>
  <c r="J483" i="58"/>
  <c r="G87" i="74"/>
  <c r="O87" i="66"/>
  <c r="J488" i="58"/>
  <c r="M276" i="66"/>
  <c r="O276" i="66" s="1"/>
  <c r="T266" i="66"/>
  <c r="X266" i="66"/>
  <c r="Q266" i="66"/>
  <c r="O266" i="66"/>
  <c r="AE135" i="74"/>
  <c r="AF135" i="74" s="1"/>
  <c r="AD135" i="74"/>
  <c r="E402" i="38"/>
  <c r="D20" i="53" s="1"/>
  <c r="F20" i="53" s="1"/>
  <c r="E24" i="34"/>
  <c r="E15" i="34"/>
  <c r="AD121" i="74"/>
  <c r="H28" i="77" s="1"/>
  <c r="AE121" i="74"/>
  <c r="AF121" i="74" s="1"/>
  <c r="E28" i="77" s="1"/>
  <c r="AA120" i="74"/>
  <c r="Z120" i="74"/>
  <c r="V138" i="66"/>
  <c r="W138" i="66"/>
  <c r="Y138" i="66" s="1"/>
  <c r="R138" i="66"/>
  <c r="S138" i="66" s="1"/>
  <c r="U138" i="66" s="1"/>
  <c r="P138" i="74"/>
  <c r="Z138" i="74"/>
  <c r="AA138" i="74"/>
  <c r="O231" i="66"/>
  <c r="AA115" i="74"/>
  <c r="Z115" i="74"/>
  <c r="O72" i="66"/>
  <c r="G72" i="74"/>
  <c r="AD130" i="74"/>
  <c r="AE130" i="74"/>
  <c r="AF130" i="74" s="1"/>
  <c r="L49" i="39"/>
  <c r="E164" i="38" s="1"/>
  <c r="AD115" i="74"/>
  <c r="H26" i="77" s="1"/>
  <c r="AE115" i="74"/>
  <c r="AF115" i="74" s="1"/>
  <c r="E26" i="77" s="1"/>
  <c r="M277" i="66"/>
  <c r="O277" i="66" s="1"/>
  <c r="J487" i="58"/>
  <c r="W282" i="66"/>
  <c r="Y282" i="66" s="1"/>
  <c r="R282" i="66"/>
  <c r="S282" i="66" s="1"/>
  <c r="U282" i="66" s="1"/>
  <c r="V282" i="66"/>
  <c r="G90" i="74"/>
  <c r="X138" i="74"/>
  <c r="Q138" i="74"/>
  <c r="T138" i="74"/>
  <c r="M131" i="66"/>
  <c r="J483" i="37"/>
  <c r="H22" i="53"/>
  <c r="G22" i="53" s="1"/>
  <c r="H16" i="53"/>
  <c r="G16" i="53" s="1"/>
  <c r="E333" i="38"/>
  <c r="E327" i="38"/>
  <c r="G78" i="74"/>
  <c r="G132" i="74"/>
  <c r="G233" i="66"/>
  <c r="E21" i="53"/>
  <c r="F21" i="53" s="1"/>
  <c r="D18" i="8"/>
  <c r="N131" i="66"/>
  <c r="N131" i="74" s="1"/>
  <c r="T116" i="66"/>
  <c r="X116" i="66"/>
  <c r="K116" i="74"/>
  <c r="AC136" i="74"/>
  <c r="O136" i="74"/>
  <c r="G83" i="74"/>
  <c r="G62" i="74"/>
  <c r="O62" i="66"/>
  <c r="AD110" i="74"/>
  <c r="AE110" i="74"/>
  <c r="AF110" i="74" s="1"/>
  <c r="G67" i="74"/>
  <c r="O67" i="66"/>
  <c r="AD101" i="74"/>
  <c r="H22" i="77" s="1"/>
  <c r="AE101" i="74"/>
  <c r="AF101" i="74" s="1"/>
  <c r="E22" i="77" s="1"/>
  <c r="K122" i="74"/>
  <c r="T122" i="66"/>
  <c r="X122" i="66"/>
  <c r="Q122" i="66"/>
  <c r="O122" i="66"/>
  <c r="G21" i="39"/>
  <c r="I457" i="37" l="1"/>
  <c r="D14" i="53"/>
  <c r="F14" i="53" s="1"/>
  <c r="H20" i="53" s="1"/>
  <c r="G20" i="53" s="1"/>
  <c r="I455" i="37"/>
  <c r="AE138" i="74"/>
  <c r="AF138" i="74" s="1"/>
  <c r="E32" i="77" s="1"/>
  <c r="K90" i="66"/>
  <c r="O90" i="66" s="1"/>
  <c r="O133" i="66"/>
  <c r="P133" i="66" s="1"/>
  <c r="K78" i="66"/>
  <c r="O78" i="66" s="1"/>
  <c r="P222" i="66" s="1"/>
  <c r="K234" i="66"/>
  <c r="G23" i="39"/>
  <c r="T126" i="66"/>
  <c r="X126" i="66"/>
  <c r="K126" i="74"/>
  <c r="O126" i="66"/>
  <c r="Q126" i="66"/>
  <c r="J464" i="41"/>
  <c r="O270" i="66"/>
  <c r="X270" i="66"/>
  <c r="T270" i="66"/>
  <c r="Q270" i="66"/>
  <c r="I464" i="41"/>
  <c r="P276" i="66"/>
  <c r="V276" i="66" s="1"/>
  <c r="J483" i="41"/>
  <c r="K212" i="66"/>
  <c r="K68" i="74" s="1"/>
  <c r="E316" i="38"/>
  <c r="E322" i="38"/>
  <c r="N227" i="66" s="1"/>
  <c r="H14" i="53"/>
  <c r="Z133" i="66"/>
  <c r="Z277" i="66"/>
  <c r="AA133" i="66"/>
  <c r="T122" i="74"/>
  <c r="Q122" i="74"/>
  <c r="X122" i="74"/>
  <c r="AC122" i="74"/>
  <c r="O122" i="74"/>
  <c r="X116" i="74"/>
  <c r="T116" i="74"/>
  <c r="K209" i="66"/>
  <c r="K65" i="74" s="1"/>
  <c r="I457" i="58"/>
  <c r="AC87" i="74"/>
  <c r="O87" i="74"/>
  <c r="Z226" i="66"/>
  <c r="Z82" i="66"/>
  <c r="AA226" i="66"/>
  <c r="AA82" i="66"/>
  <c r="E332" i="38"/>
  <c r="E326" i="38"/>
  <c r="H15" i="53"/>
  <c r="Z266" i="66"/>
  <c r="Z122" i="66"/>
  <c r="AA122" i="66"/>
  <c r="AA266" i="66"/>
  <c r="P122" i="66"/>
  <c r="Z276" i="66"/>
  <c r="AA276" i="66"/>
  <c r="Z132" i="66"/>
  <c r="AA132" i="66"/>
  <c r="P132" i="66"/>
  <c r="E310" i="38"/>
  <c r="E304" i="38"/>
  <c r="W138" i="74"/>
  <c r="Y138" i="74" s="1"/>
  <c r="V138" i="74"/>
  <c r="R138" i="74"/>
  <c r="S138" i="74" s="1"/>
  <c r="U138" i="74" s="1"/>
  <c r="O82" i="74"/>
  <c r="AC82" i="74"/>
  <c r="E344" i="38"/>
  <c r="N260" i="66" s="1"/>
  <c r="E338" i="38"/>
  <c r="O67" i="74"/>
  <c r="AC67" i="74"/>
  <c r="AA62" i="66"/>
  <c r="Z206" i="66"/>
  <c r="Z62" i="66"/>
  <c r="AA206" i="66"/>
  <c r="Q275" i="66"/>
  <c r="O275" i="66"/>
  <c r="I5" i="6"/>
  <c r="Z53" i="66"/>
  <c r="Z197" i="66"/>
  <c r="AA197" i="66"/>
  <c r="AA53" i="66"/>
  <c r="O62" i="74"/>
  <c r="AC62" i="74"/>
  <c r="P266" i="66"/>
  <c r="O63" i="74"/>
  <c r="AC63" i="74"/>
  <c r="O53" i="74"/>
  <c r="AC53" i="74"/>
  <c r="G88" i="74"/>
  <c r="O88" i="66"/>
  <c r="D23" i="34"/>
  <c r="D24" i="34" s="1"/>
  <c r="I455" i="41"/>
  <c r="X90" i="66"/>
  <c r="K90" i="74"/>
  <c r="O90" i="74" s="1"/>
  <c r="M131" i="74"/>
  <c r="Q131" i="66"/>
  <c r="O131" i="66"/>
  <c r="Z216" i="66"/>
  <c r="AA216" i="66"/>
  <c r="Z72" i="66"/>
  <c r="AA72" i="66"/>
  <c r="I465" i="41"/>
  <c r="O72" i="74"/>
  <c r="AC72" i="74"/>
  <c r="E21" i="34"/>
  <c r="E275" i="38"/>
  <c r="D15" i="34"/>
  <c r="E14" i="34"/>
  <c r="E230" i="38"/>
  <c r="Z63" i="66"/>
  <c r="Z207" i="66"/>
  <c r="AA207" i="66"/>
  <c r="AA63" i="66"/>
  <c r="Q277" i="66"/>
  <c r="X68" i="66"/>
  <c r="T68" i="66"/>
  <c r="I495" i="37"/>
  <c r="I496" i="37"/>
  <c r="I497" i="37"/>
  <c r="Z217" i="66"/>
  <c r="AA73" i="66"/>
  <c r="Z73" i="66"/>
  <c r="AA217" i="66"/>
  <c r="Q222" i="66"/>
  <c r="T222" i="66"/>
  <c r="X222" i="66"/>
  <c r="AA136" i="74"/>
  <c r="Z136" i="74"/>
  <c r="T234" i="66"/>
  <c r="Q234" i="66"/>
  <c r="X234" i="66"/>
  <c r="I456" i="37"/>
  <c r="K74" i="66"/>
  <c r="J488" i="41"/>
  <c r="AC73" i="74"/>
  <c r="O73" i="74"/>
  <c r="J482" i="37"/>
  <c r="M137" i="66"/>
  <c r="AD136" i="74"/>
  <c r="AE136" i="74"/>
  <c r="AF136" i="74" s="1"/>
  <c r="D17" i="8"/>
  <c r="N137" i="66"/>
  <c r="N137" i="74" s="1"/>
  <c r="Q132" i="66"/>
  <c r="M132" i="74"/>
  <c r="O132" i="74" s="1"/>
  <c r="I457" i="41"/>
  <c r="Z67" i="66"/>
  <c r="Z211" i="66"/>
  <c r="AA211" i="66"/>
  <c r="AA67" i="66"/>
  <c r="Q276" i="66"/>
  <c r="G89" i="74"/>
  <c r="T65" i="66"/>
  <c r="X65" i="66"/>
  <c r="Q65" i="66"/>
  <c r="M133" i="74"/>
  <c r="AC133" i="74" s="1"/>
  <c r="Q133" i="66"/>
  <c r="H21" i="53"/>
  <c r="G21" i="53" s="1"/>
  <c r="G15" i="53"/>
  <c r="I495" i="58"/>
  <c r="I496" i="58"/>
  <c r="I497" i="58"/>
  <c r="Z87" i="66"/>
  <c r="AA87" i="66"/>
  <c r="AA231" i="66"/>
  <c r="Z231" i="66"/>
  <c r="J487" i="41"/>
  <c r="J482" i="58"/>
  <c r="M281" i="66"/>
  <c r="I456" i="58"/>
  <c r="K218" i="66"/>
  <c r="P277" i="66" l="1"/>
  <c r="V277" i="66" s="1"/>
  <c r="AA277" i="66"/>
  <c r="T212" i="66"/>
  <c r="X212" i="66"/>
  <c r="T90" i="66"/>
  <c r="R276" i="66"/>
  <c r="S276" i="66" s="1"/>
  <c r="U276" i="66" s="1"/>
  <c r="W276" i="66"/>
  <c r="Y276" i="66" s="1"/>
  <c r="G14" i="53"/>
  <c r="Q90" i="66"/>
  <c r="P78" i="66"/>
  <c r="AA222" i="66"/>
  <c r="AA78" i="66"/>
  <c r="Z78" i="66"/>
  <c r="Z222" i="66"/>
  <c r="F23" i="39"/>
  <c r="T78" i="66"/>
  <c r="Q78" i="66"/>
  <c r="K78" i="74"/>
  <c r="AC78" i="74" s="1"/>
  <c r="X78" i="66"/>
  <c r="P270" i="66"/>
  <c r="V270" i="66" s="1"/>
  <c r="O234" i="66"/>
  <c r="F24" i="39"/>
  <c r="AA126" i="66"/>
  <c r="Z126" i="66"/>
  <c r="Z270" i="66"/>
  <c r="P126" i="66"/>
  <c r="AA270" i="66"/>
  <c r="O126" i="74"/>
  <c r="AC126" i="74"/>
  <c r="T126" i="74"/>
  <c r="Q126" i="74"/>
  <c r="X126" i="74"/>
  <c r="O133" i="74"/>
  <c r="O78" i="74"/>
  <c r="P78" i="74" s="1"/>
  <c r="R277" i="66"/>
  <c r="S277" i="66" s="1"/>
  <c r="U277" i="66" s="1"/>
  <c r="AE133" i="74"/>
  <c r="AF133" i="74" s="1"/>
  <c r="AD133" i="74"/>
  <c r="E320" i="38"/>
  <c r="N212" i="66" s="1"/>
  <c r="E314" i="38"/>
  <c r="P132" i="74"/>
  <c r="AA132" i="74"/>
  <c r="Z132" i="74"/>
  <c r="E315" i="38"/>
  <c r="E321" i="38"/>
  <c r="N233" i="66" s="1"/>
  <c r="M137" i="74"/>
  <c r="Q137" i="66"/>
  <c r="O137" i="66"/>
  <c r="AA90" i="74"/>
  <c r="P90" i="74"/>
  <c r="Z90" i="74"/>
  <c r="Z72" i="74"/>
  <c r="AA72" i="74"/>
  <c r="Q131" i="74"/>
  <c r="AC131" i="74"/>
  <c r="O131" i="74"/>
  <c r="AA62" i="74"/>
  <c r="Z62" i="74"/>
  <c r="AD122" i="74"/>
  <c r="AE122" i="74"/>
  <c r="AF122" i="74" s="1"/>
  <c r="C21" i="63"/>
  <c r="I495" i="41"/>
  <c r="N3" i="41" s="1"/>
  <c r="C12" i="63"/>
  <c r="T65" i="74"/>
  <c r="Q65" i="74"/>
  <c r="X65" i="74"/>
  <c r="Q132" i="74"/>
  <c r="X90" i="74"/>
  <c r="T90" i="74"/>
  <c r="Q90" i="74"/>
  <c r="AE82" i="74"/>
  <c r="AF82" i="74" s="1"/>
  <c r="AD82" i="74"/>
  <c r="W122" i="66"/>
  <c r="Y122" i="66" s="1"/>
  <c r="V122" i="66"/>
  <c r="R122" i="66"/>
  <c r="S122" i="66" s="1"/>
  <c r="U122" i="66" s="1"/>
  <c r="J481" i="37"/>
  <c r="M116" i="66"/>
  <c r="AD73" i="74"/>
  <c r="G28" i="77" s="1"/>
  <c r="AE73" i="74"/>
  <c r="AF73" i="74" s="1"/>
  <c r="D28" i="77" s="1"/>
  <c r="G228" i="66"/>
  <c r="E412" i="38"/>
  <c r="AA73" i="74"/>
  <c r="Z73" i="74"/>
  <c r="AA88" i="66"/>
  <c r="Z232" i="66"/>
  <c r="AA232" i="66"/>
  <c r="Z88" i="66"/>
  <c r="Z82" i="74"/>
  <c r="AA82" i="74"/>
  <c r="D16" i="8"/>
  <c r="N116" i="66"/>
  <c r="O88" i="74"/>
  <c r="AC88" i="74"/>
  <c r="R222" i="66"/>
  <c r="S222" i="66" s="1"/>
  <c r="U222" i="66" s="1"/>
  <c r="V222" i="66"/>
  <c r="W222" i="66"/>
  <c r="Y222" i="66" s="1"/>
  <c r="E406" i="38"/>
  <c r="I497" i="41"/>
  <c r="G84" i="66"/>
  <c r="AE53" i="74"/>
  <c r="AF53" i="74" s="1"/>
  <c r="D22" i="77" s="1"/>
  <c r="AD53" i="74"/>
  <c r="G22" i="77" s="1"/>
  <c r="C51" i="63"/>
  <c r="C42" i="63"/>
  <c r="Q218" i="66"/>
  <c r="T218" i="66"/>
  <c r="X218" i="66"/>
  <c r="O218" i="66"/>
  <c r="I496" i="41"/>
  <c r="E407" i="38"/>
  <c r="G85" i="66"/>
  <c r="AA53" i="74"/>
  <c r="Z53" i="74"/>
  <c r="AE67" i="74"/>
  <c r="AF67" i="74" s="1"/>
  <c r="D26" i="77" s="1"/>
  <c r="AD67" i="74"/>
  <c r="G26" i="77" s="1"/>
  <c r="E309" i="38"/>
  <c r="E303" i="38"/>
  <c r="H114" i="66"/>
  <c r="J452" i="37"/>
  <c r="E388" i="38"/>
  <c r="AD63" i="74"/>
  <c r="G24" i="77" s="1"/>
  <c r="AE63" i="74"/>
  <c r="AF63" i="74" s="1"/>
  <c r="D24" i="77" s="1"/>
  <c r="Z67" i="74"/>
  <c r="AA67" i="74"/>
  <c r="M83" i="66"/>
  <c r="I483" i="37"/>
  <c r="E302" i="38"/>
  <c r="E308" i="38"/>
  <c r="T74" i="66"/>
  <c r="X74" i="66"/>
  <c r="Q74" i="66"/>
  <c r="K74" i="74"/>
  <c r="F21" i="39"/>
  <c r="O74" i="66"/>
  <c r="X68" i="74"/>
  <c r="T68" i="74"/>
  <c r="E274" i="38"/>
  <c r="E18" i="34"/>
  <c r="E229" i="38"/>
  <c r="AA63" i="74"/>
  <c r="Z63" i="74"/>
  <c r="C18" i="8"/>
  <c r="N83" i="66"/>
  <c r="N83" i="74" s="1"/>
  <c r="AA87" i="74"/>
  <c r="Z87" i="74"/>
  <c r="Q281" i="66"/>
  <c r="O281" i="66"/>
  <c r="D21" i="34"/>
  <c r="E215" i="38"/>
  <c r="D14" i="34"/>
  <c r="E260" i="38"/>
  <c r="W266" i="66"/>
  <c r="Y266" i="66" s="1"/>
  <c r="V266" i="66"/>
  <c r="R266" i="66"/>
  <c r="S266" i="66" s="1"/>
  <c r="U266" i="66" s="1"/>
  <c r="P275" i="66"/>
  <c r="W132" i="66"/>
  <c r="Y132" i="66" s="1"/>
  <c r="V132" i="66"/>
  <c r="R132" i="66"/>
  <c r="S132" i="66" s="1"/>
  <c r="U132" i="66" s="1"/>
  <c r="AE87" i="74"/>
  <c r="AF87" i="74" s="1"/>
  <c r="AD87" i="74"/>
  <c r="I483" i="58"/>
  <c r="M227" i="66"/>
  <c r="V78" i="66"/>
  <c r="R78" i="66"/>
  <c r="S78" i="66" s="1"/>
  <c r="H258" i="66"/>
  <c r="J452" i="58"/>
  <c r="E391" i="38"/>
  <c r="Z131" i="66"/>
  <c r="P131" i="66"/>
  <c r="AA275" i="66"/>
  <c r="AA131" i="66"/>
  <c r="Z275" i="66"/>
  <c r="AA78" i="74"/>
  <c r="W133" i="66"/>
  <c r="Y133" i="66" s="1"/>
  <c r="V133" i="66"/>
  <c r="R133" i="66"/>
  <c r="S133" i="66" s="1"/>
  <c r="U133" i="66" s="1"/>
  <c r="Z133" i="74"/>
  <c r="AA133" i="74"/>
  <c r="P133" i="74"/>
  <c r="I456" i="41"/>
  <c r="Q133" i="74"/>
  <c r="AE78" i="74"/>
  <c r="AF78" i="74" s="1"/>
  <c r="AD78" i="74"/>
  <c r="T209" i="66"/>
  <c r="X209" i="66"/>
  <c r="Q209" i="66"/>
  <c r="G229" i="66"/>
  <c r="E413" i="38"/>
  <c r="J482" i="41"/>
  <c r="AC90" i="74"/>
  <c r="AE72" i="74"/>
  <c r="AF72" i="74" s="1"/>
  <c r="AD72" i="74"/>
  <c r="AE62" i="74"/>
  <c r="AF62" i="74" s="1"/>
  <c r="AD62" i="74"/>
  <c r="AC132" i="74"/>
  <c r="J481" i="58"/>
  <c r="M260" i="66"/>
  <c r="Z122" i="74"/>
  <c r="AA122" i="74"/>
  <c r="P122" i="74"/>
  <c r="W277" i="66" l="1"/>
  <c r="Y277" i="66" s="1"/>
  <c r="Z78" i="74"/>
  <c r="P281" i="66"/>
  <c r="R281" i="66" s="1"/>
  <c r="S281" i="66" s="1"/>
  <c r="U281" i="66" s="1"/>
  <c r="W78" i="66"/>
  <c r="Y78" i="66" s="1"/>
  <c r="U78" i="66"/>
  <c r="Q78" i="74"/>
  <c r="T78" i="74"/>
  <c r="X78" i="74"/>
  <c r="R270" i="66"/>
  <c r="S270" i="66" s="1"/>
  <c r="U270" i="66" s="1"/>
  <c r="W270" i="66"/>
  <c r="Y270" i="66" s="1"/>
  <c r="Z90" i="66"/>
  <c r="P234" i="66"/>
  <c r="Z234" i="66"/>
  <c r="P90" i="66"/>
  <c r="AA234" i="66"/>
  <c r="AA90" i="66"/>
  <c r="AE126" i="74"/>
  <c r="AF126" i="74" s="1"/>
  <c r="E29" i="77" s="1"/>
  <c r="AD126" i="74"/>
  <c r="H29" i="77" s="1"/>
  <c r="AA126" i="74"/>
  <c r="Z126" i="74"/>
  <c r="P126" i="74"/>
  <c r="R126" i="66"/>
  <c r="S126" i="66" s="1"/>
  <c r="U126" i="66" s="1"/>
  <c r="V126" i="66"/>
  <c r="W126" i="66"/>
  <c r="Y126" i="66" s="1"/>
  <c r="I487" i="58"/>
  <c r="M229" i="66"/>
  <c r="O229" i="66" s="1"/>
  <c r="V133" i="74"/>
  <c r="R133" i="74"/>
  <c r="S133" i="74" s="1"/>
  <c r="U133" i="74" s="1"/>
  <c r="W133" i="74"/>
  <c r="Y133" i="74" s="1"/>
  <c r="H210" i="66"/>
  <c r="I452" i="58"/>
  <c r="E390" i="38"/>
  <c r="AD88" i="74"/>
  <c r="AE88" i="74"/>
  <c r="AF88" i="74" s="1"/>
  <c r="I488" i="58"/>
  <c r="M228" i="66"/>
  <c r="O228" i="66" s="1"/>
  <c r="R131" i="66"/>
  <c r="S131" i="66" s="1"/>
  <c r="U131" i="66" s="1"/>
  <c r="W131" i="66"/>
  <c r="Y131" i="66" s="1"/>
  <c r="V131" i="66"/>
  <c r="G85" i="74"/>
  <c r="Z88" i="74"/>
  <c r="AA88" i="74"/>
  <c r="I452" i="37"/>
  <c r="H66" i="66"/>
  <c r="E387" i="38"/>
  <c r="I487" i="37"/>
  <c r="M85" i="66"/>
  <c r="O85" i="66" s="1"/>
  <c r="G84" i="74"/>
  <c r="N116" i="74"/>
  <c r="G20" i="39"/>
  <c r="I482" i="58"/>
  <c r="M233" i="66"/>
  <c r="J490" i="58"/>
  <c r="G258" i="66" s="1"/>
  <c r="O258" i="66" s="1"/>
  <c r="N257" i="66"/>
  <c r="O257" i="66" s="1"/>
  <c r="J491" i="58"/>
  <c r="G251" i="66" s="1"/>
  <c r="J492" i="58"/>
  <c r="N113" i="66"/>
  <c r="J491" i="37"/>
  <c r="J490" i="37"/>
  <c r="J492" i="37"/>
  <c r="W281" i="66"/>
  <c r="Y281" i="66" s="1"/>
  <c r="V281" i="66"/>
  <c r="J452" i="41"/>
  <c r="P218" i="66"/>
  <c r="I488" i="37"/>
  <c r="M84" i="66"/>
  <c r="O84" i="66" s="1"/>
  <c r="V90" i="74"/>
  <c r="R90" i="74"/>
  <c r="S90" i="74" s="1"/>
  <c r="U90" i="74" s="1"/>
  <c r="W90" i="74"/>
  <c r="Y90" i="74" s="1"/>
  <c r="H107" i="66"/>
  <c r="J451" i="37"/>
  <c r="H114" i="74"/>
  <c r="M116" i="74"/>
  <c r="O116" i="66"/>
  <c r="Q116" i="66"/>
  <c r="W132" i="74"/>
  <c r="Y132" i="74" s="1"/>
  <c r="V132" i="74"/>
  <c r="R132" i="74"/>
  <c r="S132" i="74" s="1"/>
  <c r="U132" i="74" s="1"/>
  <c r="J451" i="58"/>
  <c r="H251" i="66"/>
  <c r="N68" i="66"/>
  <c r="C16" i="8"/>
  <c r="V78" i="74"/>
  <c r="W78" i="74"/>
  <c r="Y78" i="74" s="1"/>
  <c r="R78" i="74"/>
  <c r="S78" i="74" s="1"/>
  <c r="U78" i="74" s="1"/>
  <c r="M68" i="66"/>
  <c r="I481" i="37"/>
  <c r="I482" i="37"/>
  <c r="M89" i="66"/>
  <c r="J481" i="41"/>
  <c r="P137" i="66"/>
  <c r="AA281" i="66"/>
  <c r="Z281" i="66"/>
  <c r="Z137" i="66"/>
  <c r="AA137" i="66"/>
  <c r="M212" i="66"/>
  <c r="I481" i="58"/>
  <c r="Q227" i="66"/>
  <c r="O227" i="66"/>
  <c r="AD132" i="74"/>
  <c r="AE132" i="74"/>
  <c r="AF132" i="74" s="1"/>
  <c r="W122" i="74"/>
  <c r="Y122" i="74" s="1"/>
  <c r="R122" i="74"/>
  <c r="S122" i="74" s="1"/>
  <c r="U122" i="74" s="1"/>
  <c r="V122" i="74"/>
  <c r="I483" i="41"/>
  <c r="N89" i="66"/>
  <c r="N89" i="74" s="1"/>
  <c r="C17" i="8"/>
  <c r="E259" i="38"/>
  <c r="E214" i="38"/>
  <c r="D18" i="34"/>
  <c r="AE90" i="74"/>
  <c r="AF90" i="74" s="1"/>
  <c r="D32" i="77" s="1"/>
  <c r="AD90" i="74"/>
  <c r="G32" i="77" s="1"/>
  <c r="R275" i="66"/>
  <c r="S275" i="66" s="1"/>
  <c r="U275" i="66" s="1"/>
  <c r="V275" i="66"/>
  <c r="W275" i="66"/>
  <c r="Y275" i="66" s="1"/>
  <c r="Z74" i="66"/>
  <c r="AA74" i="66"/>
  <c r="AA218" i="66"/>
  <c r="Z218" i="66"/>
  <c r="P74" i="66"/>
  <c r="Q83" i="66"/>
  <c r="M83" i="74"/>
  <c r="O83" i="66"/>
  <c r="Q137" i="74"/>
  <c r="AC137" i="74"/>
  <c r="O137" i="74"/>
  <c r="AA131" i="74"/>
  <c r="Z131" i="74"/>
  <c r="P131" i="74"/>
  <c r="O260" i="66"/>
  <c r="Q260" i="66"/>
  <c r="Q74" i="74"/>
  <c r="T74" i="74"/>
  <c r="X74" i="74"/>
  <c r="O74" i="74"/>
  <c r="AC74" i="74"/>
  <c r="E9" i="77"/>
  <c r="AE131" i="74"/>
  <c r="E43" i="77" s="1"/>
  <c r="AD131" i="74"/>
  <c r="I482" i="41" l="1"/>
  <c r="P260" i="66"/>
  <c r="R260" i="66" s="1"/>
  <c r="S260" i="66" s="1"/>
  <c r="U260" i="66" s="1"/>
  <c r="W90" i="66"/>
  <c r="Y90" i="66" s="1"/>
  <c r="R90" i="66"/>
  <c r="S90" i="66" s="1"/>
  <c r="U90" i="66" s="1"/>
  <c r="V90" i="66"/>
  <c r="V234" i="66"/>
  <c r="W234" i="66"/>
  <c r="Y234" i="66" s="1"/>
  <c r="R234" i="66"/>
  <c r="S234" i="66" s="1"/>
  <c r="U234" i="66" s="1"/>
  <c r="W126" i="74"/>
  <c r="Y126" i="74" s="1"/>
  <c r="R126" i="74"/>
  <c r="S126" i="74" s="1"/>
  <c r="U126" i="74" s="1"/>
  <c r="V126" i="74"/>
  <c r="I488" i="41"/>
  <c r="I487" i="41"/>
  <c r="O251" i="66"/>
  <c r="AF131" i="74"/>
  <c r="H66" i="74"/>
  <c r="P227" i="66"/>
  <c r="W227" i="66" s="1"/>
  <c r="Y227" i="66" s="1"/>
  <c r="I481" i="41"/>
  <c r="P229" i="66"/>
  <c r="R229" i="66" s="1"/>
  <c r="S229" i="66" s="1"/>
  <c r="U229" i="66" s="1"/>
  <c r="P228" i="66"/>
  <c r="R228" i="66" s="1"/>
  <c r="S228" i="66" s="1"/>
  <c r="U228" i="66" s="1"/>
  <c r="AA84" i="66"/>
  <c r="AA228" i="66"/>
  <c r="Z84" i="66"/>
  <c r="Z228" i="66"/>
  <c r="P84" i="66"/>
  <c r="AA85" i="66"/>
  <c r="P85" i="66"/>
  <c r="Z85" i="66"/>
  <c r="AA229" i="66"/>
  <c r="Z229" i="66"/>
  <c r="H59" i="66"/>
  <c r="I451" i="37"/>
  <c r="V218" i="66"/>
  <c r="R218" i="66"/>
  <c r="S218" i="66" s="1"/>
  <c r="U218" i="66" s="1"/>
  <c r="W218" i="66"/>
  <c r="Y218" i="66" s="1"/>
  <c r="Q89" i="66"/>
  <c r="M89" i="74"/>
  <c r="O89" i="66"/>
  <c r="H203" i="66"/>
  <c r="I451" i="58"/>
  <c r="M68" i="74"/>
  <c r="Q68" i="66"/>
  <c r="O68" i="66"/>
  <c r="Q233" i="66"/>
  <c r="O233" i="66"/>
  <c r="Z116" i="66"/>
  <c r="AA260" i="66"/>
  <c r="Z260" i="66"/>
  <c r="AA116" i="66"/>
  <c r="P116" i="66"/>
  <c r="I491" i="58"/>
  <c r="G203" i="66" s="1"/>
  <c r="O203" i="66" s="1"/>
  <c r="N209" i="66"/>
  <c r="O209" i="66" s="1"/>
  <c r="I490" i="58"/>
  <c r="G210" i="66" s="1"/>
  <c r="O210" i="66" s="1"/>
  <c r="I492" i="58"/>
  <c r="O212" i="66"/>
  <c r="Q212" i="66"/>
  <c r="Q116" i="74"/>
  <c r="O116" i="74"/>
  <c r="AC116" i="74"/>
  <c r="AD74" i="74"/>
  <c r="G29" i="77" s="1"/>
  <c r="AE74" i="74"/>
  <c r="AF74" i="74" s="1"/>
  <c r="D29" i="77" s="1"/>
  <c r="AA137" i="74"/>
  <c r="Z137" i="74"/>
  <c r="P137" i="74"/>
  <c r="AA74" i="74"/>
  <c r="Z74" i="74"/>
  <c r="P74" i="74"/>
  <c r="J451" i="41"/>
  <c r="E44" i="39"/>
  <c r="J492" i="41"/>
  <c r="E17" i="39" s="1"/>
  <c r="G105" i="66"/>
  <c r="AE137" i="74"/>
  <c r="E44" i="77" s="1"/>
  <c r="AD137" i="74"/>
  <c r="H27" i="77" s="1"/>
  <c r="E10" i="77"/>
  <c r="N68" i="74"/>
  <c r="F20" i="39"/>
  <c r="H107" i="74"/>
  <c r="J490" i="41"/>
  <c r="G114" i="66"/>
  <c r="J491" i="41"/>
  <c r="G107" i="66"/>
  <c r="M85" i="74"/>
  <c r="AC85" i="74" s="1"/>
  <c r="Q85" i="66"/>
  <c r="R74" i="66"/>
  <c r="S74" i="66" s="1"/>
  <c r="U74" i="66" s="1"/>
  <c r="V74" i="66"/>
  <c r="W74" i="66"/>
  <c r="Y74" i="66" s="1"/>
  <c r="W131" i="74"/>
  <c r="Y131" i="74" s="1"/>
  <c r="V131" i="74"/>
  <c r="R131" i="74"/>
  <c r="S131" i="74" s="1"/>
  <c r="U131" i="74" s="1"/>
  <c r="P83" i="66"/>
  <c r="Z227" i="66"/>
  <c r="AA227" i="66"/>
  <c r="Z83" i="66"/>
  <c r="AA83" i="66"/>
  <c r="W137" i="66"/>
  <c r="Y137" i="66" s="1"/>
  <c r="R137" i="66"/>
  <c r="S137" i="66" s="1"/>
  <c r="U137" i="66" s="1"/>
  <c r="V137" i="66"/>
  <c r="N113" i="74"/>
  <c r="G22" i="39"/>
  <c r="O113" i="66"/>
  <c r="P257" i="66" s="1"/>
  <c r="N65" i="66"/>
  <c r="I491" i="37"/>
  <c r="I490" i="37"/>
  <c r="I492" i="37"/>
  <c r="Q228" i="66"/>
  <c r="W228" i="66" s="1"/>
  <c r="Y228" i="66" s="1"/>
  <c r="Q83" i="74"/>
  <c r="O83" i="74"/>
  <c r="AC83" i="74"/>
  <c r="Q84" i="66"/>
  <c r="M84" i="74"/>
  <c r="AC84" i="74" s="1"/>
  <c r="Q229" i="66"/>
  <c r="W229" i="66" s="1"/>
  <c r="Y229" i="66" s="1"/>
  <c r="G249" i="66"/>
  <c r="M44" i="39"/>
  <c r="V227" i="66" l="1"/>
  <c r="R227" i="66"/>
  <c r="S227" i="66" s="1"/>
  <c r="U227" i="66" s="1"/>
  <c r="V260" i="66"/>
  <c r="W260" i="66"/>
  <c r="Y260" i="66" s="1"/>
  <c r="P233" i="66"/>
  <c r="V233" i="66" s="1"/>
  <c r="H59" i="74"/>
  <c r="P212" i="66"/>
  <c r="V212" i="66" s="1"/>
  <c r="V228" i="66"/>
  <c r="V229" i="66"/>
  <c r="AF137" i="74"/>
  <c r="E27" i="77" s="1"/>
  <c r="AD85" i="74"/>
  <c r="AE85" i="74"/>
  <c r="AF85" i="74" s="1"/>
  <c r="O107" i="66"/>
  <c r="G107" i="74"/>
  <c r="Q89" i="74"/>
  <c r="AC89" i="74"/>
  <c r="O89" i="74"/>
  <c r="M56" i="39"/>
  <c r="M58" i="39" s="1"/>
  <c r="M59" i="39"/>
  <c r="M60" i="39" s="1"/>
  <c r="E178" i="38"/>
  <c r="I490" i="41"/>
  <c r="G66" i="66"/>
  <c r="W137" i="74"/>
  <c r="Y137" i="74" s="1"/>
  <c r="V137" i="74"/>
  <c r="R137" i="74"/>
  <c r="S137" i="74" s="1"/>
  <c r="U137" i="74" s="1"/>
  <c r="R257" i="66"/>
  <c r="S257" i="66" s="1"/>
  <c r="U257" i="66" s="1"/>
  <c r="V257" i="66"/>
  <c r="W257" i="66"/>
  <c r="Y257" i="66" s="1"/>
  <c r="W233" i="66"/>
  <c r="Y233" i="66" s="1"/>
  <c r="W85" i="66"/>
  <c r="Y85" i="66" s="1"/>
  <c r="R85" i="66"/>
  <c r="S85" i="66" s="1"/>
  <c r="U85" i="66" s="1"/>
  <c r="V85" i="66"/>
  <c r="AC113" i="74"/>
  <c r="O113" i="74"/>
  <c r="AD84" i="74"/>
  <c r="AE84" i="74"/>
  <c r="AF84" i="74" s="1"/>
  <c r="I491" i="41"/>
  <c r="G59" i="66"/>
  <c r="N65" i="74"/>
  <c r="O65" i="66"/>
  <c r="P209" i="66" s="1"/>
  <c r="F22" i="39"/>
  <c r="O114" i="66"/>
  <c r="G114" i="74"/>
  <c r="G57" i="66"/>
  <c r="D44" i="39"/>
  <c r="I492" i="41"/>
  <c r="D17" i="39" s="1"/>
  <c r="V83" i="66"/>
  <c r="R83" i="66"/>
  <c r="S83" i="66" s="1"/>
  <c r="U83" i="66" s="1"/>
  <c r="W83" i="66"/>
  <c r="Y83" i="66" s="1"/>
  <c r="Q84" i="74"/>
  <c r="P113" i="66"/>
  <c r="Z257" i="66"/>
  <c r="AA257" i="66"/>
  <c r="AA113" i="66"/>
  <c r="Z113" i="66"/>
  <c r="O85" i="74"/>
  <c r="V84" i="66"/>
  <c r="W84" i="66"/>
  <c r="Y84" i="66" s="1"/>
  <c r="R84" i="66"/>
  <c r="S84" i="66" s="1"/>
  <c r="U84" i="66" s="1"/>
  <c r="O84" i="74"/>
  <c r="G201" i="66"/>
  <c r="L44" i="39"/>
  <c r="P68" i="66"/>
  <c r="Z68" i="66"/>
  <c r="AA68" i="66"/>
  <c r="AA212" i="66"/>
  <c r="Z212" i="66"/>
  <c r="E29" i="39"/>
  <c r="E30" i="39" s="1"/>
  <c r="E32" i="39"/>
  <c r="E33" i="39" s="1"/>
  <c r="AE116" i="74"/>
  <c r="E41" i="77" s="1"/>
  <c r="E7" i="77"/>
  <c r="AD116" i="74"/>
  <c r="D9" i="77"/>
  <c r="AE83" i="74"/>
  <c r="D43" i="77" s="1"/>
  <c r="AD83" i="74"/>
  <c r="E59" i="39"/>
  <c r="E60" i="39" s="1"/>
  <c r="E56" i="39"/>
  <c r="E58" i="39" s="1"/>
  <c r="E127" i="38"/>
  <c r="AA116" i="74"/>
  <c r="Z116" i="74"/>
  <c r="P116" i="74"/>
  <c r="Q68" i="74"/>
  <c r="AC68" i="74"/>
  <c r="O68" i="74"/>
  <c r="V116" i="66"/>
  <c r="R116" i="66"/>
  <c r="S116" i="66" s="1"/>
  <c r="U116" i="66" s="1"/>
  <c r="W116" i="66"/>
  <c r="Y116" i="66" s="1"/>
  <c r="V74" i="74"/>
  <c r="W74" i="74"/>
  <c r="Y74" i="74" s="1"/>
  <c r="R74" i="74"/>
  <c r="S74" i="74" s="1"/>
  <c r="U74" i="74" s="1"/>
  <c r="G105" i="74"/>
  <c r="P83" i="74"/>
  <c r="AA83" i="74"/>
  <c r="Z83" i="74"/>
  <c r="Q85" i="74"/>
  <c r="AA233" i="66"/>
  <c r="P89" i="66"/>
  <c r="AA89" i="66"/>
  <c r="Z89" i="66"/>
  <c r="Z233" i="66"/>
  <c r="R233" i="66" l="1"/>
  <c r="S233" i="66" s="1"/>
  <c r="U233" i="66" s="1"/>
  <c r="E57" i="39"/>
  <c r="R212" i="66"/>
  <c r="S212" i="66" s="1"/>
  <c r="U212" i="66" s="1"/>
  <c r="W212" i="66"/>
  <c r="Y212" i="66" s="1"/>
  <c r="L17" i="39"/>
  <c r="AF116" i="74"/>
  <c r="W113" i="66"/>
  <c r="Y113" i="66" s="1"/>
  <c r="V113" i="66"/>
  <c r="R113" i="66"/>
  <c r="S113" i="66" s="1"/>
  <c r="U113" i="66" s="1"/>
  <c r="R89" i="66"/>
  <c r="S89" i="66" s="1"/>
  <c r="U89" i="66" s="1"/>
  <c r="W89" i="66"/>
  <c r="Y89" i="66" s="1"/>
  <c r="V89" i="66"/>
  <c r="M57" i="39"/>
  <c r="V83" i="74"/>
  <c r="R83" i="74"/>
  <c r="S83" i="74" s="1"/>
  <c r="U83" i="74" s="1"/>
  <c r="W83" i="74"/>
  <c r="Y83" i="74" s="1"/>
  <c r="W68" i="66"/>
  <c r="Y68" i="66" s="1"/>
  <c r="V68" i="66"/>
  <c r="R68" i="66"/>
  <c r="S68" i="66" s="1"/>
  <c r="U68" i="66" s="1"/>
  <c r="D32" i="39"/>
  <c r="D33" i="39" s="1"/>
  <c r="D29" i="39"/>
  <c r="D30" i="39" s="1"/>
  <c r="P89" i="74"/>
  <c r="Z89" i="74"/>
  <c r="AA89" i="74"/>
  <c r="AF83" i="74"/>
  <c r="L12" i="39"/>
  <c r="AC6" i="39"/>
  <c r="L24" i="39"/>
  <c r="L15" i="39"/>
  <c r="L18" i="39"/>
  <c r="E31" i="39"/>
  <c r="AC5" i="39"/>
  <c r="L26" i="39"/>
  <c r="L28" i="39"/>
  <c r="L25" i="39"/>
  <c r="L22" i="39"/>
  <c r="L20" i="39"/>
  <c r="L27" i="39"/>
  <c r="L14" i="39"/>
  <c r="L23" i="39"/>
  <c r="L16" i="39"/>
  <c r="L13" i="39"/>
  <c r="L19" i="39"/>
  <c r="L21" i="39"/>
  <c r="AA85" i="74"/>
  <c r="Z85" i="74"/>
  <c r="P85" i="74"/>
  <c r="D59" i="39"/>
  <c r="D60" i="39" s="1"/>
  <c r="D56" i="39"/>
  <c r="D58" i="39" s="1"/>
  <c r="E110" i="38"/>
  <c r="AA113" i="74"/>
  <c r="Z113" i="74"/>
  <c r="P113" i="74"/>
  <c r="AE89" i="74"/>
  <c r="D44" i="77" s="1"/>
  <c r="D10" i="77"/>
  <c r="AD89" i="74"/>
  <c r="G27" i="77" s="1"/>
  <c r="G57" i="74"/>
  <c r="AD113" i="74"/>
  <c r="AE113" i="74"/>
  <c r="E40" i="77" s="1"/>
  <c r="E6" i="77"/>
  <c r="P68" i="74"/>
  <c r="AA68" i="74"/>
  <c r="Z68" i="74"/>
  <c r="AE68" i="74"/>
  <c r="D41" i="77" s="1"/>
  <c r="AD68" i="74"/>
  <c r="D7" i="77"/>
  <c r="AC114" i="74"/>
  <c r="O114" i="74"/>
  <c r="AA114" i="66"/>
  <c r="Z258" i="66"/>
  <c r="AA258" i="66"/>
  <c r="Z114" i="66"/>
  <c r="AC107" i="74"/>
  <c r="O107" i="74"/>
  <c r="Z251" i="66"/>
  <c r="AA107" i="66"/>
  <c r="AA251" i="66"/>
  <c r="Z107" i="66"/>
  <c r="W116" i="74"/>
  <c r="Y116" i="74" s="1"/>
  <c r="R116" i="74"/>
  <c r="S116" i="74" s="1"/>
  <c r="U116" i="74" s="1"/>
  <c r="V116" i="74"/>
  <c r="AA209" i="66"/>
  <c r="Z65" i="66"/>
  <c r="P65" i="66"/>
  <c r="AA65" i="66"/>
  <c r="Z209" i="66"/>
  <c r="G66" i="74"/>
  <c r="O66" i="66"/>
  <c r="V209" i="66"/>
  <c r="R209" i="66"/>
  <c r="S209" i="66" s="1"/>
  <c r="U209" i="66" s="1"/>
  <c r="W209" i="66"/>
  <c r="Y209" i="66" s="1"/>
  <c r="L56" i="39"/>
  <c r="L58" i="39" s="1"/>
  <c r="L59" i="39"/>
  <c r="L60" i="39" s="1"/>
  <c r="E161" i="38"/>
  <c r="O65" i="74"/>
  <c r="AC65" i="74"/>
  <c r="O59" i="66"/>
  <c r="G59" i="74"/>
  <c r="K249" i="66"/>
  <c r="J471" i="58"/>
  <c r="J474" i="58"/>
  <c r="K105" i="66"/>
  <c r="J471" i="37"/>
  <c r="J489" i="37" s="1"/>
  <c r="J474" i="37"/>
  <c r="AA84" i="74"/>
  <c r="Z84" i="74"/>
  <c r="P84" i="74"/>
  <c r="H25" i="77" l="1"/>
  <c r="H33" i="77" s="1"/>
  <c r="G247" i="66"/>
  <c r="M247" i="66" s="1"/>
  <c r="Q247" i="66" s="1"/>
  <c r="J489" i="58"/>
  <c r="J489" i="41" s="1"/>
  <c r="AF68" i="74"/>
  <c r="L57" i="39"/>
  <c r="AF113" i="74"/>
  <c r="X105" i="66"/>
  <c r="K105" i="74"/>
  <c r="T105" i="66"/>
  <c r="Q105" i="66"/>
  <c r="G17" i="39"/>
  <c r="O105" i="66"/>
  <c r="AE114" i="74"/>
  <c r="AF114" i="74" s="1"/>
  <c r="AD114" i="74"/>
  <c r="I474" i="37"/>
  <c r="K57" i="66"/>
  <c r="I471" i="37"/>
  <c r="J479" i="58"/>
  <c r="G248" i="66"/>
  <c r="D57" i="39"/>
  <c r="L29" i="39"/>
  <c r="T249" i="66"/>
  <c r="X249" i="66"/>
  <c r="Q249" i="66"/>
  <c r="O249" i="66"/>
  <c r="Z66" i="66"/>
  <c r="Z210" i="66"/>
  <c r="AA210" i="66"/>
  <c r="AA66" i="66"/>
  <c r="AC59" i="74"/>
  <c r="O59" i="74"/>
  <c r="R85" i="74"/>
  <c r="S85" i="74" s="1"/>
  <c r="U85" i="74" s="1"/>
  <c r="V85" i="74"/>
  <c r="W85" i="74"/>
  <c r="Y85" i="74" s="1"/>
  <c r="O66" i="74"/>
  <c r="AC66" i="74"/>
  <c r="Z203" i="66"/>
  <c r="AA59" i="66"/>
  <c r="AA203" i="66"/>
  <c r="Z59" i="66"/>
  <c r="Z107" i="74"/>
  <c r="AA107" i="74"/>
  <c r="R89" i="74"/>
  <c r="S89" i="74" s="1"/>
  <c r="U89" i="74" s="1"/>
  <c r="V89" i="74"/>
  <c r="W89" i="74"/>
  <c r="Y89" i="74" s="1"/>
  <c r="AE107" i="74"/>
  <c r="AF107" i="74" s="1"/>
  <c r="AD107" i="74"/>
  <c r="K16" i="39"/>
  <c r="D31" i="39"/>
  <c r="K12" i="39"/>
  <c r="K13" i="39"/>
  <c r="K22" i="39"/>
  <c r="K27" i="39"/>
  <c r="K25" i="39"/>
  <c r="K21" i="39"/>
  <c r="K24" i="39"/>
  <c r="K20" i="39"/>
  <c r="K23" i="39"/>
  <c r="AB6" i="39"/>
  <c r="K15" i="39"/>
  <c r="K18" i="39"/>
  <c r="K14" i="39"/>
  <c r="AB5" i="39"/>
  <c r="K26" i="39"/>
  <c r="K28" i="39"/>
  <c r="K19" i="39"/>
  <c r="R65" i="66"/>
  <c r="S65" i="66" s="1"/>
  <c r="U65" i="66" s="1"/>
  <c r="V65" i="66"/>
  <c r="W65" i="66"/>
  <c r="Y65" i="66" s="1"/>
  <c r="R68" i="74"/>
  <c r="S68" i="74" s="1"/>
  <c r="U68" i="74" s="1"/>
  <c r="V68" i="74"/>
  <c r="W68" i="74"/>
  <c r="Y68" i="74" s="1"/>
  <c r="AE65" i="74"/>
  <c r="D40" i="77" s="1"/>
  <c r="AD65" i="74"/>
  <c r="D6" i="77"/>
  <c r="V84" i="74"/>
  <c r="R84" i="74"/>
  <c r="S84" i="74" s="1"/>
  <c r="U84" i="74" s="1"/>
  <c r="W84" i="74"/>
  <c r="Y84" i="74" s="1"/>
  <c r="Z65" i="74"/>
  <c r="AA65" i="74"/>
  <c r="P65" i="74"/>
  <c r="AF89" i="74"/>
  <c r="D27" i="77" s="1"/>
  <c r="K17" i="39"/>
  <c r="I471" i="58"/>
  <c r="K201" i="66"/>
  <c r="I474" i="58"/>
  <c r="V113" i="74"/>
  <c r="R113" i="74"/>
  <c r="S113" i="74" s="1"/>
  <c r="U113" i="74" s="1"/>
  <c r="W113" i="74"/>
  <c r="Y113" i="74" s="1"/>
  <c r="J474" i="41"/>
  <c r="J479" i="37"/>
  <c r="G104" i="66"/>
  <c r="J471" i="41"/>
  <c r="G103" i="66"/>
  <c r="Z114" i="74"/>
  <c r="AA114" i="74"/>
  <c r="G25" i="77" l="1"/>
  <c r="G33" i="77" s="1"/>
  <c r="E25" i="77"/>
  <c r="E33" i="77" s="1"/>
  <c r="P249" i="66"/>
  <c r="V249" i="66" s="1"/>
  <c r="I489" i="58"/>
  <c r="G199" i="66"/>
  <c r="M103" i="66"/>
  <c r="G103" i="74"/>
  <c r="I479" i="37"/>
  <c r="I474" i="41"/>
  <c r="G56" i="66"/>
  <c r="O247" i="66"/>
  <c r="W65" i="74"/>
  <c r="Y65" i="74" s="1"/>
  <c r="R65" i="74"/>
  <c r="S65" i="74" s="1"/>
  <c r="U65" i="74" s="1"/>
  <c r="V65" i="74"/>
  <c r="Z66" i="74"/>
  <c r="AA66" i="74"/>
  <c r="X201" i="66"/>
  <c r="Q201" i="66"/>
  <c r="T201" i="66"/>
  <c r="O201" i="66"/>
  <c r="G104" i="74"/>
  <c r="E366" i="38"/>
  <c r="L104" i="66" s="1"/>
  <c r="J479" i="41"/>
  <c r="J480" i="37"/>
  <c r="P105" i="66"/>
  <c r="Z249" i="66"/>
  <c r="AA105" i="66"/>
  <c r="Z105" i="66"/>
  <c r="AA249" i="66"/>
  <c r="AF65" i="74"/>
  <c r="AA59" i="74"/>
  <c r="Z59" i="74"/>
  <c r="AD59" i="74"/>
  <c r="AE59" i="74"/>
  <c r="AF59" i="74" s="1"/>
  <c r="G200" i="66"/>
  <c r="I479" i="58"/>
  <c r="T105" i="74"/>
  <c r="Q105" i="74"/>
  <c r="X105" i="74"/>
  <c r="O105" i="74"/>
  <c r="AC105" i="74"/>
  <c r="K29" i="39"/>
  <c r="E384" i="38"/>
  <c r="L248" i="66" s="1"/>
  <c r="O248" i="66" s="1"/>
  <c r="J480" i="58"/>
  <c r="E385" i="38" s="1"/>
  <c r="L267" i="66" s="1"/>
  <c r="O267" i="66" s="1"/>
  <c r="I471" i="41"/>
  <c r="I489" i="37"/>
  <c r="G55" i="66"/>
  <c r="T57" i="66"/>
  <c r="Q57" i="66"/>
  <c r="X57" i="66"/>
  <c r="K57" i="74"/>
  <c r="F17" i="39"/>
  <c r="O57" i="66"/>
  <c r="AE66" i="74"/>
  <c r="AF66" i="74" s="1"/>
  <c r="AD66" i="74"/>
  <c r="I489" i="41" l="1"/>
  <c r="D25" i="77"/>
  <c r="D33" i="77" s="1"/>
  <c r="L104" i="74"/>
  <c r="O104" i="74" s="1"/>
  <c r="R249" i="66"/>
  <c r="S249" i="66" s="1"/>
  <c r="U249" i="66" s="1"/>
  <c r="W249" i="66"/>
  <c r="Y249" i="66" s="1"/>
  <c r="J480" i="41"/>
  <c r="E367" i="38"/>
  <c r="L123" i="66" s="1"/>
  <c r="P57" i="66"/>
  <c r="AA201" i="66"/>
  <c r="AA57" i="66"/>
  <c r="Z201" i="66"/>
  <c r="Z57" i="66"/>
  <c r="O104" i="66"/>
  <c r="G55" i="74"/>
  <c r="M55" i="66"/>
  <c r="O55" i="66" s="1"/>
  <c r="G56" i="74"/>
  <c r="E378" i="38"/>
  <c r="L200" i="66" s="1"/>
  <c r="O200" i="66" s="1"/>
  <c r="I480" i="58"/>
  <c r="E379" i="38" s="1"/>
  <c r="L219" i="66" s="1"/>
  <c r="O219" i="66" s="1"/>
  <c r="T57" i="74"/>
  <c r="X57" i="74"/>
  <c r="Q57" i="74"/>
  <c r="AC57" i="74"/>
  <c r="O57" i="74"/>
  <c r="Z105" i="74"/>
  <c r="AA105" i="74"/>
  <c r="P105" i="74"/>
  <c r="P201" i="66"/>
  <c r="E4" i="77"/>
  <c r="E11" i="77" s="1"/>
  <c r="AE105" i="74"/>
  <c r="E38" i="77" s="1"/>
  <c r="E45" i="77" s="1"/>
  <c r="AD105" i="74"/>
  <c r="E360" i="38"/>
  <c r="L56" i="66" s="1"/>
  <c r="I479" i="41"/>
  <c r="I480" i="37"/>
  <c r="M103" i="74"/>
  <c r="Q103" i="74" s="1"/>
  <c r="Q103" i="66"/>
  <c r="O103" i="66"/>
  <c r="P247" i="66" s="1"/>
  <c r="M199" i="66"/>
  <c r="Q199" i="66" s="1"/>
  <c r="W105" i="66"/>
  <c r="Y105" i="66" s="1"/>
  <c r="R105" i="66"/>
  <c r="S105" i="66" s="1"/>
  <c r="U105" i="66" s="1"/>
  <c r="V105" i="66"/>
  <c r="AC104" i="74" l="1"/>
  <c r="L56" i="74"/>
  <c r="O56" i="74" s="1"/>
  <c r="AF105" i="74"/>
  <c r="W247" i="66"/>
  <c r="Y247" i="66" s="1"/>
  <c r="R247" i="66"/>
  <c r="V247" i="66"/>
  <c r="I480" i="41"/>
  <c r="E361" i="38"/>
  <c r="L75" i="66" s="1"/>
  <c r="AD57" i="74"/>
  <c r="D4" i="77"/>
  <c r="D11" i="77" s="1"/>
  <c r="AE57" i="74"/>
  <c r="D38" i="77" s="1"/>
  <c r="D45" i="77" s="1"/>
  <c r="R201" i="66"/>
  <c r="S201" i="66" s="1"/>
  <c r="U201" i="66" s="1"/>
  <c r="V201" i="66"/>
  <c r="W201" i="66"/>
  <c r="Y201" i="66" s="1"/>
  <c r="Z104" i="66"/>
  <c r="AA104" i="66"/>
  <c r="Z248" i="66"/>
  <c r="AA248" i="66"/>
  <c r="O199" i="66"/>
  <c r="P199" i="66" s="1"/>
  <c r="Z104" i="74"/>
  <c r="AA104" i="74"/>
  <c r="W57" i="66"/>
  <c r="Y57" i="66" s="1"/>
  <c r="V57" i="66"/>
  <c r="R57" i="66"/>
  <c r="S57" i="66" s="1"/>
  <c r="U57" i="66" s="1"/>
  <c r="O123" i="66"/>
  <c r="L123" i="74"/>
  <c r="O56" i="66"/>
  <c r="O103" i="74"/>
  <c r="AD104" i="74"/>
  <c r="AE104" i="74"/>
  <c r="AF104" i="74" s="1"/>
  <c r="Z103" i="66"/>
  <c r="AA247" i="66"/>
  <c r="P103" i="66"/>
  <c r="Z247" i="66"/>
  <c r="AA103" i="66"/>
  <c r="V105" i="74"/>
  <c r="W105" i="74"/>
  <c r="Y105" i="74" s="1"/>
  <c r="R105" i="74"/>
  <c r="S105" i="74" s="1"/>
  <c r="U105" i="74" s="1"/>
  <c r="AC103" i="74"/>
  <c r="Z57" i="74"/>
  <c r="P57" i="74"/>
  <c r="AA57" i="74"/>
  <c r="M55" i="74"/>
  <c r="Q55" i="74" s="1"/>
  <c r="Q55" i="66"/>
  <c r="Z199" i="66" l="1"/>
  <c r="AA55" i="66"/>
  <c r="AC56" i="74"/>
  <c r="AD56" i="74" s="1"/>
  <c r="P55" i="66"/>
  <c r="W55" i="66" s="1"/>
  <c r="Y55" i="66" s="1"/>
  <c r="Z55" i="66"/>
  <c r="W199" i="66"/>
  <c r="Y199" i="66" s="1"/>
  <c r="V199" i="66"/>
  <c r="R199" i="66"/>
  <c r="AA123" i="66"/>
  <c r="Z267" i="66"/>
  <c r="AA267" i="66"/>
  <c r="Z123" i="66"/>
  <c r="R57" i="74"/>
  <c r="S57" i="74" s="1"/>
  <c r="U57" i="74" s="1"/>
  <c r="W57" i="74"/>
  <c r="Y57" i="74" s="1"/>
  <c r="V57" i="74"/>
  <c r="AE103" i="74"/>
  <c r="AF103" i="74" s="1"/>
  <c r="AD103" i="74"/>
  <c r="O75" i="66"/>
  <c r="L75" i="74"/>
  <c r="Z56" i="74"/>
  <c r="AA56" i="74"/>
  <c r="P103" i="74"/>
  <c r="AA103" i="74"/>
  <c r="Z103" i="74"/>
  <c r="Z56" i="66"/>
  <c r="Z200" i="66"/>
  <c r="AA56" i="66"/>
  <c r="AA200" i="66"/>
  <c r="AC123" i="74"/>
  <c r="O123" i="74"/>
  <c r="AA199" i="66"/>
  <c r="O55" i="74"/>
  <c r="W103" i="66"/>
  <c r="Y103" i="66" s="1"/>
  <c r="V103" i="66"/>
  <c r="R103" i="66"/>
  <c r="AC55" i="74"/>
  <c r="AF57" i="74"/>
  <c r="AE56" i="74" l="1"/>
  <c r="AF56" i="74" s="1"/>
  <c r="V55" i="66"/>
  <c r="R55" i="66"/>
  <c r="O75" i="74"/>
  <c r="AC75" i="74"/>
  <c r="AD55" i="74"/>
  <c r="AE55" i="74"/>
  <c r="AF55" i="74" s="1"/>
  <c r="AA55" i="74"/>
  <c r="Z55" i="74"/>
  <c r="P55" i="74"/>
  <c r="Z123" i="74"/>
  <c r="AA123" i="74"/>
  <c r="AD123" i="74"/>
  <c r="AE123" i="74"/>
  <c r="AF123" i="74" s="1"/>
  <c r="W103" i="74"/>
  <c r="Y103" i="74" s="1"/>
  <c r="V103" i="74"/>
  <c r="R103" i="74"/>
  <c r="AA219" i="66"/>
  <c r="Z75" i="66"/>
  <c r="Z219" i="66"/>
  <c r="AA75" i="66"/>
  <c r="AE75" i="74" l="1"/>
  <c r="AF75" i="74" s="1"/>
  <c r="AD75" i="74"/>
  <c r="Z75" i="74"/>
  <c r="AA75" i="74"/>
  <c r="W55" i="74"/>
  <c r="Y55" i="74" s="1"/>
  <c r="R55" i="74"/>
  <c r="V55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<sst xmlns="http://schemas.openxmlformats.org/spreadsheetml/2006/main" count="5044" uniqueCount="403">
  <si>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</si>
  <si>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</si>
  <si>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</si>
  <si>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</si>
  <si>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</si>
  <si>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</si>
  <si>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</si>
  <si>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</si>
  <si>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</si>
  <si>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</si>
  <si>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</si>
  <si>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</si>
  <si>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</si>
  <si>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</si>
  <si>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</si>
  <si>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</si>
  <si>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</si>
  <si>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</si>
  <si>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</si>
  <si>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</si>
  <si>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</si>
  <si>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</si>
  <si>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</si>
  <si>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</si>
  <si>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</si>
  <si>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</si>
  <si>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</si>
  <si>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</si>
  <si>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</si>
  <si>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</si>
  <si>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</si>
  <si>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</si>
  <si>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</si>
  <si>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</si>
  <si>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</si>
  <si>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</si>
  <si>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</si>
  <si>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</si>
  <si>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</si>
  <si>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</si>
  <si>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</si>
  <si>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</si>
  <si>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</si>
  <si>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</si>
  <si>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</si>
  <si>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</si>
  <si>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</si>
  <si>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</si>
  <si>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</si>
  <si>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</si>
  <si>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</si>
  <si>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</si>
  <si>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</si>
  <si>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</si>
  <si>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</si>
  <si>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</si>
  <si>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</si>
  <si>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</si>
  <si>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</si>
  <si>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</si>
  <si>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</si>
  <si>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</si>
  <si>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</si>
  <si>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</si>
  <si>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</si>
  <si>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</si>
  <si>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</si>
  <si>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</si>
  <si>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</si>
  <si>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</si>
  <si>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</si>
  <si>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</si>
  <si>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</si>
  <si>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</si>
  <si>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</si>
  <si>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</si>
  <si>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</si>
  <si>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</si>
  <si>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</si>
  <si>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</si>
  <si>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</si>
  <si>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</si>
  <si>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</si>
  <si>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</si>
  <si>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</si>
  <si>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</si>
  <si>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</si>
  <si>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</si>
  <si>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</si>
  <si>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</si>
  <si>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</si>
  <si>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</si>
  <si>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</si>
  <si>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</si>
  <si>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</si>
  <si>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</si>
  <si>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</si>
  <si>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</si>
  <si>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</si>
  <si>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</si>
  <si>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</si>
  <si>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</si>
  <si>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</si>
  <si>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</si>
  <si>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</si>
  <si>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</si>
  <si>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</si>
  <si>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</si>
  <si>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</si>
  <si>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</si>
  <si>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</si>
  <si>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</si>
  <si>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</si>
  <si>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</si>
  <si>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</si>
  <si>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</si>
  <si>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</si>
  <si>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</si>
  <si>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</si>
  <si>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</si>
  <si>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</si>
  <si>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</si>
  <si>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</si>
  <si>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</si>
  <si>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</si>
  <si>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</si>
  <si>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</si>
  <si>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</si>
  <si>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</si>
  <si>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</si>
  <si>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</si>
  <si>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</si>
  <si>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</si>
  <si>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</si>
  <si>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</si>
  <si>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</si>
  <si>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</si>
  <si>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</si>
  <si>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</si>
  <si>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</si>
  <si>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</si>
  <si>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</si>
  <si>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</si>
  <si>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</si>
  <si>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</si>
  <si>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</si>
  <si>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</si>
  <si>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</si>
  <si>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</si>
  <si>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</si>
  <si>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</si>
  <si>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</si>
  <si>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</si>
  <si>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</si>
  <si>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</si>
  <si>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</si>
  <si>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</si>
  <si>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</si>
  <si>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</si>
  <si>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</si>
  <si>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</si>
  <si>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</si>
  <si>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</si>
  <si>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</si>
  <si>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</si>
  <si>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</si>
  <si>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</si>
  <si>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</si>
  <si>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</si>
  <si>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</si>
  <si>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</si>
  <si>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</si>
  <si>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</si>
  <si>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</si>
  <si>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</si>
  <si>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</si>
  <si>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</si>
  <si>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</si>
  <si>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</si>
  <si>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</si>
  <si>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</si>
  <si>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</si>
  <si>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</si>
  <si>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</si>
  <si>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</si>
  <si>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</si>
  <si>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</si>
  <si>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</si>
  <si>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</si>
  <si>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</si>
  <si>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</si>
  <si>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</si>
  <si>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</si>
  <si>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</si>
  <si>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</si>
  <si>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</si>
  <si>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</si>
  <si>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</si>
  <si>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</si>
  <si>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</si>
  <si>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</si>
  <si>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</si>
  <si>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</si>
  <si>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</si>
  <si>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</si>
  <si>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</si>
  <si>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</si>
  <si>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</si>
  <si>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</si>
  <si>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</si>
  <si>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</si>
  <si>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</si>
  <si>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</si>
  <si>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</si>
  <si>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</si>
  <si>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</si>
  <si>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</si>
  <si>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</si>
  <si>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</si>
  <si>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</si>
  <si>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</si>
  <si>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</si>
  <si>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</si>
  <si>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</si>
  <si>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</si>
  <si>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</si>
  <si>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</si>
  <si>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</si>
  <si>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</si>
  <si>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</si>
  <si>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</si>
  <si>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</si>
  <si>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</si>
  <si>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</si>
  <si>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</si>
  <si>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</si>
  <si>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</si>
  <si>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</si>
  <si>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</si>
  <si>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</si>
  <si>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</si>
  <si>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</si>
  <si>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</si>
  <si>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</si>
  <si>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</si>
  <si>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</si>
  <si>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</si>
  <si>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</si>
  <si>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</si>
  <si>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</si>
  <si>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</si>
  <si>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</si>
  <si>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</si>
  <si>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</si>
  <si>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</si>
  <si>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</si>
  <si>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</si>
  <si>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</si>
  <si>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</si>
  <si>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</si>
  <si>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</si>
  <si>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</si>
  <si>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</si>
  <si>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</si>
  <si>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</si>
  <si>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</si>
  <si>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</si>
  <si>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</si>
  <si>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</si>
  <si>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</si>
  <si>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</si>
  <si>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</si>
  <si>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</si>
  <si>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</si>
  <si>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</si>
  <si>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</si>
  <si>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</si>
  <si>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</si>
  <si>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</si>
  <si>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</si>
  <si>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</si>
  <si>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</si>
  <si>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</si>
  <si>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</si>
  <si>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</si>
  <si>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</si>
  <si>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</si>
  <si>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</si>
  <si>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</si>
  <si>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</si>
  <si>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</si>
  <si>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</si>
  <si>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</si>
  <si>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</si>
  <si>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</si>
  <si>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</si>
  <si>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</si>
  <si>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</si>
  <si>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</si>
  <si>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</si>
  <si>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</si>
  <si>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</si>
  <si>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</si>
  <si>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</si>
  <si>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</si>
  <si>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</si>
  <si>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</si>
  <si>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</si>
  <si>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</si>
  <si>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</si>
  <si>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</si>
  <si>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</si>
  <si>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</si>
  <si>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</si>
  <si>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</si>
  <si>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</si>
  <si>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</si>
  <si>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</si>
  <si>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</si>
  <si>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</si>
  <si>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</si>
  <si>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</si>
  <si>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</si>
  <si>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</si>
  <si>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</si>
  <si>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</si>
  <si>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</si>
  <si>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</si>
  <si>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</si>
  <si>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</si>
  <si>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</si>
  <si>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</si>
  <si>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</si>
  <si>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</si>
  <si>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</si>
  <si>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Fremtidsbillede 1: Optimering</t>
  </si>
  <si>
    <t>Udregninger til CONCITO</t>
  </si>
  <si>
    <t>Produktion minus forbrug til dem med 1 [tonVV]</t>
  </si>
  <si>
    <t>Til kcal</t>
  </si>
  <si>
    <t>Produktion [billion kcal]</t>
  </si>
  <si>
    <t>Kød</t>
  </si>
  <si>
    <t>Kategori til kalorier</t>
  </si>
  <si>
    <t>Fisk mm</t>
  </si>
  <si>
    <t>Olieafgrøder</t>
  </si>
  <si>
    <t>Model</t>
  </si>
  <si>
    <t>Gruppe</t>
  </si>
  <si>
    <t>Slagtesvin</t>
  </si>
  <si>
    <t>Slagtefjerkræ</t>
  </si>
  <si>
    <t>Slagtekøer</t>
  </si>
  <si>
    <t>År i modellen</t>
  </si>
  <si>
    <t>Ton</t>
  </si>
  <si>
    <t>Billion kcal</t>
  </si>
  <si>
    <t>Malkeko</t>
  </si>
  <si>
    <t>Reduktion</t>
  </si>
  <si>
    <t>Antal køer i 2050</t>
  </si>
  <si>
    <t>Øvrig kvæg</t>
  </si>
  <si>
    <t>Antal køer i 2019</t>
  </si>
  <si>
    <t>Andel i 2050</t>
  </si>
  <si>
    <t>Andel i 2019</t>
  </si>
  <si>
    <t>Landbrug til vådområder (ikke organogene jorde)</t>
  </si>
  <si>
    <t>Græs på arealerne</t>
  </si>
  <si>
    <t>Flerårige afgrøder</t>
  </si>
  <si>
    <t>Areal-græs</t>
  </si>
  <si>
    <t>Produktivitet</t>
  </si>
  <si>
    <t>Areal-korn</t>
  </si>
  <si>
    <t>Areal-grøntsager</t>
  </si>
  <si>
    <t>Areal-kartofler</t>
  </si>
  <si>
    <t>Areal-bælgsæd</t>
  </si>
  <si>
    <t>Areal-roer</t>
  </si>
  <si>
    <t>Areal-frugt</t>
  </si>
  <si>
    <t>Areal-øvrige</t>
  </si>
  <si>
    <t>Areal-majs</t>
  </si>
  <si>
    <t>Areal-raps</t>
  </si>
  <si>
    <t>Areal-frøgræs</t>
  </si>
  <si>
    <t>Areal-juletræer</t>
  </si>
  <si>
    <t>Areal-pil-poppel</t>
  </si>
  <si>
    <t>Areal-permanent græs</t>
  </si>
  <si>
    <t>Justeringsfaktor emissioner</t>
  </si>
  <si>
    <t>Fordøjelse</t>
  </si>
  <si>
    <t>Gødningshåndtering</t>
  </si>
  <si>
    <t>Procentdel af emission herfra</t>
  </si>
  <si>
    <t>Lattergas</t>
  </si>
  <si>
    <t>Mark</t>
  </si>
  <si>
    <t>Produktion minus fødevarer</t>
  </si>
  <si>
    <t>Total biomasse produceret</t>
  </si>
  <si>
    <t>Biomasse til madforbrug</t>
  </si>
  <si>
    <t>Produktion til fødevarer</t>
  </si>
  <si>
    <t>Naturskov - selvopfunden</t>
  </si>
  <si>
    <t>Nu lagt som skov da vi mangler 200000 ha skov!?</t>
  </si>
  <si>
    <t>Baseret på: https://pure.au.dk/ws/portalfiles/portal/187801345/Notat_MOF_sp_rgsm_l_om_arealbehov_v_gr_sprotein_1405_2020.PDF, hvor der skrives om 14 tons TS/ha i forhold til 10 tons TS/ha i dag</t>
  </si>
  <si>
    <t>Fra Concito</t>
  </si>
  <si>
    <t>Proteinindhold i det høstede græs</t>
  </si>
  <si>
    <t>Effektivitet af ekstraheringen</t>
  </si>
  <si>
    <t>Kan bruges til fødevarer</t>
  </si>
  <si>
    <t>Kan bruges til foder</t>
  </si>
  <si>
    <t>Kan bruges til græsproteinekstrahering</t>
  </si>
  <si>
    <t>Total foderforbrug</t>
  </si>
  <si>
    <t>Græsprotein til foder</t>
  </si>
  <si>
    <t>ton VV</t>
  </si>
  <si>
    <t>% af græsproduktion</t>
  </si>
  <si>
    <t>Græsproduktion</t>
  </si>
  <si>
    <t>FE fra græsprotein</t>
  </si>
  <si>
    <t>Fiberfraktion?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</si>
</sst>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  <numFmt numFmtId="175" formatCode="#,##0.0"/>
    <numFmt numFmtId="176" formatCode="#,##0.000"/>
    <numFmt numFmtId="177" formatCode="0.000000000000000%"/>
    <numFmt numFmtId="178" formatCode="0.0000%"/>
    <numFmt numFmtId="185" formatCode="0.0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9" fontId="0" fillId="2" borderId="0" xfId="2" applyFont="1" applyFill="1" applyBorder="1"/>
    <xf numFmtId="9" fontId="0" fillId="2" borderId="0" xfId="0" applyNumberFormat="1" applyFill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left"/>
    </xf>
    <xf numFmtId="0" fontId="6" fillId="2" borderId="2" xfId="1" applyFont="1" applyFill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Alignment="1">
      <alignment horizontal="center"/>
    </xf>
    <xf numFmtId="1" fontId="0" fillId="7" borderId="0" xfId="2" applyNumberFormat="1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1" fontId="0" fillId="7" borderId="0" xfId="0" applyNumberFormat="1" applyFill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1" fontId="0" fillId="2" borderId="0" xfId="0" applyNumberFormat="1" applyFill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/>
    <xf numFmtId="0" fontId="15" fillId="0" borderId="0" xfId="0" applyFont="1"/>
    <xf numFmtId="1" fontId="15" fillId="0" borderId="0" xfId="0" applyNumberFormat="1" applyFont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2" fillId="0" borderId="0" xfId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1" fillId="0" borderId="49" xfId="0" applyFont="1" applyBorder="1"/>
    <xf numFmtId="0" fontId="1" fillId="0" borderId="50" xfId="0" applyFont="1" applyBorder="1"/>
    <xf numFmtId="0" fontId="1" fillId="0" borderId="6" xfId="0" applyFont="1" applyBorder="1"/>
    <xf numFmtId="0" fontId="1" fillId="0" borderId="7" xfId="0" applyFon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25" xfId="0" applyNumberFormat="1" applyBorder="1"/>
    <xf numFmtId="3" fontId="0" fillId="0" borderId="14" xfId="0" applyNumberFormat="1" applyBorder="1"/>
    <xf numFmtId="3" fontId="0" fillId="0" borderId="17" xfId="0" applyNumberFormat="1" applyBorder="1"/>
    <xf numFmtId="0" fontId="0" fillId="2" borderId="49" xfId="0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Alignment="1">
      <alignment wrapText="1"/>
    </xf>
    <xf numFmtId="0" fontId="20" fillId="0" borderId="0" xfId="0" applyFont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>
      <alignment horizontal="left"/>
    </xf>
    <xf numFmtId="0" fontId="27" fillId="2" borderId="5" xfId="1" applyFont="1" applyFill="1" applyBorder="1" applyAlignment="1">
      <alignment horizontal="left"/>
    </xf>
    <xf numFmtId="0" fontId="27" fillId="2" borderId="2" xfId="1" applyFont="1" applyFill="1" applyBorder="1" applyAlignment="1">
      <alignment horizontal="left"/>
    </xf>
    <xf numFmtId="0" fontId="27" fillId="2" borderId="0" xfId="1" applyFont="1" applyFill="1" applyBorder="1" applyAlignment="1">
      <alignment horizontal="left"/>
    </xf>
    <xf numFmtId="165" fontId="26" fillId="2" borderId="0" xfId="5" applyNumberFormat="1" applyFont="1" applyFill="1" applyBorder="1"/>
    <xf numFmtId="164" fontId="26" fillId="2" borderId="0" xfId="5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9" fontId="15" fillId="4" borderId="1" xfId="2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3" borderId="0" xfId="0" applyFill="1"/>
    <xf numFmtId="0" fontId="0" fillId="34" borderId="0" xfId="0" applyFill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/>
    <xf numFmtId="0" fontId="0" fillId="52" borderId="0" xfId="0" applyFill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/>
    <xf numFmtId="0" fontId="0" fillId="62" borderId="0" xfId="0" applyFill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71" fontId="0" fillId="0" borderId="0" xfId="5" applyNumberFormat="1" applyFont="1" applyFill="1" applyBorder="1"/>
    <xf numFmtId="171" fontId="0" fillId="0" borderId="0" xfId="5" applyNumberFormat="1" applyFont="1" applyFill="1"/>
    <xf numFmtId="167" fontId="0" fillId="2" borderId="0" xfId="0" applyNumberFormat="1" applyFill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0" fontId="1" fillId="33" borderId="0" xfId="0" applyFont="1" applyFill="1"/>
    <xf numFmtId="175" fontId="0" fillId="0" borderId="0" xfId="0" applyNumberFormat="1"/>
    <xf numFmtId="3" fontId="0" fillId="14" borderId="6" xfId="5" applyNumberFormat="1" applyFont="1" applyFill="1" applyBorder="1"/>
    <xf numFmtId="3" fontId="0" fillId="14" borderId="0" xfId="5" applyNumberFormat="1" applyFont="1" applyFill="1" applyBorder="1"/>
    <xf numFmtId="3" fontId="0" fillId="14" borderId="7" xfId="5" applyNumberFormat="1" applyFont="1" applyFill="1" applyBorder="1"/>
    <xf numFmtId="3" fontId="0" fillId="0" borderId="15" xfId="0" applyNumberFormat="1" applyBorder="1"/>
    <xf numFmtId="176" fontId="0" fillId="0" borderId="16" xfId="0" applyNumberFormat="1" applyBorder="1"/>
    <xf numFmtId="176" fontId="0" fillId="0" borderId="7" xfId="0" applyNumberFormat="1" applyBorder="1"/>
    <xf numFmtId="176" fontId="0" fillId="0" borderId="17" xfId="0" applyNumberFormat="1" applyBorder="1"/>
    <xf numFmtId="3" fontId="0" fillId="0" borderId="16" xfId="0" applyNumberFormat="1" applyBorder="1"/>
    <xf numFmtId="167" fontId="0" fillId="3" borderId="1" xfId="0" applyNumberFormat="1" applyFill="1" applyBorder="1"/>
    <xf numFmtId="167" fontId="0" fillId="14" borderId="1" xfId="2" applyNumberFormat="1" applyFont="1" applyFill="1" applyBorder="1"/>
    <xf numFmtId="9" fontId="0" fillId="3" borderId="0" xfId="0" applyNumberFormat="1" applyFill="1"/>
    <xf numFmtId="167" fontId="0" fillId="14" borderId="0" xfId="2" applyNumberFormat="1" applyFont="1" applyFill="1" applyBorder="1"/>
    <xf numFmtId="177" fontId="0" fillId="2" borderId="0" xfId="0" applyNumberFormat="1" applyFill="1"/>
    <xf numFmtId="9" fontId="0" fillId="0" borderId="0" xfId="0" applyNumberFormat="1"/>
    <xf numFmtId="178" fontId="0" fillId="0" borderId="1" xfId="0" applyNumberFormat="1" applyBorder="1"/>
    <xf numFmtId="3" fontId="0" fillId="0" borderId="13" xfId="0" applyNumberFormat="1" applyBorder="1"/>
    <xf numFmtId="176" fontId="0" fillId="0" borderId="13" xfId="0" applyNumberFormat="1" applyBorder="1"/>
    <xf numFmtId="176" fontId="0" fillId="0" borderId="0" xfId="0" applyNumberFormat="1"/>
    <xf numFmtId="176" fontId="0" fillId="0" borderId="14" xfId="0" applyNumberFormat="1" applyBorder="1"/>
    <xf numFmtId="176" fontId="0" fillId="0" borderId="15" xfId="0" applyNumberFormat="1" applyBorder="1"/>
    <xf numFmtId="176" fontId="0" fillId="0" borderId="6" xfId="0" applyNumberFormat="1" applyBorder="1"/>
    <xf numFmtId="176" fontId="0" fillId="0" borderId="25" xfId="0" applyNumberFormat="1" applyBorder="1"/>
    <xf numFmtId="167" fontId="0" fillId="2" borderId="0" xfId="2" applyNumberFormat="1" applyFont="1" applyFill="1" applyBorder="1"/>
    <xf numFmtId="1" fontId="0" fillId="3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0" fillId="0" borderId="3" xfId="0" applyBorder="1" applyAlignment="1">
      <alignment horizontal="left" vertical="top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85" fontId="0" fillId="2" borderId="0" xfId="0" applyNumberForma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3">
    <dxf>
      <numFmt numFmtId="1" formatCode="0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pivotCacheDefinition" Target="pivotCache/pivotCacheDefinition5.xml"/><Relationship Id="rId50" Type="http://schemas.openxmlformats.org/officeDocument/2006/relationships/pivotCacheDefinition" Target="pivotCache/pivotCacheDefinition8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pivotCacheDefinition" Target="pivotCache/pivotCacheDefinition6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7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2360113.5481481482</c:v>
                </c:pt>
                <c:pt idx="2">
                  <c:v>1967809.4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599146.45185185189</c:v>
                </c:pt>
                <c:pt idx="2">
                  <c:v>866450.6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4544306.5246718582</c:v>
                </c:pt>
                <c:pt idx="2">
                  <c:v>1643439.0955653384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7429743.4773556339</c:v>
                </c:pt>
                <c:pt idx="2">
                  <c:v>3700585.041819687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-300027.47956145997</c:v>
                </c:pt>
                <c:pt idx="2">
                  <c:v>-1950.0172409126403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9292321.163563855</c:v>
                </c:pt>
                <c:pt idx="2">
                  <c:v>1316600.6510551362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180073.11350727544</c:v>
                </c:pt>
                <c:pt idx="2">
                  <c:v>331489.12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73607.866760578181</c:v>
                </c:pt>
                <c:pt idx="2">
                  <c:v>174510.60559841484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444567.04710477311</c:v>
                </c:pt>
                <c:pt idx="2">
                  <c:v>682477.6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17671.724441322243</c:v>
                </c:pt>
                <c:pt idx="2">
                  <c:v>25022.097261734216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17267.995311134342</c:v>
                </c:pt>
                <c:pt idx="2">
                  <c:v>14794.037636208201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75497.99136321932</c:v>
                </c:pt>
                <c:pt idx="2">
                  <c:v>105245.26582749051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839134.03680241993</c:v>
                </c:pt>
                <c:pt idx="2">
                  <c:v>111888.38375016491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114170.9193097361</c:v>
                </c:pt>
                <c:pt idx="2">
                  <c:v>15144.956432253495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43929.095606920775</c:v>
                </c:pt>
                <c:pt idx="2">
                  <c:v>5821.7212903924656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214057.37275692378</c:v>
                </c:pt>
                <c:pt idx="2">
                  <c:v>292490.40000000002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45628.198349496306</c:v>
                </c:pt>
                <c:pt idx="2">
                  <c:v>64726.236910775297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181436.99973857668</c:v>
                </c:pt>
                <c:pt idx="2">
                  <c:v>32604.873805524119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46716.554233256022</c:v>
                </c:pt>
                <c:pt idx="2">
                  <c:v>103185.75676537695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66354.632862515791</c:v>
                </c:pt>
                <c:pt idx="2">
                  <c:v>8408.3447216651639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30.013497331745157</c:v>
                </c:pt>
                <c:pt idx="2">
                  <c:v>29.471314146453889</c:v>
                </c:pt>
                <c:pt idx="3">
                  <c:v>7.483154704207001</c:v>
                </c:pt>
                <c:pt idx="4">
                  <c:v>3.8367761700003382</c:v>
                </c:pt>
                <c:pt idx="5">
                  <c:v>7.5835831560940967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27.572559995733922</c:v>
                </c:pt>
                <c:pt idx="2">
                  <c:v>33.190998468434543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24.593337383854617</c:v>
                </c:pt>
                <c:pt idx="2">
                  <c:v>2.1577593590788768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0.89287881611354847</c:v>
                </c:pt>
                <c:pt idx="2">
                  <c:v>0.68301122619097132</c:v>
                </c:pt>
                <c:pt idx="3">
                  <c:v>5.0922829580050024</c:v>
                </c:pt>
                <c:pt idx="4">
                  <c:v>12.081143962122059</c:v>
                </c:pt>
                <c:pt idx="5">
                  <c:v>9.9318748914308159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10.776520362839355</c:v>
                </c:pt>
                <c:pt idx="2">
                  <c:v>9.6910796059277224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62.955434169868305</c:v>
                </c:pt>
                <c:pt idx="2">
                  <c:v>72.284475090226309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1360424.8851667203</c:v>
                </c:pt>
                <c:pt idx="2">
                  <c:v>1588452.3141584522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3087861.453655838</c:v>
                </c:pt>
                <c:pt idx="2">
                  <c:v>4325418.2783478722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2093107.2904092923</c:v>
                </c:pt>
                <c:pt idx="2">
                  <c:v>184334.66541393907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1710730.9701588601</c:v>
                </c:pt>
                <c:pt idx="2">
                  <c:v>1478726.611572739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1899304.8965703682</c:v>
                </c:pt>
                <c:pt idx="2">
                  <c:v>2093333.1380149107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58543.481535809427</c:v>
                </c:pt>
                <c:pt idx="5">
                  <c:v>43284.262732188727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2001137.1667130394</c:v>
                </c:pt>
                <c:pt idx="2">
                  <c:v>4592333.6695195455</c:v>
                </c:pt>
                <c:pt idx="15">
                  <c:v>823764.99285714305</c:v>
                </c:pt>
                <c:pt idx="16">
                  <c:v>252524.45198997878</c:v>
                </c:pt>
                <c:pt idx="17">
                  <c:v>193169.59086074273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6662.2500000000009</c:v>
                </c:pt>
                <c:pt idx="2">
                  <c:v>13702.425034511814</c:v>
                </c:pt>
                <c:pt idx="15">
                  <c:v>4441.5</c:v>
                </c:pt>
                <c:pt idx="16">
                  <c:v>2220.75</c:v>
                </c:pt>
                <c:pt idx="17">
                  <c:v>1522.4916705013122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11107812.517509617</c:v>
                </c:pt>
                <c:pt idx="5">
                  <c:v>8212587.6831170851</c:v>
                </c:pt>
                <c:pt idx="18">
                  <c:v>0</c:v>
                </c:pt>
                <c:pt idx="19">
                  <c:v>11844727.43507082</c:v>
                </c:pt>
                <c:pt idx="20">
                  <c:v>24680022.913306832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564815.44300522283</c:v>
                </c:pt>
                <c:pt idx="5">
                  <c:v>233575.21375434336</c:v>
                </c:pt>
                <c:pt idx="9">
                  <c:v>1895494.5192748301</c:v>
                </c:pt>
                <c:pt idx="10">
                  <c:v>1554209.5189473266</c:v>
                </c:pt>
                <c:pt idx="11">
                  <c:v>128289.96787416932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2827503.2748925881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852117.16041507828</c:v>
                </c:pt>
                <c:pt idx="5">
                  <c:v>1775496.4104617527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3634588.4159995825</c:v>
                </c:pt>
                <c:pt idx="5">
                  <c:v>399534.04092901241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4874560.7966637425</c:v>
                </c:pt>
                <c:pt idx="2">
                  <c:v>66267.713341306167</c:v>
                </c:pt>
                <c:pt idx="15">
                  <c:v>9696490.333333334</c:v>
                </c:pt>
                <c:pt idx="16">
                  <c:v>1624853.5988879143</c:v>
                </c:pt>
                <c:pt idx="17">
                  <c:v>7363.0792601451285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887594.72005904594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3513770.7935001124</c:v>
                </c:pt>
                <c:pt idx="5">
                  <c:v>418868.04513097607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962189.31811065669</c:v>
                </c:pt>
                <c:pt idx="23">
                  <c:v>865274.96481497539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763504.57169618132</c:v>
                </c:pt>
                <c:pt idx="5">
                  <c:v>564498.92646562797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44771.914379262082</c:v>
                </c:pt>
                <c:pt idx="5">
                  <c:v>45194.454084480974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2747430.5145796794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12302941.935483871</c:v>
                </c:pt>
                <c:pt idx="2">
                  <c:v>0</c:v>
                </c:pt>
                <c:pt idx="15">
                  <c:v>14742130.666666664</c:v>
                </c:pt>
                <c:pt idx="16">
                  <c:v>4100980.6451612907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1169664.3920535347</c:v>
                </c:pt>
                <c:pt idx="11">
                  <c:v>1753629.766003873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4074809.5392123749</c:v>
                </c:pt>
                <c:pt idx="5">
                  <c:v>8493001.5755765792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1980099.5710165331</c:v>
                </c:pt>
                <c:pt idx="5">
                  <c:v>4125793.780498662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4340964.2075004801</c:v>
                </c:pt>
                <c:pt idx="2">
                  <c:v>10853953.038015123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A-46C5-A73C-F0713A763245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336636.78930177691</c:v>
                </c:pt>
                <c:pt idx="5">
                  <c:v>440190.50010410673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A-46C5-A73C-F0713A763245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307900.58179541014</c:v>
                </c:pt>
                <c:pt idx="11">
                  <c:v>276887.98874079209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A-46C5-A73C-F0713A763245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20824031.592073698</c:v>
                </c:pt>
                <c:pt idx="17">
                  <c:v>462125.73369646654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40-40E8-BA11-67CD3E9E2C1D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1061273.146936445</c:v>
                </c:pt>
                <c:pt idx="17">
                  <c:v>1394877.7111216788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40-40E8-BA11-67CD3E9E2C1D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40-40E8-BA11-67CD3E9E2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1061273.146936445</c:v>
                </c:pt>
                <c:pt idx="2">
                  <c:v>1394877.7111216788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130751.19188854299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4923.2590935780609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2827503.2748925881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4-4B60-A9ED-787A209D60D9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7553.0176966190775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8-4EB6-9ABC-143C98154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653024.49980529398</c:v>
                </c:pt>
                <c:pt idx="2">
                  <c:v>848292.20060005493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6850353.2991669225</c:v>
                </c:pt>
                <c:pt idx="2">
                  <c:v>12949542.520227868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2">
                  <c:v>2.9103830456733704E-11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2442577.1459222753</c:v>
                </c:pt>
                <c:pt idx="2">
                  <c:v>1339058.8429484372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2490416.771948596</c:v>
                </c:pt>
                <c:pt idx="2">
                  <c:v>242865.13780933912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1881564.1784223968</c:v>
                </c:pt>
                <c:pt idx="2">
                  <c:v>265092.21836580423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3026466.3818119029</c:v>
                </c:pt>
                <c:pt idx="2">
                  <c:v>3100093.5358716338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93919.791144701536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B-46DA-B040-A22E6CC3157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144457.86975355144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3B-46DA-B040-A22E6CC3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2360113.5481481482</c:v>
                </c:pt>
                <c:pt idx="2">
                  <c:v>1967809.4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599146.45185185189</c:v>
                </c:pt>
                <c:pt idx="2">
                  <c:v>866450.6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687410</c:v>
                </c:pt>
                <c:pt idx="2">
                  <c:v>812410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4544306.5246718582</c:v>
                </c:pt>
                <c:pt idx="2">
                  <c:v>1643439.0955653384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7429743.4773556339</c:v>
                </c:pt>
                <c:pt idx="2">
                  <c:v>3700585.041819687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-300027.47956145997</c:v>
                </c:pt>
                <c:pt idx="2">
                  <c:v>-1950.0172409126403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9292321.163563855</c:v>
                </c:pt>
                <c:pt idx="2">
                  <c:v>1316600.6510551362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1061273.146936445</c:v>
                </c:pt>
                <c:pt idx="2">
                  <c:v>1394877.7111216788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130751.19188854299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4923.2590935780609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2827503.2748925881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2-413B-A4EA-68F7D58899F4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7553.0176966190775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DA-4AC1-B88F-34C66698B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653024.49980529398</c:v>
                </c:pt>
                <c:pt idx="2">
                  <c:v>848292.20060005493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6850353.2991669225</c:v>
                </c:pt>
                <c:pt idx="2">
                  <c:v>12949542.520227868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2">
                  <c:v>2.9103830456733704E-11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2442577.1459222753</c:v>
                </c:pt>
                <c:pt idx="2">
                  <c:v>1339058.8429484372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2490416.771948596</c:v>
                </c:pt>
                <c:pt idx="2">
                  <c:v>242865.13780933912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1881564.1784223968</c:v>
                </c:pt>
                <c:pt idx="2">
                  <c:v>265092.21836580423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3026466.3818119029</c:v>
                </c:pt>
                <c:pt idx="2">
                  <c:v>3100093.5358716338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93919.791144701536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2-4D81-9D14-08BE376BD0FD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144457.86975355144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B2-4D81-9D14-08BE376B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-158.43719999999996</c:v>
                </c:pt>
                <c:pt idx="2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6181573.3288251217</c:v>
                </c:pt>
                <c:pt idx="1">
                  <c:v>4544306.5246718582</c:v>
                </c:pt>
                <c:pt idx="2">
                  <c:v>1643439.0955653384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7429743.4773556339</c:v>
                </c:pt>
                <c:pt idx="2">
                  <c:v>3700585.041819687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-2258932.8950806139</c:v>
                </c:pt>
                <c:pt idx="2">
                  <c:v>-3586372.4534963565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-300027.47956145997</c:v>
                </c:pt>
                <c:pt idx="2">
                  <c:v>-1950.0172409126403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-121290.05206481964</c:v>
                </c:pt>
                <c:pt idx="1">
                  <c:v>-122610.02662156825</c:v>
                </c:pt>
                <c:pt idx="2">
                  <c:v>-438942.57839262037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15057851.655114504</c:v>
                </c:pt>
                <c:pt idx="1">
                  <c:v>9292321.163563855</c:v>
                </c:pt>
                <c:pt idx="2">
                  <c:v>1316600.6510551362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  <c:pivotFmt>
        <c:idx val="5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1061273.146936445</c:v>
                </c:pt>
                <c:pt idx="2">
                  <c:v>1394877.7111216788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130751.19188854299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Slagteriaffald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4923.2590935780609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2827503.2748925881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0-4CDC-AB54-42203DF4F9A0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7553.0176966190775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71-4C49-94E1-90AAB7C7E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653024.49980529398</c:v>
                </c:pt>
                <c:pt idx="2">
                  <c:v>848292.20060005493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6850353.2991669225</c:v>
                </c:pt>
                <c:pt idx="2">
                  <c:v>12949542.520227868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2">
                  <c:v>2.9103830456733704E-11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2442577.1459222753</c:v>
                </c:pt>
                <c:pt idx="2">
                  <c:v>1339058.8429484372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2490416.771948596</c:v>
                </c:pt>
                <c:pt idx="2">
                  <c:v>242865.13780933912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1881564.1784223968</c:v>
                </c:pt>
                <c:pt idx="2">
                  <c:v>265092.21836580423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3026466.3818119029</c:v>
                </c:pt>
                <c:pt idx="2">
                  <c:v>3100093.5358716338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93919.791144701536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D7-472B-BD32-EF284B71DDD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144457.86975355144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D7-472B-BD32-EF284B71D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2858758.2285455461</c:v>
                </c:pt>
                <c:pt idx="2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789510.6267450063</c:v>
                </c:pt>
                <c:pt idx="2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62068.28830684859</c:v>
                </c:pt>
                <c:pt idx="2">
                  <c:v>132376.30799685171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93102.432460272888</c:v>
                </c:pt>
                <c:pt idx="2">
                  <c:v>198564.46199527758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880.09999999999991</c:v>
                </c:pt>
                <c:pt idx="2">
                  <c:v>880.09999999999991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440.29999999999995</c:v>
                </c:pt>
                <c:pt idx="2">
                  <c:v>440.29999999999995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653024.49980529398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848292.20060005493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Fødevarer</a:t>
            </a:r>
            <a:r>
              <a:rPr lang="en-US" baseline="0"/>
              <a:t> [ton]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CONCITO!$C$20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CONCITO!$C$21:$C$32</c:f>
              <c:numCache>
                <c:formatCode>#,##0</c:formatCode>
                <c:ptCount val="12"/>
                <c:pt idx="0">
                  <c:v>235000</c:v>
                </c:pt>
                <c:pt idx="1">
                  <c:v>212954.76453418657</c:v>
                </c:pt>
                <c:pt idx="2">
                  <c:v>1918344.9215345967</c:v>
                </c:pt>
                <c:pt idx="3">
                  <c:v>41728.949017214291</c:v>
                </c:pt>
                <c:pt idx="4">
                  <c:v>0</c:v>
                </c:pt>
                <c:pt idx="5">
                  <c:v>280322.43675931642</c:v>
                </c:pt>
                <c:pt idx="6">
                  <c:v>-5421074.2654714445</c:v>
                </c:pt>
                <c:pt idx="7">
                  <c:v>2263176.157376945</c:v>
                </c:pt>
                <c:pt idx="8">
                  <c:v>3781951.1214967929</c:v>
                </c:pt>
                <c:pt idx="9">
                  <c:v>3383628.2</c:v>
                </c:pt>
                <c:pt idx="10">
                  <c:v>956.59999999999991</c:v>
                </c:pt>
                <c:pt idx="11">
                  <c:v>1637775.5474174484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4D-4897-AC14-0BCC173D3FA7}"/>
            </c:ext>
          </c:extLst>
        </c:ser>
        <c:ser>
          <c:idx val="1"/>
          <c:order val="1"/>
          <c:tx>
            <c:strRef>
              <c:f>CONCITO!$E$20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CONCITO!$E$21:$E$32</c:f>
              <c:numCache>
                <c:formatCode>#,##0</c:formatCode>
                <c:ptCount val="12"/>
                <c:pt idx="0">
                  <c:v>105544.07197172538</c:v>
                </c:pt>
                <c:pt idx="1">
                  <c:v>848292.20060005493</c:v>
                </c:pt>
                <c:pt idx="2">
                  <c:v>468999.13002708013</c:v>
                </c:pt>
                <c:pt idx="3">
                  <c:v>1032360.8523594537</c:v>
                </c:pt>
                <c:pt idx="4">
                  <c:v>10791285.433523227</c:v>
                </c:pt>
                <c:pt idx="5">
                  <c:v>402131.52042787225</c:v>
                </c:pt>
                <c:pt idx="6">
                  <c:v>276887.98874079209</c:v>
                </c:pt>
                <c:pt idx="7">
                  <c:v>1339058.8429484367</c:v>
                </c:pt>
                <c:pt idx="8">
                  <c:v>507957.35617514339</c:v>
                </c:pt>
                <c:pt idx="9">
                  <c:v>0</c:v>
                </c:pt>
                <c:pt idx="10">
                  <c:v>956.59999999999991</c:v>
                </c:pt>
                <c:pt idx="11">
                  <c:v>3100093.5358716343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4D-4897-AC14-0BCC173D3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68671"/>
        <c:axId val="1360041215"/>
      </c:barChart>
      <c:catAx>
        <c:axId val="137156867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60041215"/>
        <c:crosses val="autoZero"/>
        <c:auto val="1"/>
        <c:lblAlgn val="ctr"/>
        <c:lblOffset val="100"/>
        <c:noMultiLvlLbl val="0"/>
      </c:catAx>
      <c:valAx>
        <c:axId val="136004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68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Fødevarer [billion kcal]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CONCITO!$F$20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CONCITO!$F$21:$F$32</c:f>
              <c:numCache>
                <c:formatCode>#,##0.000</c:formatCode>
                <c:ptCount val="12"/>
                <c:pt idx="0">
                  <c:v>0.32429999999999998</c:v>
                </c:pt>
                <c:pt idx="1">
                  <c:v>1.4789708396899257</c:v>
                </c:pt>
                <c:pt idx="2">
                  <c:v>3.654108115551467</c:v>
                </c:pt>
                <c:pt idx="3">
                  <c:v>2.1699053488951431E-2</c:v>
                </c:pt>
                <c:pt idx="4">
                  <c:v>0</c:v>
                </c:pt>
                <c:pt idx="5">
                  <c:v>0.10932575033613341</c:v>
                </c:pt>
                <c:pt idx="6">
                  <c:v>-3.0900123313187238</c:v>
                </c:pt>
                <c:pt idx="7">
                  <c:v>1.765277402754017</c:v>
                </c:pt>
                <c:pt idx="8">
                  <c:v>6.9874764884350302</c:v>
                </c:pt>
                <c:pt idx="9">
                  <c:v>2.1316857659999999</c:v>
                </c:pt>
                <c:pt idx="10">
                  <c:v>7.6169499999999995E-4</c:v>
                </c:pt>
                <c:pt idx="11">
                  <c:v>0.49133266422523447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8-48D7-947F-87AF01A018FD}"/>
            </c:ext>
          </c:extLst>
        </c:ser>
        <c:ser>
          <c:idx val="1"/>
          <c:order val="1"/>
          <c:tx>
            <c:strRef>
              <c:f>CONCITO!$H$20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CONCITO!$B$21:$B$32</c:f>
              <c:strCache>
                <c:ptCount val="12"/>
                <c:pt idx="0">
                  <c:v>Æg</c:v>
                </c:pt>
                <c:pt idx="1">
                  <c:v>Bælgsæd</c:v>
                </c:pt>
                <c:pt idx="2">
                  <c:v>Kød</c:v>
                </c:pt>
                <c:pt idx="3">
                  <c:v>Frugt</c:v>
                </c:pt>
                <c:pt idx="4">
                  <c:v>Græs</c:v>
                </c:pt>
                <c:pt idx="5">
                  <c:v>Grøntsager</c:v>
                </c:pt>
                <c:pt idx="6">
                  <c:v>Olieafgrøder</c:v>
                </c:pt>
                <c:pt idx="7">
                  <c:v>Kartofler</c:v>
                </c:pt>
                <c:pt idx="8">
                  <c:v>Korn</c:v>
                </c:pt>
                <c:pt idx="9">
                  <c:v>Mejeriprodukter</c:v>
                </c:pt>
                <c:pt idx="10">
                  <c:v>Fisk mm</c:v>
                </c:pt>
                <c:pt idx="11">
                  <c:v>Roer</c:v>
                </c:pt>
              </c:strCache>
            </c:strRef>
          </c:cat>
          <c:val>
            <c:numRef>
              <c:f>CONCITO!$H$21:$H$32</c:f>
              <c:numCache>
                <c:formatCode>#,##0.000</c:formatCode>
                <c:ptCount val="12"/>
                <c:pt idx="0">
                  <c:v>0.14565081932098101</c:v>
                </c:pt>
                <c:pt idx="1">
                  <c:v>5.8913893331673819</c:v>
                </c:pt>
                <c:pt idx="2">
                  <c:v>0.90755506406941844</c:v>
                </c:pt>
                <c:pt idx="3">
                  <c:v>0.53682764322691601</c:v>
                </c:pt>
                <c:pt idx="4">
                  <c:v>3.5611241930626654</c:v>
                </c:pt>
                <c:pt idx="5">
                  <c:v>0.15683129296687018</c:v>
                </c:pt>
                <c:pt idx="6">
                  <c:v>2.4919918986671288</c:v>
                </c:pt>
                <c:pt idx="7">
                  <c:v>1.0444658974997807</c:v>
                </c:pt>
                <c:pt idx="8">
                  <c:v>0.80568622747354701</c:v>
                </c:pt>
                <c:pt idx="9">
                  <c:v>0</c:v>
                </c:pt>
                <c:pt idx="10">
                  <c:v>7.6169499999999995E-4</c:v>
                </c:pt>
                <c:pt idx="11">
                  <c:v>0.93002806076149025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78-48D7-947F-87AF01A0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71539391"/>
        <c:axId val="1081987999"/>
      </c:barChart>
      <c:catAx>
        <c:axId val="137153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81987999"/>
        <c:crosses val="autoZero"/>
        <c:auto val="1"/>
        <c:lblAlgn val="ctr"/>
        <c:lblOffset val="100"/>
        <c:noMultiLvlLbl val="0"/>
      </c:catAx>
      <c:valAx>
        <c:axId val="10819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Produktion minus forbrug[kcal]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3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mad eller anden 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CONCITO!$B$4:$B$10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CONCITO!$C$4:$C$10</c:f>
              <c:numCache>
                <c:formatCode>#,##0</c:formatCode>
                <c:ptCount val="7"/>
                <c:pt idx="0">
                  <c:v>4698263.1968560591</c:v>
                </c:pt>
                <c:pt idx="1">
                  <c:v>1352218.0071428572</c:v>
                </c:pt>
                <c:pt idx="2">
                  <c:v>6999835.1830202974</c:v>
                </c:pt>
                <c:pt idx="3">
                  <c:v>4402957.5587320747</c:v>
                </c:pt>
                <c:pt idx="4">
                  <c:v>956.59999999999991</c:v>
                </c:pt>
                <c:pt idx="5">
                  <c:v>3220159.2034965986</c:v>
                </c:pt>
                <c:pt idx="6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E-4618-B54A-496ADF74DB98}"/>
            </c:ext>
          </c:extLst>
        </c:ser>
        <c:ser>
          <c:idx val="1"/>
          <c:order val="1"/>
          <c:tx>
            <c:strRef>
              <c:f>CONCITO!$E$3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CONCITO!$B$4:$B$10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CONCITO!$E$4:$E$10</c:f>
              <c:numCache>
                <c:formatCode>#,##0</c:formatCode>
                <c:ptCount val="7"/>
                <c:pt idx="0">
                  <c:v>7745566.7195452685</c:v>
                </c:pt>
                <c:pt idx="1">
                  <c:v>317089.70575253945</c:v>
                </c:pt>
                <c:pt idx="2">
                  <c:v>16314728.274465309</c:v>
                </c:pt>
                <c:pt idx="3">
                  <c:v>371155.1056835085</c:v>
                </c:pt>
                <c:pt idx="4">
                  <c:v>956.59999999999991</c:v>
                </c:pt>
                <c:pt idx="5">
                  <c:v>4514694.8749305187</c:v>
                </c:pt>
                <c:pt idx="6">
                  <c:v>276887.98874079209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E-4618-B54A-496ADF74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Biomasse til non-food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CONCITO!$C$37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CONCITO!$B$38:$B$44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CONCITO!$C$38:$C$44</c:f>
              <c:numCache>
                <c:formatCode>#,##0</c:formatCode>
                <c:ptCount val="7"/>
                <c:pt idx="0">
                  <c:v>4698263.1968560591</c:v>
                </c:pt>
                <c:pt idx="1">
                  <c:v>1352218.0071428572</c:v>
                </c:pt>
                <c:pt idx="2">
                  <c:v>4087571.5535632987</c:v>
                </c:pt>
                <c:pt idx="3">
                  <c:v>1895494.5192748315</c:v>
                </c:pt>
                <c:pt idx="4">
                  <c:v>0</c:v>
                </c:pt>
                <c:pt idx="5">
                  <c:v>3220159.2034965986</c:v>
                </c:pt>
                <c:pt idx="6">
                  <c:v>112873.31802427147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E-4833-B057-AA4B66838B5A}"/>
            </c:ext>
          </c:extLst>
        </c:ser>
        <c:ser>
          <c:idx val="1"/>
          <c:order val="1"/>
          <c:tx>
            <c:strRef>
              <c:f>CONCITO!$E$37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CONCITO!$B$38:$B$44</c:f>
              <c:strCache>
                <c:ptCount val="7"/>
                <c:pt idx="0">
                  <c:v>Bionedbrydeligt affald</c:v>
                </c:pt>
                <c:pt idx="1">
                  <c:v>Husdyrgødning</c:v>
                </c:pt>
                <c:pt idx="2">
                  <c:v>Græs og urter</c:v>
                </c:pt>
                <c:pt idx="3">
                  <c:v>Halm og strå</c:v>
                </c:pt>
                <c:pt idx="4">
                  <c:v>Havbiomasse</c:v>
                </c:pt>
                <c:pt idx="5">
                  <c:v>Vedmasse</c:v>
                </c:pt>
                <c:pt idx="6">
                  <c:v>Rapsolie</c:v>
                </c:pt>
              </c:strCache>
            </c:strRef>
          </c:cat>
          <c:val>
            <c:numRef>
              <c:f>CONCITO!$E$38:$E$44</c:f>
              <c:numCache>
                <c:formatCode>#,##0</c:formatCode>
                <c:ptCount val="7"/>
                <c:pt idx="0">
                  <c:v>7745566.7195452685</c:v>
                </c:pt>
                <c:pt idx="1">
                  <c:v>317089.70575253945</c:v>
                </c:pt>
                <c:pt idx="2">
                  <c:v>2158257.0867046448</c:v>
                </c:pt>
                <c:pt idx="3">
                  <c:v>128289.96787416935</c:v>
                </c:pt>
                <c:pt idx="4">
                  <c:v>0</c:v>
                </c:pt>
                <c:pt idx="5">
                  <c:v>4514694.8749305187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3E-4833-B057-AA4B66838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1544671"/>
        <c:axId val="1419536640"/>
      </c:barChart>
      <c:catAx>
        <c:axId val="137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19536640"/>
        <c:crosses val="autoZero"/>
        <c:auto val="1"/>
        <c:lblAlgn val="ctr"/>
        <c:lblOffset val="100"/>
        <c:noMultiLvlLbl val="0"/>
      </c:catAx>
      <c:valAx>
        <c:axId val="14195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Produktion</a:t>
                </a:r>
                <a:r>
                  <a:rPr lang="en-US" baseline="0"/>
                  <a:t> minus forbrug[ton]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7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58543.481535809427</c:v>
                </c:pt>
                <c:pt idx="5">
                  <c:v>43284.262732188727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2001137.1667130394</c:v>
                </c:pt>
                <c:pt idx="2">
                  <c:v>4592333.6695195455</c:v>
                </c:pt>
                <c:pt idx="15">
                  <c:v>823764.99285714305</c:v>
                </c:pt>
                <c:pt idx="16">
                  <c:v>252524.45198997878</c:v>
                </c:pt>
                <c:pt idx="17">
                  <c:v>193169.59086074273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6662.2500000000009</c:v>
                </c:pt>
                <c:pt idx="2">
                  <c:v>13702.425034511814</c:v>
                </c:pt>
                <c:pt idx="15">
                  <c:v>4441.5</c:v>
                </c:pt>
                <c:pt idx="16">
                  <c:v>2220.75</c:v>
                </c:pt>
                <c:pt idx="17">
                  <c:v>1522.4916705013122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11107812.517509617</c:v>
                </c:pt>
                <c:pt idx="5">
                  <c:v>8212587.6831170851</c:v>
                </c:pt>
                <c:pt idx="18">
                  <c:v>0</c:v>
                </c:pt>
                <c:pt idx="19">
                  <c:v>11844727.43507082</c:v>
                </c:pt>
                <c:pt idx="20">
                  <c:v>24680022.913306832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564815.44300522283</c:v>
                </c:pt>
                <c:pt idx="5">
                  <c:v>233575.21375434336</c:v>
                </c:pt>
                <c:pt idx="9">
                  <c:v>1895494.5192748301</c:v>
                </c:pt>
                <c:pt idx="10">
                  <c:v>1554209.5189473266</c:v>
                </c:pt>
                <c:pt idx="11">
                  <c:v>128289.96787416932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2827503.2748925881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852117.16041507828</c:v>
                </c:pt>
                <c:pt idx="5">
                  <c:v>1775496.4104617527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3634588.4159995825</c:v>
                </c:pt>
                <c:pt idx="5">
                  <c:v>399534.04092901241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4874560.7966637425</c:v>
                </c:pt>
                <c:pt idx="2">
                  <c:v>66267.713341306167</c:v>
                </c:pt>
                <c:pt idx="15">
                  <c:v>9696490.333333334</c:v>
                </c:pt>
                <c:pt idx="16">
                  <c:v>1624853.5988879143</c:v>
                </c:pt>
                <c:pt idx="17">
                  <c:v>7363.0792601451285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887594.72005904594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3513770.7935001124</c:v>
                </c:pt>
                <c:pt idx="5">
                  <c:v>418868.04513097607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678325.22851124685</c:v>
                </c:pt>
                <c:pt idx="22">
                  <c:v>962189.31811065669</c:v>
                </c:pt>
                <c:pt idx="23">
                  <c:v>865274.96481497539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763504.57169618132</c:v>
                </c:pt>
                <c:pt idx="5">
                  <c:v>564498.92646562797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44771.914379262082</c:v>
                </c:pt>
                <c:pt idx="5">
                  <c:v>45194.454084480974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2747430.5145796794</c:v>
                </c:pt>
                <c:pt idx="2">
                  <c:v>2842137.0165491202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12302941.935483871</c:v>
                </c:pt>
                <c:pt idx="2">
                  <c:v>0</c:v>
                </c:pt>
                <c:pt idx="15">
                  <c:v>14742130.666666664</c:v>
                </c:pt>
                <c:pt idx="16">
                  <c:v>4100980.6451612907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1169664.3920535347</c:v>
                </c:pt>
                <c:pt idx="11">
                  <c:v>1753629.766003873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3010292.0648196544</c:v>
                </c:pt>
                <c:pt idx="10">
                  <c:v>2858758.2285455461</c:v>
                </c:pt>
                <c:pt idx="11">
                  <c:v>2761065.1089266455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4074809.5392123749</c:v>
                </c:pt>
                <c:pt idx="5">
                  <c:v>8493001.5755765792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1980099.5710165331</c:v>
                </c:pt>
                <c:pt idx="5">
                  <c:v>4125793.780498662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4340964.2075004801</c:v>
                </c:pt>
                <c:pt idx="2">
                  <c:v>10853953.038015123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9-4185-81BE-75E5CFB66DDA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336636.78930177691</c:v>
                </c:pt>
                <c:pt idx="5">
                  <c:v>440190.50010410673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89-4185-81BE-75E5CFB66DDA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307900.58179541014</c:v>
                </c:pt>
                <c:pt idx="11">
                  <c:v>276887.98874079209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89-4185-81BE-75E5CFB66DDA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20824031.592073698</c:v>
                </c:pt>
                <c:pt idx="17">
                  <c:v>462125.73369646654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84-4E72-A51A-267625876CF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1061273.146936445</c:v>
                </c:pt>
                <c:pt idx="17">
                  <c:v>1394877.7111216788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84-4E72-A51A-267625876CF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827707.93518034508</c:v>
                </c:pt>
                <c:pt idx="13">
                  <c:v>789510.6267450063</c:v>
                </c:pt>
                <c:pt idx="14">
                  <c:v>814379.14075048931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84-4E72-A51A-267625876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944817.29105430027</c:v>
                </c:pt>
                <c:pt idx="1">
                  <c:v>1061273.146936445</c:v>
                </c:pt>
                <c:pt idx="2">
                  <c:v>1394877.7111216788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130751.19188854299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4923.2590935780609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207824.63776728272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2827503.2748925881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6-4810-9F97-DD8B1E41E1EE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7553.0176966190775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6C-4CF1-9B05-1D4A8121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653024.49980529398</c:v>
                </c:pt>
                <c:pt idx="2">
                  <c:v>848292.20060005493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6850353.2991669225</c:v>
                </c:pt>
                <c:pt idx="2">
                  <c:v>12949542.520227868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2">
                  <c:v>2.9103830456733704E-11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2143653.1237064754</c:v>
                </c:pt>
                <c:pt idx="1">
                  <c:v>2442577.1459222753</c:v>
                </c:pt>
                <c:pt idx="2">
                  <c:v>1339058.8429484372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2221133.1346202949</c:v>
                </c:pt>
                <c:pt idx="1">
                  <c:v>2490416.771948596</c:v>
                </c:pt>
                <c:pt idx="2">
                  <c:v>242865.13780933912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1881564.1784223968</c:v>
                </c:pt>
                <c:pt idx="2">
                  <c:v>265092.21836580423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3026466.3818119029</c:v>
                </c:pt>
                <c:pt idx="2">
                  <c:v>3100093.5358716338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93919.791144701536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76.5</c:v>
                </c:pt>
                <c:pt idx="1">
                  <c:v>76.5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1-4309-BF0B-F45228FC2FA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144457.86975355144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A1-4309-BF0B-F45228FC2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30.013497331745157</c:v>
                </c:pt>
                <c:pt idx="2">
                  <c:v>29.471314146453889</c:v>
                </c:pt>
                <c:pt idx="3">
                  <c:v>7.483154704207001</c:v>
                </c:pt>
                <c:pt idx="4">
                  <c:v>3.8367761700003382</c:v>
                </c:pt>
                <c:pt idx="5">
                  <c:v>7.5835831560940967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27.572559995733922</c:v>
                </c:pt>
                <c:pt idx="2">
                  <c:v>33.190998468434543</c:v>
                </c:pt>
                <c:pt idx="3">
                  <c:v>1.420171986175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24.593337383854617</c:v>
                </c:pt>
                <c:pt idx="2">
                  <c:v>2.1577593590788768</c:v>
                </c:pt>
                <c:pt idx="3">
                  <c:v>0.45076703431999982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8.5854849999999995E-4</c:v>
                </c:pt>
                <c:pt idx="2">
                  <c:v>8.5854849999999995E-4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0.89287881611354847</c:v>
                </c:pt>
                <c:pt idx="2">
                  <c:v>0.68301122619097132</c:v>
                </c:pt>
                <c:pt idx="3">
                  <c:v>5.0922829580050024</c:v>
                </c:pt>
                <c:pt idx="4">
                  <c:v>12.081143962122059</c:v>
                </c:pt>
                <c:pt idx="5">
                  <c:v>9.9318748914308159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10.776520362839355</c:v>
                </c:pt>
                <c:pt idx="2">
                  <c:v>9.6910796059277224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62.955434169868305</c:v>
                </c:pt>
                <c:pt idx="2">
                  <c:v>72.284475090226309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[Scenarie_Fremtidsbillede2.xlsm]Resultat-Tørstof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1360424.8851667203</c:v>
                </c:pt>
                <c:pt idx="2">
                  <c:v>1588452.3141584522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3087861.453655838</c:v>
                </c:pt>
                <c:pt idx="2">
                  <c:v>4325418.2783478722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2093107.2904092923</c:v>
                </c:pt>
                <c:pt idx="2">
                  <c:v>184334.66541393907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143.48999999999998</c:v>
                </c:pt>
                <c:pt idx="2">
                  <c:v>143.49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1710730.9701588601</c:v>
                </c:pt>
                <c:pt idx="2">
                  <c:v>1478726.611572739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1899304.8965703682</c:v>
                </c:pt>
                <c:pt idx="2">
                  <c:v>2093333.1380149107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174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5745" y="179294"/>
          <a:ext cx="1200897" cy="38037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399676</xdr:colOff>
      <xdr:row>0</xdr:row>
      <xdr:rowOff>0</xdr:rowOff>
    </xdr:from>
    <xdr:to>
      <xdr:col>19</xdr:col>
      <xdr:colOff>278093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373471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1474694</xdr:colOff>
      <xdr:row>5</xdr:row>
      <xdr:rowOff>122854</xdr:rowOff>
    </xdr:from>
    <xdr:to>
      <xdr:col>13</xdr:col>
      <xdr:colOff>181535</xdr:colOff>
      <xdr:row>36</xdr:row>
      <xdr:rowOff>143436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72380" y="212912"/>
          <a:ext cx="1213437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396240</xdr:colOff>
      <xdr:row>18</xdr:row>
      <xdr:rowOff>45720</xdr:rowOff>
    </xdr:from>
    <xdr:to>
      <xdr:col>16</xdr:col>
      <xdr:colOff>91440</xdr:colOff>
      <xdr:row>33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618B-1C74-2AB3-AEBD-D0A295DED6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520065</xdr:colOff>
      <xdr:row>17</xdr:row>
      <xdr:rowOff>175260</xdr:rowOff>
    </xdr:from>
    <xdr:to>
      <xdr:col>24</xdr:col>
      <xdr:colOff>215265</xdr:colOff>
      <xdr:row>33</xdr:row>
      <xdr:rowOff>20955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E446B5-F1EC-8B8B-93F2-5733BC9E0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100011</xdr:colOff>
      <xdr:row>0</xdr:row>
      <xdr:rowOff>28575</xdr:rowOff>
    </xdr:from>
    <xdr:to>
      <xdr:col>18</xdr:col>
      <xdr:colOff>504824</xdr:colOff>
      <xdr:row>16</xdr:row>
      <xdr:rowOff>110490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D2608D-C157-7836-93F0-61D3DC231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220980</xdr:colOff>
      <xdr:row>34</xdr:row>
      <xdr:rowOff>57150</xdr:rowOff>
    </xdr:from>
    <xdr:to>
      <xdr:col>16</xdr:col>
      <xdr:colOff>625793</xdr:colOff>
      <xdr:row>50</xdr:row>
      <xdr:rowOff>139065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6D29A-D143-44B4-8FB2-4DDC85274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hub%20repositories\DK-BioRES\DK-BioRes.xlsm" TargetMode="External"/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kcal"/>
    </sheetNames>
    <sheetDataSet>
      <sheetData sheetId="0"/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4.5</v>
          </cell>
          <cell r="J9">
            <v>4.5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-10</v>
          </cell>
          <cell r="I81">
            <v>-10</v>
          </cell>
          <cell r="J81">
            <v>-10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-10</v>
          </cell>
          <cell r="I85">
            <v>-10</v>
          </cell>
          <cell r="J85">
            <v>-10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</v>
          </cell>
          <cell r="I87">
            <v>0</v>
          </cell>
          <cell r="J87">
            <v>0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</v>
          </cell>
          <cell r="I88">
            <v>0</v>
          </cell>
          <cell r="J88">
            <v>0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-10</v>
          </cell>
          <cell r="I89">
            <v>-10</v>
          </cell>
          <cell r="J89">
            <v>-10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0</v>
          </cell>
          <cell r="I90">
            <v>0</v>
          </cell>
          <cell r="J90">
            <v>0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0</v>
          </cell>
          <cell r="I91">
            <v>0</v>
          </cell>
          <cell r="J91">
            <v>0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0</v>
          </cell>
          <cell r="I92">
            <v>0</v>
          </cell>
          <cell r="J92">
            <v>0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-10</v>
          </cell>
          <cell r="I93">
            <v>-10</v>
          </cell>
          <cell r="J93">
            <v>-10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0</v>
          </cell>
          <cell r="I94">
            <v>0</v>
          </cell>
          <cell r="J94">
            <v>0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0.12546743028681259</v>
          </cell>
          <cell r="I101">
            <v>0.12546743028681259</v>
          </cell>
          <cell r="J101">
            <v>0.12546743028681259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0.13801417331549384</v>
          </cell>
          <cell r="I108">
            <v>0.13801417331549384</v>
          </cell>
          <cell r="J108">
            <v>0.13801417331549384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3.1715240866672119</v>
          </cell>
          <cell r="I116">
            <v>3.1715240866672119</v>
          </cell>
          <cell r="J116">
            <v>3.1715240866672119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2.6521826227537644</v>
          </cell>
          <cell r="I124">
            <v>2.6521826227537644</v>
          </cell>
          <cell r="J124">
            <v>2.6521826227537644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7.99210246451366E-4</v>
          </cell>
          <cell r="I132">
            <v>7.99210246451366E-4</v>
          </cell>
          <cell r="J132">
            <v>7.99210246451366E-4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8.7913127109650257E-4</v>
          </cell>
          <cell r="I140">
            <v>8.7913127109650257E-4</v>
          </cell>
          <cell r="J140">
            <v>8.7913127109650257E-4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0.2</v>
          </cell>
          <cell r="I425">
            <v>0.2</v>
          </cell>
          <cell r="J425">
            <v>0.37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/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</row>
        <row r="12">
          <cell r="C12" t="str">
            <v>Frø</v>
          </cell>
        </row>
        <row r="13">
          <cell r="C13" t="str">
            <v>Juletræer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  <cell r="J5">
            <v>2.2736943674854606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</sheetData>
      <sheetData sheetId="10"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  <cell r="M14">
            <v>566639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  <cell r="M15">
            <v>924793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</row>
      </sheetData>
      <sheetData sheetId="12"/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</sheetData>
      <sheetData sheetId="14"/>
      <sheetData sheetId="15"/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>
        <row r="2">
          <cell r="A2" t="str">
            <v>Æg</v>
          </cell>
          <cell r="B2" t="str">
            <v>Friske æg (kun hele æg)</v>
          </cell>
          <cell r="C2">
            <v>138</v>
          </cell>
        </row>
        <row r="3">
          <cell r="A3" t="str">
            <v>Bælgsæd</v>
          </cell>
          <cell r="B3" t="str">
            <v>Friske bælgplanter</v>
          </cell>
          <cell r="C3">
            <v>694.5</v>
          </cell>
        </row>
        <row r="4">
          <cell r="A4" t="str">
            <v>Bioaffald</v>
          </cell>
          <cell r="B4" t="str">
            <v>-</v>
          </cell>
          <cell r="C4">
            <v>0</v>
          </cell>
        </row>
        <row r="5">
          <cell r="A5" t="str">
            <v>Biogas</v>
          </cell>
          <cell r="B5" t="str">
            <v>-</v>
          </cell>
          <cell r="C5">
            <v>0</v>
          </cell>
        </row>
        <row r="6">
          <cell r="A6" t="str">
            <v>Biogasgylle</v>
          </cell>
          <cell r="B6" t="str">
            <v>-</v>
          </cell>
          <cell r="C6">
            <v>0</v>
          </cell>
        </row>
        <row r="7">
          <cell r="A7" t="str">
            <v>Brun saft</v>
          </cell>
          <cell r="B7" t="str">
            <v>-</v>
          </cell>
          <cell r="C7">
            <v>0</v>
          </cell>
        </row>
        <row r="8">
          <cell r="A8" t="str">
            <v>Dybstrøelse</v>
          </cell>
          <cell r="B8" t="str">
            <v>-</v>
          </cell>
          <cell r="C8">
            <v>0</v>
          </cell>
        </row>
        <row r="9">
          <cell r="A9" t="str">
            <v>Fiberfraktion</v>
          </cell>
          <cell r="B9" t="str">
            <v>-</v>
          </cell>
          <cell r="C9">
            <v>0</v>
          </cell>
        </row>
        <row r="10">
          <cell r="A10" t="str">
            <v>Fjerkrægylle</v>
          </cell>
          <cell r="B10" t="str">
            <v>-</v>
          </cell>
          <cell r="C10">
            <v>0</v>
          </cell>
        </row>
        <row r="11">
          <cell r="A11" t="str">
            <v>Fjerkrækød</v>
          </cell>
          <cell r="B11" t="str">
            <v>Høns og kylling (kun "rå")</v>
          </cell>
          <cell r="C11">
            <v>152</v>
          </cell>
        </row>
        <row r="12">
          <cell r="A12" t="str">
            <v>Frø</v>
          </cell>
          <cell r="B12" t="str">
            <v>Fedtrige frø</v>
          </cell>
          <cell r="C12">
            <v>559</v>
          </cell>
        </row>
        <row r="13">
          <cell r="A13" t="str">
            <v>Frugt</v>
          </cell>
          <cell r="B13" t="str">
            <v>Kernefrugt (her valgt æble og pære)</v>
          </cell>
          <cell r="C13">
            <v>52</v>
          </cell>
        </row>
        <row r="14">
          <cell r="A14" t="str">
            <v>Glycerin</v>
          </cell>
          <cell r="B14" t="str">
            <v>-</v>
          </cell>
          <cell r="C14">
            <v>0</v>
          </cell>
        </row>
        <row r="15">
          <cell r="A15" t="str">
            <v>Græs</v>
          </cell>
          <cell r="C15">
            <v>33</v>
          </cell>
        </row>
        <row r="16">
          <cell r="A16" t="str">
            <v>Græsprotein</v>
          </cell>
          <cell r="B16" t="str">
            <v>-</v>
          </cell>
          <cell r="C16">
            <v>0</v>
          </cell>
        </row>
        <row r="17">
          <cell r="A17" t="str">
            <v>Grøntsager</v>
          </cell>
          <cell r="B17" t="str">
            <v>Rod- og knoldgrøntsager + Blad- og stængelgrøntsager</v>
          </cell>
          <cell r="C17">
            <v>39</v>
          </cell>
        </row>
        <row r="18">
          <cell r="A18" t="str">
            <v>Halm</v>
          </cell>
          <cell r="B18" t="str">
            <v>-</v>
          </cell>
          <cell r="C18">
            <v>0</v>
          </cell>
        </row>
        <row r="19">
          <cell r="A19" t="str">
            <v>Have/parkaffald</v>
          </cell>
          <cell r="B19" t="str">
            <v>-</v>
          </cell>
          <cell r="C19">
            <v>0</v>
          </cell>
        </row>
        <row r="20">
          <cell r="A20" t="str">
            <v>Import af foder</v>
          </cell>
          <cell r="B20" t="str">
            <v>-</v>
          </cell>
          <cell r="C20">
            <v>57</v>
          </cell>
        </row>
        <row r="21">
          <cell r="A21" t="str">
            <v>Industriaffald</v>
          </cell>
          <cell r="B21" t="str">
            <v>-</v>
          </cell>
          <cell r="C21">
            <v>0</v>
          </cell>
        </row>
        <row r="22">
          <cell r="A22" t="str">
            <v>Juletræer</v>
          </cell>
          <cell r="B22" t="str">
            <v>-</v>
          </cell>
          <cell r="C22">
            <v>0</v>
          </cell>
        </row>
        <row r="23">
          <cell r="A23" t="str">
            <v>Kartofler</v>
          </cell>
          <cell r="B23" t="str">
            <v>Rod- og knoldgrøntsager (kun kartoffel + rå)</v>
          </cell>
          <cell r="C23">
            <v>78</v>
          </cell>
        </row>
        <row r="24">
          <cell r="A24" t="str">
            <v>Korn</v>
          </cell>
          <cell r="B24" t="str">
            <v>Korn og gryn (Havregryn, hvedekim, hvedegryn)</v>
          </cell>
          <cell r="C24">
            <v>232.41388774529983</v>
          </cell>
        </row>
        <row r="25">
          <cell r="A25" t="str">
            <v>Kunstgødning</v>
          </cell>
          <cell r="B25" t="str">
            <v>-</v>
          </cell>
          <cell r="C25">
            <v>0</v>
          </cell>
        </row>
        <row r="26">
          <cell r="A26" t="str">
            <v>Kvæggylle</v>
          </cell>
          <cell r="B26" t="str">
            <v>-</v>
          </cell>
          <cell r="C26">
            <v>0</v>
          </cell>
        </row>
        <row r="27">
          <cell r="A27" t="str">
            <v>Mælk til foder</v>
          </cell>
          <cell r="B27" t="str">
            <v>-</v>
          </cell>
          <cell r="C27">
            <v>0</v>
          </cell>
        </row>
        <row r="28">
          <cell r="A28" t="str">
            <v>Majs</v>
          </cell>
          <cell r="B28" t="str">
            <v>Frugt-grøntsager (majskolbe rå)</v>
          </cell>
          <cell r="C28">
            <v>91</v>
          </cell>
        </row>
        <row r="29">
          <cell r="A29" t="str">
            <v>Mejeriprodukter</v>
          </cell>
          <cell r="B29" t="str">
            <v>Usyrnede mækeprodukter (sødmælk konventionel, sødmælk økologisk)</v>
          </cell>
          <cell r="C29">
            <v>63</v>
          </cell>
        </row>
        <row r="30">
          <cell r="A30" t="str">
            <v>Muslinger</v>
          </cell>
          <cell r="B30" t="str">
            <v>Bløddyr og produkter heraf (musling rå)</v>
          </cell>
          <cell r="C30">
            <v>83</v>
          </cell>
        </row>
        <row r="31">
          <cell r="A31" t="str">
            <v>Oksekød</v>
          </cell>
          <cell r="B31" t="str">
            <v>Oksekød</v>
          </cell>
          <cell r="C31">
            <v>195</v>
          </cell>
        </row>
        <row r="32">
          <cell r="A32" t="str">
            <v>Øvrige</v>
          </cell>
          <cell r="B32" t="str">
            <v>(antaget lig med grøntsager)</v>
          </cell>
          <cell r="C32">
            <v>39</v>
          </cell>
        </row>
        <row r="33">
          <cell r="A33" t="str">
            <v>Pil &amp; poppel</v>
          </cell>
          <cell r="B33" t="str">
            <v>-</v>
          </cell>
          <cell r="C33">
            <v>0</v>
          </cell>
        </row>
        <row r="34">
          <cell r="A34" t="str">
            <v>Pyrolysegas</v>
          </cell>
          <cell r="B34" t="str">
            <v>-</v>
          </cell>
          <cell r="C34">
            <v>0</v>
          </cell>
        </row>
        <row r="35">
          <cell r="A35" t="str">
            <v>Pyrolyseolie</v>
          </cell>
          <cell r="B35" t="str">
            <v>-</v>
          </cell>
          <cell r="C35">
            <v>0</v>
          </cell>
        </row>
        <row r="36">
          <cell r="A36" t="str">
            <v>Råmælk</v>
          </cell>
          <cell r="B36" t="str">
            <v>Antaget lig med mejeriprodukter</v>
          </cell>
          <cell r="C36">
            <v>63</v>
          </cell>
        </row>
        <row r="37">
          <cell r="A37" t="str">
            <v>Raps</v>
          </cell>
          <cell r="C37">
            <v>0</v>
          </cell>
        </row>
        <row r="38">
          <cell r="A38" t="str">
            <v>Rapskage</v>
          </cell>
          <cell r="C38">
            <v>0</v>
          </cell>
        </row>
        <row r="39">
          <cell r="A39" t="str">
            <v>Rapsolie</v>
          </cell>
          <cell r="B39" t="str">
            <v>(søgt på rapsolie)</v>
          </cell>
          <cell r="C39">
            <v>900</v>
          </cell>
        </row>
        <row r="40">
          <cell r="A40" t="str">
            <v>Roer</v>
          </cell>
          <cell r="B40" t="str">
            <v>(majroe + kålrabi)</v>
          </cell>
          <cell r="C40">
            <v>30</v>
          </cell>
        </row>
        <row r="41">
          <cell r="A41" t="str">
            <v>Slagteriaffald til andet</v>
          </cell>
          <cell r="B41" t="str">
            <v>-</v>
          </cell>
          <cell r="C41">
            <v>0</v>
          </cell>
        </row>
        <row r="42">
          <cell r="A42" t="str">
            <v>Slagteriaffald til foder</v>
          </cell>
          <cell r="B42" t="str">
            <v>-</v>
          </cell>
          <cell r="C42">
            <v>0</v>
          </cell>
        </row>
        <row r="43">
          <cell r="A43" t="str">
            <v>Spildevandsslam</v>
          </cell>
          <cell r="B43" t="str">
            <v>-</v>
          </cell>
          <cell r="C43">
            <v>0</v>
          </cell>
        </row>
        <row r="44">
          <cell r="A44" t="str">
            <v>Svinegylle</v>
          </cell>
          <cell r="B44" t="str">
            <v>-</v>
          </cell>
          <cell r="C44">
            <v>0</v>
          </cell>
        </row>
        <row r="45">
          <cell r="A45" t="str">
            <v>Svinekød</v>
          </cell>
          <cell r="B45" t="str">
            <v>Svinekød (Gris)</v>
          </cell>
          <cell r="C45">
            <v>195</v>
          </cell>
        </row>
        <row r="46">
          <cell r="A46" t="str">
            <v>Tang</v>
          </cell>
          <cell r="B46" t="str">
            <v>(søgt på tang)</v>
          </cell>
          <cell r="C46">
            <v>40.799999999999997</v>
          </cell>
        </row>
        <row r="47">
          <cell r="A47" t="str">
            <v>Total til biogas</v>
          </cell>
          <cell r="B47" t="str">
            <v>-</v>
          </cell>
          <cell r="C47">
            <v>0</v>
          </cell>
        </row>
        <row r="48">
          <cell r="A48" t="str">
            <v>Træ til energi</v>
          </cell>
          <cell r="B48" t="str">
            <v>-</v>
          </cell>
          <cell r="C48">
            <v>0</v>
          </cell>
        </row>
        <row r="49">
          <cell r="A49" t="str">
            <v>Træmaterialer</v>
          </cell>
          <cell r="B49" t="str">
            <v>-</v>
          </cell>
          <cell r="C4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5231478" createdVersion="7" refreshedVersion="8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992425.2998776729" maxValue="12925230.88589053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5462963" createdVersion="6" refreshedVersion="8" minRefreshableVersion="3" recordCount="288" xr:uid="{822B5E33-E9A7-41DC-AB73-B52BC0B6315D}">
  <cacheSource type="worksheet">
    <worksheetSource ref="A3:Y291" sheet="Resultat-Produktion &amp; forbrug"/>
  </cacheSource>
  <cacheFields count="25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13417890.16546005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0745893.035319086"/>
    </cacheField>
    <cacheField name="Gødning" numFmtId="0">
      <sharedItems containsSemiMixedTypes="0" containsString="0" containsNumber="1" minValue="0" maxValue="17741283.594546799"/>
    </cacheField>
    <cacheField name="Energi" numFmtId="0">
      <sharedItems containsSemiMixedTypes="0" containsString="0" containsNumber="1" minValue="0" maxValue="413417890.16546005"/>
    </cacheField>
    <cacheField name="Materialer og processer" numFmtId="0">
      <sharedItems containsSemiMixedTypes="0" containsString="0" containsNumber="1" minValue="0" maxValue="21620469.097170986"/>
    </cacheField>
    <cacheField name="Produktion minus forbrug [ton]" numFmtId="3">
      <sharedItems containsSemiMixedTypes="0" containsString="0" containsNumber="1" minValue="-4828427.5390456235" maxValue="13514687.835573286"/>
    </cacheField>
    <cacheField name="Potentiale til energi [ton]" numFmtId="3">
      <sharedItems containsSemiMixedTypes="0" containsString="0" containsNumber="1" minValue="0" maxValue="7319388.49518706"/>
    </cacheField>
    <cacheField name="Forbrug energi [ton/m3]" numFmtId="3">
      <sharedItems containsSemiMixedTypes="0" containsString="0" containsNumber="1" minValue="0" maxValue="413417890.16546005"/>
    </cacheField>
    <cacheField name="Potentiale til energi [PJ]" numFmtId="0">
      <sharedItems containsSemiMixedTypes="0" containsString="0" containsNumber="1" minValue="0" maxValue="13.46675990758229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6459817279993647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49428.778652377"/>
    </cacheField>
    <cacheField name="Forbrug/potentiale [Ton TS]" numFmtId="0">
      <sharedItems containsSemiMixedTypes="0" containsString="0" containsNumber="1" minValue="0" maxValue="2049428.778652377"/>
    </cacheField>
    <cacheField name="Biogasproduktion [Ton TS]" numFmtId="0">
      <sharedItems containsSemiMixedTypes="0" containsString="0" containsNumber="1" minValue="0" maxValue="1204175.7281336163"/>
    </cacheField>
    <cacheField name="Biomasser til energi eksl. biogas [Ton TS]" numFmtId="0">
      <sharedItems containsSemiMixedTypes="0" containsString="0" containsNumber="1" minValue="0" maxValue="2049428.7786523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6273148" createdVersion="7" refreshedVersion="8" minRefreshableVersion="3" recordCount="288" xr:uid="{DB7E48C5-4053-49AC-B0E7-43CEB6C0C35A}">
  <cacheSource type="worksheet">
    <worksheetSource ref="A3:AA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13417890.16546005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0745893.035319086"/>
    </cacheField>
    <cacheField name="Gødning" numFmtId="0">
      <sharedItems containsSemiMixedTypes="0" containsString="0" containsNumber="1" minValue="0" maxValue="17741283.594546799"/>
    </cacheField>
    <cacheField name="Energi" numFmtId="0">
      <sharedItems containsSemiMixedTypes="0" containsString="0" containsNumber="1" minValue="0" maxValue="413417890.16546005"/>
    </cacheField>
    <cacheField name="Materialer og processer" numFmtId="0">
      <sharedItems containsSemiMixedTypes="0" containsString="0" containsNumber="1" minValue="0" maxValue="21620469.097170986"/>
    </cacheField>
    <cacheField name="Produktion minus forbrug [ton]" numFmtId="3">
      <sharedItems containsSemiMixedTypes="0" containsString="0" containsNumber="1" minValue="-4828427.5390456235" maxValue="13514687.835573286"/>
    </cacheField>
    <cacheField name="Potentiale til energi [ton]" numFmtId="3">
      <sharedItems containsSemiMixedTypes="0" containsString="0" containsNumber="1" minValue="0" maxValue="7319388.49518706"/>
    </cacheField>
    <cacheField name="Forbrug energi [ton/m3]" numFmtId="3">
      <sharedItems containsSemiMixedTypes="0" containsString="0" containsNumber="1" minValue="0" maxValue="413417890.16546005"/>
    </cacheField>
    <cacheField name="Potentiale til energi [PJ]" numFmtId="0">
      <sharedItems containsSemiMixedTypes="0" containsString="0" containsNumber="1" minValue="0" maxValue="13.46675990758229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6459817279993647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49428.778652377"/>
    </cacheField>
    <cacheField name="Forbrug/potentiale [Ton TS]" numFmtId="0">
      <sharedItems containsSemiMixedTypes="0" containsString="0" containsNumber="1" minValue="0" maxValue="2049428.778652377"/>
    </cacheField>
    <cacheField name="Biogasproduktion [Ton TS]" numFmtId="0">
      <sharedItems containsSemiMixedTypes="0" containsString="0" containsNumber="1" minValue="0" maxValue="1204175.7281336163"/>
    </cacheField>
    <cacheField name="Biomasser til energi eksl. biogas [Ton TS]" numFmtId="0">
      <sharedItems containsSemiMixedTypes="0" containsString="0" containsNumber="1" minValue="0" maxValue="2049428.77865237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6620371" createdVersion="7" refreshedVersion="8" minRefreshableVersion="3" recordCount="288" xr:uid="{E73CE649-34D2-4547-A4AF-B1792D0E11FA}">
  <cacheSource type="worksheet">
    <worksheetSource ref="A3:Z291" sheet="Resultat-Produktion &amp; forbrug"/>
  </cacheSource>
  <cacheFields count="27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Til kcal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13417890.16546005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tring="0" containsBlank="1" containsNumber="1" minValue="0" maxValue="457077.09579476295"/>
    </cacheField>
    <cacheField name="Biogas" numFmtId="0">
      <sharedItems containsSemiMixedTypes="0" containsString="0" containsNumber="1" minValue="0" maxValue="10745893.035319086"/>
    </cacheField>
    <cacheField name="Gødning" numFmtId="0">
      <sharedItems containsSemiMixedTypes="0" containsString="0" containsNumber="1" minValue="0" maxValue="17741283.594546799"/>
    </cacheField>
    <cacheField name="Energi" numFmtId="0">
      <sharedItems containsSemiMixedTypes="0" containsString="0" containsNumber="1" minValue="0" maxValue="413417890.16546005"/>
    </cacheField>
    <cacheField name="Materialer og processer" numFmtId="0">
      <sharedItems containsSemiMixedTypes="0" containsString="0" containsNumber="1" minValue="0" maxValue="21620469.097170986"/>
    </cacheField>
    <cacheField name="Produktion minus forbrug [ton]" numFmtId="3">
      <sharedItems containsSemiMixedTypes="0" containsString="0" containsNumber="1" minValue="-4828427.5390456235" maxValue="13514687.835573286"/>
    </cacheField>
    <cacheField name="Potentiale til energi [ton]" numFmtId="3">
      <sharedItems containsSemiMixedTypes="0" containsString="0" containsNumber="1" minValue="0" maxValue="7319388.49518706"/>
    </cacheField>
    <cacheField name="Forbrug energi [ton/m3]" numFmtId="3">
      <sharedItems containsSemiMixedTypes="0" containsString="0" containsNumber="1" minValue="0" maxValue="413417890.16546005"/>
    </cacheField>
    <cacheField name="Potentiale til energi [PJ]" numFmtId="0">
      <sharedItems containsSemiMixedTypes="0" containsString="0" containsNumber="1" minValue="0" maxValue="13.46675990758229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8.6459817279993647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49428.778652377"/>
    </cacheField>
    <cacheField name="Forbrug/potentiale [Ton TS]" numFmtId="0">
      <sharedItems containsSemiMixedTypes="0" containsString="0" containsNumber="1" minValue="0" maxValue="2049428.778652377"/>
    </cacheField>
    <cacheField name="Biogasproduktion [Ton TS]" numFmtId="0">
      <sharedItems containsSemiMixedTypes="0" containsString="0" containsNumber="1" minValue="0" maxValue="1204175.7281336163"/>
    </cacheField>
    <cacheField name="Biomasser til energi eksl. biogas [Ton TS]" numFmtId="0">
      <sharedItems containsSemiMixedTypes="0" containsString="0" containsNumber="1" minValue="0" maxValue="2049428.77865237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6967594" createdVersion="6" refreshedVersion="8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19821015.948231682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0" maxValue="19821015.9482316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7083333" createdVersion="6" refreshedVersion="8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34445105.8353904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7314817" createdVersion="6" refreshedVersion="8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5275.613527546295" createdVersion="7" refreshedVersion="8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620469.097170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925230.885890532"/>
    <s v="CO2 - atmosfære"/>
    <x v="0"/>
  </r>
  <r>
    <s v="Vestdanmark"/>
    <x v="0"/>
    <n v="5679335.5964851258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93826.565102358349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883894.5701446757"/>
    <s v="CO2 - atmosfære"/>
    <x v="0"/>
  </r>
  <r>
    <s v="Vestdanmark"/>
    <x v="1"/>
    <n v="4155899.9737037299"/>
    <s v="Landbrug"/>
    <x v="1"/>
  </r>
  <r>
    <s v="Vestdanmark"/>
    <x v="1"/>
    <n v="3531395.5295987274"/>
    <s v="Landbrug"/>
    <x v="2"/>
  </r>
  <r>
    <s v="Vestdanmark"/>
    <x v="1"/>
    <n v="817585.82822234533"/>
    <s v="Landbrug"/>
    <x v="2"/>
  </r>
  <r>
    <s v="Vestdanmark"/>
    <x v="1"/>
    <n v="1624295.7186815178"/>
    <s v="Landbrug"/>
    <x v="2"/>
  </r>
  <r>
    <s v="Vestdanmark"/>
    <x v="1"/>
    <n v="-158.24317477886137"/>
    <s v="Hav"/>
    <x v="3"/>
  </r>
  <r>
    <s v="Vestdanmark"/>
    <x v="1"/>
    <n v="-1878991.6015824694"/>
    <s v="Skov"/>
    <x v="4"/>
  </r>
  <r>
    <s v="Vestdanmark"/>
    <x v="1"/>
    <n v="-95441.036993373244"/>
    <s v="HWP"/>
    <x v="5"/>
  </r>
  <r>
    <s v="Vestdanmark"/>
    <x v="1"/>
    <n v="-270691.59831102827"/>
    <s v="Biogasanlæg"/>
    <x v="6"/>
  </r>
  <r>
    <s v="Vestdanmark"/>
    <x v="1"/>
    <n v="0"/>
    <s v="Pyrolyseproces"/>
    <x v="7"/>
  </r>
  <r>
    <s v="Vestdanmark"/>
    <x v="2"/>
    <n v="908100.21254684706"/>
    <s v="CO2 - atmosfære"/>
    <x v="0"/>
  </r>
  <r>
    <s v="Vestdanmark"/>
    <x v="2"/>
    <n v="1452409.4322177647"/>
    <s v="Landbrug"/>
    <x v="1"/>
  </r>
  <r>
    <s v="Vestdanmark"/>
    <x v="2"/>
    <n v="2581014.1877439953"/>
    <s v="Landbrug"/>
    <x v="2"/>
  </r>
  <r>
    <s v="Vestdanmark"/>
    <x v="2"/>
    <n v="73549.300726273679"/>
    <s v="Landbrug"/>
    <x v="2"/>
  </r>
  <r>
    <s v="Vestdanmark"/>
    <x v="2"/>
    <n v="153049.78603004583"/>
    <s v="Landbrug"/>
    <x v="2"/>
  </r>
  <r>
    <s v="Vestdanmark"/>
    <x v="2"/>
    <n v="-158.24317477886137"/>
    <s v="Hav"/>
    <x v="3"/>
  </r>
  <r>
    <s v="Vestdanmark"/>
    <x v="2"/>
    <n v="-2992425.2998776729"/>
    <s v="Skov"/>
    <x v="4"/>
  </r>
  <r>
    <s v="Vestdanmark"/>
    <x v="2"/>
    <n v="-357518.33254056162"/>
    <s v="HWP"/>
    <x v="5"/>
  </r>
  <r>
    <s v="Vestdanmark"/>
    <x v="2"/>
    <n v="-1820.6185782189057"/>
    <s v="Biogasanlæg"/>
    <x v="6"/>
  </r>
  <r>
    <s v="Vestdanmark"/>
    <x v="2"/>
    <n v="0"/>
    <s v="Pyrolyseproces"/>
    <x v="7"/>
  </r>
  <r>
    <s v="Østdanmark"/>
    <x v="0"/>
    <n v="2132620.7692239708"/>
    <s v="CO2 - atmosfære"/>
    <x v="0"/>
  </r>
  <r>
    <s v="Østdanmark"/>
    <x v="0"/>
    <n v="502237.73233999556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27463.48696246129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08426.5934191789"/>
    <s v="CO2 - atmosfære"/>
    <x v="0"/>
  </r>
  <r>
    <s v="Østdanmark"/>
    <x v="1"/>
    <n v="388406.55096812779"/>
    <s v="Landbrug"/>
    <x v="1"/>
  </r>
  <r>
    <s v="Østdanmark"/>
    <x v="1"/>
    <n v="1085668.0687409649"/>
    <s v="Landbrug"/>
    <x v="2"/>
  </r>
  <r>
    <s v="Østdanmark"/>
    <x v="1"/>
    <n v="124173.21561020505"/>
    <s v="Landbrug"/>
    <x v="2"/>
  </r>
  <r>
    <s v="Østdanmark"/>
    <x v="1"/>
    <n v="246625.11650187292"/>
    <s v="Landbrug"/>
    <x v="2"/>
  </r>
  <r>
    <s v="Østdanmark"/>
    <x v="1"/>
    <n v="-0.19402522113858015"/>
    <s v="Hav"/>
    <x v="3"/>
  </r>
  <r>
    <s v="Østdanmark"/>
    <x v="1"/>
    <n v="-379941.29349814425"/>
    <s v="Skov"/>
    <x v="4"/>
  </r>
  <r>
    <s v="Østdanmark"/>
    <x v="1"/>
    <n v="-27168.989628195013"/>
    <s v="HWP"/>
    <x v="5"/>
  </r>
  <r>
    <s v="Østdanmark"/>
    <x v="1"/>
    <n v="-29335.881250431688"/>
    <s v="Biogasanlæg"/>
    <x v="6"/>
  </r>
  <r>
    <s v="Østdanmark"/>
    <x v="1"/>
    <n v="0"/>
    <s v="Pyrolyseproces"/>
    <x v="7"/>
  </r>
  <r>
    <s v="Østdanmark"/>
    <x v="2"/>
    <n v="408500.43850828905"/>
    <s v="CO2 - atmosfære"/>
    <x v="0"/>
  </r>
  <r>
    <s v="Østdanmark"/>
    <x v="2"/>
    <n v="191029.66334757369"/>
    <s v="Landbrug"/>
    <x v="1"/>
  </r>
  <r>
    <s v="Østdanmark"/>
    <x v="2"/>
    <n v="858556.5476584296"/>
    <s v="Landbrug"/>
    <x v="2"/>
  </r>
  <r>
    <s v="Østdanmark"/>
    <x v="2"/>
    <n v="11170.456936242925"/>
    <s v="Landbrug"/>
    <x v="2"/>
  </r>
  <r>
    <s v="Østdanmark"/>
    <x v="2"/>
    <n v="23244.76272469978"/>
    <s v="Landbrug"/>
    <x v="2"/>
  </r>
  <r>
    <s v="Østdanmark"/>
    <x v="2"/>
    <n v="-0.19402522113858015"/>
    <s v="Hav"/>
    <x v="3"/>
  </r>
  <r>
    <s v="Østdanmark"/>
    <x v="2"/>
    <n v="-593947.15361868346"/>
    <s v="Skov"/>
    <x v="4"/>
  </r>
  <r>
    <s v="Østdanmark"/>
    <x v="2"/>
    <n v="-81424.245852058768"/>
    <s v="HWP"/>
    <x v="5"/>
  </r>
  <r>
    <s v="Østdanmark"/>
    <x v="2"/>
    <n v="-129.39866269373474"/>
    <s v="Biogasanlæg"/>
    <x v="6"/>
  </r>
  <r>
    <s v="Østdanmark"/>
    <x v="2"/>
    <n v="0"/>
    <s v="Pyrolyseproces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n v="1"/>
    <x v="1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</r>
  <r>
    <x v="1"/>
    <x v="10"/>
    <n v="0"/>
    <n v="1"/>
    <x v="1"/>
    <s v="Vestdanmark"/>
    <n v="545577.01129372371"/>
    <n v="51766.523378049998"/>
    <n v="0"/>
    <m/>
    <n v="0"/>
    <n v="0"/>
    <n v="0"/>
    <n v="0"/>
    <n v="493810.4879156737"/>
    <n v="0"/>
    <n v="0"/>
    <n v="0"/>
    <n v="0"/>
    <n v="0"/>
    <n v="0"/>
    <n v="0"/>
    <n v="0"/>
    <n v="0"/>
    <n v="0"/>
  </r>
  <r>
    <x v="2"/>
    <x v="1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n v="0"/>
    <x v="1"/>
    <s v="Vestdanmark"/>
    <n v="380214878.24169075"/>
    <n v="0"/>
    <n v="0"/>
    <m/>
    <n v="0"/>
    <n v="0"/>
    <n v="380214878.24169075"/>
    <n v="0"/>
    <n v="0"/>
    <n v="0"/>
    <n v="380214878.24169075"/>
    <n v="0"/>
    <n v="0"/>
    <n v="0"/>
    <n v="0"/>
    <n v="0"/>
    <n v="0"/>
    <n v="0"/>
    <n v="0"/>
  </r>
  <r>
    <x v="4"/>
    <x v="10"/>
    <n v="0"/>
    <n v="0"/>
    <x v="1"/>
    <s v="Vestdanmark"/>
    <n v="20577787.082851764"/>
    <n v="0"/>
    <n v="0"/>
    <m/>
    <n v="0"/>
    <n v="17741283.594546799"/>
    <n v="0"/>
    <n v="0"/>
    <n v="2836503.4883049652"/>
    <n v="0"/>
    <n v="0"/>
    <n v="0"/>
    <n v="0"/>
    <n v="0"/>
    <n v="0"/>
    <n v="0"/>
    <n v="0"/>
    <n v="0"/>
    <n v="0"/>
  </r>
  <r>
    <x v="5"/>
    <x v="1"/>
    <n v="1"/>
    <n v="0"/>
    <x v="1"/>
    <s v="Vestdanmark"/>
    <n v="5117942.4076080145"/>
    <n v="0"/>
    <n v="0"/>
    <m/>
    <n v="3838456.8057060111"/>
    <n v="0"/>
    <n v="0"/>
    <n v="0"/>
    <n v="1279485.6019020034"/>
    <n v="1279485.6019020034"/>
    <n v="3838456.8057060111"/>
    <n v="0.72678118694857163"/>
    <n v="2.907124747794287"/>
    <n v="2.1803435608457153"/>
    <n v="0.72678118694857163"/>
    <n v="54715.138669620683"/>
    <n v="218860.55467848279"/>
    <n v="164145.41600886208"/>
    <n v="54715.138669620705"/>
  </r>
  <r>
    <x v="6"/>
    <x v="2"/>
    <n v="1"/>
    <n v="0"/>
    <x v="1"/>
    <s v="Vestdanmark"/>
    <n v="2348727.6697282116"/>
    <n v="0"/>
    <n v="0"/>
    <m/>
    <n v="1761545.7522961586"/>
    <n v="222290.29731356286"/>
    <n v="0"/>
    <n v="0"/>
    <n v="364891.62011849019"/>
    <n v="364891.62011849019"/>
    <n v="1761545.7522961586"/>
    <n v="0.7859765497352279"/>
    <n v="4.5803461001811536"/>
    <n v="3.7943695504459258"/>
    <n v="0.78597654973522779"/>
    <n v="109467.48603554706"/>
    <n v="637931.21172439458"/>
    <n v="528463.7256888476"/>
    <n v="109467.48603554699"/>
  </r>
  <r>
    <x v="7"/>
    <x v="10"/>
    <n v="0"/>
    <n v="0"/>
    <x v="1"/>
    <s v="Vestdanmark"/>
    <n v="3604762.0770573635"/>
    <n v="3603112.0414954"/>
    <n v="0"/>
    <m/>
    <n v="0"/>
    <n v="0"/>
    <n v="0"/>
    <n v="0"/>
    <n v="1650.0355619634502"/>
    <n v="0"/>
    <n v="0"/>
    <n v="0"/>
    <n v="0"/>
    <n v="0"/>
    <n v="0"/>
    <n v="0"/>
    <n v="0"/>
    <n v="0"/>
    <n v="0"/>
  </r>
  <r>
    <x v="8"/>
    <x v="2"/>
    <n v="1"/>
    <n v="0"/>
    <x v="1"/>
    <s v="Vestdanmark"/>
    <n v="8195.1814461661797"/>
    <n v="0"/>
    <n v="0"/>
    <m/>
    <n v="6146.3860846246353"/>
    <n v="2048.7953615415449"/>
    <n v="0"/>
    <n v="0"/>
    <n v="0"/>
    <n v="0"/>
    <n v="6146.3860846246353"/>
    <n v="0"/>
    <n v="2.8905839117381199E-3"/>
    <n v="2.8905839117381199E-3"/>
    <n v="0"/>
    <n v="0"/>
    <n v="387.22232333135202"/>
    <n v="387.22232333135202"/>
    <n v="0"/>
  </r>
  <r>
    <x v="9"/>
    <x v="10"/>
    <n v="0"/>
    <n v="1"/>
    <x v="1"/>
    <s v="Vestdanmark"/>
    <n v="185939.47423661887"/>
    <n v="0"/>
    <n v="0"/>
    <m/>
    <n v="0"/>
    <n v="0"/>
    <n v="0"/>
    <n v="0"/>
    <n v="185939.47423661887"/>
    <n v="0"/>
    <n v="0"/>
    <n v="0"/>
    <n v="0"/>
    <n v="0"/>
    <n v="0"/>
    <n v="0"/>
    <n v="0"/>
    <n v="0"/>
    <n v="0"/>
  </r>
  <r>
    <x v="10"/>
    <x v="10"/>
    <n v="0"/>
    <n v="0"/>
    <x v="1"/>
    <s v="Vestdanmark"/>
    <n v="749561.48395824642"/>
    <n v="0"/>
    <n v="0"/>
    <m/>
    <n v="0"/>
    <n v="0"/>
    <n v="0"/>
    <n v="0"/>
    <n v="749561.48395824642"/>
    <n v="0"/>
    <n v="0"/>
    <n v="0"/>
    <n v="0"/>
    <n v="0"/>
    <n v="0"/>
    <n v="0"/>
    <n v="0"/>
    <n v="0"/>
    <n v="0"/>
  </r>
  <r>
    <x v="11"/>
    <x v="10"/>
    <n v="0"/>
    <n v="1"/>
    <x v="1"/>
    <s v="Vestdanmark"/>
    <n v="488405.10801459721"/>
    <n v="0"/>
    <n v="0"/>
    <m/>
    <n v="0"/>
    <n v="0"/>
    <n v="0"/>
    <n v="0"/>
    <n v="488405.10801459721"/>
    <n v="0"/>
    <n v="0"/>
    <n v="0"/>
    <n v="0"/>
    <n v="0"/>
    <n v="0"/>
    <n v="0"/>
    <n v="0"/>
    <n v="0"/>
    <n v="0"/>
  </r>
  <r>
    <x v="12"/>
    <x v="3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Vestdanmark"/>
    <n v="23233296.600181103"/>
    <n v="9821978.8314936236"/>
    <n v="0"/>
    <m/>
    <n v="0"/>
    <n v="0"/>
    <n v="0"/>
    <n v="10473588.922093241"/>
    <n v="2937728.8465942368"/>
    <n v="2937728.8465942368"/>
    <n v="0"/>
    <n v="5.4050538616275716"/>
    <n v="5.4050538616275716"/>
    <n v="0"/>
    <n v="5.4050538616275716"/>
    <n v="822564.07704638643"/>
    <n v="822564.07704638643"/>
    <n v="0"/>
    <n v="822564.07704638643"/>
  </r>
  <r>
    <x v="14"/>
    <x v="10"/>
    <n v="0"/>
    <n v="0"/>
    <x v="1"/>
    <s v="Vestdanmark"/>
    <n v="1750884.4374278621"/>
    <n v="1750884.4374278623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Vestdanmark"/>
    <n v="318920.65280775877"/>
    <n v="0"/>
    <n v="0"/>
    <m/>
    <n v="0"/>
    <n v="0"/>
    <n v="0"/>
    <n v="0"/>
    <n v="318920.65280775877"/>
    <n v="0"/>
    <n v="0"/>
    <n v="0"/>
    <n v="0"/>
    <n v="0"/>
    <n v="0"/>
    <n v="0"/>
    <n v="0"/>
    <n v="0"/>
    <n v="0"/>
  </r>
  <r>
    <x v="16"/>
    <x v="5"/>
    <n v="1"/>
    <n v="0"/>
    <x v="1"/>
    <s v="Vestdanmark"/>
    <n v="2213317.1484140675"/>
    <n v="499432.74755070958"/>
    <n v="673527.39565992262"/>
    <m/>
    <n v="0"/>
    <n v="0"/>
    <n v="1040357.0052034357"/>
    <n v="0"/>
    <n v="0"/>
    <n v="0"/>
    <n v="1040357.0052034357"/>
    <n v="0"/>
    <n v="10.752928529344514"/>
    <n v="0"/>
    <n v="10.752928529344514"/>
    <n v="0"/>
    <n v="884303.45442292024"/>
    <n v="0"/>
    <n v="884303.45442292024"/>
  </r>
  <r>
    <x v="17"/>
    <x v="1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n v="1"/>
    <x v="1"/>
    <s v="Vestdanmark"/>
    <n v="0"/>
    <n v="2500193.1989936335"/>
    <n v="0"/>
    <m/>
    <n v="0"/>
    <n v="0"/>
    <n v="0"/>
    <n v="0"/>
    <n v="-2500193.1989936335"/>
    <n v="0"/>
    <n v="0"/>
    <n v="0"/>
    <n v="0"/>
    <n v="0"/>
    <n v="0"/>
    <n v="0"/>
    <n v="0"/>
    <n v="0"/>
    <n v="0"/>
  </r>
  <r>
    <x v="19"/>
    <x v="1"/>
    <n v="1"/>
    <n v="0"/>
    <x v="1"/>
    <s v="Vestdanmark"/>
    <n v="471923.7302437154"/>
    <n v="0"/>
    <n v="0"/>
    <m/>
    <n v="0"/>
    <n v="0"/>
    <n v="0"/>
    <n v="0"/>
    <n v="471923.7302437154"/>
    <n v="471923.7302437154"/>
    <n v="0"/>
    <n v="2.0449068732309508"/>
    <n v="2.0449068732309508"/>
    <n v="0"/>
    <n v="2.0449068732309508"/>
    <n v="198207.96670236046"/>
    <n v="198207.96670236046"/>
    <n v="0"/>
    <n v="198207.96670236046"/>
  </r>
  <r>
    <x v="20"/>
    <x v="10"/>
    <n v="0"/>
    <n v="0"/>
    <x v="1"/>
    <s v="Vestdanmark"/>
    <n v="682243.34675238712"/>
    <n v="0"/>
    <n v="0"/>
    <m/>
    <n v="0"/>
    <n v="0"/>
    <n v="0"/>
    <n v="0"/>
    <n v="682243.34675238712"/>
    <n v="0"/>
    <n v="0"/>
    <n v="0"/>
    <n v="0"/>
    <n v="0"/>
    <n v="0"/>
    <n v="0"/>
    <n v="0"/>
    <n v="0"/>
    <n v="0"/>
  </r>
  <r>
    <x v="21"/>
    <x v="10"/>
    <n v="0"/>
    <n v="1"/>
    <x v="1"/>
    <s v="Vestdanmark"/>
    <n v="2537122.9309529141"/>
    <n v="753476.59121508116"/>
    <n v="0"/>
    <m/>
    <n v="0"/>
    <n v="0"/>
    <n v="0"/>
    <n v="0"/>
    <n v="1783646.339737833"/>
    <n v="0"/>
    <n v="0"/>
    <n v="0"/>
    <n v="0"/>
    <n v="0"/>
    <n v="0"/>
    <n v="0"/>
    <n v="0"/>
    <n v="0"/>
    <n v="0"/>
  </r>
  <r>
    <x v="22"/>
    <x v="5"/>
    <n v="1"/>
    <n v="1"/>
    <x v="1"/>
    <s v="Vestdanmark"/>
    <n v="4698307.4709618408"/>
    <n v="3213850.6503298059"/>
    <n v="0"/>
    <m/>
    <n v="0"/>
    <n v="0"/>
    <n v="0"/>
    <n v="0"/>
    <n v="1484456.8206320349"/>
    <n v="1484456.8206320349"/>
    <n v="0"/>
    <n v="5.0840567867098319"/>
    <n v="5.0840567867098319"/>
    <n v="0"/>
    <n v="5.0840567867098319"/>
    <n v="460181.61439593084"/>
    <n v="460181.61439593084"/>
    <n v="0"/>
    <n v="460181.61439593084"/>
  </r>
  <r>
    <x v="23"/>
    <x v="10"/>
    <n v="0"/>
    <n v="0"/>
    <x v="1"/>
    <s v="Vestdanmark"/>
    <n v="0"/>
    <n v="0"/>
    <n v="0"/>
    <m/>
    <n v="0"/>
    <n v="708590.7242708815"/>
    <n v="0"/>
    <n v="0"/>
    <n v="-708590.7242708815"/>
    <n v="0"/>
    <n v="0"/>
    <n v="0"/>
    <n v="0"/>
    <n v="0"/>
    <n v="0"/>
    <n v="0"/>
    <n v="0"/>
    <n v="0"/>
    <n v="0"/>
  </r>
  <r>
    <x v="24"/>
    <x v="2"/>
    <n v="1"/>
    <n v="0"/>
    <x v="1"/>
    <s v="Vestdanmark"/>
    <n v="6068128.1928290678"/>
    <n v="0"/>
    <n v="0"/>
    <m/>
    <n v="4551096.1446218006"/>
    <n v="1517032.048207267"/>
    <n v="0"/>
    <n v="0"/>
    <n v="0"/>
    <n v="0"/>
    <n v="4551096.1446218006"/>
    <n v="0"/>
    <n v="2.3037193574461097"/>
    <n v="2.3037193574461097"/>
    <n v="0"/>
    <n v="0"/>
    <n v="345883.30699125683"/>
    <n v="345883.30699125683"/>
    <n v="0"/>
  </r>
  <r>
    <x v="25"/>
    <x v="10"/>
    <n v="0"/>
    <n v="0"/>
    <x v="1"/>
    <s v="Vestdanmark"/>
    <n v="706621.13097372942"/>
    <n v="784847.28992527397"/>
    <n v="0"/>
    <m/>
    <n v="0"/>
    <n v="0"/>
    <n v="0"/>
    <n v="0"/>
    <n v="-78226.158951544552"/>
    <n v="0"/>
    <n v="0"/>
    <n v="0"/>
    <n v="0"/>
    <n v="0"/>
    <n v="0"/>
    <n v="0"/>
    <n v="0"/>
    <n v="0"/>
    <n v="0"/>
  </r>
  <r>
    <x v="26"/>
    <x v="4"/>
    <n v="1"/>
    <n v="1"/>
    <x v="1"/>
    <s v="Vestdanmark"/>
    <n v="4171283.8969927602"/>
    <n v="3107018.8030339861"/>
    <n v="0"/>
    <m/>
    <n v="0"/>
    <n v="0"/>
    <n v="0"/>
    <n v="0"/>
    <n v="1064265.0939587741"/>
    <n v="1064265.0939587741"/>
    <n v="0"/>
    <n v="3.8207116873119995"/>
    <n v="3.8207116873119995"/>
    <n v="0"/>
    <n v="3.8207116873119995"/>
    <n v="319279.52818763221"/>
    <n v="319279.52818763221"/>
    <n v="0"/>
    <n v="319279.52818763221"/>
  </r>
  <r>
    <x v="27"/>
    <x v="10"/>
    <n v="0"/>
    <n v="1"/>
    <x v="1"/>
    <s v="Vestdanmark"/>
    <n v="1363412.0539430196"/>
    <n v="0"/>
    <n v="0"/>
    <m/>
    <n v="0"/>
    <n v="0"/>
    <n v="0"/>
    <n v="0"/>
    <n v="1363412.0539430196"/>
    <n v="0"/>
    <n v="0"/>
    <n v="0"/>
    <n v="0"/>
    <n v="0"/>
    <n v="0"/>
    <n v="0"/>
    <n v="0"/>
    <n v="0"/>
    <n v="0"/>
  </r>
  <r>
    <x v="28"/>
    <x v="6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1"/>
    <s v="Vestdanmark"/>
    <n v="87951.528514645848"/>
    <n v="0"/>
    <n v="0"/>
    <m/>
    <n v="0"/>
    <n v="0"/>
    <n v="0"/>
    <n v="0"/>
    <n v="87951.528514645848"/>
    <n v="0"/>
    <n v="0"/>
    <n v="0"/>
    <n v="0"/>
    <n v="0"/>
    <n v="0"/>
    <n v="0"/>
    <n v="0"/>
    <n v="0"/>
    <n v="0"/>
  </r>
  <r>
    <x v="30"/>
    <x v="10"/>
    <n v="0"/>
    <n v="1"/>
    <x v="1"/>
    <s v="Vestdanmark"/>
    <n v="1037736.7550566321"/>
    <n v="0"/>
    <n v="0"/>
    <m/>
    <n v="0"/>
    <n v="0"/>
    <n v="0"/>
    <n v="0"/>
    <n v="1037736.7550566321"/>
    <n v="0"/>
    <n v="0"/>
    <n v="0"/>
    <n v="0"/>
    <n v="0"/>
    <n v="0"/>
    <n v="0"/>
    <n v="0"/>
    <n v="0"/>
    <n v="0"/>
  </r>
  <r>
    <x v="31"/>
    <x v="7"/>
    <n v="1"/>
    <n v="0"/>
    <x v="1"/>
    <s v="Vestdanmark"/>
    <n v="897193.5214277351"/>
    <n v="0"/>
    <n v="0"/>
    <m/>
    <n v="0"/>
    <n v="0"/>
    <n v="897193.5214277351"/>
    <n v="0"/>
    <n v="0"/>
    <n v="0"/>
    <n v="897193.5214277351"/>
    <n v="0"/>
    <n v="16.508360794270324"/>
    <n v="0"/>
    <n v="16.508360794270324"/>
    <n v="0"/>
    <n v="372335.31139251008"/>
    <n v="0"/>
    <n v="372335.31139251008"/>
  </r>
  <r>
    <x v="32"/>
    <x v="8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Vestdanmark"/>
    <n v="2123110.9588889731"/>
    <n v="0"/>
    <n v="0"/>
    <m/>
    <n v="0"/>
    <n v="0"/>
    <n v="0"/>
    <n v="0"/>
    <n v="2123110.9588889731"/>
    <n v="0"/>
    <n v="0"/>
    <n v="0"/>
    <n v="0"/>
    <n v="0"/>
    <n v="0"/>
    <n v="0"/>
    <n v="0"/>
    <n v="0"/>
    <n v="0"/>
  </r>
  <r>
    <x v="35"/>
    <x v="10"/>
    <n v="0"/>
    <n v="0"/>
    <x v="1"/>
    <s v="Vestdanmark"/>
    <n v="736385.00175039668"/>
    <n v="0"/>
    <n v="0"/>
    <m/>
    <n v="0"/>
    <n v="0"/>
    <n v="0"/>
    <n v="736385.00175039668"/>
    <n v="0"/>
    <n v="0"/>
    <n v="0"/>
    <n v="0"/>
    <n v="0"/>
    <n v="0"/>
    <n v="0"/>
    <n v="0"/>
    <n v="0"/>
    <n v="0"/>
    <n v="0"/>
  </r>
  <r>
    <x v="36"/>
    <x v="10"/>
    <n v="0"/>
    <n v="0"/>
    <x v="1"/>
    <s v="Vestdanmark"/>
    <n v="368192.50087519834"/>
    <n v="297667.91735204216"/>
    <n v="0"/>
    <m/>
    <n v="0"/>
    <n v="0"/>
    <n v="0"/>
    <n v="0"/>
    <n v="70524.58352315618"/>
    <n v="0"/>
    <n v="0"/>
    <n v="0"/>
    <n v="0"/>
    <n v="0"/>
    <n v="0"/>
    <n v="0"/>
    <n v="0"/>
    <n v="0"/>
    <n v="0"/>
  </r>
  <r>
    <x v="37"/>
    <x v="9"/>
    <n v="1"/>
    <n v="1"/>
    <x v="1"/>
    <s v="Vestdanmark"/>
    <n v="235643.20056012695"/>
    <n v="0"/>
    <n v="0"/>
    <m/>
    <n v="0"/>
    <n v="0"/>
    <n v="235643.20056012695"/>
    <n v="0"/>
    <n v="0"/>
    <n v="0"/>
    <n v="235643.20056012695"/>
    <n v="0"/>
    <n v="8.2475120196044429"/>
    <n v="0"/>
    <n v="8.2475120196044429"/>
    <n v="0"/>
    <n v="0"/>
    <n v="0"/>
    <n v="0"/>
  </r>
  <r>
    <x v="38"/>
    <x v="4"/>
    <n v="1"/>
    <n v="1"/>
    <x v="1"/>
    <s v="Vestdanmark"/>
    <n v="2891451.8691946529"/>
    <n v="675121.74238873541"/>
    <n v="0"/>
    <m/>
    <n v="0"/>
    <n v="0"/>
    <n v="0"/>
    <n v="0"/>
    <n v="2216330.1268059174"/>
    <n v="2216330.1268059174"/>
    <n v="0"/>
    <n v="6.0152086173563317"/>
    <n v="6.0152086173563317"/>
    <n v="0"/>
    <n v="6.0152086173563317"/>
    <n v="443266.02536118351"/>
    <n v="443266.02536118351"/>
    <n v="0"/>
    <n v="443266.02536118351"/>
  </r>
  <r>
    <x v="39"/>
    <x v="10"/>
    <n v="0"/>
    <n v="0"/>
    <x v="1"/>
    <s v="Vestdanmark"/>
    <n v="172204.52835253053"/>
    <n v="0"/>
    <n v="0"/>
    <m/>
    <n v="0"/>
    <n v="0"/>
    <n v="0"/>
    <n v="0"/>
    <n v="172204.52835253053"/>
    <n v="0"/>
    <n v="0"/>
    <n v="0"/>
    <n v="0"/>
    <n v="0"/>
    <n v="0"/>
    <n v="0"/>
    <n v="0"/>
    <n v="0"/>
    <n v="0"/>
  </r>
  <r>
    <x v="40"/>
    <x v="10"/>
    <n v="0"/>
    <n v="0"/>
    <x v="1"/>
    <s v="Vestdanmark"/>
    <n v="121502.07445138719"/>
    <n v="39589.144539968278"/>
    <n v="0"/>
    <m/>
    <n v="0"/>
    <n v="0"/>
    <n v="0"/>
    <n v="0"/>
    <n v="81912.929911418905"/>
    <n v="0"/>
    <n v="0"/>
    <n v="0"/>
    <n v="0"/>
    <n v="0"/>
    <n v="0"/>
    <n v="0"/>
    <n v="0"/>
    <n v="0"/>
    <n v="0"/>
  </r>
  <r>
    <x v="41"/>
    <x v="1"/>
    <n v="1"/>
    <n v="0"/>
    <x v="1"/>
    <s v="Vestdanmark"/>
    <n v="3905227.9830927276"/>
    <n v="0"/>
    <n v="0"/>
    <m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</r>
  <r>
    <x v="42"/>
    <x v="2"/>
    <n v="1"/>
    <n v="0"/>
    <x v="1"/>
    <s v="Vestdanmark"/>
    <n v="14327857.380425449"/>
    <n v="0"/>
    <n v="0"/>
    <m/>
    <n v="10745893.035319086"/>
    <n v="3581964.3451063624"/>
    <n v="0"/>
    <n v="0"/>
    <n v="0"/>
    <n v="0"/>
    <n v="10745893.035319086"/>
    <n v="0"/>
    <n v="4.6293307196154627"/>
    <n v="4.6293307196154627"/>
    <n v="0"/>
    <n v="0"/>
    <n v="537294.65176595433"/>
    <n v="537294.65176595433"/>
    <n v="0"/>
  </r>
  <r>
    <x v="43"/>
    <x v="10"/>
    <n v="0"/>
    <n v="1"/>
    <x v="1"/>
    <s v="Vestdanmark"/>
    <n v="1299242.7527710649"/>
    <n v="0"/>
    <n v="0"/>
    <m/>
    <n v="0"/>
    <n v="0"/>
    <n v="0"/>
    <n v="0"/>
    <n v="1299242.7527710649"/>
    <n v="0"/>
    <n v="0"/>
    <n v="0"/>
    <n v="0"/>
    <n v="0"/>
    <n v="0"/>
    <n v="0"/>
    <n v="0"/>
    <n v="0"/>
    <n v="0"/>
  </r>
  <r>
    <x v="44"/>
    <x v="6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</r>
  <r>
    <x v="47"/>
    <x v="10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</r>
  <r>
    <x v="0"/>
    <x v="10"/>
    <n v="0"/>
    <n v="1"/>
    <x v="2"/>
    <s v="Vestdanmark"/>
    <n v="97371.701044186848"/>
    <n v="0"/>
    <n v="0"/>
    <m/>
    <n v="0"/>
    <n v="0"/>
    <n v="0"/>
    <n v="0"/>
    <n v="97371.701044186848"/>
    <n v="0"/>
    <n v="0"/>
    <n v="0"/>
    <n v="0"/>
    <n v="0"/>
    <n v="0"/>
    <n v="0"/>
    <n v="0"/>
    <n v="0"/>
    <n v="0"/>
  </r>
  <r>
    <x v="1"/>
    <x v="10"/>
    <n v="0"/>
    <n v="1"/>
    <x v="2"/>
    <s v="Vestdanmark"/>
    <n v="669028.68943321821"/>
    <n v="37918.362883307651"/>
    <n v="0"/>
    <m/>
    <n v="0"/>
    <n v="0"/>
    <n v="0"/>
    <n v="0"/>
    <n v="631110.32654991059"/>
    <n v="0"/>
    <n v="0"/>
    <n v="0"/>
    <n v="0"/>
    <n v="0"/>
    <n v="0"/>
    <n v="0"/>
    <n v="0"/>
    <n v="0"/>
    <n v="0"/>
  </r>
  <r>
    <x v="2"/>
    <x v="1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n v="0"/>
    <x v="2"/>
    <s v="Vestdanmark"/>
    <n v="413417890.16546005"/>
    <n v="0"/>
    <n v="0"/>
    <m/>
    <n v="0"/>
    <n v="0"/>
    <n v="413417890.16546005"/>
    <n v="0"/>
    <n v="0"/>
    <n v="0"/>
    <n v="413417890.16546005"/>
    <n v="0"/>
    <n v="0"/>
    <n v="0"/>
    <n v="0"/>
    <n v="0"/>
    <n v="0"/>
    <n v="0"/>
    <n v="0"/>
  </r>
  <r>
    <x v="4"/>
    <x v="10"/>
    <n v="0"/>
    <n v="0"/>
    <x v="2"/>
    <s v="Vestdanmark"/>
    <n v="13894955.02537578"/>
    <n v="0"/>
    <n v="0"/>
    <m/>
    <n v="0"/>
    <n v="380267.18980249454"/>
    <n v="0"/>
    <n v="0"/>
    <n v="13514687.835573286"/>
    <n v="0"/>
    <n v="0"/>
    <n v="0"/>
    <n v="0"/>
    <n v="0"/>
    <n v="0"/>
    <n v="0"/>
    <n v="0"/>
    <n v="0"/>
    <n v="0"/>
  </r>
  <r>
    <x v="5"/>
    <x v="1"/>
    <n v="1"/>
    <n v="0"/>
    <x v="2"/>
    <s v="Vestdanmark"/>
    <n v="10564890.076158831"/>
    <n v="0"/>
    <n v="0"/>
    <m/>
    <n v="9508401.068542948"/>
    <n v="0"/>
    <n v="0"/>
    <n v="0"/>
    <n v="1056489.0076158829"/>
    <n v="1056489.0076158829"/>
    <n v="9508401.068542948"/>
    <n v="0.6001133063254267"/>
    <n v="6.0011330632542679"/>
    <n v="5.4010197569288412"/>
    <n v="0.6001133063254267"/>
    <n v="45179.048883943884"/>
    <n v="451790.48883943894"/>
    <n v="406611.43995549507"/>
    <n v="45179.048883943877"/>
  </r>
  <r>
    <x v="6"/>
    <x v="2"/>
    <n v="1"/>
    <n v="0"/>
    <x v="2"/>
    <s v="Vestdanmark"/>
    <n v="4459910.1041985787"/>
    <n v="0"/>
    <n v="0"/>
    <m/>
    <n v="4013919.0937787211"/>
    <n v="168839.45394466043"/>
    <n v="0"/>
    <n v="0"/>
    <n v="277151.55647519743"/>
    <n v="277151.55647519743"/>
    <n v="4013919.0937787211"/>
    <n v="0.59698445264757527"/>
    <n v="9.2429661806469401"/>
    <n v="8.6459817279993647"/>
    <n v="0.59698445264757538"/>
    <n v="83145.466942559229"/>
    <n v="1287321.1950761753"/>
    <n v="1204175.7281336163"/>
    <n v="83145.466942558996"/>
  </r>
  <r>
    <x v="7"/>
    <x v="10"/>
    <n v="0"/>
    <n v="0"/>
    <x v="2"/>
    <s v="Vestdanmark"/>
    <n v="7441255.1102966424"/>
    <n v="7440134.0206201067"/>
    <n v="0"/>
    <m/>
    <n v="0"/>
    <n v="0"/>
    <n v="0"/>
    <n v="0"/>
    <n v="1121.0896765356883"/>
    <n v="0"/>
    <n v="0"/>
    <n v="0"/>
    <n v="0"/>
    <n v="0"/>
    <n v="0"/>
    <n v="0"/>
    <n v="0"/>
    <n v="0"/>
    <n v="0"/>
  </r>
  <r>
    <x v="8"/>
    <x v="2"/>
    <n v="1"/>
    <n v="0"/>
    <x v="2"/>
    <s v="Vestdanmark"/>
    <n v="14046.037926415524"/>
    <n v="0"/>
    <n v="0"/>
    <m/>
    <n v="12641.434133773972"/>
    <n v="1404.603792641552"/>
    <n v="0"/>
    <n v="0"/>
    <n v="0"/>
    <n v="0"/>
    <n v="12641.434133773972"/>
    <n v="0"/>
    <n v="5.9451400587725613E-3"/>
    <n v="5.9451400587725613E-3"/>
    <n v="0"/>
    <n v="0"/>
    <n v="796.41035042776025"/>
    <n v="796.41035042776025"/>
    <n v="0"/>
  </r>
  <r>
    <x v="9"/>
    <x v="10"/>
    <n v="0"/>
    <n v="1"/>
    <x v="2"/>
    <s v="Vestdanmark"/>
    <n v="15004.062230929063"/>
    <n v="0"/>
    <n v="0"/>
    <m/>
    <n v="0"/>
    <n v="0"/>
    <n v="0"/>
    <n v="0"/>
    <n v="15004.062230929063"/>
    <n v="0"/>
    <n v="0"/>
    <n v="0"/>
    <n v="0"/>
    <n v="0"/>
    <n v="0"/>
    <n v="0"/>
    <n v="0"/>
    <n v="0"/>
    <n v="0"/>
  </r>
  <r>
    <x v="10"/>
    <x v="10"/>
    <n v="0"/>
    <n v="0"/>
    <x v="2"/>
    <s v="Vestdanmark"/>
    <n v="62819.759709472717"/>
    <n v="0"/>
    <n v="0"/>
    <m/>
    <n v="0"/>
    <n v="0"/>
    <n v="0"/>
    <n v="0"/>
    <n v="62819.759709472717"/>
    <n v="0"/>
    <n v="0"/>
    <n v="0"/>
    <n v="0"/>
    <n v="0"/>
    <n v="0"/>
    <n v="0"/>
    <n v="0"/>
    <n v="0"/>
    <n v="0"/>
  </r>
  <r>
    <x v="11"/>
    <x v="10"/>
    <n v="0"/>
    <n v="1"/>
    <x v="2"/>
    <s v="Vestdanmark"/>
    <n v="774671.670329666"/>
    <n v="0"/>
    <n v="0"/>
    <m/>
    <n v="0"/>
    <n v="0"/>
    <n v="0"/>
    <n v="0"/>
    <n v="774671.670329666"/>
    <n v="0"/>
    <n v="0"/>
    <n v="0"/>
    <n v="0"/>
    <n v="0"/>
    <n v="0"/>
    <n v="0"/>
    <n v="0"/>
    <n v="0"/>
    <n v="0"/>
  </r>
  <r>
    <x v="12"/>
    <x v="3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Vestdanmark"/>
    <n v="34445105.835390486"/>
    <n v="7194482.7131786915"/>
    <n v="0"/>
    <m/>
    <n v="0"/>
    <n v="0"/>
    <n v="0"/>
    <n v="21620469.097170986"/>
    <n v="5630154.0250408091"/>
    <n v="5630154.0250408091"/>
    <n v="0"/>
    <n v="10.358779636821959"/>
    <n v="10.358779636821959"/>
    <n v="0"/>
    <n v="10.358779636821959"/>
    <n v="1576443.1270114267"/>
    <n v="1576443.1270114267"/>
    <n v="0"/>
    <n v="1576443.1270114267"/>
  </r>
  <r>
    <x v="14"/>
    <x v="10"/>
    <n v="0"/>
    <n v="0"/>
    <x v="2"/>
    <s v="Vestdanmark"/>
    <n v="3614323.9107155115"/>
    <n v="3614323.9107155115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Vestdanmark"/>
    <n v="301754.85239496577"/>
    <n v="0"/>
    <n v="0"/>
    <m/>
    <n v="0"/>
    <n v="0"/>
    <n v="0"/>
    <n v="0"/>
    <n v="301754.85239496577"/>
    <n v="0"/>
    <n v="0"/>
    <n v="0"/>
    <n v="0"/>
    <n v="0"/>
    <n v="0"/>
    <n v="0"/>
    <n v="0"/>
    <n v="0"/>
    <n v="0"/>
  </r>
  <r>
    <x v="16"/>
    <x v="5"/>
    <n v="1"/>
    <n v="0"/>
    <x v="2"/>
    <s v="Vestdanmark"/>
    <n v="713186.46186449786"/>
    <n v="204619.16541082526"/>
    <n v="515084.59998354531"/>
    <m/>
    <n v="0"/>
    <n v="0"/>
    <n v="0"/>
    <n v="0"/>
    <n v="-6517.3035298726754"/>
    <n v="0"/>
    <n v="0"/>
    <n v="0"/>
    <n v="0"/>
    <n v="0"/>
    <n v="0"/>
    <n v="0"/>
    <n v="0"/>
    <n v="0"/>
    <n v="0"/>
  </r>
  <r>
    <x v="17"/>
    <x v="1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Vestdanmark"/>
    <n v="347723.36857073568"/>
    <n v="0"/>
    <n v="0"/>
    <m/>
    <n v="0"/>
    <n v="0"/>
    <n v="0"/>
    <n v="0"/>
    <n v="347723.36857073568"/>
    <n v="347723.36857073568"/>
    <n v="0"/>
    <n v="1.5067305600549121"/>
    <n v="1.5067305600549121"/>
    <n v="0"/>
    <n v="1.5067305600549121"/>
    <n v="146043.81479970898"/>
    <n v="146043.81479970898"/>
    <n v="0"/>
    <n v="146043.81479970898"/>
  </r>
  <r>
    <x v="20"/>
    <x v="10"/>
    <n v="0"/>
    <n v="0"/>
    <x v="2"/>
    <s v="Vestdanmark"/>
    <n v="386762.96576702269"/>
    <n v="0"/>
    <n v="0"/>
    <m/>
    <n v="0"/>
    <n v="0"/>
    <n v="0"/>
    <n v="0"/>
    <n v="386762.96576702269"/>
    <n v="0"/>
    <n v="0"/>
    <n v="0"/>
    <n v="0"/>
    <n v="0"/>
    <n v="0"/>
    <n v="0"/>
    <n v="0"/>
    <n v="0"/>
    <n v="0"/>
  </r>
  <r>
    <x v="21"/>
    <x v="10"/>
    <n v="0"/>
    <n v="1"/>
    <x v="2"/>
    <s v="Vestdanmark"/>
    <n v="2337126.3206842514"/>
    <n v="1555390.1797161226"/>
    <n v="0"/>
    <m/>
    <n v="0"/>
    <n v="0"/>
    <n v="0"/>
    <n v="0"/>
    <n v="781736.14096812881"/>
    <n v="0"/>
    <n v="0"/>
    <n v="0"/>
    <n v="0"/>
    <n v="0"/>
    <n v="0"/>
    <n v="0"/>
    <n v="0"/>
    <n v="0"/>
    <n v="0"/>
  </r>
  <r>
    <x v="22"/>
    <x v="5"/>
    <n v="1"/>
    <n v="1"/>
    <x v="2"/>
    <s v="Vestdanmark"/>
    <n v="482048.93054039421"/>
    <n v="350004.26926330419"/>
    <n v="0"/>
    <m/>
    <n v="0"/>
    <n v="0"/>
    <n v="0"/>
    <n v="0"/>
    <n v="132044.66127709002"/>
    <n v="132044.66127709002"/>
    <n v="0"/>
    <n v="0.45223447862145461"/>
    <n v="0.45223447862145461"/>
    <n v="0"/>
    <n v="0.45223447862145461"/>
    <n v="40933.844995897911"/>
    <n v="40933.844995897911"/>
    <n v="0"/>
    <n v="40933.844995897911"/>
  </r>
  <r>
    <x v="23"/>
    <x v="10"/>
    <n v="0"/>
    <n v="0"/>
    <x v="2"/>
    <s v="Vestdanmark"/>
    <n v="0"/>
    <n v="0"/>
    <n v="0"/>
    <m/>
    <n v="0"/>
    <n v="1043723.475761516"/>
    <n v="0"/>
    <n v="0"/>
    <n v="-1043723.475761516"/>
    <n v="0"/>
    <n v="0"/>
    <n v="0"/>
    <n v="0"/>
    <n v="0"/>
    <n v="0"/>
    <n v="0"/>
    <n v="0"/>
    <n v="0"/>
    <n v="0"/>
  </r>
  <r>
    <x v="24"/>
    <x v="2"/>
    <n v="1"/>
    <n v="0"/>
    <x v="2"/>
    <s v="Vestdanmark"/>
    <n v="68744.822418311582"/>
    <n v="0"/>
    <n v="0"/>
    <m/>
    <n v="61870.340176480422"/>
    <n v="6874.4822418311569"/>
    <n v="0"/>
    <n v="0"/>
    <n v="0"/>
    <n v="0"/>
    <n v="61870.340176480422"/>
    <n v="0"/>
    <n v="3.1318147493932628E-2"/>
    <n v="3.1318147493932628E-2"/>
    <n v="0"/>
    <n v="0"/>
    <n v="4702.1458534125122"/>
    <n v="4702.1458534125122"/>
    <n v="0"/>
  </r>
  <r>
    <x v="25"/>
    <x v="10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Vestdanmark"/>
    <n v="513235.88893477799"/>
    <n v="366941.45938834856"/>
    <n v="0"/>
    <m/>
    <n v="0"/>
    <n v="0"/>
    <n v="0"/>
    <n v="0"/>
    <n v="146294.42954642943"/>
    <n v="146294.42954642943"/>
    <n v="0"/>
    <n v="0.52519700207168174"/>
    <n v="0.52519700207168174"/>
    <n v="0"/>
    <n v="0.52519700207168174"/>
    <n v="43888.328863928829"/>
    <n v="43888.328863928829"/>
    <n v="0"/>
    <n v="43888.328863928829"/>
  </r>
  <r>
    <x v="27"/>
    <x v="10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8"/>
    <x v="6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</r>
  <r>
    <x v="29"/>
    <x v="10"/>
    <n v="0"/>
    <n v="1"/>
    <x v="2"/>
    <s v="Vestdanmark"/>
    <n v="3915.1017916004403"/>
    <n v="0"/>
    <n v="0"/>
    <m/>
    <n v="0"/>
    <n v="0"/>
    <n v="0"/>
    <n v="0"/>
    <n v="3915.1017916004403"/>
    <n v="0"/>
    <n v="0"/>
    <n v="0"/>
    <n v="0"/>
    <n v="0"/>
    <n v="0"/>
    <n v="0"/>
    <n v="0"/>
    <n v="0"/>
    <n v="0"/>
  </r>
  <r>
    <x v="30"/>
    <x v="10"/>
    <n v="0"/>
    <n v="1"/>
    <x v="2"/>
    <s v="Vestdanmark"/>
    <n v="90697.791194463221"/>
    <n v="0"/>
    <n v="0"/>
    <m/>
    <n v="0"/>
    <n v="0"/>
    <n v="0"/>
    <n v="0"/>
    <n v="90697.791194463221"/>
    <n v="0"/>
    <n v="0"/>
    <n v="0"/>
    <n v="0"/>
    <n v="0"/>
    <n v="0"/>
    <n v="0"/>
    <n v="0"/>
    <n v="0"/>
    <n v="0"/>
  </r>
  <r>
    <x v="31"/>
    <x v="7"/>
    <n v="1"/>
    <n v="0"/>
    <x v="2"/>
    <s v="Vestdanmark"/>
    <n v="1315903.5397993135"/>
    <n v="0"/>
    <n v="0"/>
    <m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</r>
  <r>
    <x v="32"/>
    <x v="8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Vestdanmark"/>
    <n v="649292.34846099082"/>
    <n v="0"/>
    <n v="0"/>
    <m/>
    <n v="0"/>
    <n v="0"/>
    <n v="0"/>
    <n v="649292.34846099082"/>
    <n v="0"/>
    <n v="0"/>
    <n v="0"/>
    <n v="0"/>
    <n v="0"/>
    <n v="0"/>
    <n v="0"/>
    <n v="0"/>
    <n v="0"/>
    <n v="0"/>
    <n v="0"/>
  </r>
  <r>
    <x v="36"/>
    <x v="10"/>
    <n v="0"/>
    <n v="0"/>
    <x v="2"/>
    <s v="Vestdanmark"/>
    <n v="324646.17423049541"/>
    <n v="385620.59434870677"/>
    <n v="0"/>
    <m/>
    <n v="0"/>
    <n v="0"/>
    <n v="0"/>
    <n v="0"/>
    <n v="-60974.420118211361"/>
    <n v="0"/>
    <n v="0"/>
    <n v="0"/>
    <n v="0"/>
    <n v="0"/>
    <n v="0"/>
    <n v="0"/>
    <n v="0"/>
    <n v="0"/>
    <n v="0"/>
  </r>
  <r>
    <x v="37"/>
    <x v="9"/>
    <n v="1"/>
    <n v="1"/>
    <x v="2"/>
    <s v="Vestdanmark"/>
    <n v="207773.55150751706"/>
    <n v="0"/>
    <n v="0"/>
    <m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</r>
  <r>
    <x v="38"/>
    <x v="4"/>
    <n v="1"/>
    <n v="1"/>
    <x v="2"/>
    <s v="Vestdanmark"/>
    <n v="2749867.8949207771"/>
    <n v="494518.64926980395"/>
    <n v="0"/>
    <m/>
    <n v="0"/>
    <n v="0"/>
    <n v="0"/>
    <n v="0"/>
    <n v="2255349.2456509732"/>
    <n v="2255349.2456509732"/>
    <n v="0"/>
    <n v="6.1211080666665669"/>
    <n v="6.1211080666665669"/>
    <n v="0"/>
    <n v="6.1211080666665669"/>
    <n v="451069.84913019463"/>
    <n v="451069.84913019463"/>
    <n v="0"/>
    <n v="451069.84913019463"/>
  </r>
  <r>
    <x v="39"/>
    <x v="10"/>
    <n v="0"/>
    <n v="0"/>
    <x v="2"/>
    <s v="Vestdanmark"/>
    <n v="37051.567701476815"/>
    <n v="0"/>
    <n v="0"/>
    <m/>
    <n v="0"/>
    <n v="0"/>
    <n v="0"/>
    <n v="0"/>
    <n v="37051.567701476815"/>
    <n v="0"/>
    <n v="0"/>
    <n v="0"/>
    <n v="0"/>
    <n v="0"/>
    <n v="0"/>
    <n v="0"/>
    <n v="0"/>
    <n v="0"/>
    <n v="0"/>
  </r>
  <r>
    <x v="40"/>
    <x v="10"/>
    <n v="0"/>
    <n v="0"/>
    <x v="2"/>
    <s v="Vestdanmark"/>
    <n v="35190.671439715443"/>
    <n v="39591.750029137664"/>
    <n v="0"/>
    <m/>
    <n v="0"/>
    <n v="0"/>
    <n v="0"/>
    <n v="0"/>
    <n v="-4401.0785894222208"/>
    <n v="0"/>
    <n v="0"/>
    <n v="0"/>
    <n v="0"/>
    <n v="0"/>
    <n v="0"/>
    <n v="0"/>
    <n v="0"/>
    <n v="0"/>
    <n v="0"/>
  </r>
  <r>
    <x v="41"/>
    <x v="1"/>
    <n v="1"/>
    <n v="0"/>
    <x v="2"/>
    <s v="Vestdanmark"/>
    <n v="4002333.5486616795"/>
    <n v="0"/>
    <n v="0"/>
    <m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</r>
  <r>
    <x v="42"/>
    <x v="2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Vestdanmark"/>
    <n v="391775.30687639397"/>
    <n v="0"/>
    <n v="0"/>
    <m/>
    <n v="0"/>
    <n v="0"/>
    <n v="0"/>
    <n v="0"/>
    <n v="391775.30687639397"/>
    <n v="0"/>
    <n v="0"/>
    <n v="0"/>
    <n v="0"/>
    <n v="0"/>
    <n v="0"/>
    <n v="0"/>
    <n v="0"/>
    <n v="0"/>
    <n v="0"/>
  </r>
  <r>
    <x v="44"/>
    <x v="6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</r>
  <r>
    <x v="45"/>
    <x v="10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</r>
  <r>
    <x v="47"/>
    <x v="10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</r>
  <r>
    <x v="0"/>
    <x v="0"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</r>
  <r>
    <x v="1"/>
    <x v="0"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</r>
  <r>
    <x v="10"/>
    <x v="0"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</r>
  <r>
    <x v="12"/>
    <x v="3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</r>
  <r>
    <x v="16"/>
    <x v="5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</r>
  <r>
    <x v="22"/>
    <x v="5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</r>
  <r>
    <x v="23"/>
    <x v="0"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</r>
  <r>
    <x v="28"/>
    <x v="6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</r>
  <r>
    <x v="30"/>
    <x v="0"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</r>
  <r>
    <x v="44"/>
    <x v="6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n v="1"/>
    <x v="1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</r>
  <r>
    <x v="1"/>
    <x v="10"/>
    <n v="0"/>
    <n v="1"/>
    <x v="1"/>
    <s v="Østdanmark"/>
    <n v="165990.97004737973"/>
    <n v="6776.9581577594281"/>
    <n v="0"/>
    <m/>
    <n v="0"/>
    <n v="0"/>
    <n v="0"/>
    <n v="0"/>
    <n v="159214.01188962031"/>
    <n v="0"/>
    <n v="0"/>
    <n v="0"/>
    <n v="0"/>
    <n v="0"/>
    <n v="0"/>
    <n v="0"/>
    <n v="0"/>
    <n v="0"/>
    <n v="0"/>
  </r>
  <r>
    <x v="2"/>
    <x v="1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n v="0"/>
    <x v="1"/>
    <s v="Østdanmark"/>
    <n v="63181225.71715036"/>
    <n v="0"/>
    <n v="0"/>
    <m/>
    <n v="0"/>
    <n v="0"/>
    <n v="63181225.71715036"/>
    <n v="0"/>
    <n v="0"/>
    <n v="0"/>
    <n v="63181225.71715036"/>
    <n v="0"/>
    <n v="0"/>
    <n v="0"/>
    <n v="0"/>
    <n v="0"/>
    <n v="0"/>
    <n v="0"/>
    <n v="0"/>
  </r>
  <r>
    <x v="4"/>
    <x v="10"/>
    <n v="0"/>
    <n v="0"/>
    <x v="1"/>
    <s v="Østdanmark"/>
    <n v="3575622.450604124"/>
    <n v="0"/>
    <n v="0"/>
    <m/>
    <n v="0"/>
    <n v="3082747.997526899"/>
    <n v="0"/>
    <n v="0"/>
    <n v="492874.45307722501"/>
    <n v="0"/>
    <n v="0"/>
    <n v="0"/>
    <n v="0"/>
    <n v="0"/>
    <n v="0"/>
    <n v="0"/>
    <n v="0"/>
    <n v="0"/>
    <n v="0"/>
  </r>
  <r>
    <x v="5"/>
    <x v="1"/>
    <n v="1"/>
    <n v="0"/>
    <x v="1"/>
    <s v="Østdanmark"/>
    <n v="670009.86905929213"/>
    <n v="0"/>
    <n v="0"/>
    <m/>
    <n v="502507.4017944691"/>
    <n v="0"/>
    <n v="0"/>
    <n v="0"/>
    <n v="167502.46726482303"/>
    <n v="167502.46726482303"/>
    <n v="502507.4017944691"/>
    <n v="9.5145769358072327E-2"/>
    <n v="0.38058307743228931"/>
    <n v="0.28543730807421697"/>
    <n v="9.5145769358072341E-2"/>
    <n v="7162.972924645961"/>
    <n v="28651.891698583844"/>
    <n v="21488.918773937883"/>
    <n v="7162.972924645961"/>
  </r>
  <r>
    <x v="6"/>
    <x v="2"/>
    <n v="1"/>
    <n v="0"/>
    <x v="1"/>
    <s v="Østdanmark"/>
    <n v="319455.21922250785"/>
    <n v="0"/>
    <n v="0"/>
    <m/>
    <n v="239591.41441688087"/>
    <n v="30234.154676415921"/>
    <n v="0"/>
    <n v="0"/>
    <n v="49629.650129211077"/>
    <n v="49629.650129211077"/>
    <n v="239591.41441688087"/>
    <n v="0.10690226637832066"/>
    <n v="0.62298217303228209"/>
    <n v="0.51607990665396142"/>
    <n v="0.10690226637832068"/>
    <n v="14888.895038763323"/>
    <n v="86766.319363827584"/>
    <n v="71877.424325064261"/>
    <n v="14888.895038763323"/>
  </r>
  <r>
    <x v="7"/>
    <x v="10"/>
    <n v="0"/>
    <n v="0"/>
    <x v="1"/>
    <s v="Østdanmark"/>
    <n v="471913.51032961637"/>
    <n v="471697.49771697511"/>
    <n v="0"/>
    <m/>
    <n v="0"/>
    <n v="0"/>
    <n v="0"/>
    <n v="0"/>
    <n v="216.01261264126515"/>
    <n v="0"/>
    <n v="0"/>
    <n v="0"/>
    <n v="0"/>
    <n v="0"/>
    <n v="0"/>
    <n v="0"/>
    <n v="0"/>
    <n v="0"/>
    <n v="0"/>
  </r>
  <r>
    <x v="8"/>
    <x v="2"/>
    <n v="1"/>
    <n v="0"/>
    <x v="1"/>
    <s v="Østdanmark"/>
    <n v="687.81855383382072"/>
    <n v="0"/>
    <n v="0"/>
    <m/>
    <n v="515.86391537536554"/>
    <n v="171.95463845845521"/>
    <n v="0"/>
    <n v="0"/>
    <n v="0"/>
    <n v="0"/>
    <n v="515.86391537536554"/>
    <n v="0"/>
    <n v="2.4260564076188066E-4"/>
    <n v="2.4260564076188066E-4"/>
    <n v="0"/>
    <n v="0"/>
    <n v="32.499426668648027"/>
    <n v="32.499426668648027"/>
    <n v="0"/>
  </r>
  <r>
    <x v="9"/>
    <x v="10"/>
    <n v="0"/>
    <n v="1"/>
    <x v="1"/>
    <s v="Østdanmark"/>
    <n v="15605.83144011804"/>
    <n v="0"/>
    <n v="0"/>
    <m/>
    <n v="0"/>
    <n v="0"/>
    <n v="0"/>
    <n v="0"/>
    <n v="15605.83144011804"/>
    <n v="0"/>
    <n v="0"/>
    <n v="0"/>
    <n v="0"/>
    <n v="0"/>
    <n v="0"/>
    <n v="0"/>
    <n v="0"/>
    <n v="0"/>
    <n v="0"/>
  </r>
  <r>
    <x v="10"/>
    <x v="10"/>
    <n v="0"/>
    <n v="0"/>
    <x v="1"/>
    <s v="Østdanmark"/>
    <n v="239925.67708956901"/>
    <n v="0"/>
    <n v="0"/>
    <m/>
    <n v="0"/>
    <n v="0"/>
    <n v="0"/>
    <n v="0"/>
    <n v="239925.67708956901"/>
    <n v="0"/>
    <n v="0"/>
    <n v="0"/>
    <n v="0"/>
    <n v="0"/>
    <n v="0"/>
    <n v="0"/>
    <n v="0"/>
    <n v="0"/>
    <n v="0"/>
  </r>
  <r>
    <x v="11"/>
    <x v="10"/>
    <n v="0"/>
    <n v="1"/>
    <x v="1"/>
    <s v="Østdanmark"/>
    <n v="150209.37360134395"/>
    <n v="0"/>
    <n v="0"/>
    <m/>
    <n v="0"/>
    <n v="0"/>
    <n v="0"/>
    <n v="0"/>
    <n v="150209.37360134395"/>
    <n v="0"/>
    <n v="0"/>
    <n v="0"/>
    <n v="0"/>
    <n v="0"/>
    <n v="0"/>
    <n v="0"/>
    <n v="0"/>
    <n v="0"/>
    <n v="0"/>
  </r>
  <r>
    <x v="12"/>
    <x v="3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1"/>
    <s v="Østdanmark"/>
    <n v="6569596.6515662586"/>
    <n v="1285833.6860159934"/>
    <n v="0"/>
    <m/>
    <n v="0"/>
    <n v="0"/>
    <n v="0"/>
    <n v="1371138.5129775794"/>
    <n v="3912624.4525726857"/>
    <n v="3912624.4525726857"/>
    <n v="0"/>
    <n v="7.1987399146771702"/>
    <n v="7.1987399146771702"/>
    <n v="0"/>
    <n v="7.1987399146771702"/>
    <n v="1095534.8467203521"/>
    <n v="1095534.8467203521"/>
    <n v="0"/>
    <n v="1095534.8467203521"/>
  </r>
  <r>
    <x v="14"/>
    <x v="10"/>
    <n v="0"/>
    <n v="0"/>
    <x v="1"/>
    <s v="Østdanmark"/>
    <n v="229215.13358867078"/>
    <n v="229215.13358867078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1"/>
    <s v="Østdanmark"/>
    <n v="98055.31431785204"/>
    <n v="0"/>
    <n v="0"/>
    <m/>
    <n v="0"/>
    <n v="0"/>
    <n v="0"/>
    <n v="0"/>
    <n v="98055.31431785204"/>
    <n v="0"/>
    <n v="0"/>
    <n v="0"/>
    <n v="0"/>
    <n v="0"/>
    <n v="0"/>
    <n v="0"/>
    <n v="0"/>
    <n v="0"/>
    <n v="0"/>
  </r>
  <r>
    <x v="16"/>
    <x v="5"/>
    <n v="1"/>
    <n v="0"/>
    <x v="1"/>
    <s v="Østdanmark"/>
    <n v="675411.68414554815"/>
    <n v="65382.695454513305"/>
    <n v="96176.474947143986"/>
    <m/>
    <n v="0"/>
    <n v="0"/>
    <n v="513852.51374389092"/>
    <n v="0"/>
    <n v="0"/>
    <n v="0"/>
    <n v="513852.51374389092"/>
    <n v="0"/>
    <n v="5.3110800689342366"/>
    <n v="0"/>
    <n v="5.3110800689342366"/>
    <n v="0"/>
    <n v="436774.63668230729"/>
    <n v="0"/>
    <n v="436774.63668230729"/>
  </r>
  <r>
    <x v="17"/>
    <x v="1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n v="1"/>
    <x v="1"/>
    <s v="Østdanmark"/>
    <n v="0"/>
    <n v="327310.07589895441"/>
    <n v="0"/>
    <m/>
    <n v="0"/>
    <n v="0"/>
    <n v="0"/>
    <n v="0"/>
    <n v="-327310.07589895441"/>
    <n v="0"/>
    <n v="0"/>
    <n v="0"/>
    <n v="0"/>
    <n v="0"/>
    <n v="0"/>
    <n v="0"/>
    <n v="0"/>
    <n v="0"/>
    <n v="0"/>
  </r>
  <r>
    <x v="19"/>
    <x v="1"/>
    <n v="1"/>
    <n v="0"/>
    <x v="1"/>
    <s v="Østdanmark"/>
    <n v="198283.69095791626"/>
    <n v="0"/>
    <n v="0"/>
    <m/>
    <n v="0"/>
    <n v="0"/>
    <n v="0"/>
    <n v="0"/>
    <n v="198283.69095791626"/>
    <n v="198283.69095791626"/>
    <n v="0"/>
    <n v="0.85918900980047574"/>
    <n v="0.85918900980047574"/>
    <n v="0"/>
    <n v="0.85918900980047574"/>
    <n v="83279.150202324832"/>
    <n v="83279.150202324832"/>
    <n v="0"/>
    <n v="83279.150202324832"/>
  </r>
  <r>
    <x v="20"/>
    <x v="10"/>
    <n v="0"/>
    <n v="0"/>
    <x v="1"/>
    <s v="Østdanmark"/>
    <n v="205340.3536719332"/>
    <n v="0"/>
    <n v="0"/>
    <m/>
    <n v="0"/>
    <n v="0"/>
    <n v="0"/>
    <n v="0"/>
    <n v="205340.3536719332"/>
    <n v="0"/>
    <n v="0"/>
    <n v="0"/>
    <n v="0"/>
    <n v="0"/>
    <n v="0"/>
    <n v="0"/>
    <n v="0"/>
    <n v="0"/>
    <n v="0"/>
  </r>
  <r>
    <x v="21"/>
    <x v="10"/>
    <n v="0"/>
    <n v="1"/>
    <x v="1"/>
    <s v="Østdanmark"/>
    <n v="757571.37538443948"/>
    <n v="98640.569199997146"/>
    <n v="0"/>
    <m/>
    <n v="0"/>
    <n v="0"/>
    <n v="0"/>
    <n v="0"/>
    <n v="658930.80618444236"/>
    <n v="0"/>
    <n v="0"/>
    <n v="0"/>
    <n v="0"/>
    <n v="0"/>
    <n v="0"/>
    <n v="0"/>
    <n v="0"/>
    <n v="0"/>
    <n v="0"/>
  </r>
  <r>
    <x v="22"/>
    <x v="5"/>
    <n v="1"/>
    <n v="1"/>
    <x v="1"/>
    <s v="Østdanmark"/>
    <n v="1426697.7169863379"/>
    <n v="420737.76566977677"/>
    <n v="0"/>
    <m/>
    <n v="0"/>
    <n v="0"/>
    <n v="0"/>
    <n v="0"/>
    <n v="1005959.9513165611"/>
    <n v="1005959.9513165611"/>
    <n v="0"/>
    <n v="3.4452719988660379"/>
    <n v="3.4452719988660379"/>
    <n v="0"/>
    <n v="3.4452719988660379"/>
    <n v="311847.58490813395"/>
    <n v="311847.58490813395"/>
    <n v="0"/>
    <n v="311847.58490813395"/>
  </r>
  <r>
    <x v="23"/>
    <x v="10"/>
    <n v="0"/>
    <n v="0"/>
    <x v="1"/>
    <s v="Østdanmark"/>
    <n v="0"/>
    <n v="0"/>
    <n v="0"/>
    <m/>
    <n v="0"/>
    <n v="352682.42266556359"/>
    <n v="0"/>
    <n v="0"/>
    <n v="-352682.42266556359"/>
    <n v="0"/>
    <n v="0"/>
    <n v="0"/>
    <n v="0"/>
    <n v="0"/>
    <n v="0"/>
    <n v="0"/>
    <n v="0"/>
    <n v="0"/>
    <n v="0"/>
  </r>
  <r>
    <x v="24"/>
    <x v="2"/>
    <n v="1"/>
    <n v="0"/>
    <x v="1"/>
    <s v="Østdanmark"/>
    <n v="431286.20272258902"/>
    <n v="0"/>
    <n v="0"/>
    <m/>
    <n v="323464.65204194176"/>
    <n v="107821.55068064725"/>
    <n v="0"/>
    <n v="0"/>
    <n v="0"/>
    <n v="0"/>
    <n v="323464.65204194176"/>
    <n v="0"/>
    <n v="0.16373457221711052"/>
    <n v="0.16373457221711052"/>
    <n v="0"/>
    <n v="0"/>
    <n v="24583.313555187575"/>
    <n v="24583.313555187575"/>
    <n v="0"/>
  </r>
  <r>
    <x v="25"/>
    <x v="10"/>
    <n v="0"/>
    <n v="0"/>
    <x v="1"/>
    <s v="Østdanmark"/>
    <n v="50222.397196773512"/>
    <n v="102747.43013377195"/>
    <n v="0"/>
    <m/>
    <n v="0"/>
    <n v="0"/>
    <n v="0"/>
    <n v="0"/>
    <n v="-52525.032936998439"/>
    <n v="0"/>
    <n v="0"/>
    <n v="0"/>
    <n v="0"/>
    <n v="0"/>
    <n v="0"/>
    <n v="0"/>
    <n v="0"/>
    <n v="0"/>
    <n v="0"/>
  </r>
  <r>
    <x v="26"/>
    <x v="4"/>
    <n v="1"/>
    <n v="1"/>
    <x v="1"/>
    <s v="Østdanmark"/>
    <n v="1224051.0749297491"/>
    <n v="406751.99046612647"/>
    <n v="0"/>
    <m/>
    <n v="0"/>
    <n v="0"/>
    <n v="0"/>
    <n v="0"/>
    <n v="817299.08446362265"/>
    <n v="817299.08446362265"/>
    <n v="0"/>
    <n v="2.9341037132244057"/>
    <n v="2.9341037132244057"/>
    <n v="0"/>
    <n v="2.9341037132244057"/>
    <n v="245189.72533908678"/>
    <n v="245189.72533908678"/>
    <n v="0"/>
    <n v="245189.72533908678"/>
  </r>
  <r>
    <x v="27"/>
    <x v="10"/>
    <n v="0"/>
    <n v="1"/>
    <x v="1"/>
    <s v="Østdanmark"/>
    <n v="96903.161700864599"/>
    <n v="0"/>
    <n v="0"/>
    <m/>
    <n v="0"/>
    <n v="0"/>
    <n v="0"/>
    <n v="0"/>
    <n v="96903.161700864599"/>
    <n v="0"/>
    <n v="0"/>
    <n v="0"/>
    <n v="0"/>
    <n v="0"/>
    <n v="0"/>
    <n v="0"/>
    <n v="0"/>
    <n v="0"/>
    <n v="0"/>
  </r>
  <r>
    <x v="28"/>
    <x v="6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1"/>
    <s v="Østdanmark"/>
    <n v="6251.0678007025454"/>
    <n v="0"/>
    <n v="0"/>
    <m/>
    <n v="0"/>
    <n v="0"/>
    <n v="0"/>
    <n v="0"/>
    <n v="6251.0678007025454"/>
    <n v="0"/>
    <n v="0"/>
    <n v="0"/>
    <n v="0"/>
    <n v="0"/>
    <n v="0"/>
    <n v="0"/>
    <n v="0"/>
    <n v="0"/>
    <n v="0"/>
  </r>
  <r>
    <x v="30"/>
    <x v="10"/>
    <n v="0"/>
    <n v="1"/>
    <x v="1"/>
    <s v="Østdanmark"/>
    <n v="311483.30240974069"/>
    <n v="0"/>
    <n v="0"/>
    <m/>
    <n v="0"/>
    <n v="0"/>
    <n v="0"/>
    <n v="0"/>
    <n v="311483.30240974069"/>
    <n v="0"/>
    <n v="0"/>
    <n v="0"/>
    <n v="0"/>
    <n v="0"/>
    <n v="0"/>
    <n v="0"/>
    <n v="0"/>
    <n v="0"/>
    <n v="0"/>
  </r>
  <r>
    <x v="31"/>
    <x v="7"/>
    <n v="1"/>
    <n v="0"/>
    <x v="1"/>
    <s v="Østdanmark"/>
    <n v="272470.87062579964"/>
    <n v="0"/>
    <n v="0"/>
    <m/>
    <n v="0"/>
    <n v="0"/>
    <n v="272470.87062579964"/>
    <n v="0"/>
    <n v="0"/>
    <n v="0"/>
    <n v="272470.87062579964"/>
    <n v="0"/>
    <n v="5.0134640195147124"/>
    <n v="0"/>
    <n v="5.0134640195147124"/>
    <n v="0"/>
    <n v="113075.41130970686"/>
    <n v="0"/>
    <n v="113075.41130970686"/>
  </r>
  <r>
    <x v="32"/>
    <x v="8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1"/>
    <s v="Østdanmark"/>
    <n v="150898.00912578267"/>
    <n v="0"/>
    <n v="0"/>
    <m/>
    <n v="0"/>
    <n v="0"/>
    <n v="0"/>
    <n v="0"/>
    <n v="150898.00912578267"/>
    <n v="0"/>
    <n v="0"/>
    <n v="0"/>
    <n v="0"/>
    <n v="0"/>
    <n v="0"/>
    <n v="0"/>
    <n v="0"/>
    <n v="0"/>
    <n v="0"/>
  </r>
  <r>
    <x v="35"/>
    <x v="10"/>
    <n v="0"/>
    <n v="0"/>
    <x v="1"/>
    <s v="Østdanmark"/>
    <n v="225804.31636026004"/>
    <n v="0"/>
    <n v="0"/>
    <m/>
    <n v="0"/>
    <n v="0"/>
    <n v="0"/>
    <n v="225804.31636026004"/>
    <n v="0"/>
    <n v="0"/>
    <n v="0"/>
    <n v="0"/>
    <n v="0"/>
    <n v="0"/>
    <n v="0"/>
    <n v="0"/>
    <n v="0"/>
    <n v="0"/>
    <n v="0"/>
  </r>
  <r>
    <x v="36"/>
    <x v="10"/>
    <n v="0"/>
    <n v="0"/>
    <x v="1"/>
    <s v="Østdanmark"/>
    <n v="112902.15818013002"/>
    <n v="38968.871949734763"/>
    <n v="0"/>
    <m/>
    <n v="0"/>
    <n v="0"/>
    <n v="0"/>
    <n v="0"/>
    <n v="73933.286230395257"/>
    <n v="0"/>
    <n v="0"/>
    <n v="0"/>
    <n v="0"/>
    <n v="0"/>
    <n v="0"/>
    <n v="0"/>
    <n v="0"/>
    <n v="0"/>
    <n v="0"/>
  </r>
  <r>
    <x v="37"/>
    <x v="9"/>
    <n v="1"/>
    <n v="1"/>
    <x v="1"/>
    <s v="Østdanmark"/>
    <n v="72257.381235283217"/>
    <n v="0"/>
    <n v="0"/>
    <m/>
    <n v="0"/>
    <n v="0"/>
    <n v="72257.381235283217"/>
    <n v="0"/>
    <n v="0"/>
    <n v="0"/>
    <n v="72257.381235283217"/>
    <n v="0"/>
    <n v="2.5290083432349122"/>
    <n v="0"/>
    <n v="2.5290083432349122"/>
    <n v="0"/>
    <n v="0"/>
    <n v="0"/>
    <n v="0"/>
  </r>
  <r>
    <x v="38"/>
    <x v="4"/>
    <n v="1"/>
    <n v="1"/>
    <x v="1"/>
    <s v="Østdanmark"/>
    <n v="898519.08431343141"/>
    <n v="88382.829307445863"/>
    <n v="0"/>
    <m/>
    <n v="0"/>
    <n v="0"/>
    <n v="0"/>
    <n v="0"/>
    <n v="810136.2550059855"/>
    <n v="810136.2550059855"/>
    <n v="0"/>
    <n v="2.1987422015364451"/>
    <n v="2.1987422015364451"/>
    <n v="0"/>
    <n v="2.1987422015364451"/>
    <n v="162027.25100119712"/>
    <n v="162027.25100119712"/>
    <n v="0"/>
    <n v="162027.25100119712"/>
  </r>
  <r>
    <x v="39"/>
    <x v="10"/>
    <n v="0"/>
    <n v="0"/>
    <x v="1"/>
    <s v="Østdanmark"/>
    <n v="20679.493484661682"/>
    <n v="0"/>
    <n v="0"/>
    <m/>
    <n v="0"/>
    <n v="0"/>
    <n v="0"/>
    <n v="0"/>
    <n v="20679.493484661682"/>
    <n v="0"/>
    <n v="0"/>
    <n v="0"/>
    <n v="0"/>
    <n v="0"/>
    <n v="0"/>
    <n v="0"/>
    <n v="0"/>
    <n v="0"/>
    <n v="0"/>
  </r>
  <r>
    <x v="40"/>
    <x v="10"/>
    <n v="0"/>
    <n v="0"/>
    <x v="1"/>
    <s v="Østdanmark"/>
    <n v="17189.631072576431"/>
    <n v="5182.7698392938037"/>
    <n v="0"/>
    <m/>
    <n v="0"/>
    <n v="0"/>
    <n v="0"/>
    <n v="0"/>
    <n v="12006.861233282627"/>
    <n v="0"/>
    <n v="0"/>
    <n v="0"/>
    <n v="0"/>
    <n v="0"/>
    <n v="0"/>
    <n v="0"/>
    <n v="0"/>
    <n v="0"/>
    <n v="0"/>
  </r>
  <r>
    <x v="41"/>
    <x v="1"/>
    <n v="1"/>
    <n v="0"/>
    <x v="1"/>
    <s v="Østdanmark"/>
    <n v="3339172.5135239428"/>
    <n v="0"/>
    <n v="0"/>
    <m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</r>
  <r>
    <x v="42"/>
    <x v="2"/>
    <n v="1"/>
    <n v="0"/>
    <x v="1"/>
    <s v="Østdanmark"/>
    <n v="2076065.2002197129"/>
    <n v="0"/>
    <n v="0"/>
    <m/>
    <n v="1557048.9001647846"/>
    <n v="519016.30005492823"/>
    <n v="0"/>
    <n v="0"/>
    <n v="0"/>
    <n v="0"/>
    <n v="1557048.9001647846"/>
    <n v="0"/>
    <n v="0.6707766661909893"/>
    <n v="0.6707766661909893"/>
    <n v="0"/>
    <n v="0"/>
    <n v="77852.445008239229"/>
    <n v="77852.445008239229"/>
    <n v="0"/>
  </r>
  <r>
    <x v="43"/>
    <x v="10"/>
    <n v="0"/>
    <n v="1"/>
    <x v="1"/>
    <s v="Østdanmark"/>
    <n v="188256.52671213137"/>
    <n v="0"/>
    <n v="0"/>
    <m/>
    <n v="0"/>
    <n v="0"/>
    <n v="0"/>
    <n v="0"/>
    <n v="188256.52671213137"/>
    <n v="0"/>
    <n v="0"/>
    <n v="0"/>
    <n v="0"/>
    <n v="0"/>
    <n v="0"/>
    <n v="0"/>
    <n v="0"/>
    <n v="0"/>
    <n v="0"/>
  </r>
  <r>
    <x v="44"/>
    <x v="6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</r>
  <r>
    <x v="47"/>
    <x v="10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</r>
  <r>
    <x v="0"/>
    <x v="10"/>
    <n v="0"/>
    <n v="1"/>
    <x v="2"/>
    <s v="Østdanmark"/>
    <n v="8172.3709275385399"/>
    <n v="0"/>
    <n v="0"/>
    <m/>
    <n v="0"/>
    <n v="0"/>
    <n v="0"/>
    <n v="0"/>
    <n v="8172.3709275385399"/>
    <n v="0"/>
    <n v="0"/>
    <n v="0"/>
    <n v="0"/>
    <n v="0"/>
    <n v="0"/>
    <n v="0"/>
    <n v="0"/>
    <n v="0"/>
    <n v="0"/>
  </r>
  <r>
    <x v="1"/>
    <x v="10"/>
    <n v="0"/>
    <n v="1"/>
    <x v="2"/>
    <s v="Østdanmark"/>
    <n v="222547.77389902543"/>
    <n v="5365.8998488810739"/>
    <n v="0"/>
    <m/>
    <n v="0"/>
    <n v="0"/>
    <n v="0"/>
    <n v="0"/>
    <n v="217181.87405014437"/>
    <n v="0"/>
    <n v="0"/>
    <n v="0"/>
    <n v="0"/>
    <n v="0"/>
    <n v="0"/>
    <n v="0"/>
    <n v="0"/>
    <n v="0"/>
    <n v="0"/>
  </r>
  <r>
    <x v="2"/>
    <x v="1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n v="0"/>
    <x v="2"/>
    <s v="Østdanmark"/>
    <n v="74477877.175066754"/>
    <n v="0"/>
    <n v="0"/>
    <m/>
    <n v="0"/>
    <n v="0"/>
    <n v="74477877.175066754"/>
    <n v="0"/>
    <n v="0"/>
    <n v="0"/>
    <n v="74477877.175066754"/>
    <n v="0"/>
    <n v="0"/>
    <n v="0"/>
    <n v="0"/>
    <n v="0"/>
    <n v="0"/>
    <n v="0"/>
    <n v="0"/>
  </r>
  <r>
    <x v="4"/>
    <x v="10"/>
    <n v="0"/>
    <n v="0"/>
    <x v="2"/>
    <s v="Østdanmark"/>
    <n v="2991109.452383338"/>
    <n v="0"/>
    <n v="0"/>
    <m/>
    <n v="0"/>
    <n v="81858.543893972019"/>
    <n v="0"/>
    <n v="0"/>
    <n v="2909250.9084893661"/>
    <n v="0"/>
    <n v="0"/>
    <n v="0"/>
    <n v="0"/>
    <n v="0"/>
    <n v="0"/>
    <n v="0"/>
    <n v="0"/>
    <n v="0"/>
    <n v="0"/>
  </r>
  <r>
    <x v="5"/>
    <x v="1"/>
    <n v="1"/>
    <n v="0"/>
    <x v="2"/>
    <s v="Østdanmark"/>
    <n v="1495057.7438579726"/>
    <n v="0"/>
    <n v="0"/>
    <m/>
    <n v="1345551.9694721752"/>
    <n v="0"/>
    <n v="0"/>
    <n v="0"/>
    <n v="149505.77438579733"/>
    <n v="149505.77438579733"/>
    <n v="1345551.9694721752"/>
    <n v="8.4923178504119914E-2"/>
    <n v="0.84923178504119867"/>
    <n v="0.76430860653707877"/>
    <n v="8.4923178504119901E-2"/>
    <n v="6393.3733722893849"/>
    <n v="63933.73372289382"/>
    <n v="57540.360350604431"/>
    <n v="6393.3733722893885"/>
  </r>
  <r>
    <x v="6"/>
    <x v="2"/>
    <n v="1"/>
    <n v="0"/>
    <x v="2"/>
    <s v="Østdanmark"/>
    <n v="642682.86193424952"/>
    <n v="0"/>
    <n v="0"/>
    <m/>
    <n v="578414.57574082457"/>
    <n v="24330.136916082298"/>
    <n v="0"/>
    <n v="0"/>
    <n v="39938.1492773426"/>
    <n v="39938.1492773426"/>
    <n v="578414.57574082457"/>
    <n v="8.6026773543395968E-2"/>
    <n v="1.3319317696891322"/>
    <n v="1.2459049961457362"/>
    <n v="8.602677354339594E-2"/>
    <n v="11981.44478320278"/>
    <n v="185505.81750545013"/>
    <n v="173524.37272224735"/>
    <n v="11981.44478320278"/>
  </r>
  <r>
    <x v="7"/>
    <x v="10"/>
    <n v="0"/>
    <n v="0"/>
    <x v="2"/>
    <s v="Østdanmark"/>
    <n v="1053026.2024947219"/>
    <n v="1052867.5549564718"/>
    <n v="0"/>
    <m/>
    <n v="0"/>
    <n v="0"/>
    <n v="0"/>
    <n v="0"/>
    <n v="158.64753825007938"/>
    <n v="0"/>
    <n v="0"/>
    <n v="0"/>
    <n v="0"/>
    <n v="0"/>
    <n v="0"/>
    <n v="0"/>
    <n v="0"/>
    <n v="0"/>
    <n v="0"/>
  </r>
  <r>
    <x v="8"/>
    <x v="2"/>
    <n v="1"/>
    <n v="0"/>
    <x v="2"/>
    <s v="Østdanmark"/>
    <n v="1178.8787785976031"/>
    <n v="0"/>
    <n v="0"/>
    <m/>
    <n v="1060.9909007378428"/>
    <n v="117.88787785976028"/>
    <n v="0"/>
    <n v="0"/>
    <n v="0"/>
    <n v="0"/>
    <n v="1060.9909007378428"/>
    <n v="0"/>
    <n v="4.9897341070800016E-4"/>
    <n v="4.9897341070800016E-4"/>
    <n v="0"/>
    <n v="0"/>
    <n v="66.842426746484094"/>
    <n v="66.842426746484094"/>
    <n v="0"/>
  </r>
  <r>
    <x v="9"/>
    <x v="10"/>
    <n v="0"/>
    <n v="1"/>
    <x v="2"/>
    <s v="Østdanmark"/>
    <n v="1259.2854048567958"/>
    <n v="0"/>
    <n v="0"/>
    <m/>
    <n v="0"/>
    <n v="0"/>
    <n v="0"/>
    <n v="0"/>
    <n v="1259.2854048567958"/>
    <n v="0"/>
    <n v="0"/>
    <n v="0"/>
    <n v="0"/>
    <n v="0"/>
    <n v="0"/>
    <n v="0"/>
    <n v="0"/>
    <n v="0"/>
    <n v="0"/>
  </r>
  <r>
    <x v="10"/>
    <x v="10"/>
    <n v="0"/>
    <n v="0"/>
    <x v="2"/>
    <s v="Østdanmark"/>
    <n v="20896.559297118682"/>
    <n v="0"/>
    <n v="0"/>
    <m/>
    <n v="0"/>
    <n v="0"/>
    <n v="0"/>
    <n v="0"/>
    <n v="20896.559297118682"/>
    <n v="0"/>
    <n v="0"/>
    <n v="0"/>
    <n v="0"/>
    <n v="0"/>
    <n v="0"/>
    <n v="0"/>
    <n v="0"/>
    <n v="0"/>
    <n v="0"/>
  </r>
  <r>
    <x v="11"/>
    <x v="10"/>
    <n v="0"/>
    <n v="1"/>
    <x v="2"/>
    <s v="Østdanmark"/>
    <n v="257689.18202978774"/>
    <n v="0"/>
    <n v="0"/>
    <m/>
    <n v="0"/>
    <n v="0"/>
    <n v="0"/>
    <n v="0"/>
    <n v="257689.18202978774"/>
    <n v="0"/>
    <n v="0"/>
    <n v="0"/>
    <n v="0"/>
    <n v="0"/>
    <n v="0"/>
    <n v="0"/>
    <n v="0"/>
    <n v="0"/>
    <n v="0"/>
  </r>
  <r>
    <x v="12"/>
    <x v="3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3"/>
    <x v="4"/>
    <n v="1"/>
    <n v="0"/>
    <x v="2"/>
    <s v="Østdanmark"/>
    <n v="11397047.281261299"/>
    <n v="1018104.9699383936"/>
    <n v="0"/>
    <m/>
    <n v="0"/>
    <n v="0"/>
    <n v="0"/>
    <n v="3059553.8161358451"/>
    <n v="7319388.49518706"/>
    <n v="7319388.49518706"/>
    <n v="0"/>
    <n v="13.466759907582293"/>
    <n v="13.466759907582293"/>
    <n v="0"/>
    <n v="13.466759907582293"/>
    <n v="2049428.778652377"/>
    <n v="2049428.778652377"/>
    <n v="0"/>
    <n v="2049428.778652377"/>
  </r>
  <r>
    <x v="14"/>
    <x v="10"/>
    <n v="0"/>
    <n v="0"/>
    <x v="2"/>
    <s v="Østdanmark"/>
    <n v="511469.86978315056"/>
    <n v="511469.86978315056"/>
    <n v="0"/>
    <m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n v="1"/>
    <x v="2"/>
    <s v="Østdanmark"/>
    <n v="100376.66803290648"/>
    <n v="0"/>
    <n v="0"/>
    <m/>
    <n v="0"/>
    <n v="0"/>
    <n v="0"/>
    <n v="0"/>
    <n v="100376.66803290648"/>
    <n v="0"/>
    <n v="0"/>
    <n v="0"/>
    <n v="0"/>
    <n v="0"/>
    <n v="0"/>
    <n v="0"/>
    <n v="0"/>
    <n v="0"/>
    <n v="0"/>
  </r>
  <r>
    <x v="16"/>
    <x v="5"/>
    <n v="1"/>
    <n v="0"/>
    <x v="2"/>
    <s v="Østdanmark"/>
    <n v="237236.55198901493"/>
    <n v="28956.048343518098"/>
    <n v="73473.232241454796"/>
    <m/>
    <n v="0"/>
    <n v="0"/>
    <n v="128289.96787416932"/>
    <n v="0"/>
    <n v="6517.3035298727045"/>
    <n v="2.9103830456733704E-11"/>
    <n v="128289.96787416932"/>
    <n v="3.0081155532780002E-16"/>
    <n v="1.3259802632011835"/>
    <n v="0"/>
    <n v="1.3259802632011835"/>
    <n v="2.4738255888223647E-11"/>
    <n v="109046.47269304395"/>
    <n v="0"/>
    <n v="109046.47269304395"/>
  </r>
  <r>
    <x v="17"/>
    <x v="1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n v="0"/>
    <x v="2"/>
    <s v="Østdanmark"/>
    <n v="187278.00650272256"/>
    <n v="0"/>
    <n v="0"/>
    <m/>
    <n v="0"/>
    <n v="0"/>
    <n v="0"/>
    <n v="0"/>
    <n v="187278.00650272256"/>
    <n v="187278.00650272256"/>
    <n v="0"/>
    <n v="0.81149994831714234"/>
    <n v="0.81149994831714234"/>
    <n v="0"/>
    <n v="0.81149994831714234"/>
    <n v="78656.762731143477"/>
    <n v="78656.762731143477"/>
    <n v="0"/>
    <n v="78656.762731143477"/>
  </r>
  <r>
    <x v="20"/>
    <x v="10"/>
    <n v="0"/>
    <n v="0"/>
    <x v="2"/>
    <s v="Østdanmark"/>
    <n v="128654.0299653736"/>
    <n v="0"/>
    <n v="0"/>
    <m/>
    <n v="0"/>
    <n v="0"/>
    <n v="0"/>
    <n v="0"/>
    <n v="128654.0299653736"/>
    <n v="0"/>
    <n v="0"/>
    <n v="0"/>
    <n v="0"/>
    <n v="0"/>
    <n v="0"/>
    <n v="0"/>
    <n v="0"/>
    <n v="0"/>
    <n v="0"/>
  </r>
  <r>
    <x v="21"/>
    <x v="10"/>
    <n v="0"/>
    <n v="1"/>
    <x v="2"/>
    <s v="Østdanmark"/>
    <n v="777428.93272593827"/>
    <n v="220106.23074563002"/>
    <n v="0"/>
    <m/>
    <n v="0"/>
    <n v="0"/>
    <n v="0"/>
    <n v="0"/>
    <n v="557322.70198030828"/>
    <n v="0"/>
    <n v="0"/>
    <n v="0"/>
    <n v="0"/>
    <n v="0"/>
    <n v="0"/>
    <n v="0"/>
    <n v="0"/>
    <n v="0"/>
    <n v="0"/>
  </r>
  <r>
    <x v="22"/>
    <x v="5"/>
    <n v="1"/>
    <n v="1"/>
    <x v="2"/>
    <s v="Østdanmark"/>
    <n v="160350.24819795735"/>
    <n v="49529.771665708242"/>
    <n v="0"/>
    <m/>
    <n v="0"/>
    <n v="0"/>
    <n v="0"/>
    <n v="0"/>
    <n v="110820.4765322491"/>
    <n v="110820.4765322491"/>
    <n v="0"/>
    <n v="0.37954461725623873"/>
    <n v="0.37954461725623873"/>
    <n v="0"/>
    <n v="0.37954461725623873"/>
    <n v="34354.34772499722"/>
    <n v="34354.34772499722"/>
    <n v="0"/>
    <n v="34354.34772499722"/>
  </r>
  <r>
    <x v="23"/>
    <x v="10"/>
    <n v="0"/>
    <n v="0"/>
    <x v="2"/>
    <s v="Østdanmark"/>
    <n v="0"/>
    <n v="0"/>
    <n v="0"/>
    <m/>
    <n v="0"/>
    <n v="351154.23536016268"/>
    <n v="0"/>
    <n v="0"/>
    <n v="-351154.23536016268"/>
    <n v="0"/>
    <n v="0"/>
    <n v="0"/>
    <n v="0"/>
    <n v="0"/>
    <n v="0"/>
    <n v="0"/>
    <n v="0"/>
    <n v="0"/>
    <n v="0"/>
  </r>
  <r>
    <x v="24"/>
    <x v="2"/>
    <n v="1"/>
    <n v="0"/>
    <x v="2"/>
    <s v="Østdanmark"/>
    <n v="4885.9701831397151"/>
    <n v="0"/>
    <n v="0"/>
    <m/>
    <n v="4397.3731648257435"/>
    <n v="488.59701831397138"/>
    <n v="0"/>
    <n v="0"/>
    <n v="0"/>
    <n v="0"/>
    <n v="4397.3731648257435"/>
    <n v="0"/>
    <n v="2.2259063223031435E-3"/>
    <n v="2.2259063223031435E-3"/>
    <n v="0"/>
    <n v="0"/>
    <n v="334.20036052675653"/>
    <n v="334.20036052675653"/>
    <n v="0"/>
  </r>
  <r>
    <x v="25"/>
    <x v="10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6"/>
    <x v="4"/>
    <n v="1"/>
    <n v="1"/>
    <x v="2"/>
    <s v="Østdanmark"/>
    <n v="170724.37456200234"/>
    <n v="51926.585742627525"/>
    <n v="0"/>
    <m/>
    <n v="0"/>
    <n v="0"/>
    <n v="0"/>
    <n v="0"/>
    <n v="118797.78881937481"/>
    <n v="118797.78881937481"/>
    <n v="0"/>
    <n v="0.42648406186155557"/>
    <n v="0.42648406186155557"/>
    <n v="0"/>
    <n v="0.42648406186155557"/>
    <n v="35639.336645812444"/>
    <n v="35639.336645812444"/>
    <n v="0"/>
    <n v="35639.336645812444"/>
  </r>
  <r>
    <x v="27"/>
    <x v="10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28"/>
    <x v="6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</r>
  <r>
    <x v="29"/>
    <x v="10"/>
    <n v="0"/>
    <n v="1"/>
    <x v="2"/>
    <s v="Østdanmark"/>
    <n v="278.2619831544028"/>
    <n v="0"/>
    <n v="0"/>
    <m/>
    <n v="0"/>
    <n v="0"/>
    <n v="0"/>
    <n v="0"/>
    <n v="278.2619831544028"/>
    <n v="0"/>
    <n v="0"/>
    <n v="0"/>
    <n v="0"/>
    <n v="0"/>
    <n v="0"/>
    <n v="0"/>
    <n v="0"/>
    <n v="0"/>
    <n v="0"/>
  </r>
  <r>
    <x v="30"/>
    <x v="10"/>
    <n v="0"/>
    <n v="1"/>
    <x v="2"/>
    <s v="Østdanmark"/>
    <n v="30169.993972883625"/>
    <n v="0"/>
    <n v="0"/>
    <m/>
    <n v="0"/>
    <n v="0"/>
    <n v="0"/>
    <n v="0"/>
    <n v="30169.993972883625"/>
    <n v="0"/>
    <n v="0"/>
    <n v="0"/>
    <n v="0"/>
    <n v="0"/>
    <n v="0"/>
    <n v="0"/>
    <n v="0"/>
    <n v="0"/>
    <n v="0"/>
  </r>
  <r>
    <x v="31"/>
    <x v="7"/>
    <n v="1"/>
    <n v="0"/>
    <x v="2"/>
    <s v="Østdanmark"/>
    <n v="437726.22620455944"/>
    <n v="0"/>
    <n v="0"/>
    <m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</r>
  <r>
    <x v="32"/>
    <x v="8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35"/>
    <x v="10"/>
    <n v="0"/>
    <n v="0"/>
    <x v="2"/>
    <s v="Østdanmark"/>
    <n v="215982.61635398451"/>
    <n v="0"/>
    <n v="0"/>
    <m/>
    <n v="0"/>
    <n v="0"/>
    <n v="0"/>
    <n v="215982.61635398451"/>
    <n v="0"/>
    <n v="0"/>
    <n v="0"/>
    <n v="0"/>
    <n v="0"/>
    <n v="0"/>
    <n v="0"/>
    <n v="0"/>
    <n v="0"/>
    <n v="0"/>
    <n v="0"/>
  </r>
  <r>
    <x v="36"/>
    <x v="10"/>
    <n v="0"/>
    <n v="0"/>
    <x v="2"/>
    <s v="Østdanmark"/>
    <n v="107991.30817699226"/>
    <n v="54569.905755399974"/>
    <n v="0"/>
    <m/>
    <n v="0"/>
    <n v="0"/>
    <n v="0"/>
    <n v="0"/>
    <n v="53421.402421592284"/>
    <n v="0"/>
    <n v="0"/>
    <n v="0"/>
    <n v="0"/>
    <n v="0"/>
    <n v="0"/>
    <n v="0"/>
    <n v="0"/>
    <n v="0"/>
    <n v="0"/>
  </r>
  <r>
    <x v="37"/>
    <x v="9"/>
    <n v="1"/>
    <n v="1"/>
    <x v="2"/>
    <s v="Østdanmark"/>
    <n v="69114.43723327505"/>
    <n v="0"/>
    <n v="0"/>
    <m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</r>
  <r>
    <x v="38"/>
    <x v="4"/>
    <n v="1"/>
    <n v="1"/>
    <x v="2"/>
    <s v="Østdanmark"/>
    <n v="914724.5674164847"/>
    <n v="69980.277195824005"/>
    <n v="0"/>
    <m/>
    <n v="0"/>
    <n v="0"/>
    <n v="0"/>
    <n v="0"/>
    <n v="844744.29022066074"/>
    <n v="844744.29022066074"/>
    <n v="0"/>
    <n v="2.2926697934304823"/>
    <n v="2.2926697934304823"/>
    <n v="0"/>
    <n v="2.2926697934304823"/>
    <n v="168948.85804413215"/>
    <n v="168948.85804413215"/>
    <n v="0"/>
    <n v="168948.85804413215"/>
  </r>
  <r>
    <x v="39"/>
    <x v="10"/>
    <n v="0"/>
    <n v="0"/>
    <x v="2"/>
    <s v="Østdanmark"/>
    <n v="5178.4802809055018"/>
    <n v="0"/>
    <n v="0"/>
    <m/>
    <n v="0"/>
    <n v="0"/>
    <n v="0"/>
    <n v="0"/>
    <n v="5178.4802809055018"/>
    <n v="0"/>
    <n v="0"/>
    <n v="0"/>
    <n v="0"/>
    <n v="0"/>
    <n v="0"/>
    <n v="0"/>
    <n v="0"/>
    <n v="0"/>
    <n v="0"/>
  </r>
  <r>
    <x v="40"/>
    <x v="10"/>
    <n v="0"/>
    <n v="0"/>
    <x v="2"/>
    <s v="Østdanmark"/>
    <n v="5080.5235511874698"/>
    <n v="5602.7040553433098"/>
    <n v="0"/>
    <m/>
    <n v="0"/>
    <n v="0"/>
    <n v="0"/>
    <n v="0"/>
    <n v="-522.18050415584003"/>
    <n v="0"/>
    <n v="0"/>
    <n v="0"/>
    <n v="0"/>
    <n v="0"/>
    <n v="0"/>
    <n v="0"/>
    <n v="0"/>
    <n v="0"/>
    <n v="0"/>
  </r>
  <r>
    <x v="41"/>
    <x v="1"/>
    <n v="1"/>
    <n v="0"/>
    <x v="2"/>
    <s v="Østdanmark"/>
    <n v="3491788.2152479719"/>
    <n v="0"/>
    <n v="0"/>
    <m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</r>
  <r>
    <x v="42"/>
    <x v="2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3"/>
    <x v="10"/>
    <n v="0"/>
    <n v="1"/>
    <x v="2"/>
    <s v="Østdanmark"/>
    <n v="56767.111740145512"/>
    <n v="0"/>
    <n v="0"/>
    <m/>
    <n v="0"/>
    <n v="0"/>
    <n v="0"/>
    <n v="0"/>
    <n v="56767.111740145512"/>
    <n v="0"/>
    <n v="0"/>
    <n v="0"/>
    <n v="0"/>
    <n v="0"/>
    <n v="0"/>
    <n v="0"/>
    <n v="0"/>
    <n v="0"/>
    <n v="0"/>
  </r>
  <r>
    <x v="44"/>
    <x v="6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5"/>
    <x v="10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</r>
  <r>
    <x v="47"/>
    <x v="10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45577.01129372371"/>
    <n v="51766.523378049998"/>
    <n v="0"/>
    <m/>
    <n v="0"/>
    <n v="0"/>
    <n v="0"/>
    <n v="0"/>
    <n v="493810.487915673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n v="0"/>
    <x v="1"/>
    <s v="Vestdanmark"/>
    <n v="380214878.24169075"/>
    <n v="0"/>
    <n v="0"/>
    <m/>
    <n v="0"/>
    <n v="0"/>
    <n v="380214878.24169075"/>
    <n v="0"/>
    <n v="0"/>
    <n v="0"/>
    <n v="380214878.24169075"/>
    <n v="0"/>
    <n v="0"/>
    <n v="0"/>
    <n v="0"/>
    <n v="0"/>
    <n v="0"/>
    <n v="0"/>
    <n v="0"/>
    <n v="0"/>
    <x v="1"/>
  </r>
  <r>
    <x v="4"/>
    <s v=""/>
    <n v="0"/>
    <n v="0"/>
    <x v="1"/>
    <s v="Vestdanmark"/>
    <n v="20577787.082851764"/>
    <n v="0"/>
    <n v="0"/>
    <m/>
    <n v="0"/>
    <n v="17741283.594546799"/>
    <n v="0"/>
    <n v="0"/>
    <n v="2836503.4883049652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5117942.4076080145"/>
    <n v="0"/>
    <n v="0"/>
    <m/>
    <n v="3838456.8057060111"/>
    <n v="0"/>
    <n v="0"/>
    <n v="0"/>
    <n v="1279485.6019020034"/>
    <n v="1279485.6019020034"/>
    <n v="3838456.8057060111"/>
    <n v="0.72678118694857163"/>
    <n v="2.907124747794287"/>
    <n v="2.1803435608457153"/>
    <n v="0.72678118694857163"/>
    <n v="54715.138669620683"/>
    <n v="218860.55467848279"/>
    <n v="164145.41600886208"/>
    <n v="54715.138669620705"/>
    <n v="0"/>
    <x v="0"/>
  </r>
  <r>
    <x v="6"/>
    <s v="Husdyrgødning"/>
    <n v="1"/>
    <n v="0"/>
    <x v="1"/>
    <s v="Vestdanmark"/>
    <n v="2348727.6697282116"/>
    <n v="0"/>
    <n v="0"/>
    <m/>
    <n v="1761545.7522961586"/>
    <n v="222290.29731356286"/>
    <n v="0"/>
    <n v="0"/>
    <n v="364891.62011849019"/>
    <n v="364891.62011849019"/>
    <n v="1761545.7522961586"/>
    <n v="0.7859765497352279"/>
    <n v="4.5803461001811536"/>
    <n v="3.7943695504459258"/>
    <n v="0.78597654973522779"/>
    <n v="109467.48603554706"/>
    <n v="637931.21172439458"/>
    <n v="528463.7256888476"/>
    <n v="109467.48603554699"/>
    <n v="0"/>
    <x v="0"/>
  </r>
  <r>
    <x v="7"/>
    <s v=""/>
    <n v="0"/>
    <n v="0"/>
    <x v="1"/>
    <s v="Vestdanmark"/>
    <n v="3604762.0770573635"/>
    <n v="3603112.0414954"/>
    <n v="0"/>
    <m/>
    <n v="0"/>
    <n v="0"/>
    <n v="0"/>
    <n v="0"/>
    <n v="1650.0355619634502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195.1814461661797"/>
    <n v="0"/>
    <n v="0"/>
    <m/>
    <n v="6146.3860846246353"/>
    <n v="2048.7953615415449"/>
    <n v="0"/>
    <n v="0"/>
    <n v="0"/>
    <n v="0"/>
    <n v="6146.3860846246353"/>
    <n v="0"/>
    <n v="2.8905839117381199E-3"/>
    <n v="2.8905839117381199E-3"/>
    <n v="0"/>
    <n v="0"/>
    <n v="387.22232333135202"/>
    <n v="387.22232333135202"/>
    <n v="0"/>
    <n v="0"/>
    <x v="1"/>
  </r>
  <r>
    <x v="9"/>
    <s v=""/>
    <n v="0"/>
    <n v="1"/>
    <x v="1"/>
    <s v="Vestdanmark"/>
    <n v="185939.47423661887"/>
    <n v="0"/>
    <n v="0"/>
    <m/>
    <n v="0"/>
    <n v="0"/>
    <n v="0"/>
    <n v="0"/>
    <n v="185939.47423661887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49561.48395824642"/>
    <n v="0"/>
    <n v="0"/>
    <m/>
    <n v="0"/>
    <n v="0"/>
    <n v="0"/>
    <n v="0"/>
    <n v="749561.48395824642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488405.10801459721"/>
    <n v="0"/>
    <n v="0"/>
    <m/>
    <n v="0"/>
    <n v="0"/>
    <n v="0"/>
    <n v="0"/>
    <n v="488405.10801459721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Vestdanmark"/>
    <n v="23233296.600181103"/>
    <n v="9821978.8314936236"/>
    <n v="0"/>
    <m/>
    <n v="0"/>
    <n v="0"/>
    <n v="0"/>
    <n v="10473588.922093241"/>
    <n v="2937728.8465942368"/>
    <n v="2937728.8465942368"/>
    <n v="0"/>
    <n v="5.4050538616275716"/>
    <n v="5.4050538616275716"/>
    <n v="0"/>
    <n v="5.4050538616275716"/>
    <n v="822564.07704638643"/>
    <n v="822564.07704638643"/>
    <n v="0"/>
    <n v="822564.07704638643"/>
    <n v="0"/>
    <x v="0"/>
  </r>
  <r>
    <x v="14"/>
    <s v=""/>
    <n v="0"/>
    <n v="0"/>
    <x v="1"/>
    <s v="Vestdanmark"/>
    <n v="1750884.4374278621"/>
    <n v="1750884.4374278623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Vestdanmark"/>
    <n v="318920.65280775877"/>
    <n v="0"/>
    <n v="0"/>
    <m/>
    <n v="0"/>
    <n v="0"/>
    <n v="0"/>
    <n v="0"/>
    <n v="318920.6528077587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13317.1484140675"/>
    <n v="499432.74755070958"/>
    <n v="673527.39565992262"/>
    <m/>
    <n v="0"/>
    <n v="0"/>
    <n v="1040357.0052034357"/>
    <n v="0"/>
    <n v="0"/>
    <n v="0"/>
    <n v="1040357.0052034357"/>
    <n v="0"/>
    <n v="10.752928529344514"/>
    <n v="0"/>
    <n v="10.752928529344514"/>
    <n v="0"/>
    <n v="884303.45442292024"/>
    <n v="0"/>
    <n v="884303.45442292024"/>
    <n v="0"/>
    <x v="1"/>
  </r>
  <r>
    <x v="17"/>
    <s v="Bionedbrydeligt affald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n v="1"/>
    <x v="1"/>
    <s v="Vestdanmark"/>
    <n v="0"/>
    <n v="2500193.1989936335"/>
    <n v="0"/>
    <m/>
    <n v="0"/>
    <n v="0"/>
    <n v="0"/>
    <n v="0"/>
    <n v="-2500193.1989936335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Vestdanmark"/>
    <n v="471923.7302437154"/>
    <n v="0"/>
    <n v="0"/>
    <m/>
    <n v="0"/>
    <n v="0"/>
    <n v="0"/>
    <n v="0"/>
    <n v="471923.7302437154"/>
    <n v="471923.7302437154"/>
    <n v="0"/>
    <n v="2.0449068732309508"/>
    <n v="2.0449068732309508"/>
    <n v="0"/>
    <n v="2.0449068732309508"/>
    <n v="198207.96670236046"/>
    <n v="198207.96670236046"/>
    <n v="0"/>
    <n v="198207.96670236046"/>
    <n v="0"/>
    <x v="0"/>
  </r>
  <r>
    <x v="20"/>
    <s v=""/>
    <n v="0"/>
    <n v="0"/>
    <x v="1"/>
    <s v="Vestdanmark"/>
    <n v="682243.34675238712"/>
    <n v="0"/>
    <n v="0"/>
    <m/>
    <n v="0"/>
    <n v="0"/>
    <n v="0"/>
    <n v="0"/>
    <n v="682243.34675238712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537122.9309529141"/>
    <n v="753476.59121508116"/>
    <n v="0"/>
    <m/>
    <n v="0"/>
    <n v="0"/>
    <n v="0"/>
    <n v="0"/>
    <n v="1783646.339737833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698307.4709618408"/>
    <n v="3213850.6503298059"/>
    <n v="0"/>
    <m/>
    <n v="0"/>
    <n v="0"/>
    <n v="0"/>
    <n v="0"/>
    <n v="1484456.8206320349"/>
    <n v="1484456.8206320349"/>
    <n v="0"/>
    <n v="5.0840567867098319"/>
    <n v="5.0840567867098319"/>
    <n v="0"/>
    <n v="5.0840567867098319"/>
    <n v="460181.61439593084"/>
    <n v="460181.61439593084"/>
    <n v="0"/>
    <n v="460181.61439593084"/>
    <n v="0"/>
    <x v="0"/>
  </r>
  <r>
    <x v="23"/>
    <s v=""/>
    <n v="0"/>
    <n v="0"/>
    <x v="1"/>
    <s v="Vestdanmark"/>
    <n v="0"/>
    <n v="0"/>
    <n v="0"/>
    <m/>
    <n v="0"/>
    <n v="708590.7242708815"/>
    <n v="0"/>
    <n v="0"/>
    <n v="-708590.7242708815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Vestdanmark"/>
    <n v="6068128.1928290678"/>
    <n v="0"/>
    <n v="0"/>
    <m/>
    <n v="4551096.1446218006"/>
    <n v="1517032.048207267"/>
    <n v="0"/>
    <n v="0"/>
    <n v="0"/>
    <n v="0"/>
    <n v="4551096.1446218006"/>
    <n v="0"/>
    <n v="2.3037193574461097"/>
    <n v="2.3037193574461097"/>
    <n v="0"/>
    <n v="0"/>
    <n v="345883.30699125683"/>
    <n v="345883.30699125683"/>
    <n v="0"/>
    <n v="0"/>
    <x v="1"/>
  </r>
  <r>
    <x v="25"/>
    <s v=""/>
    <n v="0"/>
    <n v="0"/>
    <x v="1"/>
    <s v="Vestdanmark"/>
    <n v="706621.13097372942"/>
    <n v="784847.28992527397"/>
    <n v="0"/>
    <m/>
    <n v="0"/>
    <n v="0"/>
    <n v="0"/>
    <n v="0"/>
    <n v="-78226.158951544552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Vestdanmark"/>
    <n v="4171283.8969927602"/>
    <n v="3107018.8030339861"/>
    <n v="0"/>
    <m/>
    <n v="0"/>
    <n v="0"/>
    <n v="0"/>
    <n v="0"/>
    <n v="1064265.0939587741"/>
    <n v="1064265.0939587741"/>
    <n v="0"/>
    <n v="3.8207116873119995"/>
    <n v="3.8207116873119995"/>
    <n v="0"/>
    <n v="3.8207116873119995"/>
    <n v="319279.52818763221"/>
    <n v="319279.52818763221"/>
    <n v="0"/>
    <n v="319279.52818763221"/>
    <n v="0"/>
    <x v="0"/>
  </r>
  <r>
    <x v="27"/>
    <s v=""/>
    <n v="0"/>
    <n v="1"/>
    <x v="1"/>
    <s v="Vestdanmark"/>
    <n v="1363412.0539430196"/>
    <n v="0"/>
    <n v="0"/>
    <m/>
    <n v="0"/>
    <n v="0"/>
    <n v="0"/>
    <n v="0"/>
    <n v="1363412.0539430196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1"/>
    <s v="Vestdanmark"/>
    <n v="87951.528514645848"/>
    <n v="0"/>
    <n v="0"/>
    <m/>
    <n v="0"/>
    <n v="0"/>
    <n v="0"/>
    <n v="0"/>
    <n v="87951.528514645848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037736.7550566321"/>
    <n v="0"/>
    <n v="0"/>
    <m/>
    <n v="0"/>
    <n v="0"/>
    <n v="0"/>
    <n v="0"/>
    <n v="1037736.7550566321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897193.5214277351"/>
    <n v="0"/>
    <n v="0"/>
    <m/>
    <n v="0"/>
    <n v="0"/>
    <n v="897193.5214277351"/>
    <n v="0"/>
    <n v="0"/>
    <n v="0"/>
    <n v="897193.5214277351"/>
    <n v="0"/>
    <n v="16.508360794270324"/>
    <n v="0"/>
    <n v="16.508360794270324"/>
    <n v="0"/>
    <n v="372335.31139251008"/>
    <n v="0"/>
    <n v="372335.31139251008"/>
    <n v="0"/>
    <x v="1"/>
  </r>
  <r>
    <x v="32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Vestdanmark"/>
    <n v="2123110.9588889731"/>
    <n v="0"/>
    <n v="0"/>
    <m/>
    <n v="0"/>
    <n v="0"/>
    <n v="0"/>
    <n v="0"/>
    <n v="2123110.9588889731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6385.00175039668"/>
    <n v="0"/>
    <n v="0"/>
    <m/>
    <n v="0"/>
    <n v="0"/>
    <n v="0"/>
    <n v="736385.00175039668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Vestdanmark"/>
    <n v="368192.50087519834"/>
    <n v="297667.91735204216"/>
    <n v="0"/>
    <m/>
    <n v="0"/>
    <n v="0"/>
    <n v="0"/>
    <n v="0"/>
    <n v="70524.58352315618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5643.20056012695"/>
    <n v="0"/>
    <n v="0"/>
    <m/>
    <n v="0"/>
    <n v="0"/>
    <n v="235643.20056012695"/>
    <n v="0"/>
    <n v="0"/>
    <n v="0"/>
    <n v="235643.20056012695"/>
    <n v="0"/>
    <n v="8.2475120196044429"/>
    <n v="0"/>
    <n v="8.2475120196044429"/>
    <n v="0"/>
    <n v="0"/>
    <n v="0"/>
    <n v="0"/>
    <n v="0"/>
    <x v="1"/>
  </r>
  <r>
    <x v="38"/>
    <s v="Græs og urter"/>
    <n v="1"/>
    <n v="1"/>
    <x v="1"/>
    <s v="Vestdanmark"/>
    <n v="2891451.8691946529"/>
    <n v="675121.74238873541"/>
    <n v="0"/>
    <m/>
    <n v="0"/>
    <n v="0"/>
    <n v="0"/>
    <n v="0"/>
    <n v="2216330.1268059174"/>
    <n v="2216330.1268059174"/>
    <n v="0"/>
    <n v="6.0152086173563317"/>
    <n v="6.0152086173563317"/>
    <n v="0"/>
    <n v="6.0152086173563317"/>
    <n v="443266.02536118351"/>
    <n v="443266.02536118351"/>
    <n v="0"/>
    <n v="443266.02536118351"/>
    <n v="0"/>
    <x v="0"/>
  </r>
  <r>
    <x v="39"/>
    <s v=""/>
    <n v="0"/>
    <n v="0"/>
    <x v="1"/>
    <s v="Vestdanmark"/>
    <n v="172204.52835253053"/>
    <n v="0"/>
    <n v="0"/>
    <m/>
    <n v="0"/>
    <n v="0"/>
    <n v="0"/>
    <n v="0"/>
    <n v="172204.52835253053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1502.07445138719"/>
    <n v="39589.144539968278"/>
    <n v="0"/>
    <m/>
    <n v="0"/>
    <n v="0"/>
    <n v="0"/>
    <n v="0"/>
    <n v="81912.929911418905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05227.9830927276"/>
    <n v="0"/>
    <n v="0"/>
    <m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  <n v="0"/>
    <x v="0"/>
  </r>
  <r>
    <x v="42"/>
    <s v="Husdyrgødning"/>
    <n v="1"/>
    <n v="0"/>
    <x v="1"/>
    <s v="Vestdanmark"/>
    <n v="14327857.380425449"/>
    <n v="0"/>
    <n v="0"/>
    <m/>
    <n v="10745893.035319086"/>
    <n v="3581964.3451063624"/>
    <n v="0"/>
    <n v="0"/>
    <n v="0"/>
    <n v="0"/>
    <n v="10745893.035319086"/>
    <n v="0"/>
    <n v="4.6293307196154627"/>
    <n v="4.6293307196154627"/>
    <n v="0"/>
    <n v="0"/>
    <n v="537294.65176595433"/>
    <n v="537294.65176595433"/>
    <n v="0"/>
    <n v="0"/>
    <x v="1"/>
  </r>
  <r>
    <x v="43"/>
    <s v=""/>
    <n v="0"/>
    <n v="1"/>
    <x v="1"/>
    <s v="Vestdanmark"/>
    <n v="1299242.7527710649"/>
    <n v="0"/>
    <n v="0"/>
    <m/>
    <n v="0"/>
    <n v="0"/>
    <n v="0"/>
    <n v="0"/>
    <n v="1299242.7527710649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n v="0"/>
    <x v="1"/>
  </r>
  <r>
    <x v="47"/>
    <s v="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Vestdanmark"/>
    <n v="97371.701044186848"/>
    <n v="0"/>
    <n v="0"/>
    <m/>
    <n v="0"/>
    <n v="0"/>
    <n v="0"/>
    <n v="0"/>
    <n v="97371.701044186848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669028.68943321821"/>
    <n v="37918.362883307651"/>
    <n v="0"/>
    <m/>
    <n v="0"/>
    <n v="0"/>
    <n v="0"/>
    <n v="0"/>
    <n v="631110.32654991059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n v="0"/>
    <x v="2"/>
    <s v="Vestdanmark"/>
    <n v="413417890.16546005"/>
    <n v="0"/>
    <n v="0"/>
    <m/>
    <n v="0"/>
    <n v="0"/>
    <n v="413417890.16546005"/>
    <n v="0"/>
    <n v="0"/>
    <n v="0"/>
    <n v="413417890.16546005"/>
    <n v="0"/>
    <n v="0"/>
    <n v="0"/>
    <n v="0"/>
    <n v="0"/>
    <n v="0"/>
    <n v="0"/>
    <n v="0"/>
    <n v="0"/>
    <x v="1"/>
  </r>
  <r>
    <x v="4"/>
    <s v=""/>
    <n v="0"/>
    <n v="0"/>
    <x v="2"/>
    <s v="Vestdanmark"/>
    <n v="13894955.02537578"/>
    <n v="0"/>
    <n v="0"/>
    <m/>
    <n v="0"/>
    <n v="380267.18980249454"/>
    <n v="0"/>
    <n v="0"/>
    <n v="13514687.835573286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0564890.076158831"/>
    <n v="0"/>
    <n v="0"/>
    <m/>
    <n v="9508401.068542948"/>
    <n v="0"/>
    <n v="0"/>
    <n v="0"/>
    <n v="1056489.0076158829"/>
    <n v="1056489.0076158829"/>
    <n v="9508401.068542948"/>
    <n v="0.6001133063254267"/>
    <n v="6.0011330632542679"/>
    <n v="5.4010197569288412"/>
    <n v="0.6001133063254267"/>
    <n v="45179.048883943884"/>
    <n v="451790.48883943894"/>
    <n v="406611.43995549507"/>
    <n v="45179.048883943877"/>
    <n v="0"/>
    <x v="0"/>
  </r>
  <r>
    <x v="6"/>
    <s v="Husdyrgødning"/>
    <n v="1"/>
    <n v="0"/>
    <x v="2"/>
    <s v="Vestdanmark"/>
    <n v="4459910.1041985787"/>
    <n v="0"/>
    <n v="0"/>
    <m/>
    <n v="4013919.0937787211"/>
    <n v="168839.45394466043"/>
    <n v="0"/>
    <n v="0"/>
    <n v="277151.55647519743"/>
    <n v="277151.55647519743"/>
    <n v="4013919.0937787211"/>
    <n v="0.59698445264757527"/>
    <n v="9.2429661806469401"/>
    <n v="8.6459817279993647"/>
    <n v="0.59698445264757538"/>
    <n v="83145.466942559229"/>
    <n v="1287321.1950761753"/>
    <n v="1204175.7281336163"/>
    <n v="83145.466942558996"/>
    <n v="0"/>
    <x v="0"/>
  </r>
  <r>
    <x v="7"/>
    <s v=""/>
    <n v="0"/>
    <n v="0"/>
    <x v="2"/>
    <s v="Vestdanmark"/>
    <n v="7441255.1102966424"/>
    <n v="7440134.0206201067"/>
    <n v="0"/>
    <m/>
    <n v="0"/>
    <n v="0"/>
    <n v="0"/>
    <n v="0"/>
    <n v="1121.0896765356883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14046.037926415524"/>
    <n v="0"/>
    <n v="0"/>
    <m/>
    <n v="12641.434133773972"/>
    <n v="1404.603792641552"/>
    <n v="0"/>
    <n v="0"/>
    <n v="0"/>
    <n v="0"/>
    <n v="12641.434133773972"/>
    <n v="0"/>
    <n v="5.9451400587725613E-3"/>
    <n v="5.9451400587725613E-3"/>
    <n v="0"/>
    <n v="0"/>
    <n v="796.41035042776025"/>
    <n v="796.41035042776025"/>
    <n v="0"/>
    <n v="0"/>
    <x v="1"/>
  </r>
  <r>
    <x v="9"/>
    <s v=""/>
    <n v="0"/>
    <n v="1"/>
    <x v="2"/>
    <s v="Vestdanmark"/>
    <n v="15004.062230929063"/>
    <n v="0"/>
    <n v="0"/>
    <m/>
    <n v="0"/>
    <n v="0"/>
    <n v="0"/>
    <n v="0"/>
    <n v="15004.062230929063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62819.759709472717"/>
    <n v="0"/>
    <n v="0"/>
    <m/>
    <n v="0"/>
    <n v="0"/>
    <n v="0"/>
    <n v="0"/>
    <n v="62819.759709472717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774671.670329666"/>
    <n v="0"/>
    <n v="0"/>
    <m/>
    <n v="0"/>
    <n v="0"/>
    <n v="0"/>
    <n v="0"/>
    <n v="774671.670329666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Vestdanmark"/>
    <n v="34445105.835390486"/>
    <n v="7194482.7131786915"/>
    <n v="0"/>
    <m/>
    <n v="0"/>
    <n v="0"/>
    <n v="0"/>
    <n v="21620469.097170986"/>
    <n v="5630154.0250408091"/>
    <n v="5630154.0250408091"/>
    <n v="0"/>
    <n v="10.358779636821959"/>
    <n v="10.358779636821959"/>
    <n v="0"/>
    <n v="10.358779636821959"/>
    <n v="1576443.1270114267"/>
    <n v="1576443.1270114267"/>
    <n v="0"/>
    <n v="1576443.1270114267"/>
    <n v="0"/>
    <x v="0"/>
  </r>
  <r>
    <x v="14"/>
    <s v=""/>
    <n v="0"/>
    <n v="0"/>
    <x v="2"/>
    <s v="Vestdanmark"/>
    <n v="3614323.9107155115"/>
    <n v="3614323.9107155115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Vestdanmark"/>
    <n v="301754.85239496577"/>
    <n v="0"/>
    <n v="0"/>
    <m/>
    <n v="0"/>
    <n v="0"/>
    <n v="0"/>
    <n v="0"/>
    <n v="301754.85239496577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13186.46186449786"/>
    <n v="204619.16541082526"/>
    <n v="515084.59998354531"/>
    <m/>
    <n v="0"/>
    <n v="0"/>
    <n v="0"/>
    <n v="0"/>
    <n v="-6517.3035298726754"/>
    <n v="0"/>
    <n v="0"/>
    <n v="0"/>
    <n v="0"/>
    <n v="0"/>
    <n v="0"/>
    <n v="0"/>
    <n v="0"/>
    <n v="0"/>
    <n v="0"/>
    <n v="0"/>
    <x v="0"/>
  </r>
  <r>
    <x v="17"/>
    <s v="Bionedbrydeligt affald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Vestdanmark"/>
    <n v="347723.36857073568"/>
    <n v="0"/>
    <n v="0"/>
    <m/>
    <n v="0"/>
    <n v="0"/>
    <n v="0"/>
    <n v="0"/>
    <n v="347723.36857073568"/>
    <n v="347723.36857073568"/>
    <n v="0"/>
    <n v="1.5067305600549121"/>
    <n v="1.5067305600549121"/>
    <n v="0"/>
    <n v="1.5067305600549121"/>
    <n v="146043.81479970898"/>
    <n v="146043.81479970898"/>
    <n v="0"/>
    <n v="146043.81479970898"/>
    <n v="0"/>
    <x v="0"/>
  </r>
  <r>
    <x v="20"/>
    <s v=""/>
    <n v="0"/>
    <n v="0"/>
    <x v="2"/>
    <s v="Vestdanmark"/>
    <n v="386762.96576702269"/>
    <n v="0"/>
    <n v="0"/>
    <m/>
    <n v="0"/>
    <n v="0"/>
    <n v="0"/>
    <n v="0"/>
    <n v="386762.96576702269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337126.3206842514"/>
    <n v="1555390.1797161226"/>
    <n v="0"/>
    <m/>
    <n v="0"/>
    <n v="0"/>
    <n v="0"/>
    <n v="0"/>
    <n v="781736.14096812881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82048.93054039421"/>
    <n v="350004.26926330419"/>
    <n v="0"/>
    <m/>
    <n v="0"/>
    <n v="0"/>
    <n v="0"/>
    <n v="0"/>
    <n v="132044.66127709002"/>
    <n v="132044.66127709002"/>
    <n v="0"/>
    <n v="0.45223447862145461"/>
    <n v="0.45223447862145461"/>
    <n v="0"/>
    <n v="0.45223447862145461"/>
    <n v="40933.844995897911"/>
    <n v="40933.844995897911"/>
    <n v="0"/>
    <n v="40933.844995897911"/>
    <n v="0"/>
    <x v="0"/>
  </r>
  <r>
    <x v="23"/>
    <s v=""/>
    <n v="0"/>
    <n v="0"/>
    <x v="2"/>
    <s v="Vestdanmark"/>
    <n v="0"/>
    <n v="0"/>
    <n v="0"/>
    <m/>
    <n v="0"/>
    <n v="1043723.475761516"/>
    <n v="0"/>
    <n v="0"/>
    <n v="-1043723.47576151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Vestdanmark"/>
    <n v="68744.822418311582"/>
    <n v="0"/>
    <n v="0"/>
    <m/>
    <n v="61870.340176480422"/>
    <n v="6874.4822418311569"/>
    <n v="0"/>
    <n v="0"/>
    <n v="0"/>
    <n v="0"/>
    <n v="61870.340176480422"/>
    <n v="0"/>
    <n v="3.1318147493932628E-2"/>
    <n v="3.1318147493932628E-2"/>
    <n v="0"/>
    <n v="0"/>
    <n v="4702.1458534125122"/>
    <n v="4702.1458534125122"/>
    <n v="0"/>
    <n v="0"/>
    <x v="1"/>
  </r>
  <r>
    <x v="25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Vestdanmark"/>
    <n v="513235.88893477799"/>
    <n v="366941.45938834856"/>
    <n v="0"/>
    <m/>
    <n v="0"/>
    <n v="0"/>
    <n v="0"/>
    <n v="0"/>
    <n v="146294.42954642943"/>
    <n v="146294.42954642943"/>
    <n v="0"/>
    <n v="0.52519700207168174"/>
    <n v="0.52519700207168174"/>
    <n v="0"/>
    <n v="0.52519700207168174"/>
    <n v="43888.328863928829"/>
    <n v="43888.328863928829"/>
    <n v="0"/>
    <n v="43888.328863928829"/>
    <n v="0"/>
    <x v="0"/>
  </r>
  <r>
    <x v="27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8"/>
    <s v="Havbiomasse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n v="0"/>
    <x v="0"/>
  </r>
  <r>
    <x v="29"/>
    <s v=""/>
    <n v="0"/>
    <n v="1"/>
    <x v="2"/>
    <s v="Vestdanmark"/>
    <n v="3915.1017916004403"/>
    <n v="0"/>
    <n v="0"/>
    <m/>
    <n v="0"/>
    <n v="0"/>
    <n v="0"/>
    <n v="0"/>
    <n v="3915.1017916004403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90697.791194463221"/>
    <n v="0"/>
    <n v="0"/>
    <m/>
    <n v="0"/>
    <n v="0"/>
    <n v="0"/>
    <n v="0"/>
    <n v="90697.791194463221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315903.5397993135"/>
    <n v="0"/>
    <n v="0"/>
    <m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  <n v="0"/>
    <x v="1"/>
  </r>
  <r>
    <x v="32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Vestdanmark"/>
    <n v="649292.34846099082"/>
    <n v="0"/>
    <n v="0"/>
    <m/>
    <n v="0"/>
    <n v="0"/>
    <n v="0"/>
    <n v="649292.34846099082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Vestdanmark"/>
    <n v="324646.17423049541"/>
    <n v="385620.59434870677"/>
    <n v="0"/>
    <m/>
    <n v="0"/>
    <n v="0"/>
    <n v="0"/>
    <n v="0"/>
    <n v="-60974.420118211361"/>
    <n v="0"/>
    <n v="0"/>
    <n v="0"/>
    <n v="0"/>
    <n v="0"/>
    <n v="0"/>
    <n v="0"/>
    <n v="0"/>
    <n v="0"/>
    <n v="0"/>
    <n v="1"/>
    <x v="1"/>
  </r>
  <r>
    <x v="37"/>
    <s v="Rapsolie"/>
    <n v="1"/>
    <n v="1"/>
    <x v="2"/>
    <s v="Vestdanmark"/>
    <n v="207773.55150751706"/>
    <n v="0"/>
    <n v="0"/>
    <m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  <n v="0"/>
    <x v="1"/>
  </r>
  <r>
    <x v="38"/>
    <s v="Græs og urter"/>
    <n v="1"/>
    <n v="1"/>
    <x v="2"/>
    <s v="Vestdanmark"/>
    <n v="2749867.8949207771"/>
    <n v="494518.64926980395"/>
    <n v="0"/>
    <m/>
    <n v="0"/>
    <n v="0"/>
    <n v="0"/>
    <n v="0"/>
    <n v="2255349.2456509732"/>
    <n v="2255349.2456509732"/>
    <n v="0"/>
    <n v="6.1211080666665669"/>
    <n v="6.1211080666665669"/>
    <n v="0"/>
    <n v="6.1211080666665669"/>
    <n v="451069.84913019463"/>
    <n v="451069.84913019463"/>
    <n v="0"/>
    <n v="451069.84913019463"/>
    <n v="0"/>
    <x v="0"/>
  </r>
  <r>
    <x v="39"/>
    <s v=""/>
    <n v="0"/>
    <n v="0"/>
    <x v="2"/>
    <s v="Vestdanmark"/>
    <n v="37051.567701476815"/>
    <n v="0"/>
    <n v="0"/>
    <m/>
    <n v="0"/>
    <n v="0"/>
    <n v="0"/>
    <n v="0"/>
    <n v="37051.567701476815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5190.671439715443"/>
    <n v="39591.750029137664"/>
    <n v="0"/>
    <m/>
    <n v="0"/>
    <n v="0"/>
    <n v="0"/>
    <n v="0"/>
    <n v="-4401.0785894222208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Vestdanmark"/>
    <n v="4002333.5486616795"/>
    <n v="0"/>
    <n v="0"/>
    <m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  <n v="0"/>
    <x v="0"/>
  </r>
  <r>
    <x v="42"/>
    <s v="Husdyrgødning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Vestdanmark"/>
    <n v="391775.30687639397"/>
    <n v="0"/>
    <n v="0"/>
    <m/>
    <n v="0"/>
    <n v="0"/>
    <n v="0"/>
    <n v="0"/>
    <n v="391775.30687639397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n v="0"/>
    <x v="0"/>
  </r>
  <r>
    <x v="45"/>
    <s v="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n v="0"/>
    <x v="1"/>
  </r>
  <r>
    <x v="47"/>
    <s v="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  <n v="0"/>
    <x v="1"/>
  </r>
  <r>
    <x v="0"/>
    <m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  <n v="1"/>
    <x v="1"/>
  </r>
  <r>
    <x v="12"/>
    <s v="Glycerin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  <n v="0"/>
    <x v="0"/>
  </r>
  <r>
    <x v="23"/>
    <m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1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65990.97004737973"/>
    <n v="6776.9581577594281"/>
    <n v="0"/>
    <m/>
    <n v="0"/>
    <n v="0"/>
    <n v="0"/>
    <n v="0"/>
    <n v="159214.01188962031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n v="0"/>
    <x v="1"/>
    <s v="Østdanmark"/>
    <n v="63181225.71715036"/>
    <n v="0"/>
    <n v="0"/>
    <m/>
    <n v="0"/>
    <n v="0"/>
    <n v="63181225.71715036"/>
    <n v="0"/>
    <n v="0"/>
    <n v="0"/>
    <n v="63181225.71715036"/>
    <n v="0"/>
    <n v="0"/>
    <n v="0"/>
    <n v="0"/>
    <n v="0"/>
    <n v="0"/>
    <n v="0"/>
    <n v="0"/>
    <n v="0"/>
    <x v="1"/>
  </r>
  <r>
    <x v="4"/>
    <s v=""/>
    <n v="0"/>
    <n v="0"/>
    <x v="1"/>
    <s v="Østdanmark"/>
    <n v="3575622.450604124"/>
    <n v="0"/>
    <n v="0"/>
    <m/>
    <n v="0"/>
    <n v="3082747.997526899"/>
    <n v="0"/>
    <n v="0"/>
    <n v="492874.4530772250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670009.86905929213"/>
    <n v="0"/>
    <n v="0"/>
    <m/>
    <n v="502507.4017944691"/>
    <n v="0"/>
    <n v="0"/>
    <n v="0"/>
    <n v="167502.46726482303"/>
    <n v="167502.46726482303"/>
    <n v="502507.4017944691"/>
    <n v="9.5145769358072327E-2"/>
    <n v="0.38058307743228931"/>
    <n v="0.28543730807421697"/>
    <n v="9.5145769358072341E-2"/>
    <n v="7162.972924645961"/>
    <n v="28651.891698583844"/>
    <n v="21488.918773937883"/>
    <n v="7162.972924645961"/>
    <n v="0"/>
    <x v="0"/>
  </r>
  <r>
    <x v="6"/>
    <s v="Husdyrgødning"/>
    <n v="1"/>
    <n v="0"/>
    <x v="1"/>
    <s v="Østdanmark"/>
    <n v="319455.21922250785"/>
    <n v="0"/>
    <n v="0"/>
    <m/>
    <n v="239591.41441688087"/>
    <n v="30234.154676415921"/>
    <n v="0"/>
    <n v="0"/>
    <n v="49629.650129211077"/>
    <n v="49629.650129211077"/>
    <n v="239591.41441688087"/>
    <n v="0.10690226637832066"/>
    <n v="0.62298217303228209"/>
    <n v="0.51607990665396142"/>
    <n v="0.10690226637832068"/>
    <n v="14888.895038763323"/>
    <n v="86766.319363827584"/>
    <n v="71877.424325064261"/>
    <n v="14888.895038763323"/>
    <n v="0"/>
    <x v="0"/>
  </r>
  <r>
    <x v="7"/>
    <s v=""/>
    <n v="0"/>
    <n v="0"/>
    <x v="1"/>
    <s v="Østdanmark"/>
    <n v="471913.51032961637"/>
    <n v="471697.49771697511"/>
    <n v="0"/>
    <m/>
    <n v="0"/>
    <n v="0"/>
    <n v="0"/>
    <n v="0"/>
    <n v="216.01261264126515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87.81855383382072"/>
    <n v="0"/>
    <n v="0"/>
    <m/>
    <n v="515.86391537536554"/>
    <n v="171.95463845845521"/>
    <n v="0"/>
    <n v="0"/>
    <n v="0"/>
    <n v="0"/>
    <n v="515.86391537536554"/>
    <n v="0"/>
    <n v="2.4260564076188066E-4"/>
    <n v="2.4260564076188066E-4"/>
    <n v="0"/>
    <n v="0"/>
    <n v="32.499426668648027"/>
    <n v="32.499426668648027"/>
    <n v="0"/>
    <n v="0"/>
    <x v="1"/>
  </r>
  <r>
    <x v="9"/>
    <s v=""/>
    <n v="0"/>
    <n v="1"/>
    <x v="1"/>
    <s v="Østdanmark"/>
    <n v="15605.83144011804"/>
    <n v="0"/>
    <n v="0"/>
    <m/>
    <n v="0"/>
    <n v="0"/>
    <n v="0"/>
    <n v="0"/>
    <n v="15605.83144011804"/>
    <n v="0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39925.67708956901"/>
    <n v="0"/>
    <n v="0"/>
    <m/>
    <n v="0"/>
    <n v="0"/>
    <n v="0"/>
    <n v="0"/>
    <n v="239925.67708956901"/>
    <n v="0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50209.37360134395"/>
    <n v="0"/>
    <n v="0"/>
    <m/>
    <n v="0"/>
    <n v="0"/>
    <n v="0"/>
    <n v="0"/>
    <n v="150209.37360134395"/>
    <n v="0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1"/>
    <s v="Østdanmark"/>
    <n v="6569596.6515662586"/>
    <n v="1285833.6860159934"/>
    <n v="0"/>
    <m/>
    <n v="0"/>
    <n v="0"/>
    <n v="0"/>
    <n v="1371138.5129775794"/>
    <n v="3912624.4525726857"/>
    <n v="3912624.4525726857"/>
    <n v="0"/>
    <n v="7.1987399146771702"/>
    <n v="7.1987399146771702"/>
    <n v="0"/>
    <n v="7.1987399146771702"/>
    <n v="1095534.8467203521"/>
    <n v="1095534.8467203521"/>
    <n v="0"/>
    <n v="1095534.8467203521"/>
    <n v="0"/>
    <x v="0"/>
  </r>
  <r>
    <x v="14"/>
    <s v=""/>
    <n v="0"/>
    <n v="0"/>
    <x v="1"/>
    <s v="Østdanmark"/>
    <n v="229215.13358867078"/>
    <n v="229215.13358867078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1"/>
    <s v="Østdanmark"/>
    <n v="98055.31431785204"/>
    <n v="0"/>
    <n v="0"/>
    <m/>
    <n v="0"/>
    <n v="0"/>
    <n v="0"/>
    <n v="0"/>
    <n v="98055.31431785204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75411.68414554815"/>
    <n v="65382.695454513305"/>
    <n v="96176.474947143986"/>
    <m/>
    <n v="0"/>
    <n v="0"/>
    <n v="513852.51374389092"/>
    <n v="0"/>
    <n v="0"/>
    <n v="0"/>
    <n v="513852.51374389092"/>
    <n v="0"/>
    <n v="5.3110800689342366"/>
    <n v="0"/>
    <n v="5.3110800689342366"/>
    <n v="0"/>
    <n v="436774.63668230729"/>
    <n v="0"/>
    <n v="436774.63668230729"/>
    <n v="0"/>
    <x v="1"/>
  </r>
  <r>
    <x v="17"/>
    <s v="Bionedbrydeligt affald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n v="1"/>
    <x v="1"/>
    <s v="Østdanmark"/>
    <n v="0"/>
    <n v="327310.07589895441"/>
    <n v="0"/>
    <m/>
    <n v="0"/>
    <n v="0"/>
    <n v="0"/>
    <n v="0"/>
    <n v="-327310.07589895441"/>
    <n v="0"/>
    <n v="0"/>
    <n v="0"/>
    <n v="0"/>
    <n v="0"/>
    <n v="0"/>
    <n v="0"/>
    <n v="0"/>
    <n v="0"/>
    <n v="0"/>
    <n v="1"/>
    <x v="1"/>
  </r>
  <r>
    <x v="19"/>
    <s v="Bionedbrydeligt affald"/>
    <n v="1"/>
    <n v="0"/>
    <x v="1"/>
    <s v="Østdanmark"/>
    <n v="198283.69095791626"/>
    <n v="0"/>
    <n v="0"/>
    <m/>
    <n v="0"/>
    <n v="0"/>
    <n v="0"/>
    <n v="0"/>
    <n v="198283.69095791626"/>
    <n v="198283.69095791626"/>
    <n v="0"/>
    <n v="0.85918900980047574"/>
    <n v="0.85918900980047574"/>
    <n v="0"/>
    <n v="0.85918900980047574"/>
    <n v="83279.150202324832"/>
    <n v="83279.150202324832"/>
    <n v="0"/>
    <n v="83279.150202324832"/>
    <n v="0"/>
    <x v="0"/>
  </r>
  <r>
    <x v="20"/>
    <s v=""/>
    <n v="0"/>
    <n v="0"/>
    <x v="1"/>
    <s v="Østdanmark"/>
    <n v="205340.3536719332"/>
    <n v="0"/>
    <n v="0"/>
    <m/>
    <n v="0"/>
    <n v="0"/>
    <n v="0"/>
    <n v="0"/>
    <n v="205340.3536719332"/>
    <n v="0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757571.37538443948"/>
    <n v="98640.569199997146"/>
    <n v="0"/>
    <m/>
    <n v="0"/>
    <n v="0"/>
    <n v="0"/>
    <n v="0"/>
    <n v="658930.80618444236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426697.7169863379"/>
    <n v="420737.76566977677"/>
    <n v="0"/>
    <m/>
    <n v="0"/>
    <n v="0"/>
    <n v="0"/>
    <n v="0"/>
    <n v="1005959.9513165611"/>
    <n v="1005959.9513165611"/>
    <n v="0"/>
    <n v="3.4452719988660379"/>
    <n v="3.4452719988660379"/>
    <n v="0"/>
    <n v="3.4452719988660379"/>
    <n v="311847.58490813395"/>
    <n v="311847.58490813395"/>
    <n v="0"/>
    <n v="311847.58490813395"/>
    <n v="0"/>
    <x v="0"/>
  </r>
  <r>
    <x v="23"/>
    <s v=""/>
    <n v="0"/>
    <n v="0"/>
    <x v="1"/>
    <s v="Østdanmark"/>
    <n v="0"/>
    <n v="0"/>
    <n v="0"/>
    <m/>
    <n v="0"/>
    <n v="352682.42266556359"/>
    <n v="0"/>
    <n v="0"/>
    <n v="-352682.42266556359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1"/>
    <s v="Østdanmark"/>
    <n v="431286.20272258902"/>
    <n v="0"/>
    <n v="0"/>
    <m/>
    <n v="323464.65204194176"/>
    <n v="107821.55068064725"/>
    <n v="0"/>
    <n v="0"/>
    <n v="0"/>
    <n v="0"/>
    <n v="323464.65204194176"/>
    <n v="0"/>
    <n v="0.16373457221711052"/>
    <n v="0.16373457221711052"/>
    <n v="0"/>
    <n v="0"/>
    <n v="24583.313555187575"/>
    <n v="24583.313555187575"/>
    <n v="0"/>
    <n v="0"/>
    <x v="1"/>
  </r>
  <r>
    <x v="25"/>
    <s v=""/>
    <n v="0"/>
    <n v="0"/>
    <x v="1"/>
    <s v="Østdanmark"/>
    <n v="50222.397196773512"/>
    <n v="102747.43013377195"/>
    <n v="0"/>
    <m/>
    <n v="0"/>
    <n v="0"/>
    <n v="0"/>
    <n v="0"/>
    <n v="-52525.032936998439"/>
    <n v="0"/>
    <n v="0"/>
    <n v="0"/>
    <n v="0"/>
    <n v="0"/>
    <n v="0"/>
    <n v="0"/>
    <n v="0"/>
    <n v="0"/>
    <n v="0"/>
    <n v="1"/>
    <x v="1"/>
  </r>
  <r>
    <x v="26"/>
    <s v="Græs og urter"/>
    <n v="1"/>
    <n v="1"/>
    <x v="1"/>
    <s v="Østdanmark"/>
    <n v="1224051.0749297491"/>
    <n v="406751.99046612647"/>
    <n v="0"/>
    <m/>
    <n v="0"/>
    <n v="0"/>
    <n v="0"/>
    <n v="0"/>
    <n v="817299.08446362265"/>
    <n v="817299.08446362265"/>
    <n v="0"/>
    <n v="2.9341037132244057"/>
    <n v="2.9341037132244057"/>
    <n v="0"/>
    <n v="2.9341037132244057"/>
    <n v="245189.72533908678"/>
    <n v="245189.72533908678"/>
    <n v="0"/>
    <n v="245189.72533908678"/>
    <n v="0"/>
    <x v="0"/>
  </r>
  <r>
    <x v="27"/>
    <s v=""/>
    <n v="0"/>
    <n v="1"/>
    <x v="1"/>
    <s v="Østdanmark"/>
    <n v="96903.161700864599"/>
    <n v="0"/>
    <n v="0"/>
    <m/>
    <n v="0"/>
    <n v="0"/>
    <n v="0"/>
    <n v="0"/>
    <n v="96903.161700864599"/>
    <n v="0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1"/>
    <s v="Østdanmark"/>
    <n v="6251.0678007025454"/>
    <n v="0"/>
    <n v="0"/>
    <m/>
    <n v="0"/>
    <n v="0"/>
    <n v="0"/>
    <n v="0"/>
    <n v="6251.0678007025454"/>
    <n v="0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11483.30240974069"/>
    <n v="0"/>
    <n v="0"/>
    <m/>
    <n v="0"/>
    <n v="0"/>
    <n v="0"/>
    <n v="0"/>
    <n v="311483.30240974069"/>
    <n v="0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72470.87062579964"/>
    <n v="0"/>
    <n v="0"/>
    <m/>
    <n v="0"/>
    <n v="0"/>
    <n v="272470.87062579964"/>
    <n v="0"/>
    <n v="0"/>
    <n v="0"/>
    <n v="272470.87062579964"/>
    <n v="0"/>
    <n v="5.0134640195147124"/>
    <n v="0"/>
    <n v="5.0134640195147124"/>
    <n v="0"/>
    <n v="113075.41130970686"/>
    <n v="0"/>
    <n v="113075.41130970686"/>
    <n v="0"/>
    <x v="1"/>
  </r>
  <r>
    <x v="32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1"/>
    <s v="Østdanmark"/>
    <n v="150898.00912578267"/>
    <n v="0"/>
    <n v="0"/>
    <m/>
    <n v="0"/>
    <n v="0"/>
    <n v="0"/>
    <n v="0"/>
    <n v="150898.00912578267"/>
    <n v="0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5804.31636026004"/>
    <n v="0"/>
    <n v="0"/>
    <m/>
    <n v="0"/>
    <n v="0"/>
    <n v="0"/>
    <n v="225804.31636026004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1"/>
    <s v="Østdanmark"/>
    <n v="112902.15818013002"/>
    <n v="38968.871949734763"/>
    <n v="0"/>
    <m/>
    <n v="0"/>
    <n v="0"/>
    <n v="0"/>
    <n v="0"/>
    <n v="73933.286230395257"/>
    <n v="0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2257.381235283217"/>
    <n v="0"/>
    <n v="0"/>
    <m/>
    <n v="0"/>
    <n v="0"/>
    <n v="72257.381235283217"/>
    <n v="0"/>
    <n v="0"/>
    <n v="0"/>
    <n v="72257.381235283217"/>
    <n v="0"/>
    <n v="2.5290083432349122"/>
    <n v="0"/>
    <n v="2.5290083432349122"/>
    <n v="0"/>
    <n v="0"/>
    <n v="0"/>
    <n v="0"/>
    <n v="0"/>
    <x v="1"/>
  </r>
  <r>
    <x v="38"/>
    <s v="Græs og urter"/>
    <n v="1"/>
    <n v="1"/>
    <x v="1"/>
    <s v="Østdanmark"/>
    <n v="898519.08431343141"/>
    <n v="88382.829307445863"/>
    <n v="0"/>
    <m/>
    <n v="0"/>
    <n v="0"/>
    <n v="0"/>
    <n v="0"/>
    <n v="810136.2550059855"/>
    <n v="810136.2550059855"/>
    <n v="0"/>
    <n v="2.1987422015364451"/>
    <n v="2.1987422015364451"/>
    <n v="0"/>
    <n v="2.1987422015364451"/>
    <n v="162027.25100119712"/>
    <n v="162027.25100119712"/>
    <n v="0"/>
    <n v="162027.25100119712"/>
    <n v="0"/>
    <x v="0"/>
  </r>
  <r>
    <x v="39"/>
    <s v=""/>
    <n v="0"/>
    <n v="0"/>
    <x v="1"/>
    <s v="Østdanmark"/>
    <n v="20679.493484661682"/>
    <n v="0"/>
    <n v="0"/>
    <m/>
    <n v="0"/>
    <n v="0"/>
    <n v="0"/>
    <n v="0"/>
    <n v="20679.493484661682"/>
    <n v="0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189.631072576431"/>
    <n v="5182.7698392938037"/>
    <n v="0"/>
    <m/>
    <n v="0"/>
    <n v="0"/>
    <n v="0"/>
    <n v="0"/>
    <n v="12006.861233282627"/>
    <n v="0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9172.5135239428"/>
    <n v="0"/>
    <n v="0"/>
    <m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  <n v="0"/>
    <x v="0"/>
  </r>
  <r>
    <x v="42"/>
    <s v="Husdyrgødning"/>
    <n v="1"/>
    <n v="0"/>
    <x v="1"/>
    <s v="Østdanmark"/>
    <n v="2076065.2002197129"/>
    <n v="0"/>
    <n v="0"/>
    <m/>
    <n v="1557048.9001647846"/>
    <n v="519016.30005492823"/>
    <n v="0"/>
    <n v="0"/>
    <n v="0"/>
    <n v="0"/>
    <n v="1557048.9001647846"/>
    <n v="0"/>
    <n v="0.6707766661909893"/>
    <n v="0.6707766661909893"/>
    <n v="0"/>
    <n v="0"/>
    <n v="77852.445008239229"/>
    <n v="77852.445008239229"/>
    <n v="0"/>
    <n v="0"/>
    <x v="1"/>
  </r>
  <r>
    <x v="43"/>
    <s v=""/>
    <n v="0"/>
    <n v="1"/>
    <x v="1"/>
    <s v="Østdanmark"/>
    <n v="188256.52671213137"/>
    <n v="0"/>
    <n v="0"/>
    <m/>
    <n v="0"/>
    <n v="0"/>
    <n v="0"/>
    <n v="0"/>
    <n v="188256.52671213137"/>
    <n v="0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n v="0"/>
    <x v="1"/>
  </r>
  <r>
    <x v="47"/>
    <s v="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  <n v="0"/>
    <x v="1"/>
  </r>
  <r>
    <x v="0"/>
    <s v=""/>
    <n v="0"/>
    <n v="1"/>
    <x v="2"/>
    <s v="Østdanmark"/>
    <n v="8172.3709275385399"/>
    <n v="0"/>
    <n v="0"/>
    <m/>
    <n v="0"/>
    <n v="0"/>
    <n v="0"/>
    <n v="0"/>
    <n v="8172.3709275385399"/>
    <n v="0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22547.77389902543"/>
    <n v="5365.8998488810739"/>
    <n v="0"/>
    <m/>
    <n v="0"/>
    <n v="0"/>
    <n v="0"/>
    <n v="0"/>
    <n v="217181.87405014437"/>
    <n v="0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n v="0"/>
    <x v="2"/>
    <s v="Østdanmark"/>
    <n v="74477877.175066754"/>
    <n v="0"/>
    <n v="0"/>
    <m/>
    <n v="0"/>
    <n v="0"/>
    <n v="74477877.175066754"/>
    <n v="0"/>
    <n v="0"/>
    <n v="0"/>
    <n v="74477877.175066754"/>
    <n v="0"/>
    <n v="0"/>
    <n v="0"/>
    <n v="0"/>
    <n v="0"/>
    <n v="0"/>
    <n v="0"/>
    <n v="0"/>
    <n v="0"/>
    <x v="1"/>
  </r>
  <r>
    <x v="4"/>
    <s v=""/>
    <n v="0"/>
    <n v="0"/>
    <x v="2"/>
    <s v="Østdanmark"/>
    <n v="2991109.452383338"/>
    <n v="0"/>
    <n v="0"/>
    <m/>
    <n v="0"/>
    <n v="81858.543893972019"/>
    <n v="0"/>
    <n v="0"/>
    <n v="2909250.9084893661"/>
    <n v="0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495057.7438579726"/>
    <n v="0"/>
    <n v="0"/>
    <m/>
    <n v="1345551.9694721752"/>
    <n v="0"/>
    <n v="0"/>
    <n v="0"/>
    <n v="149505.77438579733"/>
    <n v="149505.77438579733"/>
    <n v="1345551.9694721752"/>
    <n v="8.4923178504119914E-2"/>
    <n v="0.84923178504119867"/>
    <n v="0.76430860653707877"/>
    <n v="8.4923178504119901E-2"/>
    <n v="6393.3733722893849"/>
    <n v="63933.73372289382"/>
    <n v="57540.360350604431"/>
    <n v="6393.3733722893885"/>
    <n v="0"/>
    <x v="0"/>
  </r>
  <r>
    <x v="6"/>
    <s v="Husdyrgødning"/>
    <n v="1"/>
    <n v="0"/>
    <x v="2"/>
    <s v="Østdanmark"/>
    <n v="642682.86193424952"/>
    <n v="0"/>
    <n v="0"/>
    <m/>
    <n v="578414.57574082457"/>
    <n v="24330.136916082298"/>
    <n v="0"/>
    <n v="0"/>
    <n v="39938.1492773426"/>
    <n v="39938.1492773426"/>
    <n v="578414.57574082457"/>
    <n v="8.6026773543395968E-2"/>
    <n v="1.3319317696891322"/>
    <n v="1.2459049961457362"/>
    <n v="8.602677354339594E-2"/>
    <n v="11981.44478320278"/>
    <n v="185505.81750545013"/>
    <n v="173524.37272224735"/>
    <n v="11981.44478320278"/>
    <n v="0"/>
    <x v="0"/>
  </r>
  <r>
    <x v="7"/>
    <s v=""/>
    <n v="0"/>
    <n v="0"/>
    <x v="2"/>
    <s v="Østdanmark"/>
    <n v="1053026.2024947219"/>
    <n v="1052867.5549564718"/>
    <n v="0"/>
    <m/>
    <n v="0"/>
    <n v="0"/>
    <n v="0"/>
    <n v="0"/>
    <n v="158.64753825007938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1178.8787785976031"/>
    <n v="0"/>
    <n v="0"/>
    <m/>
    <n v="1060.9909007378428"/>
    <n v="117.88787785976028"/>
    <n v="0"/>
    <n v="0"/>
    <n v="0"/>
    <n v="0"/>
    <n v="1060.9909007378428"/>
    <n v="0"/>
    <n v="4.9897341070800016E-4"/>
    <n v="4.9897341070800016E-4"/>
    <n v="0"/>
    <n v="0"/>
    <n v="66.842426746484094"/>
    <n v="66.842426746484094"/>
    <n v="0"/>
    <n v="0"/>
    <x v="1"/>
  </r>
  <r>
    <x v="9"/>
    <s v=""/>
    <n v="0"/>
    <n v="1"/>
    <x v="2"/>
    <s v="Østdanmark"/>
    <n v="1259.2854048567958"/>
    <n v="0"/>
    <n v="0"/>
    <m/>
    <n v="0"/>
    <n v="0"/>
    <n v="0"/>
    <n v="0"/>
    <n v="1259.2854048567958"/>
    <n v="0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20896.559297118682"/>
    <n v="0"/>
    <n v="0"/>
    <m/>
    <n v="0"/>
    <n v="0"/>
    <n v="0"/>
    <n v="0"/>
    <n v="20896.559297118682"/>
    <n v="0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257689.18202978774"/>
    <n v="0"/>
    <n v="0"/>
    <m/>
    <n v="0"/>
    <n v="0"/>
    <n v="0"/>
    <n v="0"/>
    <n v="257689.18202978774"/>
    <n v="0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3"/>
    <s v="Græs og urter"/>
    <n v="1"/>
    <n v="0"/>
    <x v="2"/>
    <s v="Østdanmark"/>
    <n v="11397047.281261299"/>
    <n v="1018104.9699383936"/>
    <n v="0"/>
    <m/>
    <n v="0"/>
    <n v="0"/>
    <n v="0"/>
    <n v="3059553.8161358451"/>
    <n v="7319388.49518706"/>
    <n v="7319388.49518706"/>
    <n v="0"/>
    <n v="13.466759907582293"/>
    <n v="13.466759907582293"/>
    <n v="0"/>
    <n v="13.466759907582293"/>
    <n v="2049428.778652377"/>
    <n v="2049428.778652377"/>
    <n v="0"/>
    <n v="2049428.778652377"/>
    <n v="0"/>
    <x v="0"/>
  </r>
  <r>
    <x v="14"/>
    <s v=""/>
    <n v="0"/>
    <n v="0"/>
    <x v="2"/>
    <s v="Østdanmark"/>
    <n v="511469.86978315056"/>
    <n v="511469.86978315056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n v="1"/>
    <x v="2"/>
    <s v="Østdanmark"/>
    <n v="100376.66803290648"/>
    <n v="0"/>
    <n v="0"/>
    <m/>
    <n v="0"/>
    <n v="0"/>
    <n v="0"/>
    <n v="0"/>
    <n v="100376.66803290648"/>
    <n v="0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37236.55198901493"/>
    <n v="28956.048343518098"/>
    <n v="73473.232241454796"/>
    <m/>
    <n v="0"/>
    <n v="0"/>
    <n v="128289.96787416932"/>
    <n v="0"/>
    <n v="6517.3035298727045"/>
    <n v="2.9103830456733704E-11"/>
    <n v="128289.96787416932"/>
    <n v="3.0081155532780002E-16"/>
    <n v="1.3259802632011835"/>
    <n v="0"/>
    <n v="1.3259802632011835"/>
    <n v="2.4738255888223647E-11"/>
    <n v="109046.47269304395"/>
    <n v="0"/>
    <n v="109046.47269304395"/>
    <n v="0"/>
    <x v="0"/>
  </r>
  <r>
    <x v="17"/>
    <s v="Bionedbrydeligt affald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n v="0"/>
    <x v="2"/>
    <s v="Østdanmark"/>
    <n v="187278.00650272256"/>
    <n v="0"/>
    <n v="0"/>
    <m/>
    <n v="0"/>
    <n v="0"/>
    <n v="0"/>
    <n v="0"/>
    <n v="187278.00650272256"/>
    <n v="187278.00650272256"/>
    <n v="0"/>
    <n v="0.81149994831714234"/>
    <n v="0.81149994831714234"/>
    <n v="0"/>
    <n v="0.81149994831714234"/>
    <n v="78656.762731143477"/>
    <n v="78656.762731143477"/>
    <n v="0"/>
    <n v="78656.762731143477"/>
    <n v="0"/>
    <x v="0"/>
  </r>
  <r>
    <x v="20"/>
    <s v=""/>
    <n v="0"/>
    <n v="0"/>
    <x v="2"/>
    <s v="Østdanmark"/>
    <n v="128654.0299653736"/>
    <n v="0"/>
    <n v="0"/>
    <m/>
    <n v="0"/>
    <n v="0"/>
    <n v="0"/>
    <n v="0"/>
    <n v="128654.0299653736"/>
    <n v="0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777428.93272593827"/>
    <n v="220106.23074563002"/>
    <n v="0"/>
    <m/>
    <n v="0"/>
    <n v="0"/>
    <n v="0"/>
    <n v="0"/>
    <n v="557322.70198030828"/>
    <n v="0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60350.24819795735"/>
    <n v="49529.771665708242"/>
    <n v="0"/>
    <m/>
    <n v="0"/>
    <n v="0"/>
    <n v="0"/>
    <n v="0"/>
    <n v="110820.4765322491"/>
    <n v="110820.4765322491"/>
    <n v="0"/>
    <n v="0.37954461725623873"/>
    <n v="0.37954461725623873"/>
    <n v="0"/>
    <n v="0.37954461725623873"/>
    <n v="34354.34772499722"/>
    <n v="34354.34772499722"/>
    <n v="0"/>
    <n v="34354.34772499722"/>
    <n v="0"/>
    <x v="0"/>
  </r>
  <r>
    <x v="23"/>
    <s v=""/>
    <n v="0"/>
    <n v="0"/>
    <x v="2"/>
    <s v="Østdanmark"/>
    <n v="0"/>
    <n v="0"/>
    <n v="0"/>
    <m/>
    <n v="0"/>
    <n v="351154.23536016268"/>
    <n v="0"/>
    <n v="0"/>
    <n v="-351154.23536016268"/>
    <n v="0"/>
    <n v="0"/>
    <n v="0"/>
    <n v="0"/>
    <n v="0"/>
    <n v="0"/>
    <n v="0"/>
    <n v="0"/>
    <n v="0"/>
    <n v="0"/>
    <n v="1"/>
    <x v="1"/>
  </r>
  <r>
    <x v="24"/>
    <s v="Husdyrgødning"/>
    <n v="1"/>
    <n v="0"/>
    <x v="2"/>
    <s v="Østdanmark"/>
    <n v="4885.9701831397151"/>
    <n v="0"/>
    <n v="0"/>
    <m/>
    <n v="4397.3731648257435"/>
    <n v="488.59701831397138"/>
    <n v="0"/>
    <n v="0"/>
    <n v="0"/>
    <n v="0"/>
    <n v="4397.3731648257435"/>
    <n v="0"/>
    <n v="2.2259063223031435E-3"/>
    <n v="2.2259063223031435E-3"/>
    <n v="0"/>
    <n v="0"/>
    <n v="334.20036052675653"/>
    <n v="334.20036052675653"/>
    <n v="0"/>
    <n v="0"/>
    <x v="1"/>
  </r>
  <r>
    <x v="25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6"/>
    <s v="Græs og urter"/>
    <n v="1"/>
    <n v="1"/>
    <x v="2"/>
    <s v="Østdanmark"/>
    <n v="170724.37456200234"/>
    <n v="51926.585742627525"/>
    <n v="0"/>
    <m/>
    <n v="0"/>
    <n v="0"/>
    <n v="0"/>
    <n v="0"/>
    <n v="118797.78881937481"/>
    <n v="118797.78881937481"/>
    <n v="0"/>
    <n v="0.42648406186155557"/>
    <n v="0.42648406186155557"/>
    <n v="0"/>
    <n v="0.42648406186155557"/>
    <n v="35639.336645812444"/>
    <n v="35639.336645812444"/>
    <n v="0"/>
    <n v="35639.336645812444"/>
    <n v="0"/>
    <x v="0"/>
  </r>
  <r>
    <x v="27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28"/>
    <s v="Havbiomasse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n v="0"/>
    <x v="0"/>
  </r>
  <r>
    <x v="29"/>
    <s v=""/>
    <n v="0"/>
    <n v="1"/>
    <x v="2"/>
    <s v="Østdanmark"/>
    <n v="278.2619831544028"/>
    <n v="0"/>
    <n v="0"/>
    <m/>
    <n v="0"/>
    <n v="0"/>
    <n v="0"/>
    <n v="0"/>
    <n v="278.2619831544028"/>
    <n v="0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30169.993972883625"/>
    <n v="0"/>
    <n v="0"/>
    <m/>
    <n v="0"/>
    <n v="0"/>
    <n v="0"/>
    <n v="0"/>
    <n v="30169.993972883625"/>
    <n v="0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437726.22620455944"/>
    <n v="0"/>
    <n v="0"/>
    <m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  <n v="0"/>
    <x v="1"/>
  </r>
  <r>
    <x v="32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5"/>
    <s v=""/>
    <n v="0"/>
    <n v="0"/>
    <x v="2"/>
    <s v="Østdanmark"/>
    <n v="215982.61635398451"/>
    <n v="0"/>
    <n v="0"/>
    <m/>
    <n v="0"/>
    <n v="0"/>
    <n v="0"/>
    <n v="215982.61635398451"/>
    <n v="0"/>
    <n v="0"/>
    <n v="0"/>
    <n v="0"/>
    <n v="0"/>
    <n v="0"/>
    <n v="0"/>
    <n v="0"/>
    <n v="0"/>
    <n v="0"/>
    <n v="0"/>
    <n v="0"/>
    <x v="1"/>
  </r>
  <r>
    <x v="36"/>
    <s v=""/>
    <n v="0"/>
    <n v="0"/>
    <x v="2"/>
    <s v="Østdanmark"/>
    <n v="107991.30817699226"/>
    <n v="54569.905755399974"/>
    <n v="0"/>
    <m/>
    <n v="0"/>
    <n v="0"/>
    <n v="0"/>
    <n v="0"/>
    <n v="53421.402421592284"/>
    <n v="0"/>
    <n v="0"/>
    <n v="0"/>
    <n v="0"/>
    <n v="0"/>
    <n v="0"/>
    <n v="0"/>
    <n v="0"/>
    <n v="0"/>
    <n v="0"/>
    <n v="1"/>
    <x v="1"/>
  </r>
  <r>
    <x v="37"/>
    <s v="Rapsolie"/>
    <n v="1"/>
    <n v="1"/>
    <x v="2"/>
    <s v="Østdanmark"/>
    <n v="69114.43723327505"/>
    <n v="0"/>
    <n v="0"/>
    <m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  <n v="0"/>
    <x v="1"/>
  </r>
  <r>
    <x v="38"/>
    <s v="Græs og urter"/>
    <n v="1"/>
    <n v="1"/>
    <x v="2"/>
    <s v="Østdanmark"/>
    <n v="914724.5674164847"/>
    <n v="69980.277195824005"/>
    <n v="0"/>
    <m/>
    <n v="0"/>
    <n v="0"/>
    <n v="0"/>
    <n v="0"/>
    <n v="844744.29022066074"/>
    <n v="844744.29022066074"/>
    <n v="0"/>
    <n v="2.2926697934304823"/>
    <n v="2.2926697934304823"/>
    <n v="0"/>
    <n v="2.2926697934304823"/>
    <n v="168948.85804413215"/>
    <n v="168948.85804413215"/>
    <n v="0"/>
    <n v="168948.85804413215"/>
    <n v="0"/>
    <x v="0"/>
  </r>
  <r>
    <x v="39"/>
    <s v=""/>
    <n v="0"/>
    <n v="0"/>
    <x v="2"/>
    <s v="Østdanmark"/>
    <n v="5178.4802809055018"/>
    <n v="0"/>
    <n v="0"/>
    <m/>
    <n v="0"/>
    <n v="0"/>
    <n v="0"/>
    <n v="0"/>
    <n v="5178.4802809055018"/>
    <n v="0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5080.5235511874698"/>
    <n v="5602.7040553433098"/>
    <n v="0"/>
    <m/>
    <n v="0"/>
    <n v="0"/>
    <n v="0"/>
    <n v="0"/>
    <n v="-522.18050415584003"/>
    <n v="0"/>
    <n v="0"/>
    <n v="0"/>
    <n v="0"/>
    <n v="0"/>
    <n v="0"/>
    <n v="0"/>
    <n v="0"/>
    <n v="0"/>
    <n v="0"/>
    <n v="1"/>
    <x v="1"/>
  </r>
  <r>
    <x v="41"/>
    <s v="Bionedbrydeligt affald"/>
    <n v="1"/>
    <n v="0"/>
    <x v="2"/>
    <s v="Østdanmark"/>
    <n v="3491788.2152479719"/>
    <n v="0"/>
    <n v="0"/>
    <m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  <n v="0"/>
    <x v="0"/>
  </r>
  <r>
    <x v="42"/>
    <s v="Husdyrgødning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3"/>
    <s v=""/>
    <n v="0"/>
    <n v="1"/>
    <x v="2"/>
    <s v="Østdanmark"/>
    <n v="56767.111740145512"/>
    <n v="0"/>
    <n v="0"/>
    <m/>
    <n v="0"/>
    <n v="0"/>
    <n v="0"/>
    <n v="0"/>
    <n v="56767.111740145512"/>
    <n v="0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n v="0"/>
    <x v="1"/>
  </r>
  <r>
    <x v="47"/>
    <s v="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n v="1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n v="1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n v="0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n v="1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n v="1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n v="0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n v="0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n v="0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n v="1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n v="1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n v="1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n v="1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n v="1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n v="0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n v="0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n v="1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Vestdanmark"/>
    <n v="216803.74196206822"/>
    <n v="0"/>
    <n v="0"/>
    <m/>
    <n v="0"/>
    <n v="0"/>
    <n v="0"/>
    <n v="0"/>
    <n v="216803.74196206822"/>
    <n v="0"/>
    <n v="0"/>
    <n v="0"/>
    <n v="0"/>
    <n v="0"/>
    <n v="0"/>
    <n v="0"/>
    <n v="0"/>
    <n v="0"/>
    <n v="0"/>
    <x v="0"/>
  </r>
  <r>
    <x v="1"/>
    <s v=""/>
    <n v="0"/>
    <n v="1"/>
    <x v="1"/>
    <s v="Vestdanmark"/>
    <n v="545577.01129372371"/>
    <n v="51766.523378049998"/>
    <n v="0"/>
    <m/>
    <n v="0"/>
    <n v="0"/>
    <n v="0"/>
    <n v="0"/>
    <n v="493810.4879156737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Vestdanmark"/>
    <n v="195082.22598438186"/>
    <n v="0"/>
    <n v="0"/>
    <m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n v="0"/>
    <x v="1"/>
    <s v="Vestdanmark"/>
    <n v="380214878.24169075"/>
    <n v="0"/>
    <n v="0"/>
    <m/>
    <n v="0"/>
    <n v="0"/>
    <n v="380214878.24169075"/>
    <n v="0"/>
    <n v="0"/>
    <n v="0"/>
    <n v="380214878.24169075"/>
    <n v="0"/>
    <n v="0"/>
    <n v="0"/>
    <n v="0"/>
    <n v="0"/>
    <n v="0"/>
    <n v="0"/>
    <n v="0"/>
    <x v="0"/>
  </r>
  <r>
    <x v="4"/>
    <s v=""/>
    <n v="0"/>
    <n v="0"/>
    <x v="1"/>
    <s v="Vestdanmark"/>
    <n v="20577787.082851764"/>
    <n v="0"/>
    <n v="0"/>
    <m/>
    <n v="0"/>
    <n v="17741283.594546799"/>
    <n v="0"/>
    <n v="0"/>
    <n v="2836503.4883049652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Vestdanmark"/>
    <n v="5117942.4076080145"/>
    <n v="0"/>
    <n v="0"/>
    <m/>
    <n v="3838456.8057060111"/>
    <n v="0"/>
    <n v="0"/>
    <n v="0"/>
    <n v="1279485.6019020034"/>
    <n v="1279485.6019020034"/>
    <n v="3838456.8057060111"/>
    <n v="0.72678118694857163"/>
    <n v="2.907124747794287"/>
    <n v="2.1803435608457153"/>
    <n v="0.72678118694857163"/>
    <n v="54715.138669620683"/>
    <n v="218860.55467848279"/>
    <n v="164145.41600886208"/>
    <n v="54715.138669620705"/>
    <x v="0"/>
  </r>
  <r>
    <x v="6"/>
    <s v="Husdyrgødning"/>
    <n v="1"/>
    <n v="0"/>
    <x v="1"/>
    <s v="Vestdanmark"/>
    <n v="2348727.6697282116"/>
    <n v="0"/>
    <n v="0"/>
    <m/>
    <n v="1761545.7522961586"/>
    <n v="222290.29731356286"/>
    <n v="0"/>
    <n v="0"/>
    <n v="364891.62011849019"/>
    <n v="364891.62011849019"/>
    <n v="1761545.7522961586"/>
    <n v="0.7859765497352279"/>
    <n v="4.5803461001811536"/>
    <n v="3.7943695504459258"/>
    <n v="0.78597654973522779"/>
    <n v="109467.48603554706"/>
    <n v="637931.21172439458"/>
    <n v="528463.7256888476"/>
    <n v="109467.48603554699"/>
    <x v="0"/>
  </r>
  <r>
    <x v="7"/>
    <s v=""/>
    <n v="0"/>
    <n v="0"/>
    <x v="1"/>
    <s v="Vestdanmark"/>
    <n v="3604762.0770573635"/>
    <n v="3603112.0414954"/>
    <n v="0"/>
    <m/>
    <n v="0"/>
    <n v="0"/>
    <n v="0"/>
    <n v="0"/>
    <n v="1650.0355619634502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Vestdanmark"/>
    <n v="8195.1814461661797"/>
    <n v="0"/>
    <n v="0"/>
    <m/>
    <n v="6146.3860846246353"/>
    <n v="2048.7953615415449"/>
    <n v="0"/>
    <n v="0"/>
    <n v="0"/>
    <n v="0"/>
    <n v="6146.3860846246353"/>
    <n v="0"/>
    <n v="2.8905839117381199E-3"/>
    <n v="2.8905839117381199E-3"/>
    <n v="0"/>
    <n v="0"/>
    <n v="387.22232333135202"/>
    <n v="387.22232333135202"/>
    <n v="0"/>
    <x v="0"/>
  </r>
  <r>
    <x v="9"/>
    <s v=""/>
    <n v="0"/>
    <n v="1"/>
    <x v="1"/>
    <s v="Vestdanmark"/>
    <n v="185939.47423661887"/>
    <n v="0"/>
    <n v="0"/>
    <m/>
    <n v="0"/>
    <n v="0"/>
    <n v="0"/>
    <n v="0"/>
    <n v="185939.47423661887"/>
    <n v="0"/>
    <n v="0"/>
    <n v="0"/>
    <n v="0"/>
    <n v="0"/>
    <n v="0"/>
    <n v="0"/>
    <n v="0"/>
    <n v="0"/>
    <n v="0"/>
    <x v="0"/>
  </r>
  <r>
    <x v="10"/>
    <s v=""/>
    <n v="0"/>
    <n v="0"/>
    <x v="1"/>
    <s v="Vestdanmark"/>
    <n v="749561.48395824642"/>
    <n v="0"/>
    <n v="0"/>
    <m/>
    <n v="0"/>
    <n v="0"/>
    <n v="0"/>
    <n v="0"/>
    <n v="749561.48395824642"/>
    <n v="0"/>
    <n v="0"/>
    <n v="0"/>
    <n v="0"/>
    <n v="0"/>
    <n v="0"/>
    <n v="0"/>
    <n v="0"/>
    <n v="0"/>
    <n v="0"/>
    <x v="0"/>
  </r>
  <r>
    <x v="11"/>
    <s v=""/>
    <n v="0"/>
    <n v="1"/>
    <x v="1"/>
    <s v="Vestdanmark"/>
    <n v="488405.10801459721"/>
    <n v="0"/>
    <n v="0"/>
    <m/>
    <n v="0"/>
    <n v="0"/>
    <n v="0"/>
    <n v="0"/>
    <n v="488405.10801459721"/>
    <n v="0"/>
    <n v="0"/>
    <n v="0"/>
    <n v="0"/>
    <n v="0"/>
    <n v="0"/>
    <n v="0"/>
    <n v="0"/>
    <n v="0"/>
    <n v="0"/>
    <x v="0"/>
  </r>
  <r>
    <x v="12"/>
    <s v="Glycerin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Vestdanmark"/>
    <n v="23233296.600181103"/>
    <n v="9821978.8314936236"/>
    <n v="0"/>
    <m/>
    <n v="0"/>
    <n v="0"/>
    <n v="0"/>
    <n v="10473588.922093241"/>
    <n v="2937728.8465942368"/>
    <n v="2937728.8465942368"/>
    <n v="0"/>
    <n v="5.4050538616275716"/>
    <n v="5.4050538616275716"/>
    <n v="0"/>
    <n v="5.4050538616275716"/>
    <n v="822564.07704638643"/>
    <n v="822564.07704638643"/>
    <n v="0"/>
    <n v="822564.07704638643"/>
    <x v="0"/>
  </r>
  <r>
    <x v="14"/>
    <s v=""/>
    <n v="0"/>
    <n v="0"/>
    <x v="1"/>
    <s v="Vestdanmark"/>
    <n v="1750884.4374278621"/>
    <n v="1750884.4374278623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Vestdanmark"/>
    <n v="318920.65280775877"/>
    <n v="0"/>
    <n v="0"/>
    <m/>
    <n v="0"/>
    <n v="0"/>
    <n v="0"/>
    <n v="0"/>
    <n v="318920.65280775877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Vestdanmark"/>
    <n v="2213317.1484140675"/>
    <n v="499432.74755070958"/>
    <n v="673527.39565992262"/>
    <m/>
    <n v="0"/>
    <n v="0"/>
    <n v="1040357.0052034357"/>
    <n v="0"/>
    <n v="0"/>
    <n v="0"/>
    <n v="1040357.0052034357"/>
    <n v="0"/>
    <n v="10.752928529344514"/>
    <n v="0"/>
    <n v="10.752928529344514"/>
    <n v="0"/>
    <n v="884303.45442292024"/>
    <n v="0"/>
    <n v="884303.45442292024"/>
    <x v="0"/>
  </r>
  <r>
    <x v="17"/>
    <s v="Bionedbrydeligt affald"/>
    <n v="1"/>
    <n v="0"/>
    <x v="1"/>
    <s v="Vestdanmark"/>
    <n v="526734.10986839118"/>
    <n v="0"/>
    <n v="0"/>
    <m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n v="1"/>
    <x v="1"/>
    <s v="Vestdanmark"/>
    <n v="0"/>
    <n v="2500193.1989936335"/>
    <n v="0"/>
    <m/>
    <n v="0"/>
    <n v="0"/>
    <n v="0"/>
    <n v="0"/>
    <n v="-2500193.1989936335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Vestdanmark"/>
    <n v="471923.7302437154"/>
    <n v="0"/>
    <n v="0"/>
    <m/>
    <n v="0"/>
    <n v="0"/>
    <n v="0"/>
    <n v="0"/>
    <n v="471923.7302437154"/>
    <n v="471923.7302437154"/>
    <n v="0"/>
    <n v="2.0449068732309508"/>
    <n v="2.0449068732309508"/>
    <n v="0"/>
    <n v="2.0449068732309508"/>
    <n v="198207.96670236046"/>
    <n v="198207.96670236046"/>
    <n v="0"/>
    <n v="198207.96670236046"/>
    <x v="0"/>
  </r>
  <r>
    <x v="20"/>
    <s v=""/>
    <n v="0"/>
    <n v="0"/>
    <x v="1"/>
    <s v="Vestdanmark"/>
    <n v="682243.34675238712"/>
    <n v="0"/>
    <n v="0"/>
    <m/>
    <n v="0"/>
    <n v="0"/>
    <n v="0"/>
    <n v="0"/>
    <n v="682243.34675238712"/>
    <n v="0"/>
    <n v="0"/>
    <n v="0"/>
    <n v="0"/>
    <n v="0"/>
    <n v="0"/>
    <n v="0"/>
    <n v="0"/>
    <n v="0"/>
    <n v="0"/>
    <x v="0"/>
  </r>
  <r>
    <x v="21"/>
    <s v=""/>
    <n v="0"/>
    <n v="1"/>
    <x v="1"/>
    <s v="Vestdanmark"/>
    <n v="2537122.9309529141"/>
    <n v="753476.59121508116"/>
    <n v="0"/>
    <m/>
    <n v="0"/>
    <n v="0"/>
    <n v="0"/>
    <n v="0"/>
    <n v="1783646.339737833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Vestdanmark"/>
    <n v="4698307.4709618408"/>
    <n v="3213850.6503298059"/>
    <n v="0"/>
    <m/>
    <n v="0"/>
    <n v="0"/>
    <n v="0"/>
    <n v="0"/>
    <n v="1484456.8206320349"/>
    <n v="1484456.8206320349"/>
    <n v="0"/>
    <n v="5.0840567867098319"/>
    <n v="5.0840567867098319"/>
    <n v="0"/>
    <n v="5.0840567867098319"/>
    <n v="460181.61439593084"/>
    <n v="460181.61439593084"/>
    <n v="0"/>
    <n v="460181.61439593084"/>
    <x v="0"/>
  </r>
  <r>
    <x v="23"/>
    <s v=""/>
    <n v="0"/>
    <n v="0"/>
    <x v="1"/>
    <s v="Vestdanmark"/>
    <n v="0"/>
    <n v="0"/>
    <n v="0"/>
    <m/>
    <n v="0"/>
    <n v="708590.7242708815"/>
    <n v="0"/>
    <n v="0"/>
    <n v="-708590.7242708815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Vestdanmark"/>
    <n v="6068128.1928290678"/>
    <n v="0"/>
    <n v="0"/>
    <m/>
    <n v="4551096.1446218006"/>
    <n v="1517032.048207267"/>
    <n v="0"/>
    <n v="0"/>
    <n v="0"/>
    <n v="0"/>
    <n v="4551096.1446218006"/>
    <n v="0"/>
    <n v="2.3037193574461097"/>
    <n v="2.3037193574461097"/>
    <n v="0"/>
    <n v="0"/>
    <n v="345883.30699125683"/>
    <n v="345883.30699125683"/>
    <n v="0"/>
    <x v="0"/>
  </r>
  <r>
    <x v="25"/>
    <s v=""/>
    <n v="0"/>
    <n v="0"/>
    <x v="1"/>
    <s v="Vestdanmark"/>
    <n v="706621.13097372942"/>
    <n v="784847.28992527397"/>
    <n v="0"/>
    <m/>
    <n v="0"/>
    <n v="0"/>
    <n v="0"/>
    <n v="0"/>
    <n v="-78226.158951544552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Vestdanmark"/>
    <n v="4171283.8969927602"/>
    <n v="3107018.8030339861"/>
    <n v="0"/>
    <m/>
    <n v="0"/>
    <n v="0"/>
    <n v="0"/>
    <n v="0"/>
    <n v="1064265.0939587741"/>
    <n v="1064265.0939587741"/>
    <n v="0"/>
    <n v="3.8207116873119995"/>
    <n v="3.8207116873119995"/>
    <n v="0"/>
    <n v="3.8207116873119995"/>
    <n v="319279.52818763221"/>
    <n v="319279.52818763221"/>
    <n v="0"/>
    <n v="319279.52818763221"/>
    <x v="0"/>
  </r>
  <r>
    <x v="27"/>
    <s v=""/>
    <n v="0"/>
    <n v="1"/>
    <x v="1"/>
    <s v="Vestdanmark"/>
    <n v="1363412.0539430196"/>
    <n v="0"/>
    <n v="0"/>
    <m/>
    <n v="0"/>
    <n v="0"/>
    <n v="0"/>
    <n v="0"/>
    <n v="1363412.0539430196"/>
    <n v="0"/>
    <n v="0"/>
    <n v="0"/>
    <n v="0"/>
    <n v="0"/>
    <n v="0"/>
    <n v="0"/>
    <n v="0"/>
    <n v="0"/>
    <n v="0"/>
    <x v="0"/>
  </r>
  <r>
    <x v="28"/>
    <s v="Havbiomasse"/>
    <n v="1"/>
    <n v="1"/>
    <x v="1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1"/>
    <s v="Vestdanmark"/>
    <n v="87951.528514645848"/>
    <n v="0"/>
    <n v="0"/>
    <m/>
    <n v="0"/>
    <n v="0"/>
    <n v="0"/>
    <n v="0"/>
    <n v="87951.528514645848"/>
    <n v="0"/>
    <n v="0"/>
    <n v="0"/>
    <n v="0"/>
    <n v="0"/>
    <n v="0"/>
    <n v="0"/>
    <n v="0"/>
    <n v="0"/>
    <n v="0"/>
    <x v="0"/>
  </r>
  <r>
    <x v="30"/>
    <s v=""/>
    <n v="0"/>
    <n v="1"/>
    <x v="1"/>
    <s v="Vestdanmark"/>
    <n v="1037736.7550566321"/>
    <n v="0"/>
    <n v="0"/>
    <m/>
    <n v="0"/>
    <n v="0"/>
    <n v="0"/>
    <n v="0"/>
    <n v="1037736.7550566321"/>
    <n v="0"/>
    <n v="0"/>
    <n v="0"/>
    <n v="0"/>
    <n v="0"/>
    <n v="0"/>
    <n v="0"/>
    <n v="0"/>
    <n v="0"/>
    <n v="0"/>
    <x v="0"/>
  </r>
  <r>
    <x v="31"/>
    <s v="Vedmasse"/>
    <n v="1"/>
    <n v="0"/>
    <x v="1"/>
    <s v="Vestdanmark"/>
    <n v="897193.5214277351"/>
    <n v="0"/>
    <n v="0"/>
    <m/>
    <n v="0"/>
    <n v="0"/>
    <n v="897193.5214277351"/>
    <n v="0"/>
    <n v="0"/>
    <n v="0"/>
    <n v="897193.5214277351"/>
    <n v="0"/>
    <n v="16.508360794270324"/>
    <n v="0"/>
    <n v="16.508360794270324"/>
    <n v="0"/>
    <n v="372335.31139251008"/>
    <n v="0"/>
    <n v="372335.31139251008"/>
    <x v="0"/>
  </r>
  <r>
    <x v="32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Vestdanmark"/>
    <n v="2123110.9588889731"/>
    <n v="0"/>
    <n v="0"/>
    <m/>
    <n v="0"/>
    <n v="0"/>
    <n v="0"/>
    <n v="0"/>
    <n v="2123110.9588889731"/>
    <n v="0"/>
    <n v="0"/>
    <n v="0"/>
    <n v="0"/>
    <n v="0"/>
    <n v="0"/>
    <n v="0"/>
    <n v="0"/>
    <n v="0"/>
    <n v="0"/>
    <x v="0"/>
  </r>
  <r>
    <x v="35"/>
    <s v=""/>
    <n v="0"/>
    <n v="0"/>
    <x v="1"/>
    <s v="Vestdanmark"/>
    <n v="736385.00175039668"/>
    <n v="0"/>
    <n v="0"/>
    <m/>
    <n v="0"/>
    <n v="0"/>
    <n v="0"/>
    <n v="736385.00175039668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Vestdanmark"/>
    <n v="368192.50087519834"/>
    <n v="297667.91735204216"/>
    <n v="0"/>
    <m/>
    <n v="0"/>
    <n v="0"/>
    <n v="0"/>
    <n v="0"/>
    <n v="70524.58352315618"/>
    <n v="0"/>
    <n v="0"/>
    <n v="0"/>
    <n v="0"/>
    <n v="0"/>
    <n v="0"/>
    <n v="0"/>
    <n v="0"/>
    <n v="0"/>
    <n v="0"/>
    <x v="0"/>
  </r>
  <r>
    <x v="37"/>
    <s v="Rapsolie"/>
    <n v="1"/>
    <n v="1"/>
    <x v="1"/>
    <s v="Vestdanmark"/>
    <n v="235643.20056012695"/>
    <n v="0"/>
    <n v="0"/>
    <m/>
    <n v="0"/>
    <n v="0"/>
    <n v="235643.20056012695"/>
    <n v="0"/>
    <n v="0"/>
    <n v="0"/>
    <n v="235643.20056012695"/>
    <n v="0"/>
    <n v="8.2475120196044429"/>
    <n v="0"/>
    <n v="8.2475120196044429"/>
    <n v="0"/>
    <n v="0"/>
    <n v="0"/>
    <n v="0"/>
    <x v="0"/>
  </r>
  <r>
    <x v="38"/>
    <s v="Græs og urter"/>
    <n v="1"/>
    <n v="1"/>
    <x v="1"/>
    <s v="Vestdanmark"/>
    <n v="2891451.8691946529"/>
    <n v="675121.74238873541"/>
    <n v="0"/>
    <m/>
    <n v="0"/>
    <n v="0"/>
    <n v="0"/>
    <n v="0"/>
    <n v="2216330.1268059174"/>
    <n v="2216330.1268059174"/>
    <n v="0"/>
    <n v="6.0152086173563317"/>
    <n v="6.0152086173563317"/>
    <n v="0"/>
    <n v="6.0152086173563317"/>
    <n v="443266.02536118351"/>
    <n v="443266.02536118351"/>
    <n v="0"/>
    <n v="443266.02536118351"/>
    <x v="0"/>
  </r>
  <r>
    <x v="39"/>
    <s v=""/>
    <n v="0"/>
    <n v="0"/>
    <x v="1"/>
    <s v="Vestdanmark"/>
    <n v="172204.52835253053"/>
    <n v="0"/>
    <n v="0"/>
    <m/>
    <n v="0"/>
    <n v="0"/>
    <n v="0"/>
    <n v="0"/>
    <n v="172204.52835253053"/>
    <n v="0"/>
    <n v="0"/>
    <n v="0"/>
    <n v="0"/>
    <n v="0"/>
    <n v="0"/>
    <n v="0"/>
    <n v="0"/>
    <n v="0"/>
    <n v="0"/>
    <x v="0"/>
  </r>
  <r>
    <x v="40"/>
    <s v=""/>
    <n v="0"/>
    <n v="0"/>
    <x v="1"/>
    <s v="Vestdanmark"/>
    <n v="121502.07445138719"/>
    <n v="39589.144539968278"/>
    <n v="0"/>
    <m/>
    <n v="0"/>
    <n v="0"/>
    <n v="0"/>
    <n v="0"/>
    <n v="81912.929911418905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Vestdanmark"/>
    <n v="3905227.9830927276"/>
    <n v="0"/>
    <n v="0"/>
    <m/>
    <n v="1481053.1985566379"/>
    <n v="0"/>
    <n v="0"/>
    <n v="0"/>
    <n v="2424174.7845360897"/>
    <n v="2424174.7845360897"/>
    <n v="1481053.1985566379"/>
    <n v="1.2096874592313542"/>
    <n v="1.9487478158431022"/>
    <n v="0.73906035661174796"/>
    <n v="1.2096874592313542"/>
    <n v="145450.48707216539"/>
    <n v="234313.67898556366"/>
    <n v="88863.191913398274"/>
    <n v="145450.48707216539"/>
    <x v="0"/>
  </r>
  <r>
    <x v="42"/>
    <s v="Husdyrgødning"/>
    <n v="1"/>
    <n v="0"/>
    <x v="1"/>
    <s v="Vestdanmark"/>
    <n v="14327857.380425449"/>
    <n v="0"/>
    <n v="0"/>
    <m/>
    <n v="10745893.035319086"/>
    <n v="3581964.3451063624"/>
    <n v="0"/>
    <n v="0"/>
    <n v="0"/>
    <n v="0"/>
    <n v="10745893.035319086"/>
    <n v="0"/>
    <n v="4.6293307196154627"/>
    <n v="4.6293307196154627"/>
    <n v="0"/>
    <n v="0"/>
    <n v="537294.65176595433"/>
    <n v="537294.65176595433"/>
    <n v="0"/>
    <x v="0"/>
  </r>
  <r>
    <x v="43"/>
    <s v=""/>
    <n v="0"/>
    <n v="1"/>
    <x v="1"/>
    <s v="Vestdanmark"/>
    <n v="1299242.7527710649"/>
    <n v="0"/>
    <n v="0"/>
    <m/>
    <n v="0"/>
    <n v="0"/>
    <n v="0"/>
    <n v="0"/>
    <n v="1299242.7527710649"/>
    <n v="0"/>
    <n v="0"/>
    <n v="0"/>
    <n v="0"/>
    <n v="0"/>
    <n v="0"/>
    <n v="0"/>
    <n v="0"/>
    <n v="0"/>
    <n v="0"/>
    <x v="0"/>
  </r>
  <r>
    <x v="44"/>
    <s v="Havbiomasse"/>
    <n v="1"/>
    <n v="1"/>
    <x v="1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1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Vestdanmark"/>
    <n v="2212209.4819686995"/>
    <n v="0"/>
    <n v="0"/>
    <m/>
    <n v="0"/>
    <n v="0"/>
    <n v="2212209.4819686995"/>
    <n v="0"/>
    <n v="0"/>
    <n v="0"/>
    <n v="2212209.4819686995"/>
    <n v="0"/>
    <n v="32.062810549861823"/>
    <n v="0"/>
    <n v="32.062810549861823"/>
    <n v="0"/>
    <n v="1094121.939623686"/>
    <n v="0"/>
    <n v="1094121.939623686"/>
    <x v="0"/>
  </r>
  <r>
    <x v="47"/>
    <s v=""/>
    <n v="0"/>
    <n v="0"/>
    <x v="1"/>
    <s v="Vestdanmark"/>
    <n v="611213.62991940021"/>
    <n v="0"/>
    <n v="0"/>
    <m/>
    <n v="0"/>
    <n v="0"/>
    <n v="0"/>
    <n v="611213.62991940021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Vestdanmark"/>
    <n v="97371.701044186848"/>
    <n v="0"/>
    <n v="0"/>
    <m/>
    <n v="0"/>
    <n v="0"/>
    <n v="0"/>
    <n v="0"/>
    <n v="97371.701044186848"/>
    <n v="0"/>
    <n v="0"/>
    <n v="0"/>
    <n v="0"/>
    <n v="0"/>
    <n v="0"/>
    <n v="0"/>
    <n v="0"/>
    <n v="0"/>
    <n v="0"/>
    <x v="0"/>
  </r>
  <r>
    <x v="1"/>
    <s v=""/>
    <n v="0"/>
    <n v="1"/>
    <x v="2"/>
    <s v="Vestdanmark"/>
    <n v="669028.68943321821"/>
    <n v="37918.362883307651"/>
    <n v="0"/>
    <m/>
    <n v="0"/>
    <n v="0"/>
    <n v="0"/>
    <n v="0"/>
    <n v="631110.32654991059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Vestdanmark"/>
    <n v="197484.13479984918"/>
    <n v="0"/>
    <n v="0"/>
    <m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n v="0"/>
    <x v="2"/>
    <s v="Vestdanmark"/>
    <n v="413417890.16546005"/>
    <n v="0"/>
    <n v="0"/>
    <m/>
    <n v="0"/>
    <n v="0"/>
    <n v="413417890.16546005"/>
    <n v="0"/>
    <n v="0"/>
    <n v="0"/>
    <n v="413417890.16546005"/>
    <n v="0"/>
    <n v="0"/>
    <n v="0"/>
    <n v="0"/>
    <n v="0"/>
    <n v="0"/>
    <n v="0"/>
    <n v="0"/>
    <x v="0"/>
  </r>
  <r>
    <x v="4"/>
    <s v=""/>
    <n v="0"/>
    <n v="0"/>
    <x v="2"/>
    <s v="Vestdanmark"/>
    <n v="13894955.02537578"/>
    <n v="0"/>
    <n v="0"/>
    <m/>
    <n v="0"/>
    <n v="380267.18980249454"/>
    <n v="0"/>
    <n v="0"/>
    <n v="13514687.835573286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Vestdanmark"/>
    <n v="10564890.076158831"/>
    <n v="0"/>
    <n v="0"/>
    <m/>
    <n v="9508401.068542948"/>
    <n v="0"/>
    <n v="0"/>
    <n v="0"/>
    <n v="1056489.0076158829"/>
    <n v="1056489.0076158829"/>
    <n v="9508401.068542948"/>
    <n v="0.6001133063254267"/>
    <n v="6.0011330632542679"/>
    <n v="5.4010197569288412"/>
    <n v="0.6001133063254267"/>
    <n v="45179.048883943884"/>
    <n v="451790.48883943894"/>
    <n v="406611.43995549507"/>
    <n v="45179.048883943877"/>
    <x v="0"/>
  </r>
  <r>
    <x v="6"/>
    <s v="Husdyrgødning"/>
    <n v="1"/>
    <n v="0"/>
    <x v="2"/>
    <s v="Vestdanmark"/>
    <n v="4459910.1041985787"/>
    <n v="0"/>
    <n v="0"/>
    <m/>
    <n v="4013919.0937787211"/>
    <n v="168839.45394466043"/>
    <n v="0"/>
    <n v="0"/>
    <n v="277151.55647519743"/>
    <n v="277151.55647519743"/>
    <n v="4013919.0937787211"/>
    <n v="0.59698445264757527"/>
    <n v="9.2429661806469401"/>
    <n v="8.6459817279993647"/>
    <n v="0.59698445264757538"/>
    <n v="83145.466942559229"/>
    <n v="1287321.1950761753"/>
    <n v="1204175.7281336163"/>
    <n v="83145.466942558996"/>
    <x v="0"/>
  </r>
  <r>
    <x v="7"/>
    <s v=""/>
    <n v="0"/>
    <n v="0"/>
    <x v="2"/>
    <s v="Vestdanmark"/>
    <n v="7441255.1102966424"/>
    <n v="7440134.0206201067"/>
    <n v="0"/>
    <m/>
    <n v="0"/>
    <n v="0"/>
    <n v="0"/>
    <n v="0"/>
    <n v="1121.0896765356883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Vestdanmark"/>
    <n v="14046.037926415524"/>
    <n v="0"/>
    <n v="0"/>
    <m/>
    <n v="12641.434133773972"/>
    <n v="1404.603792641552"/>
    <n v="0"/>
    <n v="0"/>
    <n v="0"/>
    <n v="0"/>
    <n v="12641.434133773972"/>
    <n v="0"/>
    <n v="5.9451400587725613E-3"/>
    <n v="5.9451400587725613E-3"/>
    <n v="0"/>
    <n v="0"/>
    <n v="796.41035042776025"/>
    <n v="796.41035042776025"/>
    <n v="0"/>
    <x v="0"/>
  </r>
  <r>
    <x v="9"/>
    <s v=""/>
    <n v="0"/>
    <n v="1"/>
    <x v="2"/>
    <s v="Vestdanmark"/>
    <n v="15004.062230929063"/>
    <n v="0"/>
    <n v="0"/>
    <m/>
    <n v="0"/>
    <n v="0"/>
    <n v="0"/>
    <n v="0"/>
    <n v="15004.062230929063"/>
    <n v="0"/>
    <n v="0"/>
    <n v="0"/>
    <n v="0"/>
    <n v="0"/>
    <n v="0"/>
    <n v="0"/>
    <n v="0"/>
    <n v="0"/>
    <n v="0"/>
    <x v="0"/>
  </r>
  <r>
    <x v="10"/>
    <s v=""/>
    <n v="0"/>
    <n v="0"/>
    <x v="2"/>
    <s v="Vestdanmark"/>
    <n v="62819.759709472717"/>
    <n v="0"/>
    <n v="0"/>
    <m/>
    <n v="0"/>
    <n v="0"/>
    <n v="0"/>
    <n v="0"/>
    <n v="62819.759709472717"/>
    <n v="0"/>
    <n v="0"/>
    <n v="0"/>
    <n v="0"/>
    <n v="0"/>
    <n v="0"/>
    <n v="0"/>
    <n v="0"/>
    <n v="0"/>
    <n v="0"/>
    <x v="0"/>
  </r>
  <r>
    <x v="11"/>
    <s v=""/>
    <n v="0"/>
    <n v="1"/>
    <x v="2"/>
    <s v="Vestdanmark"/>
    <n v="774671.670329666"/>
    <n v="0"/>
    <n v="0"/>
    <m/>
    <n v="0"/>
    <n v="0"/>
    <n v="0"/>
    <n v="0"/>
    <n v="774671.670329666"/>
    <n v="0"/>
    <n v="0"/>
    <n v="0"/>
    <n v="0"/>
    <n v="0"/>
    <n v="0"/>
    <n v="0"/>
    <n v="0"/>
    <n v="0"/>
    <n v="0"/>
    <x v="0"/>
  </r>
  <r>
    <x v="12"/>
    <s v="Glycerin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Vestdanmark"/>
    <n v="34445105.835390486"/>
    <n v="7194482.7131786915"/>
    <n v="0"/>
    <m/>
    <n v="0"/>
    <n v="0"/>
    <n v="0"/>
    <n v="21620469.097170986"/>
    <n v="5630154.0250408091"/>
    <n v="5630154.0250408091"/>
    <n v="0"/>
    <n v="10.358779636821959"/>
    <n v="10.358779636821959"/>
    <n v="0"/>
    <n v="10.358779636821959"/>
    <n v="1576443.1270114267"/>
    <n v="1576443.1270114267"/>
    <n v="0"/>
    <n v="1576443.1270114267"/>
    <x v="0"/>
  </r>
  <r>
    <x v="14"/>
    <s v=""/>
    <n v="0"/>
    <n v="0"/>
    <x v="2"/>
    <s v="Vestdanmark"/>
    <n v="3614323.9107155115"/>
    <n v="3614323.9107155115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Vestdanmark"/>
    <n v="301754.85239496577"/>
    <n v="0"/>
    <n v="0"/>
    <m/>
    <n v="0"/>
    <n v="0"/>
    <n v="0"/>
    <n v="0"/>
    <n v="301754.85239496577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Vestdanmark"/>
    <n v="713186.46186449786"/>
    <n v="204619.16541082526"/>
    <n v="515084.59998354531"/>
    <m/>
    <n v="0"/>
    <n v="0"/>
    <n v="0"/>
    <n v="0"/>
    <n v="-6517.3035298726754"/>
    <n v="0"/>
    <n v="0"/>
    <n v="0"/>
    <n v="0"/>
    <n v="0"/>
    <n v="0"/>
    <n v="0"/>
    <n v="0"/>
    <n v="0"/>
    <n v="0"/>
    <x v="0"/>
  </r>
  <r>
    <x v="17"/>
    <s v="Bionedbrydeligt affald"/>
    <n v="1"/>
    <n v="0"/>
    <x v="2"/>
    <s v="Vestdanmark"/>
    <n v="524881.97503939818"/>
    <n v="0"/>
    <n v="0"/>
    <m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Vestdanmark"/>
    <n v="347723.36857073568"/>
    <n v="0"/>
    <n v="0"/>
    <m/>
    <n v="0"/>
    <n v="0"/>
    <n v="0"/>
    <n v="0"/>
    <n v="347723.36857073568"/>
    <n v="347723.36857073568"/>
    <n v="0"/>
    <n v="1.5067305600549121"/>
    <n v="1.5067305600549121"/>
    <n v="0"/>
    <n v="1.5067305600549121"/>
    <n v="146043.81479970898"/>
    <n v="146043.81479970898"/>
    <n v="0"/>
    <n v="146043.81479970898"/>
    <x v="0"/>
  </r>
  <r>
    <x v="20"/>
    <s v=""/>
    <n v="0"/>
    <n v="0"/>
    <x v="2"/>
    <s v="Vestdanmark"/>
    <n v="386762.96576702269"/>
    <n v="0"/>
    <n v="0"/>
    <m/>
    <n v="0"/>
    <n v="0"/>
    <n v="0"/>
    <n v="0"/>
    <n v="386762.96576702269"/>
    <n v="0"/>
    <n v="0"/>
    <n v="0"/>
    <n v="0"/>
    <n v="0"/>
    <n v="0"/>
    <n v="0"/>
    <n v="0"/>
    <n v="0"/>
    <n v="0"/>
    <x v="0"/>
  </r>
  <r>
    <x v="21"/>
    <s v=""/>
    <n v="0"/>
    <n v="1"/>
    <x v="2"/>
    <s v="Vestdanmark"/>
    <n v="2337126.3206842514"/>
    <n v="1555390.1797161226"/>
    <n v="0"/>
    <m/>
    <n v="0"/>
    <n v="0"/>
    <n v="0"/>
    <n v="0"/>
    <n v="781736.14096812881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Vestdanmark"/>
    <n v="482048.93054039421"/>
    <n v="350004.26926330419"/>
    <n v="0"/>
    <m/>
    <n v="0"/>
    <n v="0"/>
    <n v="0"/>
    <n v="0"/>
    <n v="132044.66127709002"/>
    <n v="132044.66127709002"/>
    <n v="0"/>
    <n v="0.45223447862145461"/>
    <n v="0.45223447862145461"/>
    <n v="0"/>
    <n v="0.45223447862145461"/>
    <n v="40933.844995897911"/>
    <n v="40933.844995897911"/>
    <n v="0"/>
    <n v="40933.844995897911"/>
    <x v="0"/>
  </r>
  <r>
    <x v="23"/>
    <s v=""/>
    <n v="0"/>
    <n v="0"/>
    <x v="2"/>
    <s v="Vestdanmark"/>
    <n v="0"/>
    <n v="0"/>
    <n v="0"/>
    <m/>
    <n v="0"/>
    <n v="1043723.475761516"/>
    <n v="0"/>
    <n v="0"/>
    <n v="-1043723.475761516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Vestdanmark"/>
    <n v="68744.822418311582"/>
    <n v="0"/>
    <n v="0"/>
    <m/>
    <n v="61870.340176480422"/>
    <n v="6874.4822418311569"/>
    <n v="0"/>
    <n v="0"/>
    <n v="0"/>
    <n v="0"/>
    <n v="61870.340176480422"/>
    <n v="0"/>
    <n v="3.1318147493932628E-2"/>
    <n v="3.1318147493932628E-2"/>
    <n v="0"/>
    <n v="0"/>
    <n v="4702.1458534125122"/>
    <n v="4702.1458534125122"/>
    <n v="0"/>
    <x v="0"/>
  </r>
  <r>
    <x v="25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Vestdanmark"/>
    <n v="513235.88893477799"/>
    <n v="366941.45938834856"/>
    <n v="0"/>
    <m/>
    <n v="0"/>
    <n v="0"/>
    <n v="0"/>
    <n v="0"/>
    <n v="146294.42954642943"/>
    <n v="146294.42954642943"/>
    <n v="0"/>
    <n v="0.52519700207168174"/>
    <n v="0.52519700207168174"/>
    <n v="0"/>
    <n v="0.52519700207168174"/>
    <n v="43888.328863928829"/>
    <n v="43888.328863928829"/>
    <n v="0"/>
    <n v="43888.328863928829"/>
    <x v="0"/>
  </r>
  <r>
    <x v="27"/>
    <s v=""/>
    <n v="0"/>
    <n v="1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Vestdanmark"/>
    <n v="878.90231344976178"/>
    <n v="0"/>
    <n v="0"/>
    <m/>
    <n v="0"/>
    <n v="0"/>
    <n v="0"/>
    <n v="0"/>
    <n v="878.90231344976178"/>
    <n v="878.90231344976178"/>
    <n v="0"/>
    <n v="7.8881482632116122E-4"/>
    <n v="7.8881482632116122E-4"/>
    <n v="0"/>
    <n v="7.8881482632116122E-4"/>
    <n v="131.83534701746427"/>
    <n v="131.83534701746427"/>
    <n v="0"/>
    <n v="131.83534701746427"/>
    <x v="0"/>
  </r>
  <r>
    <x v="29"/>
    <s v=""/>
    <n v="0"/>
    <n v="1"/>
    <x v="2"/>
    <s v="Vestdanmark"/>
    <n v="3915.1017916004403"/>
    <n v="0"/>
    <n v="0"/>
    <m/>
    <n v="0"/>
    <n v="0"/>
    <n v="0"/>
    <n v="0"/>
    <n v="3915.1017916004403"/>
    <n v="0"/>
    <n v="0"/>
    <n v="0"/>
    <n v="0"/>
    <n v="0"/>
    <n v="0"/>
    <n v="0"/>
    <n v="0"/>
    <n v="0"/>
    <n v="0"/>
    <x v="0"/>
  </r>
  <r>
    <x v="30"/>
    <s v=""/>
    <n v="0"/>
    <n v="1"/>
    <x v="2"/>
    <s v="Vestdanmark"/>
    <n v="90697.791194463221"/>
    <n v="0"/>
    <n v="0"/>
    <m/>
    <n v="0"/>
    <n v="0"/>
    <n v="0"/>
    <n v="0"/>
    <n v="90697.791194463221"/>
    <n v="0"/>
    <n v="0"/>
    <n v="0"/>
    <n v="0"/>
    <n v="0"/>
    <n v="0"/>
    <n v="0"/>
    <n v="0"/>
    <n v="0"/>
    <n v="0"/>
    <x v="0"/>
  </r>
  <r>
    <x v="31"/>
    <s v="Vedmasse"/>
    <n v="1"/>
    <n v="0"/>
    <x v="2"/>
    <s v="Vestdanmark"/>
    <n v="1315903.5397993135"/>
    <n v="0"/>
    <n v="0"/>
    <m/>
    <n v="0"/>
    <n v="0"/>
    <n v="1315903.5397993135"/>
    <n v="0"/>
    <n v="0"/>
    <n v="0"/>
    <n v="1315903.5397993135"/>
    <n v="0"/>
    <n v="24.212625132307366"/>
    <n v="0"/>
    <n v="24.212625132307366"/>
    <n v="0"/>
    <n v="546099.96901671519"/>
    <n v="0"/>
    <n v="546099.96901671519"/>
    <x v="0"/>
  </r>
  <r>
    <x v="32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Vestdanmark"/>
    <n v="649292.34846099082"/>
    <n v="0"/>
    <n v="0"/>
    <m/>
    <n v="0"/>
    <n v="0"/>
    <n v="0"/>
    <n v="649292.34846099082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Vestdanmark"/>
    <n v="324646.17423049541"/>
    <n v="385620.59434870677"/>
    <n v="0"/>
    <m/>
    <n v="0"/>
    <n v="0"/>
    <n v="0"/>
    <n v="0"/>
    <n v="-60974.420118211361"/>
    <n v="0"/>
    <n v="0"/>
    <n v="0"/>
    <n v="0"/>
    <n v="0"/>
    <n v="0"/>
    <n v="0"/>
    <n v="0"/>
    <n v="0"/>
    <n v="0"/>
    <x v="1"/>
  </r>
  <r>
    <x v="37"/>
    <s v="Rapsolie"/>
    <n v="1"/>
    <n v="1"/>
    <x v="2"/>
    <s v="Vestdanmark"/>
    <n v="207773.55150751706"/>
    <n v="0"/>
    <n v="0"/>
    <m/>
    <n v="0"/>
    <n v="0"/>
    <n v="207773.55150751706"/>
    <n v="0"/>
    <n v="0"/>
    <n v="0"/>
    <n v="207773.55150751706"/>
    <n v="0"/>
    <n v="7.2720743027630963"/>
    <n v="0"/>
    <n v="7.2720743027630963"/>
    <n v="0"/>
    <n v="0"/>
    <n v="0"/>
    <n v="0"/>
    <x v="0"/>
  </r>
  <r>
    <x v="38"/>
    <s v="Græs og urter"/>
    <n v="1"/>
    <n v="1"/>
    <x v="2"/>
    <s v="Vestdanmark"/>
    <n v="2749867.8949207771"/>
    <n v="494518.64926980395"/>
    <n v="0"/>
    <m/>
    <n v="0"/>
    <n v="0"/>
    <n v="0"/>
    <n v="0"/>
    <n v="2255349.2456509732"/>
    <n v="2255349.2456509732"/>
    <n v="0"/>
    <n v="6.1211080666665669"/>
    <n v="6.1211080666665669"/>
    <n v="0"/>
    <n v="6.1211080666665669"/>
    <n v="451069.84913019463"/>
    <n v="451069.84913019463"/>
    <n v="0"/>
    <n v="451069.84913019463"/>
    <x v="0"/>
  </r>
  <r>
    <x v="39"/>
    <s v=""/>
    <n v="0"/>
    <n v="0"/>
    <x v="2"/>
    <s v="Vestdanmark"/>
    <n v="37051.567701476815"/>
    <n v="0"/>
    <n v="0"/>
    <m/>
    <n v="0"/>
    <n v="0"/>
    <n v="0"/>
    <n v="0"/>
    <n v="37051.567701476815"/>
    <n v="0"/>
    <n v="0"/>
    <n v="0"/>
    <n v="0"/>
    <n v="0"/>
    <n v="0"/>
    <n v="0"/>
    <n v="0"/>
    <n v="0"/>
    <n v="0"/>
    <x v="0"/>
  </r>
  <r>
    <x v="40"/>
    <s v=""/>
    <n v="0"/>
    <n v="0"/>
    <x v="2"/>
    <s v="Vestdanmark"/>
    <n v="35190.671439715443"/>
    <n v="39591.750029137664"/>
    <n v="0"/>
    <m/>
    <n v="0"/>
    <n v="0"/>
    <n v="0"/>
    <n v="0"/>
    <n v="-4401.0785894222208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Vestdanmark"/>
    <n v="4002333.5486616795"/>
    <n v="0"/>
    <n v="0"/>
    <m/>
    <n v="1517880.3720548805"/>
    <n v="0"/>
    <n v="0"/>
    <n v="0"/>
    <n v="2484453.176606799"/>
    <n v="2484453.176606799"/>
    <n v="1517880.3720548805"/>
    <n v="1.2397669796585589"/>
    <n v="1.9972044641176647"/>
    <n v="0.75743748445910597"/>
    <n v="1.2397669796585586"/>
    <n v="149067.19059640795"/>
    <n v="240140.01291970076"/>
    <n v="91072.822323292829"/>
    <n v="149067.19059640792"/>
    <x v="0"/>
  </r>
  <r>
    <x v="42"/>
    <s v="Husdyrgødning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Vestdanmark"/>
    <n v="391775.30687639397"/>
    <n v="0"/>
    <n v="0"/>
    <m/>
    <n v="0"/>
    <n v="0"/>
    <n v="0"/>
    <n v="0"/>
    <n v="391775.30687639397"/>
    <n v="0"/>
    <n v="0"/>
    <n v="0"/>
    <n v="0"/>
    <n v="0"/>
    <n v="0"/>
    <n v="0"/>
    <n v="0"/>
    <n v="0"/>
    <n v="0"/>
    <x v="0"/>
  </r>
  <r>
    <x v="44"/>
    <s v="Havbiomasse"/>
    <n v="1"/>
    <n v="1"/>
    <x v="2"/>
    <s v="Vestdanmark"/>
    <n v="76.5"/>
    <n v="0"/>
    <n v="0"/>
    <m/>
    <n v="0"/>
    <n v="0"/>
    <n v="0"/>
    <n v="0"/>
    <n v="76.5"/>
    <n v="76.5"/>
    <n v="0"/>
    <n v="6.8658750000000004E-5"/>
    <n v="6.8658750000000004E-5"/>
    <n v="0"/>
    <n v="6.8658750000000004E-5"/>
    <n v="11.475"/>
    <n v="11.475"/>
    <n v="0"/>
    <n v="11.475"/>
    <x v="0"/>
  </r>
  <r>
    <x v="45"/>
    <s v=""/>
    <n v="1"/>
    <n v="0"/>
    <x v="2"/>
    <s v="Ve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Vestdanmark"/>
    <n v="2149322.1793498904"/>
    <n v="0"/>
    <n v="0"/>
    <m/>
    <n v="0"/>
    <n v="0"/>
    <n v="2149322.1793498904"/>
    <n v="0"/>
    <n v="0"/>
    <n v="0"/>
    <n v="2149322.1793498904"/>
    <n v="0"/>
    <n v="31.151349096372208"/>
    <n v="0"/>
    <n v="31.151349096372208"/>
    <n v="0"/>
    <n v="1063018.9278701332"/>
    <n v="0"/>
    <n v="1063018.9278701332"/>
    <x v="0"/>
  </r>
  <r>
    <x v="47"/>
    <s v=""/>
    <n v="0"/>
    <n v="0"/>
    <x v="2"/>
    <s v="Vestdanmark"/>
    <n v="637679.95429535187"/>
    <n v="0"/>
    <n v="0"/>
    <m/>
    <n v="0"/>
    <n v="0"/>
    <n v="0"/>
    <n v="637679.95429535187"/>
    <n v="0"/>
    <n v="0"/>
    <n v="0"/>
    <n v="0"/>
    <n v="0"/>
    <n v="0"/>
    <n v="0"/>
    <n v="0"/>
    <n v="0"/>
    <n v="0"/>
    <n v="0"/>
    <x v="0"/>
  </r>
  <r>
    <x v="0"/>
    <m/>
    <n v="0"/>
    <n v="1"/>
    <x v="0"/>
    <s v="Østdanmark"/>
    <n v="18450.007031483605"/>
    <n v="0"/>
    <n v="0"/>
    <m/>
    <n v="0"/>
    <n v="0"/>
    <n v="0"/>
    <n v="0"/>
    <n v="18450.007031483605"/>
    <n v="0"/>
    <n v="0"/>
    <n v="0"/>
    <n v="0"/>
    <n v="0"/>
    <n v="0"/>
    <n v="0"/>
    <n v="0"/>
    <n v="0"/>
    <n v="0"/>
    <x v="0"/>
  </r>
  <r>
    <x v="1"/>
    <m/>
    <n v="0"/>
    <n v="1"/>
    <x v="0"/>
    <s v="Østdanmark"/>
    <n v="26972.495538657848"/>
    <n v="7916.616753740097"/>
    <n v="0"/>
    <m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n v="0"/>
    <x v="0"/>
    <s v="Østdanmark"/>
    <n v="165083.0224523381"/>
    <n v="0"/>
    <n v="0"/>
    <m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n v="0"/>
    <x v="0"/>
    <s v="Østdanmark"/>
    <n v="110817068.59908372"/>
    <n v="0"/>
    <n v="0"/>
    <m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n v="0"/>
    <x v="0"/>
    <s v="Østdanmark"/>
    <n v="2463073.3914116896"/>
    <n v="0"/>
    <n v="0"/>
    <m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n v="0"/>
    <x v="0"/>
    <s v="Østdanmark"/>
    <n v="332759.92297580565"/>
    <n v="0"/>
    <n v="0"/>
    <m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n v="0"/>
    <x v="0"/>
    <s v="Østdanmark"/>
    <n v="675.387643904882"/>
    <n v="0"/>
    <n v="0"/>
    <m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n v="1"/>
    <x v="0"/>
    <s v="Østdanmark"/>
    <n v="15969.006082579654"/>
    <n v="0"/>
    <n v="0"/>
    <m/>
    <n v="0"/>
    <n v="0"/>
    <n v="0"/>
    <n v="0"/>
    <n v="15969.006082579654"/>
    <n v="0"/>
    <n v="0"/>
    <n v="0"/>
    <n v="0"/>
    <n v="0"/>
    <n v="0"/>
    <n v="0"/>
    <n v="0"/>
    <n v="0"/>
    <n v="0"/>
    <x v="0"/>
  </r>
  <r>
    <x v="10"/>
    <m/>
    <n v="0"/>
    <n v="0"/>
    <x v="0"/>
    <s v="Østdanmark"/>
    <n v="620445.82725004398"/>
    <n v="0"/>
    <n v="0"/>
    <m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n v="1"/>
    <x v="0"/>
    <s v="Østdanmark"/>
    <n v="15780.226177538038"/>
    <n v="0"/>
    <n v="0"/>
    <m/>
    <n v="0"/>
    <n v="0"/>
    <n v="0"/>
    <n v="0"/>
    <n v="15780.226177538038"/>
    <n v="0"/>
    <n v="0"/>
    <n v="0"/>
    <n v="0"/>
    <n v="0"/>
    <n v="0"/>
    <n v="0"/>
    <n v="0"/>
    <n v="0"/>
    <n v="0"/>
    <x v="1"/>
  </r>
  <r>
    <x v="12"/>
    <s v="Glycerin"/>
    <n v="1"/>
    <n v="0"/>
    <x v="0"/>
    <s v="Østdanmark"/>
    <n v="0"/>
    <n v="0"/>
    <n v="0"/>
    <m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n v="0"/>
    <x v="0"/>
    <s v="Østdanmark"/>
    <n v="2148848.2010935447"/>
    <n v="1502068.0760117143"/>
    <n v="0"/>
    <m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n v="1"/>
    <x v="0"/>
    <s v="Østdanmark"/>
    <n v="95299.46904386401"/>
    <n v="0"/>
    <n v="0"/>
    <m/>
    <n v="0"/>
    <n v="0"/>
    <n v="0"/>
    <n v="0"/>
    <n v="95299.46904386401"/>
    <n v="0"/>
    <n v="0"/>
    <n v="0"/>
    <n v="0"/>
    <n v="0"/>
    <n v="0"/>
    <n v="0"/>
    <n v="0"/>
    <n v="0"/>
    <n v="0"/>
    <x v="0"/>
  </r>
  <r>
    <x v="16"/>
    <s v="Halm og strå"/>
    <n v="1"/>
    <n v="0"/>
    <x v="0"/>
    <s v="Østdanmark"/>
    <n v="954412.72069157928"/>
    <n v="94889.448034412548"/>
    <n v="104128.58905499999"/>
    <m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n v="0"/>
    <x v="0"/>
    <s v="Østdanmark"/>
    <n v="452346.51233766804"/>
    <n v="0"/>
    <n v="0"/>
    <m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n v="1"/>
    <x v="0"/>
    <s v="Østdanmark"/>
    <n v="0"/>
    <n v="592646.72642582108"/>
    <n v="0"/>
    <m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n v="0"/>
    <x v="0"/>
    <s v="Østdanmark"/>
    <n v="200279.74928693369"/>
    <n v="0"/>
    <n v="0"/>
    <m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n v="0"/>
    <x v="0"/>
    <s v="Østdanmark"/>
    <n v="145627.35347864506"/>
    <n v="0"/>
    <n v="0"/>
    <m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n v="1"/>
    <x v="0"/>
    <s v="Østdanmark"/>
    <n v="116539.79424410909"/>
    <n v="0"/>
    <n v="0"/>
    <m/>
    <n v="0"/>
    <n v="0"/>
    <n v="0"/>
    <n v="0"/>
    <n v="116539.79424410909"/>
    <n v="0"/>
    <n v="0"/>
    <n v="0"/>
    <n v="0"/>
    <n v="0"/>
    <n v="0"/>
    <n v="0"/>
    <n v="0"/>
    <n v="0"/>
    <n v="0"/>
    <x v="0"/>
  </r>
  <r>
    <x v="22"/>
    <s v="Halm og strå"/>
    <n v="1"/>
    <n v="1"/>
    <x v="0"/>
    <s v="Østdanmark"/>
    <n v="2268650.5850062412"/>
    <n v="721621.60770550335"/>
    <n v="0"/>
    <m/>
    <n v="942.6064741945944"/>
    <n v="0"/>
    <n v="0"/>
    <n v="0"/>
    <n v="1546086.3708265433"/>
    <n v="1546086.3708265433"/>
    <n v="942.6064741945944"/>
    <n v="5.2951293679889959"/>
    <n v="3.2282952092100993E-3"/>
    <n v="3.2282952092100993E-3"/>
    <n v="0"/>
    <n v="479286.77495622844"/>
    <n v="292.20800700032424"/>
    <n v="292.20800700032424"/>
    <n v="0"/>
    <x v="0"/>
  </r>
  <r>
    <x v="23"/>
    <m/>
    <n v="0"/>
    <n v="0"/>
    <x v="0"/>
    <s v="Østdanmark"/>
    <n v="0"/>
    <n v="0"/>
    <n v="0"/>
    <m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n v="0"/>
    <x v="0"/>
    <s v="Østdanmark"/>
    <n v="925084.21922943438"/>
    <n v="0"/>
    <n v="0"/>
    <m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n v="0"/>
    <x v="0"/>
    <s v="Østdanmark"/>
    <n v="115489.08079619991"/>
    <n v="186040.49371289223"/>
    <n v="0"/>
    <m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n v="1"/>
    <x v="0"/>
    <s v="Østdanmark"/>
    <n v="365245.73356828612"/>
    <n v="694353.2611092875"/>
    <n v="0"/>
    <m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n v="1"/>
    <x v="0"/>
    <s v="Østdanmark"/>
    <n v="222833.98833453824"/>
    <n v="0"/>
    <n v="0"/>
    <m/>
    <n v="0"/>
    <n v="0"/>
    <n v="0"/>
    <n v="0"/>
    <n v="222833.98833453824"/>
    <n v="0"/>
    <n v="0"/>
    <n v="0"/>
    <n v="0"/>
    <n v="0"/>
    <n v="0"/>
    <n v="0"/>
    <n v="0"/>
    <n v="0"/>
    <n v="0"/>
    <x v="0"/>
  </r>
  <r>
    <x v="28"/>
    <s v="Havbiomasse"/>
    <n v="1"/>
    <n v="1"/>
    <x v="0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n v="1"/>
    <x v="0"/>
    <s v="Østdanmark"/>
    <n v="7577.0634215631153"/>
    <n v="0"/>
    <n v="0"/>
    <m/>
    <n v="0"/>
    <n v="0"/>
    <n v="0"/>
    <n v="0"/>
    <n v="7577.0634215631153"/>
    <n v="0"/>
    <n v="0"/>
    <n v="0"/>
    <n v="0"/>
    <n v="0"/>
    <n v="0"/>
    <n v="0"/>
    <n v="0"/>
    <n v="0"/>
    <n v="0"/>
    <x v="0"/>
  </r>
  <r>
    <x v="30"/>
    <m/>
    <n v="0"/>
    <n v="1"/>
    <x v="0"/>
    <s v="Østdanmark"/>
    <n v="395448.91426064254"/>
    <n v="0"/>
    <n v="0"/>
    <m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n v="0"/>
    <x v="0"/>
    <s v="Østdanmark"/>
    <n v="38860.356190289756"/>
    <n v="0"/>
    <n v="0"/>
    <m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n v="0"/>
    <x v="0"/>
    <s v="Østdanmark"/>
    <n v="346998.01962126989"/>
    <n v="0"/>
    <n v="0"/>
    <m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n v="0"/>
    <x v="0"/>
    <s v="Østdanmark"/>
    <n v="192563.22613808865"/>
    <n v="0"/>
    <n v="0"/>
    <m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n v="0"/>
    <x v="0"/>
    <s v="Østdanmark"/>
    <n v="96281.613069044324"/>
    <n v="26278.769501998373"/>
    <n v="0"/>
    <m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n v="1"/>
    <x v="0"/>
    <s v="Østdanmark"/>
    <n v="61620.23236418837"/>
    <n v="0"/>
    <n v="0"/>
    <m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n v="1"/>
    <x v="0"/>
    <s v="Østdanmark"/>
    <n v="2233316.4654569654"/>
    <n v="103245.87683002709"/>
    <n v="0"/>
    <m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n v="0"/>
    <x v="0"/>
    <s v="Østdanmark"/>
    <n v="23179.475218292017"/>
    <n v="0"/>
    <n v="0"/>
    <m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n v="0"/>
    <x v="0"/>
    <s v="Østdanmark"/>
    <n v="18923.903166389329"/>
    <n v="4837.9324606189475"/>
    <n v="0"/>
    <m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n v="0"/>
    <x v="0"/>
    <s v="Østdanmark"/>
    <n v="3186961.3614372411"/>
    <n v="0"/>
    <n v="0"/>
    <m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n v="0"/>
    <x v="0"/>
    <s v="Østdanmark"/>
    <n v="2304461.4931079326"/>
    <n v="0"/>
    <n v="0"/>
    <m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n v="1"/>
    <x v="0"/>
    <s v="Østdanmark"/>
    <n v="206750.71206041813"/>
    <n v="0"/>
    <n v="0"/>
    <m/>
    <n v="0"/>
    <n v="0"/>
    <n v="0"/>
    <n v="0"/>
    <n v="206750.71206041813"/>
    <n v="0"/>
    <n v="0"/>
    <n v="0"/>
    <n v="0"/>
    <n v="0"/>
    <n v="0"/>
    <n v="0"/>
    <n v="0"/>
    <n v="0"/>
    <n v="0"/>
    <x v="0"/>
  </r>
  <r>
    <x v="44"/>
    <s v="Havbiomasse"/>
    <n v="1"/>
    <n v="1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n v="0"/>
    <x v="0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0"/>
    <s v="Østdanmark"/>
    <n v="681614.98381741357"/>
    <n v="0"/>
    <n v="0"/>
    <m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n v="0"/>
    <x v="0"/>
    <s v="Østdanmark"/>
    <n v="187416.40966897184"/>
    <n v="0"/>
    <n v="0"/>
    <m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n v="1"/>
    <x v="1"/>
    <s v="Østdanmark"/>
    <n v="18196.258037931766"/>
    <n v="0"/>
    <n v="0"/>
    <m/>
    <n v="0"/>
    <n v="0"/>
    <n v="0"/>
    <n v="0"/>
    <n v="18196.258037931766"/>
    <n v="0"/>
    <n v="0"/>
    <n v="0"/>
    <n v="0"/>
    <n v="0"/>
    <n v="0"/>
    <n v="0"/>
    <n v="0"/>
    <n v="0"/>
    <n v="0"/>
    <x v="0"/>
  </r>
  <r>
    <x v="1"/>
    <s v=""/>
    <n v="0"/>
    <n v="1"/>
    <x v="1"/>
    <s v="Østdanmark"/>
    <n v="165990.97004737973"/>
    <n v="6776.9581577594281"/>
    <n v="0"/>
    <m/>
    <n v="0"/>
    <n v="0"/>
    <n v="0"/>
    <n v="0"/>
    <n v="159214.01188962031"/>
    <n v="0"/>
    <n v="0"/>
    <n v="0"/>
    <n v="0"/>
    <n v="0"/>
    <n v="0"/>
    <n v="0"/>
    <n v="0"/>
    <n v="0"/>
    <n v="0"/>
    <x v="0"/>
  </r>
  <r>
    <x v="2"/>
    <s v="Bionedbrydeligt affald"/>
    <n v="1"/>
    <n v="0"/>
    <x v="1"/>
    <s v="Østdanmark"/>
    <n v="168912.745758362"/>
    <n v="0"/>
    <n v="0"/>
    <m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n v="0"/>
    <x v="1"/>
    <s v="Østdanmark"/>
    <n v="63181225.71715036"/>
    <n v="0"/>
    <n v="0"/>
    <m/>
    <n v="0"/>
    <n v="0"/>
    <n v="63181225.71715036"/>
    <n v="0"/>
    <n v="0"/>
    <n v="0"/>
    <n v="63181225.71715036"/>
    <n v="0"/>
    <n v="0"/>
    <n v="0"/>
    <n v="0"/>
    <n v="0"/>
    <n v="0"/>
    <n v="0"/>
    <n v="0"/>
    <x v="0"/>
  </r>
  <r>
    <x v="4"/>
    <s v=""/>
    <n v="0"/>
    <n v="0"/>
    <x v="1"/>
    <s v="Østdanmark"/>
    <n v="3575622.450604124"/>
    <n v="0"/>
    <n v="0"/>
    <m/>
    <n v="0"/>
    <n v="3082747.997526899"/>
    <n v="0"/>
    <n v="0"/>
    <n v="492874.45307722501"/>
    <n v="0"/>
    <n v="0"/>
    <n v="0"/>
    <n v="0"/>
    <n v="0"/>
    <n v="0"/>
    <n v="0"/>
    <n v="0"/>
    <n v="0"/>
    <n v="0"/>
    <x v="0"/>
  </r>
  <r>
    <x v="5"/>
    <s v="Bionedbrydeligt affald"/>
    <n v="1"/>
    <n v="0"/>
    <x v="1"/>
    <s v="Østdanmark"/>
    <n v="670009.86905929213"/>
    <n v="0"/>
    <n v="0"/>
    <m/>
    <n v="502507.4017944691"/>
    <n v="0"/>
    <n v="0"/>
    <n v="0"/>
    <n v="167502.46726482303"/>
    <n v="167502.46726482303"/>
    <n v="502507.4017944691"/>
    <n v="9.5145769358072327E-2"/>
    <n v="0.38058307743228931"/>
    <n v="0.28543730807421697"/>
    <n v="9.5145769358072341E-2"/>
    <n v="7162.972924645961"/>
    <n v="28651.891698583844"/>
    <n v="21488.918773937883"/>
    <n v="7162.972924645961"/>
    <x v="0"/>
  </r>
  <r>
    <x v="6"/>
    <s v="Husdyrgødning"/>
    <n v="1"/>
    <n v="0"/>
    <x v="1"/>
    <s v="Østdanmark"/>
    <n v="319455.21922250785"/>
    <n v="0"/>
    <n v="0"/>
    <m/>
    <n v="239591.41441688087"/>
    <n v="30234.154676415921"/>
    <n v="0"/>
    <n v="0"/>
    <n v="49629.650129211077"/>
    <n v="49629.650129211077"/>
    <n v="239591.41441688087"/>
    <n v="0.10690226637832066"/>
    <n v="0.62298217303228209"/>
    <n v="0.51607990665396142"/>
    <n v="0.10690226637832068"/>
    <n v="14888.895038763323"/>
    <n v="86766.319363827584"/>
    <n v="71877.424325064261"/>
    <n v="14888.895038763323"/>
    <x v="0"/>
  </r>
  <r>
    <x v="7"/>
    <s v=""/>
    <n v="0"/>
    <n v="0"/>
    <x v="1"/>
    <s v="Østdanmark"/>
    <n v="471913.51032961637"/>
    <n v="471697.49771697511"/>
    <n v="0"/>
    <m/>
    <n v="0"/>
    <n v="0"/>
    <n v="0"/>
    <n v="0"/>
    <n v="216.01261264126515"/>
    <n v="0"/>
    <n v="0"/>
    <n v="0"/>
    <n v="0"/>
    <n v="0"/>
    <n v="0"/>
    <n v="0"/>
    <n v="0"/>
    <n v="0"/>
    <n v="0"/>
    <x v="0"/>
  </r>
  <r>
    <x v="8"/>
    <s v="Husdyrgødning"/>
    <n v="1"/>
    <n v="0"/>
    <x v="1"/>
    <s v="Østdanmark"/>
    <n v="687.81855383382072"/>
    <n v="0"/>
    <n v="0"/>
    <m/>
    <n v="515.86391537536554"/>
    <n v="171.95463845845521"/>
    <n v="0"/>
    <n v="0"/>
    <n v="0"/>
    <n v="0"/>
    <n v="515.86391537536554"/>
    <n v="0"/>
    <n v="2.4260564076188066E-4"/>
    <n v="2.4260564076188066E-4"/>
    <n v="0"/>
    <n v="0"/>
    <n v="32.499426668648027"/>
    <n v="32.499426668648027"/>
    <n v="0"/>
    <x v="0"/>
  </r>
  <r>
    <x v="9"/>
    <s v=""/>
    <n v="0"/>
    <n v="1"/>
    <x v="1"/>
    <s v="Østdanmark"/>
    <n v="15605.83144011804"/>
    <n v="0"/>
    <n v="0"/>
    <m/>
    <n v="0"/>
    <n v="0"/>
    <n v="0"/>
    <n v="0"/>
    <n v="15605.83144011804"/>
    <n v="0"/>
    <n v="0"/>
    <n v="0"/>
    <n v="0"/>
    <n v="0"/>
    <n v="0"/>
    <n v="0"/>
    <n v="0"/>
    <n v="0"/>
    <n v="0"/>
    <x v="0"/>
  </r>
  <r>
    <x v="10"/>
    <s v=""/>
    <n v="0"/>
    <n v="0"/>
    <x v="1"/>
    <s v="Østdanmark"/>
    <n v="239925.67708956901"/>
    <n v="0"/>
    <n v="0"/>
    <m/>
    <n v="0"/>
    <n v="0"/>
    <n v="0"/>
    <n v="0"/>
    <n v="239925.67708956901"/>
    <n v="0"/>
    <n v="0"/>
    <n v="0"/>
    <n v="0"/>
    <n v="0"/>
    <n v="0"/>
    <n v="0"/>
    <n v="0"/>
    <n v="0"/>
    <n v="0"/>
    <x v="0"/>
  </r>
  <r>
    <x v="11"/>
    <s v=""/>
    <n v="0"/>
    <n v="1"/>
    <x v="1"/>
    <s v="Østdanmark"/>
    <n v="150209.37360134395"/>
    <n v="0"/>
    <n v="0"/>
    <m/>
    <n v="0"/>
    <n v="0"/>
    <n v="0"/>
    <n v="0"/>
    <n v="150209.37360134395"/>
    <n v="0"/>
    <n v="0"/>
    <n v="0"/>
    <n v="0"/>
    <n v="0"/>
    <n v="0"/>
    <n v="0"/>
    <n v="0"/>
    <n v="0"/>
    <n v="0"/>
    <x v="0"/>
  </r>
  <r>
    <x v="12"/>
    <s v="Glycerin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1"/>
    <s v="Østdanmark"/>
    <n v="6569596.6515662586"/>
    <n v="1285833.6860159934"/>
    <n v="0"/>
    <m/>
    <n v="0"/>
    <n v="0"/>
    <n v="0"/>
    <n v="1371138.5129775794"/>
    <n v="3912624.4525726857"/>
    <n v="3912624.4525726857"/>
    <n v="0"/>
    <n v="7.1987399146771702"/>
    <n v="7.1987399146771702"/>
    <n v="0"/>
    <n v="7.1987399146771702"/>
    <n v="1095534.8467203521"/>
    <n v="1095534.8467203521"/>
    <n v="0"/>
    <n v="1095534.8467203521"/>
    <x v="0"/>
  </r>
  <r>
    <x v="14"/>
    <s v=""/>
    <n v="0"/>
    <n v="0"/>
    <x v="1"/>
    <s v="Østdanmark"/>
    <n v="229215.13358867078"/>
    <n v="229215.13358867078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1"/>
    <s v="Østdanmark"/>
    <n v="98055.31431785204"/>
    <n v="0"/>
    <n v="0"/>
    <m/>
    <n v="0"/>
    <n v="0"/>
    <n v="0"/>
    <n v="0"/>
    <n v="98055.31431785204"/>
    <n v="0"/>
    <n v="0"/>
    <n v="0"/>
    <n v="0"/>
    <n v="0"/>
    <n v="0"/>
    <n v="0"/>
    <n v="0"/>
    <n v="0"/>
    <n v="0"/>
    <x v="0"/>
  </r>
  <r>
    <x v="16"/>
    <s v="Halm og strå"/>
    <n v="1"/>
    <n v="0"/>
    <x v="1"/>
    <s v="Østdanmark"/>
    <n v="675411.68414554815"/>
    <n v="65382.695454513305"/>
    <n v="96176.474947143986"/>
    <m/>
    <n v="0"/>
    <n v="0"/>
    <n v="513852.51374389092"/>
    <n v="0"/>
    <n v="0"/>
    <n v="0"/>
    <n v="513852.51374389092"/>
    <n v="0"/>
    <n v="5.3110800689342366"/>
    <n v="0"/>
    <n v="5.3110800689342366"/>
    <n v="0"/>
    <n v="436774.63668230729"/>
    <n v="0"/>
    <n v="436774.63668230729"/>
    <x v="0"/>
  </r>
  <r>
    <x v="17"/>
    <s v="Bionedbrydeligt affald"/>
    <n v="1"/>
    <n v="0"/>
    <x v="1"/>
    <s v="Østdanmark"/>
    <n v="456074.89013160887"/>
    <n v="0"/>
    <n v="0"/>
    <m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n v="1"/>
    <x v="1"/>
    <s v="Østdanmark"/>
    <n v="0"/>
    <n v="327310.07589895441"/>
    <n v="0"/>
    <m/>
    <n v="0"/>
    <n v="0"/>
    <n v="0"/>
    <n v="0"/>
    <n v="-327310.07589895441"/>
    <n v="0"/>
    <n v="0"/>
    <n v="0"/>
    <n v="0"/>
    <n v="0"/>
    <n v="0"/>
    <n v="0"/>
    <n v="0"/>
    <n v="0"/>
    <n v="0"/>
    <x v="1"/>
  </r>
  <r>
    <x v="19"/>
    <s v="Bionedbrydeligt affald"/>
    <n v="1"/>
    <n v="0"/>
    <x v="1"/>
    <s v="Østdanmark"/>
    <n v="198283.69095791626"/>
    <n v="0"/>
    <n v="0"/>
    <m/>
    <n v="0"/>
    <n v="0"/>
    <n v="0"/>
    <n v="0"/>
    <n v="198283.69095791626"/>
    <n v="198283.69095791626"/>
    <n v="0"/>
    <n v="0.85918900980047574"/>
    <n v="0.85918900980047574"/>
    <n v="0"/>
    <n v="0.85918900980047574"/>
    <n v="83279.150202324832"/>
    <n v="83279.150202324832"/>
    <n v="0"/>
    <n v="83279.150202324832"/>
    <x v="0"/>
  </r>
  <r>
    <x v="20"/>
    <s v=""/>
    <n v="0"/>
    <n v="0"/>
    <x v="1"/>
    <s v="Østdanmark"/>
    <n v="205340.3536719332"/>
    <n v="0"/>
    <n v="0"/>
    <m/>
    <n v="0"/>
    <n v="0"/>
    <n v="0"/>
    <n v="0"/>
    <n v="205340.3536719332"/>
    <n v="0"/>
    <n v="0"/>
    <n v="0"/>
    <n v="0"/>
    <n v="0"/>
    <n v="0"/>
    <n v="0"/>
    <n v="0"/>
    <n v="0"/>
    <n v="0"/>
    <x v="0"/>
  </r>
  <r>
    <x v="21"/>
    <s v=""/>
    <n v="0"/>
    <n v="1"/>
    <x v="1"/>
    <s v="Østdanmark"/>
    <n v="757571.37538443948"/>
    <n v="98640.569199997146"/>
    <n v="0"/>
    <m/>
    <n v="0"/>
    <n v="0"/>
    <n v="0"/>
    <n v="0"/>
    <n v="658930.80618444236"/>
    <n v="0"/>
    <n v="0"/>
    <n v="0"/>
    <n v="0"/>
    <n v="0"/>
    <n v="0"/>
    <n v="0"/>
    <n v="0"/>
    <n v="0"/>
    <n v="0"/>
    <x v="0"/>
  </r>
  <r>
    <x v="22"/>
    <s v="Halm og strå"/>
    <n v="1"/>
    <n v="1"/>
    <x v="1"/>
    <s v="Østdanmark"/>
    <n v="1426697.7169863379"/>
    <n v="420737.76566977677"/>
    <n v="0"/>
    <m/>
    <n v="0"/>
    <n v="0"/>
    <n v="0"/>
    <n v="0"/>
    <n v="1005959.9513165611"/>
    <n v="1005959.9513165611"/>
    <n v="0"/>
    <n v="3.4452719988660379"/>
    <n v="3.4452719988660379"/>
    <n v="0"/>
    <n v="3.4452719988660379"/>
    <n v="311847.58490813395"/>
    <n v="311847.58490813395"/>
    <n v="0"/>
    <n v="311847.58490813395"/>
    <x v="0"/>
  </r>
  <r>
    <x v="23"/>
    <s v=""/>
    <n v="0"/>
    <n v="0"/>
    <x v="1"/>
    <s v="Østdanmark"/>
    <n v="0"/>
    <n v="0"/>
    <n v="0"/>
    <m/>
    <n v="0"/>
    <n v="352682.42266556359"/>
    <n v="0"/>
    <n v="0"/>
    <n v="-352682.42266556359"/>
    <n v="0"/>
    <n v="0"/>
    <n v="0"/>
    <n v="0"/>
    <n v="0"/>
    <n v="0"/>
    <n v="0"/>
    <n v="0"/>
    <n v="0"/>
    <n v="0"/>
    <x v="1"/>
  </r>
  <r>
    <x v="24"/>
    <s v="Husdyrgødning"/>
    <n v="1"/>
    <n v="0"/>
    <x v="1"/>
    <s v="Østdanmark"/>
    <n v="431286.20272258902"/>
    <n v="0"/>
    <n v="0"/>
    <m/>
    <n v="323464.65204194176"/>
    <n v="107821.55068064725"/>
    <n v="0"/>
    <n v="0"/>
    <n v="0"/>
    <n v="0"/>
    <n v="323464.65204194176"/>
    <n v="0"/>
    <n v="0.16373457221711052"/>
    <n v="0.16373457221711052"/>
    <n v="0"/>
    <n v="0"/>
    <n v="24583.313555187575"/>
    <n v="24583.313555187575"/>
    <n v="0"/>
    <x v="0"/>
  </r>
  <r>
    <x v="25"/>
    <s v=""/>
    <n v="0"/>
    <n v="0"/>
    <x v="1"/>
    <s v="Østdanmark"/>
    <n v="50222.397196773512"/>
    <n v="102747.43013377195"/>
    <n v="0"/>
    <m/>
    <n v="0"/>
    <n v="0"/>
    <n v="0"/>
    <n v="0"/>
    <n v="-52525.032936998439"/>
    <n v="0"/>
    <n v="0"/>
    <n v="0"/>
    <n v="0"/>
    <n v="0"/>
    <n v="0"/>
    <n v="0"/>
    <n v="0"/>
    <n v="0"/>
    <n v="0"/>
    <x v="1"/>
  </r>
  <r>
    <x v="26"/>
    <s v="Græs og urter"/>
    <n v="1"/>
    <n v="1"/>
    <x v="1"/>
    <s v="Østdanmark"/>
    <n v="1224051.0749297491"/>
    <n v="406751.99046612647"/>
    <n v="0"/>
    <m/>
    <n v="0"/>
    <n v="0"/>
    <n v="0"/>
    <n v="0"/>
    <n v="817299.08446362265"/>
    <n v="817299.08446362265"/>
    <n v="0"/>
    <n v="2.9341037132244057"/>
    <n v="2.9341037132244057"/>
    <n v="0"/>
    <n v="2.9341037132244057"/>
    <n v="245189.72533908678"/>
    <n v="245189.72533908678"/>
    <n v="0"/>
    <n v="245189.72533908678"/>
    <x v="0"/>
  </r>
  <r>
    <x v="27"/>
    <s v=""/>
    <n v="0"/>
    <n v="1"/>
    <x v="1"/>
    <s v="Østdanmark"/>
    <n v="96903.161700864599"/>
    <n v="0"/>
    <n v="0"/>
    <m/>
    <n v="0"/>
    <n v="0"/>
    <n v="0"/>
    <n v="0"/>
    <n v="96903.161700864599"/>
    <n v="0"/>
    <n v="0"/>
    <n v="0"/>
    <n v="0"/>
    <n v="0"/>
    <n v="0"/>
    <n v="0"/>
    <n v="0"/>
    <n v="0"/>
    <n v="0"/>
    <x v="0"/>
  </r>
  <r>
    <x v="28"/>
    <s v="Havbiomasse"/>
    <n v="1"/>
    <n v="1"/>
    <x v="1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1"/>
    <s v="Østdanmark"/>
    <n v="6251.0678007025454"/>
    <n v="0"/>
    <n v="0"/>
    <m/>
    <n v="0"/>
    <n v="0"/>
    <n v="0"/>
    <n v="0"/>
    <n v="6251.0678007025454"/>
    <n v="0"/>
    <n v="0"/>
    <n v="0"/>
    <n v="0"/>
    <n v="0"/>
    <n v="0"/>
    <n v="0"/>
    <n v="0"/>
    <n v="0"/>
    <n v="0"/>
    <x v="0"/>
  </r>
  <r>
    <x v="30"/>
    <s v=""/>
    <n v="0"/>
    <n v="1"/>
    <x v="1"/>
    <s v="Østdanmark"/>
    <n v="311483.30240974069"/>
    <n v="0"/>
    <n v="0"/>
    <m/>
    <n v="0"/>
    <n v="0"/>
    <n v="0"/>
    <n v="0"/>
    <n v="311483.30240974069"/>
    <n v="0"/>
    <n v="0"/>
    <n v="0"/>
    <n v="0"/>
    <n v="0"/>
    <n v="0"/>
    <n v="0"/>
    <n v="0"/>
    <n v="0"/>
    <n v="0"/>
    <x v="0"/>
  </r>
  <r>
    <x v="31"/>
    <s v="Vedmasse"/>
    <n v="1"/>
    <n v="0"/>
    <x v="1"/>
    <s v="Østdanmark"/>
    <n v="272470.87062579964"/>
    <n v="0"/>
    <n v="0"/>
    <m/>
    <n v="0"/>
    <n v="0"/>
    <n v="272470.87062579964"/>
    <n v="0"/>
    <n v="0"/>
    <n v="0"/>
    <n v="272470.87062579964"/>
    <n v="0"/>
    <n v="5.0134640195147124"/>
    <n v="0"/>
    <n v="5.0134640195147124"/>
    <n v="0"/>
    <n v="113075.41130970686"/>
    <n v="0"/>
    <n v="113075.41130970686"/>
    <x v="0"/>
  </r>
  <r>
    <x v="32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1"/>
    <s v="Østdanmark"/>
    <n v="150898.00912578267"/>
    <n v="0"/>
    <n v="0"/>
    <m/>
    <n v="0"/>
    <n v="0"/>
    <n v="0"/>
    <n v="0"/>
    <n v="150898.00912578267"/>
    <n v="0"/>
    <n v="0"/>
    <n v="0"/>
    <n v="0"/>
    <n v="0"/>
    <n v="0"/>
    <n v="0"/>
    <n v="0"/>
    <n v="0"/>
    <n v="0"/>
    <x v="0"/>
  </r>
  <r>
    <x v="35"/>
    <s v=""/>
    <n v="0"/>
    <n v="0"/>
    <x v="1"/>
    <s v="Østdanmark"/>
    <n v="225804.31636026004"/>
    <n v="0"/>
    <n v="0"/>
    <m/>
    <n v="0"/>
    <n v="0"/>
    <n v="0"/>
    <n v="225804.31636026004"/>
    <n v="0"/>
    <n v="0"/>
    <n v="0"/>
    <n v="0"/>
    <n v="0"/>
    <n v="0"/>
    <n v="0"/>
    <n v="0"/>
    <n v="0"/>
    <n v="0"/>
    <n v="0"/>
    <x v="0"/>
  </r>
  <r>
    <x v="36"/>
    <s v=""/>
    <n v="0"/>
    <n v="0"/>
    <x v="1"/>
    <s v="Østdanmark"/>
    <n v="112902.15818013002"/>
    <n v="38968.871949734763"/>
    <n v="0"/>
    <m/>
    <n v="0"/>
    <n v="0"/>
    <n v="0"/>
    <n v="0"/>
    <n v="73933.286230395257"/>
    <n v="0"/>
    <n v="0"/>
    <n v="0"/>
    <n v="0"/>
    <n v="0"/>
    <n v="0"/>
    <n v="0"/>
    <n v="0"/>
    <n v="0"/>
    <n v="0"/>
    <x v="0"/>
  </r>
  <r>
    <x v="37"/>
    <s v="Rapsolie"/>
    <n v="1"/>
    <n v="1"/>
    <x v="1"/>
    <s v="Østdanmark"/>
    <n v="72257.381235283217"/>
    <n v="0"/>
    <n v="0"/>
    <m/>
    <n v="0"/>
    <n v="0"/>
    <n v="72257.381235283217"/>
    <n v="0"/>
    <n v="0"/>
    <n v="0"/>
    <n v="72257.381235283217"/>
    <n v="0"/>
    <n v="2.5290083432349122"/>
    <n v="0"/>
    <n v="2.5290083432349122"/>
    <n v="0"/>
    <n v="0"/>
    <n v="0"/>
    <n v="0"/>
    <x v="0"/>
  </r>
  <r>
    <x v="38"/>
    <s v="Græs og urter"/>
    <n v="1"/>
    <n v="1"/>
    <x v="1"/>
    <s v="Østdanmark"/>
    <n v="898519.08431343141"/>
    <n v="88382.829307445863"/>
    <n v="0"/>
    <m/>
    <n v="0"/>
    <n v="0"/>
    <n v="0"/>
    <n v="0"/>
    <n v="810136.2550059855"/>
    <n v="810136.2550059855"/>
    <n v="0"/>
    <n v="2.1987422015364451"/>
    <n v="2.1987422015364451"/>
    <n v="0"/>
    <n v="2.1987422015364451"/>
    <n v="162027.25100119712"/>
    <n v="162027.25100119712"/>
    <n v="0"/>
    <n v="162027.25100119712"/>
    <x v="0"/>
  </r>
  <r>
    <x v="39"/>
    <s v=""/>
    <n v="0"/>
    <n v="0"/>
    <x v="1"/>
    <s v="Østdanmark"/>
    <n v="20679.493484661682"/>
    <n v="0"/>
    <n v="0"/>
    <m/>
    <n v="0"/>
    <n v="0"/>
    <n v="0"/>
    <n v="0"/>
    <n v="20679.493484661682"/>
    <n v="0"/>
    <n v="0"/>
    <n v="0"/>
    <n v="0"/>
    <n v="0"/>
    <n v="0"/>
    <n v="0"/>
    <n v="0"/>
    <n v="0"/>
    <n v="0"/>
    <x v="0"/>
  </r>
  <r>
    <x v="40"/>
    <s v=""/>
    <n v="0"/>
    <n v="0"/>
    <x v="1"/>
    <s v="Østdanmark"/>
    <n v="17189.631072576431"/>
    <n v="5182.7698392938037"/>
    <n v="0"/>
    <m/>
    <n v="0"/>
    <n v="0"/>
    <n v="0"/>
    <n v="0"/>
    <n v="12006.861233282627"/>
    <n v="0"/>
    <n v="0"/>
    <n v="0"/>
    <n v="0"/>
    <n v="0"/>
    <n v="0"/>
    <n v="0"/>
    <n v="0"/>
    <n v="0"/>
    <n v="0"/>
    <x v="0"/>
  </r>
  <r>
    <x v="41"/>
    <s v="Bionedbrydeligt affald"/>
    <n v="1"/>
    <n v="0"/>
    <x v="1"/>
    <s v="Østdanmark"/>
    <n v="3339172.5135239428"/>
    <n v="0"/>
    <n v="0"/>
    <m/>
    <n v="1266377.3160230415"/>
    <n v="0"/>
    <n v="0"/>
    <n v="0"/>
    <n v="2072795.1975009013"/>
    <n v="2072795.1975009013"/>
    <n v="1266377.3160230415"/>
    <n v="1.0343455315049248"/>
    <n v="1.6662804759735828"/>
    <n v="0.63193494446865806"/>
    <n v="1.0343455315049246"/>
    <n v="124367.71185005407"/>
    <n v="200350.35081143657"/>
    <n v="75982.638961382487"/>
    <n v="124367.71185005408"/>
    <x v="0"/>
  </r>
  <r>
    <x v="42"/>
    <s v="Husdyrgødning"/>
    <n v="1"/>
    <n v="0"/>
    <x v="1"/>
    <s v="Østdanmark"/>
    <n v="2076065.2002197129"/>
    <n v="0"/>
    <n v="0"/>
    <m/>
    <n v="1557048.9001647846"/>
    <n v="519016.30005492823"/>
    <n v="0"/>
    <n v="0"/>
    <n v="0"/>
    <n v="0"/>
    <n v="1557048.9001647846"/>
    <n v="0"/>
    <n v="0.6707766661909893"/>
    <n v="0.6707766661909893"/>
    <n v="0"/>
    <n v="0"/>
    <n v="77852.445008239229"/>
    <n v="77852.445008239229"/>
    <n v="0"/>
    <x v="0"/>
  </r>
  <r>
    <x v="43"/>
    <s v=""/>
    <n v="0"/>
    <n v="1"/>
    <x v="1"/>
    <s v="Østdanmark"/>
    <n v="188256.52671213137"/>
    <n v="0"/>
    <n v="0"/>
    <m/>
    <n v="0"/>
    <n v="0"/>
    <n v="0"/>
    <n v="0"/>
    <n v="188256.52671213137"/>
    <n v="0"/>
    <n v="0"/>
    <n v="0"/>
    <n v="0"/>
    <n v="0"/>
    <n v="0"/>
    <n v="0"/>
    <n v="0"/>
    <n v="0"/>
    <n v="0"/>
    <x v="0"/>
  </r>
  <r>
    <x v="44"/>
    <s v="Havbiomasse"/>
    <n v="1"/>
    <n v="1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1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1"/>
    <s v="Østdanmark"/>
    <n v="646548.74657684658"/>
    <n v="0"/>
    <n v="0"/>
    <m/>
    <n v="0"/>
    <n v="0"/>
    <n v="646548.74657684658"/>
    <n v="0"/>
    <n v="0"/>
    <n v="0"/>
    <n v="646548.74657684658"/>
    <n v="0"/>
    <n v="9.3707988062214476"/>
    <n v="0"/>
    <n v="9.3707988062214476"/>
    <n v="0"/>
    <n v="319772.23424446536"/>
    <n v="0"/>
    <n v="319772.23424446536"/>
    <x v="0"/>
  </r>
  <r>
    <x v="47"/>
    <s v=""/>
    <n v="0"/>
    <n v="0"/>
    <x v="1"/>
    <s v="Østdanmark"/>
    <n v="178296.99682560615"/>
    <n v="0"/>
    <n v="0"/>
    <m/>
    <n v="0"/>
    <n v="0"/>
    <n v="0"/>
    <n v="178296.99682560615"/>
    <n v="0"/>
    <n v="0"/>
    <n v="0"/>
    <n v="0"/>
    <n v="0"/>
    <n v="0"/>
    <n v="0"/>
    <n v="0"/>
    <n v="0"/>
    <n v="0"/>
    <n v="0"/>
    <x v="0"/>
  </r>
  <r>
    <x v="0"/>
    <s v=""/>
    <n v="0"/>
    <n v="1"/>
    <x v="2"/>
    <s v="Østdanmark"/>
    <n v="8172.3709275385399"/>
    <n v="0"/>
    <n v="0"/>
    <m/>
    <n v="0"/>
    <n v="0"/>
    <n v="0"/>
    <n v="0"/>
    <n v="8172.3709275385399"/>
    <n v="0"/>
    <n v="0"/>
    <n v="0"/>
    <n v="0"/>
    <n v="0"/>
    <n v="0"/>
    <n v="0"/>
    <n v="0"/>
    <n v="0"/>
    <n v="0"/>
    <x v="0"/>
  </r>
  <r>
    <x v="1"/>
    <s v=""/>
    <n v="0"/>
    <n v="1"/>
    <x v="2"/>
    <s v="Østdanmark"/>
    <n v="222547.77389902543"/>
    <n v="5365.8998488810739"/>
    <n v="0"/>
    <m/>
    <n v="0"/>
    <n v="0"/>
    <n v="0"/>
    <n v="0"/>
    <n v="217181.87405014437"/>
    <n v="0"/>
    <n v="0"/>
    <n v="0"/>
    <n v="0"/>
    <n v="0"/>
    <n v="0"/>
    <n v="0"/>
    <n v="0"/>
    <n v="0"/>
    <n v="0"/>
    <x v="0"/>
  </r>
  <r>
    <x v="2"/>
    <s v="Bionedbrydeligt affald"/>
    <n v="1"/>
    <n v="0"/>
    <x v="2"/>
    <s v="Østdanmark"/>
    <n v="172292.68030975034"/>
    <n v="0"/>
    <n v="0"/>
    <m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n v="0"/>
    <x v="2"/>
    <s v="Østdanmark"/>
    <n v="74477877.175066754"/>
    <n v="0"/>
    <n v="0"/>
    <m/>
    <n v="0"/>
    <n v="0"/>
    <n v="74477877.175066754"/>
    <n v="0"/>
    <n v="0"/>
    <n v="0"/>
    <n v="74477877.175066754"/>
    <n v="0"/>
    <n v="0"/>
    <n v="0"/>
    <n v="0"/>
    <n v="0"/>
    <n v="0"/>
    <n v="0"/>
    <n v="0"/>
    <x v="0"/>
  </r>
  <r>
    <x v="4"/>
    <s v=""/>
    <n v="0"/>
    <n v="0"/>
    <x v="2"/>
    <s v="Østdanmark"/>
    <n v="2991109.452383338"/>
    <n v="0"/>
    <n v="0"/>
    <m/>
    <n v="0"/>
    <n v="81858.543893972019"/>
    <n v="0"/>
    <n v="0"/>
    <n v="2909250.9084893661"/>
    <n v="0"/>
    <n v="0"/>
    <n v="0"/>
    <n v="0"/>
    <n v="0"/>
    <n v="0"/>
    <n v="0"/>
    <n v="0"/>
    <n v="0"/>
    <n v="0"/>
    <x v="0"/>
  </r>
  <r>
    <x v="5"/>
    <s v="Bionedbrydeligt affald"/>
    <n v="1"/>
    <n v="0"/>
    <x v="2"/>
    <s v="Østdanmark"/>
    <n v="1495057.7438579726"/>
    <n v="0"/>
    <n v="0"/>
    <m/>
    <n v="1345551.9694721752"/>
    <n v="0"/>
    <n v="0"/>
    <n v="0"/>
    <n v="149505.77438579733"/>
    <n v="149505.77438579733"/>
    <n v="1345551.9694721752"/>
    <n v="8.4923178504119914E-2"/>
    <n v="0.84923178504119867"/>
    <n v="0.76430860653707877"/>
    <n v="8.4923178504119901E-2"/>
    <n v="6393.3733722893849"/>
    <n v="63933.73372289382"/>
    <n v="57540.360350604431"/>
    <n v="6393.3733722893885"/>
    <x v="0"/>
  </r>
  <r>
    <x v="6"/>
    <s v="Husdyrgødning"/>
    <n v="1"/>
    <n v="0"/>
    <x v="2"/>
    <s v="Østdanmark"/>
    <n v="642682.86193424952"/>
    <n v="0"/>
    <n v="0"/>
    <m/>
    <n v="578414.57574082457"/>
    <n v="24330.136916082298"/>
    <n v="0"/>
    <n v="0"/>
    <n v="39938.1492773426"/>
    <n v="39938.1492773426"/>
    <n v="578414.57574082457"/>
    <n v="8.6026773543395968E-2"/>
    <n v="1.3319317696891322"/>
    <n v="1.2459049961457362"/>
    <n v="8.602677354339594E-2"/>
    <n v="11981.44478320278"/>
    <n v="185505.81750545013"/>
    <n v="173524.37272224735"/>
    <n v="11981.44478320278"/>
    <x v="0"/>
  </r>
  <r>
    <x v="7"/>
    <s v=""/>
    <n v="0"/>
    <n v="0"/>
    <x v="2"/>
    <s v="Østdanmark"/>
    <n v="1053026.2024947219"/>
    <n v="1052867.5549564718"/>
    <n v="0"/>
    <m/>
    <n v="0"/>
    <n v="0"/>
    <n v="0"/>
    <n v="0"/>
    <n v="158.64753825007938"/>
    <n v="0"/>
    <n v="0"/>
    <n v="0"/>
    <n v="0"/>
    <n v="0"/>
    <n v="0"/>
    <n v="0"/>
    <n v="0"/>
    <n v="0"/>
    <n v="0"/>
    <x v="0"/>
  </r>
  <r>
    <x v="8"/>
    <s v="Husdyrgødning"/>
    <n v="1"/>
    <n v="0"/>
    <x v="2"/>
    <s v="Østdanmark"/>
    <n v="1178.8787785976031"/>
    <n v="0"/>
    <n v="0"/>
    <m/>
    <n v="1060.9909007378428"/>
    <n v="117.88787785976028"/>
    <n v="0"/>
    <n v="0"/>
    <n v="0"/>
    <n v="0"/>
    <n v="1060.9909007378428"/>
    <n v="0"/>
    <n v="4.9897341070800016E-4"/>
    <n v="4.9897341070800016E-4"/>
    <n v="0"/>
    <n v="0"/>
    <n v="66.842426746484094"/>
    <n v="66.842426746484094"/>
    <n v="0"/>
    <x v="0"/>
  </r>
  <r>
    <x v="9"/>
    <s v=""/>
    <n v="0"/>
    <n v="1"/>
    <x v="2"/>
    <s v="Østdanmark"/>
    <n v="1259.2854048567958"/>
    <n v="0"/>
    <n v="0"/>
    <m/>
    <n v="0"/>
    <n v="0"/>
    <n v="0"/>
    <n v="0"/>
    <n v="1259.2854048567958"/>
    <n v="0"/>
    <n v="0"/>
    <n v="0"/>
    <n v="0"/>
    <n v="0"/>
    <n v="0"/>
    <n v="0"/>
    <n v="0"/>
    <n v="0"/>
    <n v="0"/>
    <x v="0"/>
  </r>
  <r>
    <x v="10"/>
    <s v=""/>
    <n v="0"/>
    <n v="0"/>
    <x v="2"/>
    <s v="Østdanmark"/>
    <n v="20896.559297118682"/>
    <n v="0"/>
    <n v="0"/>
    <m/>
    <n v="0"/>
    <n v="0"/>
    <n v="0"/>
    <n v="0"/>
    <n v="20896.559297118682"/>
    <n v="0"/>
    <n v="0"/>
    <n v="0"/>
    <n v="0"/>
    <n v="0"/>
    <n v="0"/>
    <n v="0"/>
    <n v="0"/>
    <n v="0"/>
    <n v="0"/>
    <x v="0"/>
  </r>
  <r>
    <x v="11"/>
    <s v=""/>
    <n v="0"/>
    <n v="1"/>
    <x v="2"/>
    <s v="Østdanmark"/>
    <n v="257689.18202978774"/>
    <n v="0"/>
    <n v="0"/>
    <m/>
    <n v="0"/>
    <n v="0"/>
    <n v="0"/>
    <n v="0"/>
    <n v="257689.18202978774"/>
    <n v="0"/>
    <n v="0"/>
    <n v="0"/>
    <n v="0"/>
    <n v="0"/>
    <n v="0"/>
    <n v="0"/>
    <n v="0"/>
    <n v="0"/>
    <n v="0"/>
    <x v="0"/>
  </r>
  <r>
    <x v="12"/>
    <s v="Glycerin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3"/>
    <s v="Græs og urter"/>
    <n v="1"/>
    <n v="0"/>
    <x v="2"/>
    <s v="Østdanmark"/>
    <n v="11397047.281261299"/>
    <n v="1018104.9699383936"/>
    <n v="0"/>
    <m/>
    <n v="0"/>
    <n v="0"/>
    <n v="0"/>
    <n v="3059553.8161358451"/>
    <n v="7319388.49518706"/>
    <n v="7319388.49518706"/>
    <n v="0"/>
    <n v="13.466759907582293"/>
    <n v="13.466759907582293"/>
    <n v="0"/>
    <n v="13.466759907582293"/>
    <n v="2049428.778652377"/>
    <n v="2049428.778652377"/>
    <n v="0"/>
    <n v="2049428.778652377"/>
    <x v="0"/>
  </r>
  <r>
    <x v="14"/>
    <s v=""/>
    <n v="0"/>
    <n v="0"/>
    <x v="2"/>
    <s v="Østdanmark"/>
    <n v="511469.86978315056"/>
    <n v="511469.86978315056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n v="1"/>
    <x v="2"/>
    <s v="Østdanmark"/>
    <n v="100376.66803290648"/>
    <n v="0"/>
    <n v="0"/>
    <m/>
    <n v="0"/>
    <n v="0"/>
    <n v="0"/>
    <n v="0"/>
    <n v="100376.66803290648"/>
    <n v="0"/>
    <n v="0"/>
    <n v="0"/>
    <n v="0"/>
    <n v="0"/>
    <n v="0"/>
    <n v="0"/>
    <n v="0"/>
    <n v="0"/>
    <n v="0"/>
    <x v="0"/>
  </r>
  <r>
    <x v="16"/>
    <s v="Halm og strå"/>
    <n v="1"/>
    <n v="0"/>
    <x v="2"/>
    <s v="Østdanmark"/>
    <n v="237236.55198901493"/>
    <n v="28956.048343518098"/>
    <n v="73473.232241454796"/>
    <m/>
    <n v="0"/>
    <n v="0"/>
    <n v="128289.96787416932"/>
    <n v="0"/>
    <n v="6517.3035298727045"/>
    <n v="2.9103830456733704E-11"/>
    <n v="128289.96787416932"/>
    <n v="3.0081155532780002E-16"/>
    <n v="1.3259802632011835"/>
    <n v="0"/>
    <n v="1.3259802632011835"/>
    <n v="2.4738255888223647E-11"/>
    <n v="109046.47269304395"/>
    <n v="0"/>
    <n v="109046.47269304395"/>
    <x v="0"/>
  </r>
  <r>
    <x v="17"/>
    <s v="Bionedbrydeligt affald"/>
    <n v="1"/>
    <n v="0"/>
    <x v="2"/>
    <s v="Østdanmark"/>
    <n v="457927.02496060182"/>
    <n v="0"/>
    <n v="0"/>
    <m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n v="0"/>
    <x v="2"/>
    <s v="Østdanmark"/>
    <n v="187278.00650272256"/>
    <n v="0"/>
    <n v="0"/>
    <m/>
    <n v="0"/>
    <n v="0"/>
    <n v="0"/>
    <n v="0"/>
    <n v="187278.00650272256"/>
    <n v="187278.00650272256"/>
    <n v="0"/>
    <n v="0.81149994831714234"/>
    <n v="0.81149994831714234"/>
    <n v="0"/>
    <n v="0.81149994831714234"/>
    <n v="78656.762731143477"/>
    <n v="78656.762731143477"/>
    <n v="0"/>
    <n v="78656.762731143477"/>
    <x v="0"/>
  </r>
  <r>
    <x v="20"/>
    <s v=""/>
    <n v="0"/>
    <n v="0"/>
    <x v="2"/>
    <s v="Østdanmark"/>
    <n v="128654.0299653736"/>
    <n v="0"/>
    <n v="0"/>
    <m/>
    <n v="0"/>
    <n v="0"/>
    <n v="0"/>
    <n v="0"/>
    <n v="128654.0299653736"/>
    <n v="0"/>
    <n v="0"/>
    <n v="0"/>
    <n v="0"/>
    <n v="0"/>
    <n v="0"/>
    <n v="0"/>
    <n v="0"/>
    <n v="0"/>
    <n v="0"/>
    <x v="0"/>
  </r>
  <r>
    <x v="21"/>
    <s v=""/>
    <n v="0"/>
    <n v="1"/>
    <x v="2"/>
    <s v="Østdanmark"/>
    <n v="777428.93272593827"/>
    <n v="220106.23074563002"/>
    <n v="0"/>
    <m/>
    <n v="0"/>
    <n v="0"/>
    <n v="0"/>
    <n v="0"/>
    <n v="557322.70198030828"/>
    <n v="0"/>
    <n v="0"/>
    <n v="0"/>
    <n v="0"/>
    <n v="0"/>
    <n v="0"/>
    <n v="0"/>
    <n v="0"/>
    <n v="0"/>
    <n v="0"/>
    <x v="0"/>
  </r>
  <r>
    <x v="22"/>
    <s v="Halm og strå"/>
    <n v="1"/>
    <n v="1"/>
    <x v="2"/>
    <s v="Østdanmark"/>
    <n v="160350.24819795735"/>
    <n v="49529.771665708242"/>
    <n v="0"/>
    <m/>
    <n v="0"/>
    <n v="0"/>
    <n v="0"/>
    <n v="0"/>
    <n v="110820.4765322491"/>
    <n v="110820.4765322491"/>
    <n v="0"/>
    <n v="0.37954461725623873"/>
    <n v="0.37954461725623873"/>
    <n v="0"/>
    <n v="0.37954461725623873"/>
    <n v="34354.34772499722"/>
    <n v="34354.34772499722"/>
    <n v="0"/>
    <n v="34354.34772499722"/>
    <x v="0"/>
  </r>
  <r>
    <x v="23"/>
    <s v=""/>
    <n v="0"/>
    <n v="0"/>
    <x v="2"/>
    <s v="Østdanmark"/>
    <n v="0"/>
    <n v="0"/>
    <n v="0"/>
    <m/>
    <n v="0"/>
    <n v="351154.23536016268"/>
    <n v="0"/>
    <n v="0"/>
    <n v="-351154.23536016268"/>
    <n v="0"/>
    <n v="0"/>
    <n v="0"/>
    <n v="0"/>
    <n v="0"/>
    <n v="0"/>
    <n v="0"/>
    <n v="0"/>
    <n v="0"/>
    <n v="0"/>
    <x v="1"/>
  </r>
  <r>
    <x v="24"/>
    <s v="Husdyrgødning"/>
    <n v="1"/>
    <n v="0"/>
    <x v="2"/>
    <s v="Østdanmark"/>
    <n v="4885.9701831397151"/>
    <n v="0"/>
    <n v="0"/>
    <m/>
    <n v="4397.3731648257435"/>
    <n v="488.59701831397138"/>
    <n v="0"/>
    <n v="0"/>
    <n v="0"/>
    <n v="0"/>
    <n v="4397.3731648257435"/>
    <n v="0"/>
    <n v="2.2259063223031435E-3"/>
    <n v="2.2259063223031435E-3"/>
    <n v="0"/>
    <n v="0"/>
    <n v="334.20036052675653"/>
    <n v="334.20036052675653"/>
    <n v="0"/>
    <x v="0"/>
  </r>
  <r>
    <x v="25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6"/>
    <s v="Græs og urter"/>
    <n v="1"/>
    <n v="1"/>
    <x v="2"/>
    <s v="Østdanmark"/>
    <n v="170724.37456200234"/>
    <n v="51926.585742627525"/>
    <n v="0"/>
    <m/>
    <n v="0"/>
    <n v="0"/>
    <n v="0"/>
    <n v="0"/>
    <n v="118797.78881937481"/>
    <n v="118797.78881937481"/>
    <n v="0"/>
    <n v="0.42648406186155557"/>
    <n v="0.42648406186155557"/>
    <n v="0"/>
    <n v="0.42648406186155557"/>
    <n v="35639.336645812444"/>
    <n v="35639.336645812444"/>
    <n v="0"/>
    <n v="35639.336645812444"/>
    <x v="0"/>
  </r>
  <r>
    <x v="27"/>
    <s v=""/>
    <n v="0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28"/>
    <s v="Havbiomasse"/>
    <n v="1"/>
    <n v="1"/>
    <x v="2"/>
    <s v="Østdanmark"/>
    <n v="1.1976865502381491"/>
    <n v="0"/>
    <n v="0"/>
    <m/>
    <n v="0"/>
    <n v="0"/>
    <n v="0"/>
    <n v="0"/>
    <n v="1.1976865502381491"/>
    <n v="1.1976865502381491"/>
    <n v="0"/>
    <n v="1.0749236788387388E-6"/>
    <n v="1.0749236788387388E-6"/>
    <n v="0"/>
    <n v="1.0749236788387388E-6"/>
    <n v="0.17965298253572234"/>
    <n v="0.17965298253572234"/>
    <n v="0"/>
    <n v="0.17965298253572234"/>
    <x v="0"/>
  </r>
  <r>
    <x v="29"/>
    <s v=""/>
    <n v="0"/>
    <n v="1"/>
    <x v="2"/>
    <s v="Østdanmark"/>
    <n v="278.2619831544028"/>
    <n v="0"/>
    <n v="0"/>
    <m/>
    <n v="0"/>
    <n v="0"/>
    <n v="0"/>
    <n v="0"/>
    <n v="278.2619831544028"/>
    <n v="0"/>
    <n v="0"/>
    <n v="0"/>
    <n v="0"/>
    <n v="0"/>
    <n v="0"/>
    <n v="0"/>
    <n v="0"/>
    <n v="0"/>
    <n v="0"/>
    <x v="0"/>
  </r>
  <r>
    <x v="30"/>
    <s v=""/>
    <n v="0"/>
    <n v="1"/>
    <x v="2"/>
    <s v="Østdanmark"/>
    <n v="30169.993972883625"/>
    <n v="0"/>
    <n v="0"/>
    <m/>
    <n v="0"/>
    <n v="0"/>
    <n v="0"/>
    <n v="0"/>
    <n v="30169.993972883625"/>
    <n v="0"/>
    <n v="0"/>
    <n v="0"/>
    <n v="0"/>
    <n v="0"/>
    <n v="0"/>
    <n v="0"/>
    <n v="0"/>
    <n v="0"/>
    <n v="0"/>
    <x v="0"/>
  </r>
  <r>
    <x v="31"/>
    <s v="Vedmasse"/>
    <n v="1"/>
    <n v="0"/>
    <x v="2"/>
    <s v="Østdanmark"/>
    <n v="437726.22620455944"/>
    <n v="0"/>
    <n v="0"/>
    <m/>
    <n v="0"/>
    <n v="0"/>
    <n v="437726.22620455944"/>
    <n v="0"/>
    <n v="0"/>
    <n v="0"/>
    <n v="437726.22620455944"/>
    <n v="0"/>
    <n v="8.0541625621638921"/>
    <n v="0"/>
    <n v="8.0541625621638921"/>
    <n v="0"/>
    <n v="181656.38387489217"/>
    <n v="0"/>
    <n v="181656.38387489217"/>
    <x v="0"/>
  </r>
  <r>
    <x v="32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35"/>
    <s v=""/>
    <n v="0"/>
    <n v="0"/>
    <x v="2"/>
    <s v="Østdanmark"/>
    <n v="215982.61635398451"/>
    <n v="0"/>
    <n v="0"/>
    <m/>
    <n v="0"/>
    <n v="0"/>
    <n v="0"/>
    <n v="215982.61635398451"/>
    <n v="0"/>
    <n v="0"/>
    <n v="0"/>
    <n v="0"/>
    <n v="0"/>
    <n v="0"/>
    <n v="0"/>
    <n v="0"/>
    <n v="0"/>
    <n v="0"/>
    <n v="0"/>
    <x v="0"/>
  </r>
  <r>
    <x v="36"/>
    <s v=""/>
    <n v="0"/>
    <n v="0"/>
    <x v="2"/>
    <s v="Østdanmark"/>
    <n v="107991.30817699226"/>
    <n v="54569.905755399974"/>
    <n v="0"/>
    <m/>
    <n v="0"/>
    <n v="0"/>
    <n v="0"/>
    <n v="0"/>
    <n v="53421.402421592284"/>
    <n v="0"/>
    <n v="0"/>
    <n v="0"/>
    <n v="0"/>
    <n v="0"/>
    <n v="0"/>
    <n v="0"/>
    <n v="0"/>
    <n v="0"/>
    <n v="0"/>
    <x v="1"/>
  </r>
  <r>
    <x v="37"/>
    <s v="Rapsolie"/>
    <n v="1"/>
    <n v="1"/>
    <x v="2"/>
    <s v="Østdanmark"/>
    <n v="69114.43723327505"/>
    <n v="0"/>
    <n v="0"/>
    <m/>
    <n v="0"/>
    <n v="0"/>
    <n v="69114.43723327505"/>
    <n v="0"/>
    <n v="0"/>
    <n v="0"/>
    <n v="69114.43723327505"/>
    <n v="0"/>
    <n v="2.4190053031646266"/>
    <n v="0"/>
    <n v="2.4190053031646266"/>
    <n v="0"/>
    <n v="0"/>
    <n v="0"/>
    <n v="0"/>
    <x v="0"/>
  </r>
  <r>
    <x v="38"/>
    <s v="Græs og urter"/>
    <n v="1"/>
    <n v="1"/>
    <x v="2"/>
    <s v="Østdanmark"/>
    <n v="914724.5674164847"/>
    <n v="69980.277195824005"/>
    <n v="0"/>
    <m/>
    <n v="0"/>
    <n v="0"/>
    <n v="0"/>
    <n v="0"/>
    <n v="844744.29022066074"/>
    <n v="844744.29022066074"/>
    <n v="0"/>
    <n v="2.2926697934304823"/>
    <n v="2.2926697934304823"/>
    <n v="0"/>
    <n v="2.2926697934304823"/>
    <n v="168948.85804413215"/>
    <n v="168948.85804413215"/>
    <n v="0"/>
    <n v="168948.85804413215"/>
    <x v="0"/>
  </r>
  <r>
    <x v="39"/>
    <s v=""/>
    <n v="0"/>
    <n v="0"/>
    <x v="2"/>
    <s v="Østdanmark"/>
    <n v="5178.4802809055018"/>
    <n v="0"/>
    <n v="0"/>
    <m/>
    <n v="0"/>
    <n v="0"/>
    <n v="0"/>
    <n v="0"/>
    <n v="5178.4802809055018"/>
    <n v="0"/>
    <n v="0"/>
    <n v="0"/>
    <n v="0"/>
    <n v="0"/>
    <n v="0"/>
    <n v="0"/>
    <n v="0"/>
    <n v="0"/>
    <n v="0"/>
    <x v="0"/>
  </r>
  <r>
    <x v="40"/>
    <s v=""/>
    <n v="0"/>
    <n v="0"/>
    <x v="2"/>
    <s v="Østdanmark"/>
    <n v="5080.5235511874698"/>
    <n v="5602.7040553433098"/>
    <n v="0"/>
    <m/>
    <n v="0"/>
    <n v="0"/>
    <n v="0"/>
    <n v="0"/>
    <n v="-522.18050415584003"/>
    <n v="0"/>
    <n v="0"/>
    <n v="0"/>
    <n v="0"/>
    <n v="0"/>
    <n v="0"/>
    <n v="0"/>
    <n v="0"/>
    <n v="0"/>
    <n v="0"/>
    <x v="1"/>
  </r>
  <r>
    <x v="41"/>
    <s v="Bionedbrydeligt affald"/>
    <n v="1"/>
    <n v="0"/>
    <x v="2"/>
    <s v="Østdanmark"/>
    <n v="3491788.2152479719"/>
    <n v="0"/>
    <n v="0"/>
    <m/>
    <n v="1324256.6444942397"/>
    <n v="0"/>
    <n v="0"/>
    <n v="0"/>
    <n v="2167531.5707537322"/>
    <n v="2167531.5707537322"/>
    <n v="1324256.6444942397"/>
    <n v="1.08161992912182"/>
    <n v="1.7424372372908907"/>
    <n v="0.66081730816907069"/>
    <n v="1.08161992912182"/>
    <n v="130051.89424522393"/>
    <n v="209507.29291487832"/>
    <n v="79455.398669654372"/>
    <n v="130051.89424522394"/>
    <x v="0"/>
  </r>
  <r>
    <x v="42"/>
    <s v="Husdyrgødning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3"/>
    <s v=""/>
    <n v="0"/>
    <n v="1"/>
    <x v="2"/>
    <s v="Østdanmark"/>
    <n v="56767.111740145512"/>
    <n v="0"/>
    <n v="0"/>
    <m/>
    <n v="0"/>
    <n v="0"/>
    <n v="0"/>
    <n v="0"/>
    <n v="56767.111740145512"/>
    <n v="0"/>
    <n v="0"/>
    <n v="0"/>
    <n v="0"/>
    <n v="0"/>
    <n v="0"/>
    <n v="0"/>
    <n v="0"/>
    <n v="0"/>
    <n v="0"/>
    <x v="0"/>
  </r>
  <r>
    <x v="44"/>
    <s v="Havbiomasse"/>
    <n v="1"/>
    <n v="1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5"/>
    <s v=""/>
    <n v="1"/>
    <n v="0"/>
    <x v="2"/>
    <s v="Østdanmark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n v="0"/>
    <x v="2"/>
    <s v="Østdanmark"/>
    <n v="611742.92957675515"/>
    <n v="0"/>
    <n v="0"/>
    <m/>
    <n v="0"/>
    <n v="0"/>
    <n v="611742.92957675515"/>
    <n v="0"/>
    <n v="0"/>
    <n v="0"/>
    <n v="611742.92957675515"/>
    <n v="0"/>
    <n v="8.8663382993828446"/>
    <n v="0"/>
    <n v="8.8663382993828446"/>
    <n v="0"/>
    <n v="302557.85725317016"/>
    <n v="0"/>
    <n v="302557.85725317016"/>
    <x v="0"/>
  </r>
  <r>
    <x v="47"/>
    <s v=""/>
    <n v="0"/>
    <n v="0"/>
    <x v="2"/>
    <s v="Østdanmark"/>
    <n v="176699.18645513742"/>
    <n v="0"/>
    <n v="0"/>
    <m/>
    <n v="0"/>
    <n v="0"/>
    <n v="0"/>
    <n v="176699.1864551374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53518.20843543066"/>
    <n v="3880162.6411323692"/>
    <n v="1360029.4887452812"/>
    <n v="1360029.4887452812"/>
  </r>
  <r>
    <x v="0"/>
    <x v="1"/>
    <x v="1"/>
    <s v="Konventionel"/>
    <x v="0"/>
    <s v="Halm"/>
    <n v="121069.71545865215"/>
    <n v="467329.10167039739"/>
    <n v="148988.75846218187"/>
    <n v="148988.75846218187"/>
  </r>
  <r>
    <x v="0"/>
    <x v="2"/>
    <x v="1"/>
    <s v="Konventionel"/>
    <x v="0"/>
    <s v="Halm"/>
    <n v="143784.0142759982"/>
    <n v="632649.66281439213"/>
    <n v="362862.00504546956"/>
    <n v="362862.00504546956"/>
  </r>
  <r>
    <x v="0"/>
    <x v="3"/>
    <x v="1"/>
    <s v="Konventionel"/>
    <x v="0"/>
    <s v="Græs"/>
    <n v="285623.05173795577"/>
    <n v="14172615.827237366"/>
    <n v="0"/>
    <n v="14172615.827237366"/>
  </r>
  <r>
    <x v="0"/>
    <x v="4"/>
    <x v="1"/>
    <s v="Konventionel"/>
    <x v="0"/>
    <s v="Grøntsager"/>
    <n v="11928.206902902208"/>
    <n v="247510.29323522083"/>
    <n v="0"/>
    <n v="247510.29323522083"/>
  </r>
  <r>
    <x v="0"/>
    <x v="5"/>
    <x v="1"/>
    <s v="Konventionel"/>
    <x v="0"/>
    <s v="Kartofler"/>
    <n v="50171.146455460723"/>
    <n v="2130813.7174496464"/>
    <n v="0"/>
    <n v="2130813.7174496464"/>
  </r>
  <r>
    <x v="0"/>
    <x v="6"/>
    <x v="1"/>
    <s v="Konventionel"/>
    <x v="0"/>
    <s v="Roer"/>
    <n v="30855.4450029535"/>
    <n v="2507120.0387474457"/>
    <n v="0"/>
    <n v="2507120.0387474457"/>
  </r>
  <r>
    <x v="0"/>
    <x v="7"/>
    <x v="1"/>
    <s v="Konventionel"/>
    <x v="0"/>
    <s v="Majs"/>
    <n v="74922.962243622984"/>
    <n v="3334821.0494636595"/>
    <n v="0"/>
    <n v="3334821.0494636595"/>
  </r>
  <r>
    <x v="0"/>
    <x v="8"/>
    <x v="1"/>
    <s v="Konventionel"/>
    <x v="0"/>
    <s v="Frugt"/>
    <n v="49850.106336440978"/>
    <n v="423227.40279638395"/>
    <n v="0"/>
    <n v="423227.40279638395"/>
  </r>
  <r>
    <x v="0"/>
    <x v="9"/>
    <x v="1"/>
    <s v="Konventionel"/>
    <x v="0"/>
    <s v="Øvrige"/>
    <n v="28800.386873616728"/>
    <n v="858134.70030019432"/>
    <n v="0"/>
    <n v="858134.70030019432"/>
  </r>
  <r>
    <x v="0"/>
    <x v="10"/>
    <x v="1"/>
    <s v="Konventionel"/>
    <x v="0"/>
    <s v="Halm"/>
    <n v="41596.560342098521"/>
    <n v="594367.45880212216"/>
    <n v="106035.94638659338"/>
    <n v="106035.94638659338"/>
  </r>
  <r>
    <x v="0"/>
    <x v="11"/>
    <x v="1"/>
    <s v="Konventionel"/>
    <x v="0"/>
    <s v="Juletræer"/>
    <n v="11437.918624561291"/>
    <n v="571895.93122806458"/>
    <n v="0"/>
    <n v="571895.93122806458"/>
  </r>
  <r>
    <x v="0"/>
    <x v="12"/>
    <x v="1"/>
    <s v="Konventionel"/>
    <x v="0"/>
    <s v="Pil &amp; poppel"/>
    <n v="31145.785633214087"/>
    <n v="759653.30812717287"/>
    <n v="0"/>
    <n v="759653.30812717287"/>
  </r>
  <r>
    <x v="0"/>
    <x v="13"/>
    <x v="1"/>
    <s v="Konventionel"/>
    <x v="0"/>
    <s v="Græs"/>
    <n v="72877.440134040429"/>
    <n v="1004979.8994484176"/>
    <n v="0"/>
    <n v="1004979.8994484176"/>
  </r>
  <r>
    <x v="0"/>
    <x v="0"/>
    <x v="2"/>
    <s v="Konventionel"/>
    <x v="0"/>
    <s v="Korn"/>
    <n v="0"/>
    <n v="0"/>
    <n v="0"/>
    <n v="0"/>
  </r>
  <r>
    <x v="0"/>
    <x v="1"/>
    <x v="2"/>
    <s v="Konventionel"/>
    <x v="0"/>
    <s v="Bælgsæd"/>
    <n v="0"/>
    <n v="0"/>
    <n v="0"/>
    <n v="0"/>
  </r>
  <r>
    <x v="0"/>
    <x v="2"/>
    <x v="2"/>
    <s v="Konventionel"/>
    <x v="0"/>
    <s v="Raps"/>
    <n v="0"/>
    <n v="0"/>
    <n v="0"/>
    <n v="0"/>
  </r>
  <r>
    <x v="0"/>
    <x v="3"/>
    <x v="2"/>
    <s v="Konventionel"/>
    <x v="0"/>
    <s v="Græs"/>
    <n v="0"/>
    <n v="0"/>
    <n v="0"/>
    <n v="0"/>
  </r>
  <r>
    <x v="0"/>
    <x v="4"/>
    <x v="2"/>
    <s v="Konventionel"/>
    <x v="0"/>
    <s v="Grøntsager"/>
    <n v="0"/>
    <n v="0"/>
    <n v="0"/>
    <n v="0"/>
  </r>
  <r>
    <x v="0"/>
    <x v="5"/>
    <x v="2"/>
    <s v="Konventionel"/>
    <x v="0"/>
    <s v="Kartofler"/>
    <n v="0"/>
    <n v="0"/>
    <n v="0"/>
    <n v="0"/>
  </r>
  <r>
    <x v="0"/>
    <x v="6"/>
    <x v="2"/>
    <s v="Konventionel"/>
    <x v="0"/>
    <s v="Roer"/>
    <n v="0"/>
    <n v="0"/>
    <n v="0"/>
    <n v="0"/>
  </r>
  <r>
    <x v="0"/>
    <x v="7"/>
    <x v="2"/>
    <s v="Konventionel"/>
    <x v="0"/>
    <s v="Majs"/>
    <n v="0"/>
    <n v="0"/>
    <n v="0"/>
    <n v="0"/>
  </r>
  <r>
    <x v="0"/>
    <x v="8"/>
    <x v="2"/>
    <s v="Konventionel"/>
    <x v="0"/>
    <s v="Frugt"/>
    <n v="0"/>
    <n v="0"/>
    <n v="0"/>
    <n v="0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0"/>
    <n v="0"/>
    <n v="0"/>
    <n v="0"/>
  </r>
  <r>
    <x v="0"/>
    <x v="12"/>
    <x v="2"/>
    <s v="Konventionel"/>
    <x v="0"/>
    <s v="Pil &amp; poppel"/>
    <n v="0"/>
    <n v="0"/>
    <n v="0"/>
    <n v="0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70773.67631420336"/>
    <n v="332402.72554491891"/>
    <n v="116509.93803405669"/>
    <n v="116509.93803405669"/>
  </r>
  <r>
    <x v="0"/>
    <x v="1"/>
    <x v="1"/>
    <s v="Økologisk"/>
    <x v="0"/>
    <s v="Halm"/>
    <n v="15480.15715245056"/>
    <n v="34059.441766821721"/>
    <n v="10858.459112894554"/>
    <n v="10858.459112894554"/>
  </r>
  <r>
    <x v="0"/>
    <x v="2"/>
    <x v="1"/>
    <s v="Økologisk"/>
    <x v="0"/>
    <s v="Halm"/>
    <n v="18384.441795130875"/>
    <n v="44490.349144216721"/>
    <n v="25517.846992640829"/>
    <n v="25517.846992640829"/>
  </r>
  <r>
    <x v="0"/>
    <x v="3"/>
    <x v="1"/>
    <s v="Økologisk"/>
    <x v="0"/>
    <s v="Græs"/>
    <n v="36520.195909571652"/>
    <n v="1413463.0544056976"/>
    <n v="0"/>
    <n v="1413463.0544056976"/>
  </r>
  <r>
    <x v="0"/>
    <x v="4"/>
    <x v="1"/>
    <s v="Økologisk"/>
    <x v="0"/>
    <s v="Grøntsager"/>
    <n v="1525.1585972954053"/>
    <n v="18038.813309511406"/>
    <n v="0"/>
    <n v="18038.813309511406"/>
  </r>
  <r>
    <x v="0"/>
    <x v="5"/>
    <x v="1"/>
    <s v="Økologisk"/>
    <x v="0"/>
    <s v="Kartofler"/>
    <n v="6414.9587591488944"/>
    <n v="155295.96908477385"/>
    <n v="0"/>
    <n v="155295.96908477385"/>
  </r>
  <r>
    <x v="0"/>
    <x v="6"/>
    <x v="1"/>
    <s v="Økologisk"/>
    <x v="0"/>
    <s v="Roer"/>
    <n v="3945.2239219777639"/>
    <n v="182721.57384792177"/>
    <n v="0"/>
    <n v="182721.57384792177"/>
  </r>
  <r>
    <x v="0"/>
    <x v="7"/>
    <x v="1"/>
    <s v="Økologisk"/>
    <x v="0"/>
    <s v="Majs"/>
    <n v="9579.7634070966851"/>
    <n v="353908.07347739505"/>
    <n v="0"/>
    <n v="353908.07347739505"/>
  </r>
  <r>
    <x v="0"/>
    <x v="8"/>
    <x v="1"/>
    <s v="Økologisk"/>
    <x v="0"/>
    <s v="Frugt"/>
    <n v="6373.9100833851826"/>
    <n v="30845.263066525917"/>
    <n v="0"/>
    <n v="30845.263066525917"/>
  </r>
  <r>
    <x v="0"/>
    <x v="9"/>
    <x v="1"/>
    <s v="Økologisk"/>
    <x v="0"/>
    <s v="Øvrige"/>
    <n v="3682.4610776195564"/>
    <n v="62541.769276712883"/>
    <n v="0"/>
    <n v="62541.769276712883"/>
  </r>
  <r>
    <x v="0"/>
    <x v="10"/>
    <x v="1"/>
    <s v="Økologisk"/>
    <x v="0"/>
    <s v="Halm"/>
    <n v="5318.5991943376657"/>
    <n v="43318.132294364288"/>
    <n v="7728.0125038974802"/>
    <n v="7728.0125038974802"/>
  </r>
  <r>
    <x v="0"/>
    <x v="11"/>
    <x v="1"/>
    <s v="Økologisk"/>
    <x v="0"/>
    <s v="Juletræer"/>
    <n v="1462.4695955911445"/>
    <n v="41680.383474347618"/>
    <n v="0"/>
    <n v="41680.383474347618"/>
  </r>
  <r>
    <x v="0"/>
    <x v="12"/>
    <x v="1"/>
    <s v="Økologisk"/>
    <x v="0"/>
    <s v="Pil &amp; poppel"/>
    <n v="3982.3473146209913"/>
    <n v="55364.340715462567"/>
    <n v="0"/>
    <n v="55364.340715462567"/>
  </r>
  <r>
    <x v="0"/>
    <x v="13"/>
    <x v="1"/>
    <s v="Økologisk"/>
    <x v="0"/>
    <s v="Græs"/>
    <n v="9318.2198526644916"/>
    <n v="128498.25176824334"/>
    <n v="0"/>
    <n v="128498.25176824334"/>
  </r>
  <r>
    <x v="0"/>
    <x v="0"/>
    <x v="2"/>
    <s v="Økologisk"/>
    <x v="0"/>
    <s v="Halm"/>
    <n v="83959.75199188129"/>
    <n v="394333.76718026889"/>
    <n v="157339.56580605835"/>
    <n v="157339.56580605835"/>
  </r>
  <r>
    <x v="0"/>
    <x v="1"/>
    <x v="2"/>
    <s v="Økologisk"/>
    <x v="0"/>
    <s v="Halm"/>
    <n v="248745.6103160124"/>
    <n v="547290.09181729052"/>
    <n v="198620.39669998465"/>
    <n v="198620.39669998465"/>
  </r>
  <r>
    <x v="0"/>
    <x v="2"/>
    <x v="2"/>
    <s v="Økologisk"/>
    <x v="0"/>
    <s v="Halm"/>
    <n v="219481.42086706977"/>
    <n v="531145.03849830886"/>
    <n v="346790.28977475752"/>
    <n v="346790.28977475752"/>
  </r>
  <r>
    <x v="0"/>
    <x v="3"/>
    <x v="2"/>
    <s v="Økologisk"/>
    <x v="0"/>
    <s v="Græs"/>
    <n v="512123.31535649608"/>
    <n v="19821015.948231682"/>
    <n v="0"/>
    <n v="19821015.948231682"/>
  </r>
  <r>
    <x v="0"/>
    <x v="4"/>
    <x v="2"/>
    <s v="Økologisk"/>
    <x v="0"/>
    <s v="Grøntsager"/>
    <n v="18776.293034162631"/>
    <n v="222076.60586155849"/>
    <n v="0"/>
    <n v="222076.60586155849"/>
  </r>
  <r>
    <x v="0"/>
    <x v="5"/>
    <x v="2"/>
    <s v="Økologisk"/>
    <x v="0"/>
    <s v="Kartofler"/>
    <n v="78974.832963235996"/>
    <n v="1911855.349162224"/>
    <n v="0"/>
    <n v="1911855.349162224"/>
  </r>
  <r>
    <x v="0"/>
    <x v="6"/>
    <x v="2"/>
    <s v="Økologisk"/>
    <x v="0"/>
    <s v="Roer"/>
    <n v="48569.821247314576"/>
    <n v="2249493.1480017449"/>
    <n v="0"/>
    <n v="2249493.1480017449"/>
  </r>
  <r>
    <x v="0"/>
    <x v="7"/>
    <x v="2"/>
    <s v="Økologisk"/>
    <x v="0"/>
    <s v="Majs"/>
    <n v="11364.600536362441"/>
    <n v="419845.84699499852"/>
    <n v="0"/>
    <n v="419845.84699499852"/>
  </r>
  <r>
    <x v="0"/>
    <x v="8"/>
    <x v="2"/>
    <s v="Økologisk"/>
    <x v="0"/>
    <s v="Frugt"/>
    <n v="130950.74461627769"/>
    <n v="633709.93842155254"/>
    <n v="0"/>
    <n v="633709.93842155254"/>
  </r>
  <r>
    <x v="0"/>
    <x v="9"/>
    <x v="2"/>
    <s v="Økologisk"/>
    <x v="0"/>
    <s v="Øvrige"/>
    <n v="4368.5524745680859"/>
    <n v="74194.13136452355"/>
    <n v="0"/>
    <n v="74194.13136452355"/>
  </r>
  <r>
    <x v="0"/>
    <x v="10"/>
    <x v="2"/>
    <s v="Økologisk"/>
    <x v="0"/>
    <s v="Halm"/>
    <n v="6309.5248481700473"/>
    <n v="51388.875548018324"/>
    <n v="10436.209583697455"/>
    <n v="10436.209583697455"/>
  </r>
  <r>
    <x v="0"/>
    <x v="11"/>
    <x v="2"/>
    <s v="Økologisk"/>
    <x v="0"/>
    <s v="Juletræer"/>
    <n v="11101.275121357427"/>
    <n v="316386.3409586866"/>
    <n v="0"/>
    <n v="316386.3409586866"/>
  </r>
  <r>
    <x v="0"/>
    <x v="12"/>
    <x v="2"/>
    <s v="Økologisk"/>
    <x v="0"/>
    <s v="Pil &amp; poppel"/>
    <n v="77429.401129434642"/>
    <n v="1076457.5278970182"/>
    <n v="0"/>
    <n v="1076457.5278970182"/>
  </r>
  <r>
    <x v="0"/>
    <x v="13"/>
    <x v="2"/>
    <s v="Økologisk"/>
    <x v="0"/>
    <s v="Græs"/>
    <n v="11054.327944788796"/>
    <n v="152439.18235863751"/>
    <n v="0"/>
    <n v="152439.18235863751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196.260693157685"/>
    <n v="94182.944950842444"/>
    <n v="33011.910663785355"/>
    <n v="33011.910663785355"/>
  </r>
  <r>
    <x v="0"/>
    <x v="1"/>
    <x v="1"/>
    <s v="Konventionel"/>
    <x v="1"/>
    <s v="Halm"/>
    <n v="959.79052447193897"/>
    <n v="4445.7497093540214"/>
    <n v="1417.345350980137"/>
    <n v="1417.345350980137"/>
  </r>
  <r>
    <x v="0"/>
    <x v="2"/>
    <x v="1"/>
    <s v="Konventionel"/>
    <x v="1"/>
    <s v="Halm"/>
    <n v="1027.7273757818732"/>
    <n v="5426.4005441282898"/>
    <n v="3112.3617024670689"/>
    <n v="3112.3617024670689"/>
  </r>
  <r>
    <x v="0"/>
    <x v="3"/>
    <x v="1"/>
    <s v="Konventionel"/>
    <x v="1"/>
    <s v="Græs"/>
    <n v="9484.230989471238"/>
    <n v="564729.05003707542"/>
    <n v="0"/>
    <n v="564729.05003707542"/>
  </r>
  <r>
    <x v="0"/>
    <x v="4"/>
    <x v="1"/>
    <s v="Konventionel"/>
    <x v="1"/>
    <s v="Grøntsager"/>
    <n v="44.358105077588014"/>
    <n v="1104.5168164319416"/>
    <n v="0"/>
    <n v="1104.5168164319416"/>
  </r>
  <r>
    <x v="0"/>
    <x v="5"/>
    <x v="1"/>
    <s v="Konventionel"/>
    <x v="1"/>
    <s v="Kartofler"/>
    <n v="700.29950715558721"/>
    <n v="35690.81996151046"/>
    <n v="0"/>
    <n v="35690.81996151046"/>
  </r>
  <r>
    <x v="0"/>
    <x v="6"/>
    <x v="1"/>
    <s v="Konventionel"/>
    <x v="1"/>
    <s v="Roer"/>
    <n v="18.37258126009214"/>
    <n v="1791.4089381482079"/>
    <n v="0"/>
    <n v="1791.4089381482079"/>
  </r>
  <r>
    <x v="0"/>
    <x v="7"/>
    <x v="1"/>
    <s v="Konventionel"/>
    <x v="1"/>
    <s v="Majs"/>
    <n v="2371.6241464994846"/>
    <n v="126673.18891283049"/>
    <n v="0"/>
    <n v="126673.18891283049"/>
  </r>
  <r>
    <x v="0"/>
    <x v="8"/>
    <x v="1"/>
    <s v="Konventionel"/>
    <x v="1"/>
    <s v="Frugt"/>
    <n v="40.402656114127915"/>
    <n v="411.62226049073524"/>
    <n v="0"/>
    <n v="411.62226049073524"/>
  </r>
  <r>
    <x v="0"/>
    <x v="9"/>
    <x v="1"/>
    <s v="Konventionel"/>
    <x v="1"/>
    <s v="Øvrige"/>
    <n v="714.55739207378303"/>
    <n v="25549.094025104845"/>
    <n v="0"/>
    <n v="25549.094025104845"/>
  </r>
  <r>
    <x v="0"/>
    <x v="10"/>
    <x v="1"/>
    <s v="Konventionel"/>
    <x v="1"/>
    <s v="Halm"/>
    <n v="1763.7383660176956"/>
    <n v="30242.17431384448"/>
    <n v="5395.2441821422535"/>
    <n v="5395.2441821422535"/>
  </r>
  <r>
    <x v="0"/>
    <x v="11"/>
    <x v="1"/>
    <s v="Konventionel"/>
    <x v="1"/>
    <s v="Juletræer"/>
    <n v="202.64130113199909"/>
    <n v="12158.478067919947"/>
    <n v="0"/>
    <n v="12158.478067919947"/>
  </r>
  <r>
    <x v="0"/>
    <x v="12"/>
    <x v="1"/>
    <s v="Konventionel"/>
    <x v="1"/>
    <s v="Pil &amp; poppel"/>
    <n v="332.81173876457098"/>
    <n v="9740.8313784752481"/>
    <n v="0"/>
    <n v="9740.8313784752481"/>
  </r>
  <r>
    <x v="0"/>
    <x v="13"/>
    <x v="1"/>
    <s v="Konventionel"/>
    <x v="1"/>
    <s v="Græs"/>
    <n v="30452.01387923324"/>
    <n v="503919.92567355168"/>
    <n v="0"/>
    <n v="503919.92567355168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431.5708465431917"/>
    <n v="8068.3905539512916"/>
    <n v="2828.0384342047182"/>
    <n v="2828.0384342047182"/>
  </r>
  <r>
    <x v="0"/>
    <x v="1"/>
    <x v="1"/>
    <s v="Økologisk"/>
    <x v="1"/>
    <s v="Halm"/>
    <n v="122.72026985421287"/>
    <n v="324.01096527988705"/>
    <n v="103.29763601846187"/>
    <n v="103.29763601846187"/>
  </r>
  <r>
    <x v="0"/>
    <x v="2"/>
    <x v="1"/>
    <s v="Økologisk"/>
    <x v="1"/>
    <s v="Halm"/>
    <n v="131.4067785383736"/>
    <n v="381.60528487543701"/>
    <n v="218.87320415196874"/>
    <n v="218.87320415196874"/>
  </r>
  <r>
    <x v="0"/>
    <x v="3"/>
    <x v="1"/>
    <s v="Økologisk"/>
    <x v="1"/>
    <s v="Græs"/>
    <n v="1212.6681361310182"/>
    <n v="56321.546968272574"/>
    <n v="0"/>
    <n v="56321.546968272574"/>
  </r>
  <r>
    <x v="0"/>
    <x v="4"/>
    <x v="1"/>
    <s v="Økologisk"/>
    <x v="1"/>
    <s v="Grøntsager"/>
    <n v="5.6716944859797733"/>
    <n v="80.498359839510925"/>
    <n v="0"/>
    <n v="80.498359839510925"/>
  </r>
  <r>
    <x v="0"/>
    <x v="5"/>
    <x v="1"/>
    <s v="Økologisk"/>
    <x v="1"/>
    <s v="Kartofler"/>
    <n v="89.54135543710359"/>
    <n v="2601.184903195996"/>
    <n v="0"/>
    <n v="2601.184903195996"/>
  </r>
  <r>
    <x v="0"/>
    <x v="6"/>
    <x v="1"/>
    <s v="Økologisk"/>
    <x v="1"/>
    <s v="Roer"/>
    <n v="2.3491460612173207"/>
    <n v="130.55978793389087"/>
    <n v="0"/>
    <n v="130.55978793389087"/>
  </r>
  <r>
    <x v="0"/>
    <x v="7"/>
    <x v="1"/>
    <s v="Økologisk"/>
    <x v="1"/>
    <s v="Majs"/>
    <n v="303.23945468341958"/>
    <n v="13443.199375447171"/>
    <n v="0"/>
    <n v="13443.199375447171"/>
  </r>
  <r>
    <x v="0"/>
    <x v="8"/>
    <x v="1"/>
    <s v="Økologisk"/>
    <x v="1"/>
    <s v="Frugt"/>
    <n v="5.1659447918395278"/>
    <n v="29.99946795737883"/>
    <n v="0"/>
    <n v="29.99946795737883"/>
  </r>
  <r>
    <x v="0"/>
    <x v="9"/>
    <x v="1"/>
    <s v="Økologisk"/>
    <x v="1"/>
    <s v="Øvrige"/>
    <n v="91.364390193228076"/>
    <n v="1862.0451348584029"/>
    <n v="0"/>
    <n v="1862.0451348584029"/>
  </r>
  <r>
    <x v="0"/>
    <x v="10"/>
    <x v="1"/>
    <s v="Økologisk"/>
    <x v="1"/>
    <s v="Halm"/>
    <n v="225.51425827943592"/>
    <n v="2204.0818157113808"/>
    <n v="393.21113190391725"/>
    <n v="393.21113190391725"/>
  </r>
  <r>
    <x v="0"/>
    <x v="11"/>
    <x v="1"/>
    <s v="Økologisk"/>
    <x v="1"/>
    <s v="Juletræer"/>
    <n v="25.910023619174421"/>
    <n v="886.12280777576507"/>
    <n v="0"/>
    <n v="886.12280777576507"/>
  </r>
  <r>
    <x v="0"/>
    <x v="12"/>
    <x v="1"/>
    <s v="Økologisk"/>
    <x v="1"/>
    <s v="Pil &amp; poppel"/>
    <n v="42.553812889858399"/>
    <n v="709.92214674788158"/>
    <n v="0"/>
    <n v="709.92214674788158"/>
  </r>
  <r>
    <x v="0"/>
    <x v="13"/>
    <x v="1"/>
    <s v="Økologisk"/>
    <x v="1"/>
    <s v="Græs"/>
    <n v="3893.6406075896812"/>
    <n v="64431.964774394051"/>
    <n v="0"/>
    <n v="64431.96477439405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8725.0625185185199"/>
    <n v="144382.33455644446"/>
    <n v="0"/>
    <n v="144382.33455644446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5659.6634285023883"/>
    <n v="55543.93688732243"/>
    <n v="19468.614868607579"/>
    <n v="19468.614868607579"/>
  </r>
  <r>
    <x v="0"/>
    <x v="1"/>
    <x v="1"/>
    <s v="Konventionel"/>
    <x v="2"/>
    <s v="Halm"/>
    <n v="325.87901868990201"/>
    <n v="1761.0502170002303"/>
    <n v="561.43879010015519"/>
    <n v="561.43879010015519"/>
  </r>
  <r>
    <x v="0"/>
    <x v="2"/>
    <x v="1"/>
    <s v="Konventionel"/>
    <x v="2"/>
    <s v="Halm"/>
    <n v="421.99857265679589"/>
    <n v="2599.5112075658631"/>
    <n v="1490.973447641361"/>
    <n v="1490.973447641361"/>
  </r>
  <r>
    <x v="0"/>
    <x v="3"/>
    <x v="1"/>
    <s v="Konventionel"/>
    <x v="2"/>
    <s v="Græs"/>
    <n v="9732.6192199682846"/>
    <n v="676105.59197275678"/>
    <n v="0"/>
    <n v="676105.59197275678"/>
  </r>
  <r>
    <x v="0"/>
    <x v="4"/>
    <x v="1"/>
    <s v="Konventionel"/>
    <x v="2"/>
    <s v="Grøntsager"/>
    <n v="11.31234505051532"/>
    <n v="328.62362371747008"/>
    <n v="0"/>
    <n v="328.62362371747008"/>
  </r>
  <r>
    <x v="0"/>
    <x v="5"/>
    <x v="1"/>
    <s v="Konventionel"/>
    <x v="2"/>
    <s v="Kartofler"/>
    <n v="598.76574080415071"/>
    <n v="35602.167418036428"/>
    <n v="0"/>
    <n v="35602.167418036428"/>
  </r>
  <r>
    <x v="0"/>
    <x v="6"/>
    <x v="1"/>
    <s v="Konventionel"/>
    <x v="2"/>
    <s v="Roer"/>
    <n v="6.4750902601840021"/>
    <n v="736.5753421943042"/>
    <n v="0"/>
    <n v="736.5753421943042"/>
  </r>
  <r>
    <x v="0"/>
    <x v="7"/>
    <x v="1"/>
    <s v="Konventionel"/>
    <x v="2"/>
    <s v="Majs"/>
    <n v="805.2408623097682"/>
    <n v="50177.779093970894"/>
    <n v="0"/>
    <n v="50177.779093970894"/>
  </r>
  <r>
    <x v="0"/>
    <x v="8"/>
    <x v="1"/>
    <s v="Konventionel"/>
    <x v="2"/>
    <s v="Frugt"/>
    <n v="23.075756148004398"/>
    <n v="274.27843757518031"/>
    <n v="0"/>
    <n v="274.27843757518031"/>
  </r>
  <r>
    <x v="0"/>
    <x v="9"/>
    <x v="1"/>
    <s v="Konventionel"/>
    <x v="2"/>
    <s v="Øvrige"/>
    <n v="408.11554781624284"/>
    <n v="17024.262930563389"/>
    <n v="0"/>
    <n v="17024.262930563389"/>
  </r>
  <r>
    <x v="0"/>
    <x v="10"/>
    <x v="1"/>
    <s v="Konventionel"/>
    <x v="2"/>
    <s v="Halm"/>
    <n v="1298.4872253048338"/>
    <n v="25975.464424506878"/>
    <n v="4634.0574543480388"/>
    <n v="4634.0574543480388"/>
  </r>
  <r>
    <x v="0"/>
    <x v="11"/>
    <x v="1"/>
    <s v="Konventionel"/>
    <x v="2"/>
    <s v="Juletræer"/>
    <n v="115.73747125009459"/>
    <n v="8101.6229875066201"/>
    <n v="0"/>
    <n v="8101.6229875066201"/>
  </r>
  <r>
    <x v="0"/>
    <x v="12"/>
    <x v="1"/>
    <s v="Konventionel"/>
    <x v="2"/>
    <s v="Pil &amp; poppel"/>
    <n v="273.20106069089286"/>
    <n v="9328.8167065182915"/>
    <n v="0"/>
    <n v="9328.8167065182915"/>
  </r>
  <r>
    <x v="0"/>
    <x v="13"/>
    <x v="1"/>
    <s v="Konventionel"/>
    <x v="2"/>
    <s v="Græs"/>
    <n v="26486.154998052578"/>
    <n v="511341.70839240309"/>
    <n v="0"/>
    <n v="511341.70839240309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723.65313630488879"/>
    <n v="4758.2943593964401"/>
    <n v="1667.8220073323796"/>
    <n v="1667.8220073323796"/>
  </r>
  <r>
    <x v="0"/>
    <x v="1"/>
    <x v="1"/>
    <s v="Økologisk"/>
    <x v="2"/>
    <s v="Halm"/>
    <n v="41.667384803005618"/>
    <n v="128.34721206100212"/>
    <n v="40.918255911522166"/>
    <n v="40.918255911522166"/>
  </r>
  <r>
    <x v="0"/>
    <x v="2"/>
    <x v="1"/>
    <s v="Økologisk"/>
    <x v="2"/>
    <s v="Halm"/>
    <n v="53.957376525494915"/>
    <n v="182.8075916683768"/>
    <n v="104.85096752478921"/>
    <n v="104.85096752478921"/>
  </r>
  <r>
    <x v="0"/>
    <x v="3"/>
    <x v="1"/>
    <s v="Økologisk"/>
    <x v="2"/>
    <s v="Græs"/>
    <n v="1244.4274314126412"/>
    <n v="67429.35014819121"/>
    <n v="0"/>
    <n v="67429.35014819121"/>
  </r>
  <r>
    <x v="0"/>
    <x v="4"/>
    <x v="1"/>
    <s v="Økologisk"/>
    <x v="2"/>
    <s v="Grøntsager"/>
    <n v="1.4464135682595993"/>
    <n v="23.950439070026576"/>
    <n v="0"/>
    <n v="23.950439070026576"/>
  </r>
  <r>
    <x v="0"/>
    <x v="5"/>
    <x v="1"/>
    <s v="Økologisk"/>
    <x v="2"/>
    <s v="Kartofler"/>
    <n v="76.559094320472624"/>
    <n v="2594.7238115773866"/>
    <n v="0"/>
    <n v="2594.7238115773866"/>
  </r>
  <r>
    <x v="0"/>
    <x v="6"/>
    <x v="1"/>
    <s v="Økologisk"/>
    <x v="2"/>
    <s v="Roer"/>
    <n v="0.82791484579133123"/>
    <n v="53.682394023125802"/>
    <n v="0"/>
    <n v="53.682394023125802"/>
  </r>
  <r>
    <x v="0"/>
    <x v="7"/>
    <x v="1"/>
    <s v="Økologisk"/>
    <x v="2"/>
    <s v="Majs"/>
    <n v="102.95931601810993"/>
    <n v="5325.1196592325769"/>
    <n v="0"/>
    <n v="5325.1196592325769"/>
  </r>
  <r>
    <x v="0"/>
    <x v="8"/>
    <x v="1"/>
    <s v="Økologisk"/>
    <x v="2"/>
    <s v="Frugt"/>
    <n v="2.9505011243272654"/>
    <n v="19.989704127339706"/>
    <n v="0"/>
    <n v="19.989704127339706"/>
  </r>
  <r>
    <x v="0"/>
    <x v="9"/>
    <x v="1"/>
    <s v="Økologisk"/>
    <x v="2"/>
    <s v="Øvrige"/>
    <n v="52.182271946542372"/>
    <n v="1240.7463815842973"/>
    <n v="0"/>
    <n v="1240.7463815842973"/>
  </r>
  <r>
    <x v="0"/>
    <x v="10"/>
    <x v="1"/>
    <s v="Økologisk"/>
    <x v="2"/>
    <s v="Halm"/>
    <n v="166.02654290562981"/>
    <n v="1893.1194628589992"/>
    <n v="337.7350339328782"/>
    <n v="337.7350339328782"/>
  </r>
  <r>
    <x v="0"/>
    <x v="11"/>
    <x v="1"/>
    <s v="Økologisk"/>
    <x v="2"/>
    <s v="Juletræer"/>
    <n v="14.798368333413432"/>
    <n v="590.45489650319587"/>
    <n v="0"/>
    <n v="590.45489650319587"/>
  </r>
  <r>
    <x v="0"/>
    <x v="12"/>
    <x v="1"/>
    <s v="Økologisk"/>
    <x v="2"/>
    <s v="Pil &amp; poppel"/>
    <n v="34.931901323874534"/>
    <n v="679.89407942565549"/>
    <n v="0"/>
    <n v="679.89407942565549"/>
  </r>
  <r>
    <x v="0"/>
    <x v="13"/>
    <x v="1"/>
    <s v="Økologisk"/>
    <x v="2"/>
    <s v="Græs"/>
    <n v="3386.5598856061138"/>
    <n v="65380.925151511634"/>
    <n v="0"/>
    <n v="65380.925151511634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6791.6965925925906"/>
    <n v="131120.49441659256"/>
    <n v="0"/>
    <n v="131120.49441659256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70169.83214296759"/>
    <n v="1192890.5233222027"/>
    <n v="418118.1147833335"/>
    <n v="418118.1147833335"/>
  </r>
  <r>
    <x v="1"/>
    <x v="1"/>
    <x v="1"/>
    <s v="Konventionel"/>
    <x v="0"/>
    <s v="Halm"/>
    <n v="37220.840874287176"/>
    <n v="143672.44577474851"/>
    <n v="45804.07949064998"/>
    <n v="45804.07949064998"/>
  </r>
  <r>
    <x v="1"/>
    <x v="2"/>
    <x v="1"/>
    <s v="Konventionel"/>
    <x v="0"/>
    <s v="Halm"/>
    <n v="44203.968724622173"/>
    <n v="194497.46238833759"/>
    <n v="111555.79987907718"/>
    <n v="111555.79987907718"/>
  </r>
  <r>
    <x v="1"/>
    <x v="3"/>
    <x v="1"/>
    <s v="Konventionel"/>
    <x v="0"/>
    <s v="Græs"/>
    <n v="87809.987150729692"/>
    <n v="4357131.5624192078"/>
    <n v="0"/>
    <n v="4357131.5624192078"/>
  </r>
  <r>
    <x v="1"/>
    <x v="4"/>
    <x v="1"/>
    <s v="Konventionel"/>
    <x v="0"/>
    <s v="Grøntsager"/>
    <n v="3667.1259147389733"/>
    <n v="76092.862730833687"/>
    <n v="0"/>
    <n v="76092.862730833687"/>
  </r>
  <r>
    <x v="1"/>
    <x v="5"/>
    <x v="1"/>
    <s v="Konventionel"/>
    <x v="0"/>
    <s v="Kartofler"/>
    <n v="15424.272301499061"/>
    <n v="655082.7183287458"/>
    <n v="0"/>
    <n v="655082.7183287458"/>
  </r>
  <r>
    <x v="1"/>
    <x v="6"/>
    <x v="1"/>
    <s v="Konventionel"/>
    <x v="0"/>
    <s v="Roer"/>
    <n v="9485.9858570699034"/>
    <n v="770771.74635654548"/>
    <n v="0"/>
    <n v="770771.74635654548"/>
  </r>
  <r>
    <x v="1"/>
    <x v="7"/>
    <x v="1"/>
    <s v="Konventionel"/>
    <x v="0"/>
    <s v="Majs"/>
    <n v="23033.800359863864"/>
    <n v="1025234.4540175407"/>
    <n v="0"/>
    <n v="1025234.4540175407"/>
  </r>
  <r>
    <x v="1"/>
    <x v="8"/>
    <x v="1"/>
    <s v="Konventionel"/>
    <x v="0"/>
    <s v="Frugt"/>
    <n v="15325.573934702474"/>
    <n v="130114.12270562403"/>
    <n v="0"/>
    <n v="130114.12270562403"/>
  </r>
  <r>
    <x v="1"/>
    <x v="9"/>
    <x v="1"/>
    <s v="Konventionel"/>
    <x v="0"/>
    <s v="Øvrige"/>
    <n v="8854.1929158733292"/>
    <n v="263819.03193194506"/>
    <n v="0"/>
    <n v="263819.03193194506"/>
  </r>
  <r>
    <x v="1"/>
    <x v="10"/>
    <x v="1"/>
    <s v="Konventionel"/>
    <x v="0"/>
    <s v="Halm"/>
    <n v="12788.160503604195"/>
    <n v="182728.24480605681"/>
    <n v="32598.962279363204"/>
    <n v="32598.962279363204"/>
  </r>
  <r>
    <x v="1"/>
    <x v="11"/>
    <x v="1"/>
    <s v="Konventionel"/>
    <x v="0"/>
    <s v="Juletræer"/>
    <n v="3516.3950575504314"/>
    <n v="175819.75287752156"/>
    <n v="0"/>
    <n v="175819.75287752156"/>
  </r>
  <r>
    <x v="1"/>
    <x v="12"/>
    <x v="1"/>
    <s v="Konventionel"/>
    <x v="0"/>
    <s v="Pil &amp; poppel"/>
    <n v="9575.2461841246914"/>
    <n v="233542.58985669981"/>
    <n v="0"/>
    <n v="233542.58985669981"/>
  </r>
  <r>
    <x v="1"/>
    <x v="13"/>
    <x v="1"/>
    <s v="Konventionel"/>
    <x v="0"/>
    <s v="Græs"/>
    <n v="22404.939107013139"/>
    <n v="308964.11028571118"/>
    <n v="0"/>
    <n v="308964.11028571118"/>
  </r>
  <r>
    <x v="1"/>
    <x v="0"/>
    <x v="2"/>
    <s v="Konventionel"/>
    <x v="0"/>
    <s v="Korn"/>
    <n v="0"/>
    <n v="0"/>
    <n v="0"/>
    <n v="0"/>
  </r>
  <r>
    <x v="1"/>
    <x v="1"/>
    <x v="2"/>
    <s v="Konventionel"/>
    <x v="0"/>
    <s v="Bælgsæd"/>
    <n v="0"/>
    <n v="0"/>
    <n v="0"/>
    <n v="0"/>
  </r>
  <r>
    <x v="1"/>
    <x v="2"/>
    <x v="2"/>
    <s v="Konventionel"/>
    <x v="0"/>
    <s v="Raps"/>
    <n v="0"/>
    <n v="0"/>
    <n v="0"/>
    <n v="0"/>
  </r>
  <r>
    <x v="1"/>
    <x v="3"/>
    <x v="2"/>
    <s v="Konventionel"/>
    <x v="0"/>
    <s v="Græs"/>
    <n v="0"/>
    <n v="0"/>
    <n v="0"/>
    <n v="0"/>
  </r>
  <r>
    <x v="1"/>
    <x v="4"/>
    <x v="2"/>
    <s v="Konventionel"/>
    <x v="0"/>
    <s v="Grøntsager"/>
    <n v="0"/>
    <n v="0"/>
    <n v="0"/>
    <n v="0"/>
  </r>
  <r>
    <x v="1"/>
    <x v="5"/>
    <x v="2"/>
    <s v="Konventionel"/>
    <x v="0"/>
    <s v="Kartofler"/>
    <n v="0"/>
    <n v="0"/>
    <n v="0"/>
    <n v="0"/>
  </r>
  <r>
    <x v="1"/>
    <x v="6"/>
    <x v="2"/>
    <s v="Konventionel"/>
    <x v="0"/>
    <s v="Roer"/>
    <n v="0"/>
    <n v="0"/>
    <n v="0"/>
    <n v="0"/>
  </r>
  <r>
    <x v="1"/>
    <x v="7"/>
    <x v="2"/>
    <s v="Konventionel"/>
    <x v="0"/>
    <s v="Majs"/>
    <n v="0"/>
    <n v="0"/>
    <n v="0"/>
    <n v="0"/>
  </r>
  <r>
    <x v="1"/>
    <x v="8"/>
    <x v="2"/>
    <s v="Konventionel"/>
    <x v="0"/>
    <s v="Frugt"/>
    <n v="0"/>
    <n v="0"/>
    <n v="0"/>
    <n v="0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0"/>
    <n v="0"/>
    <n v="0"/>
    <n v="0"/>
  </r>
  <r>
    <x v="1"/>
    <x v="12"/>
    <x v="2"/>
    <s v="Konventionel"/>
    <x v="0"/>
    <s v="Pil &amp; poppel"/>
    <n v="0"/>
    <n v="0"/>
    <n v="0"/>
    <n v="0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1758.172423217798"/>
    <n v="102191.60842012704"/>
    <n v="35819.014254805305"/>
    <n v="35819.014254805305"/>
  </r>
  <r>
    <x v="1"/>
    <x v="1"/>
    <x v="1"/>
    <s v="Økologisk"/>
    <x v="0"/>
    <s v="Halm"/>
    <n v="4759.1130771022581"/>
    <n v="10471.000592240389"/>
    <n v="3338.2500095082087"/>
    <n v="3338.2500095082087"/>
  </r>
  <r>
    <x v="1"/>
    <x v="2"/>
    <x v="1"/>
    <s v="Økologisk"/>
    <x v="0"/>
    <s v="Halm"/>
    <n v="5651.9863784833815"/>
    <n v="13677.807035929785"/>
    <n v="7845.0314248228915"/>
    <n v="7845.0314248228915"/>
  </r>
  <r>
    <x v="1"/>
    <x v="3"/>
    <x v="1"/>
    <s v="Økologisk"/>
    <x v="0"/>
    <s v="Græs"/>
    <n v="11227.517926332235"/>
    <n v="434545.36281359236"/>
    <n v="0"/>
    <n v="434545.36281359236"/>
  </r>
  <r>
    <x v="1"/>
    <x v="4"/>
    <x v="1"/>
    <s v="Økologisk"/>
    <x v="0"/>
    <s v="Grøntsager"/>
    <n v="468.88427252784516"/>
    <n v="5545.7287333230888"/>
    <n v="0"/>
    <n v="5545.7287333230888"/>
  </r>
  <r>
    <x v="1"/>
    <x v="5"/>
    <x v="1"/>
    <s v="Økologisk"/>
    <x v="0"/>
    <s v="Kartofler"/>
    <n v="1972.1708131951523"/>
    <n v="47743.124957592416"/>
    <n v="0"/>
    <n v="47743.124957592416"/>
  </r>
  <r>
    <x v="1"/>
    <x v="6"/>
    <x v="1"/>
    <s v="Økologisk"/>
    <x v="0"/>
    <s v="Roer"/>
    <n v="1212.8925161595512"/>
    <n v="56174.664314095215"/>
    <n v="0"/>
    <n v="56174.664314095215"/>
  </r>
  <r>
    <x v="1"/>
    <x v="7"/>
    <x v="1"/>
    <s v="Økologisk"/>
    <x v="0"/>
    <s v="Majs"/>
    <n v="2945.1365937226469"/>
    <n v="108803.06472287388"/>
    <n v="0"/>
    <n v="108803.06472287388"/>
  </r>
  <r>
    <x v="1"/>
    <x v="8"/>
    <x v="1"/>
    <s v="Økologisk"/>
    <x v="0"/>
    <s v="Frugt"/>
    <n v="1959.5510905592043"/>
    <n v="9482.8555925431574"/>
    <n v="0"/>
    <n v="9482.8555925431574"/>
  </r>
  <r>
    <x v="1"/>
    <x v="9"/>
    <x v="1"/>
    <s v="Økologisk"/>
    <x v="0"/>
    <s v="Øvrige"/>
    <n v="1132.1105139843492"/>
    <n v="19227.41152422981"/>
    <n v="0"/>
    <n v="19227.41152422981"/>
  </r>
  <r>
    <x v="1"/>
    <x v="10"/>
    <x v="1"/>
    <s v="Økologisk"/>
    <x v="0"/>
    <s v="Halm"/>
    <n v="1635.1135668949571"/>
    <n v="13317.428747493015"/>
    <n v="2375.847028238089"/>
    <n v="2375.847028238089"/>
  </r>
  <r>
    <x v="1"/>
    <x v="11"/>
    <x v="1"/>
    <s v="Økologisk"/>
    <x v="0"/>
    <s v="Juletræer"/>
    <n v="449.61159687842485"/>
    <n v="12813.930511035109"/>
    <n v="0"/>
    <n v="12813.930511035109"/>
  </r>
  <r>
    <x v="1"/>
    <x v="12"/>
    <x v="1"/>
    <s v="Økologisk"/>
    <x v="0"/>
    <s v="Pil &amp; poppel"/>
    <n v="1224.3054767422425"/>
    <n v="17020.832237636056"/>
    <n v="0"/>
    <n v="17020.832237636056"/>
  </r>
  <r>
    <x v="1"/>
    <x v="13"/>
    <x v="1"/>
    <s v="Økologisk"/>
    <x v="0"/>
    <s v="Græs"/>
    <n v="2864.7294416587538"/>
    <n v="39504.619000474224"/>
    <n v="0"/>
    <n v="39504.619000474224"/>
  </r>
  <r>
    <x v="1"/>
    <x v="0"/>
    <x v="2"/>
    <s v="Økologisk"/>
    <x v="0"/>
    <s v="Halm"/>
    <n v="27928.63175828362"/>
    <n v="131172.40477913068"/>
    <n v="52337.920136192792"/>
    <n v="52337.920136192792"/>
  </r>
  <r>
    <x v="1"/>
    <x v="1"/>
    <x v="2"/>
    <s v="Økologisk"/>
    <x v="0"/>
    <s v="Halm"/>
    <n v="82743.509683987591"/>
    <n v="182052.2700067095"/>
    <n v="66069.703489053689"/>
    <n v="66069.703489053689"/>
  </r>
  <r>
    <x v="1"/>
    <x v="2"/>
    <x v="2"/>
    <s v="Økologisk"/>
    <x v="0"/>
    <s v="Halm"/>
    <n v="73008.979132930224"/>
    <n v="176681.72950169115"/>
    <n v="115357.39530774491"/>
    <n v="115357.39530774491"/>
  </r>
  <r>
    <x v="1"/>
    <x v="3"/>
    <x v="2"/>
    <s v="Økologisk"/>
    <x v="0"/>
    <s v="Græs"/>
    <n v="170354.28464350387"/>
    <n v="6593324.0911283158"/>
    <n v="0"/>
    <n v="6593324.0911283158"/>
  </r>
  <r>
    <x v="1"/>
    <x v="4"/>
    <x v="2"/>
    <s v="Økologisk"/>
    <x v="0"/>
    <s v="Grøntsager"/>
    <n v="6245.8042275715852"/>
    <n v="73872.249501602928"/>
    <n v="0"/>
    <n v="73872.249501602928"/>
  </r>
  <r>
    <x v="1"/>
    <x v="5"/>
    <x v="2"/>
    <s v="Økologisk"/>
    <x v="0"/>
    <s v="Kartofler"/>
    <n v="26270.432864254519"/>
    <n v="635965.48054381739"/>
    <n v="0"/>
    <n v="635965.48054381739"/>
  </r>
  <r>
    <x v="1"/>
    <x v="6"/>
    <x v="2"/>
    <s v="Økologisk"/>
    <x v="0"/>
    <s v="Roer"/>
    <n v="16156.415663460722"/>
    <n v="748278.36293987604"/>
    <n v="0"/>
    <n v="748278.36293987604"/>
  </r>
  <r>
    <x v="1"/>
    <x v="7"/>
    <x v="2"/>
    <s v="Økologisk"/>
    <x v="0"/>
    <s v="Majs"/>
    <n v="3780.3558958910544"/>
    <n v="139658.82196867198"/>
    <n v="0"/>
    <n v="139658.82196867198"/>
  </r>
  <r>
    <x v="1"/>
    <x v="8"/>
    <x v="2"/>
    <s v="Økologisk"/>
    <x v="0"/>
    <s v="Frugt"/>
    <n v="43559.860982137143"/>
    <n v="210799.23525085626"/>
    <n v="0"/>
    <n v="210799.23525085626"/>
  </r>
  <r>
    <x v="1"/>
    <x v="9"/>
    <x v="2"/>
    <s v="Økologisk"/>
    <x v="0"/>
    <s v="Øvrige"/>
    <n v="1453.1688158243799"/>
    <n v="24680.165488171886"/>
    <n v="0"/>
    <n v="24680.165488171886"/>
  </r>
  <r>
    <x v="1"/>
    <x v="10"/>
    <x v="2"/>
    <s v="Økologisk"/>
    <x v="0"/>
    <s v="Halm"/>
    <n v="2098.8198734951161"/>
    <n v="17094.154611029004"/>
    <n v="3471.5330560235702"/>
    <n v="3471.5330560235702"/>
  </r>
  <r>
    <x v="1"/>
    <x v="11"/>
    <x v="2"/>
    <s v="Økologisk"/>
    <x v="0"/>
    <s v="Juletræer"/>
    <n v="3692.7625148507746"/>
    <n v="105243.73167324706"/>
    <n v="0"/>
    <n v="105243.73167324706"/>
  </r>
  <r>
    <x v="1"/>
    <x v="12"/>
    <x v="2"/>
    <s v="Økologisk"/>
    <x v="0"/>
    <s v="Pil &amp; poppel"/>
    <n v="25756.355635942306"/>
    <n v="358076.16371919797"/>
    <n v="0"/>
    <n v="358076.16371919797"/>
  </r>
  <r>
    <x v="1"/>
    <x v="13"/>
    <x v="2"/>
    <s v="Økologisk"/>
    <x v="0"/>
    <s v="Græs"/>
    <n v="3677.145860735322"/>
    <n v="50707.841419540098"/>
    <n v="0"/>
    <n v="50707.84141954009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230.830510672768"/>
    <n v="18765.746255779322"/>
    <n v="6577.5511612892114"/>
    <n v="6577.5511612892114"/>
  </r>
  <r>
    <x v="1"/>
    <x v="1"/>
    <x v="1"/>
    <s v="Konventionel"/>
    <x v="1"/>
    <s v="Halm"/>
    <n v="60.325222950477325"/>
    <n v="279.42643270661097"/>
    <n v="89.083682444917784"/>
    <n v="89.083682444917784"/>
  </r>
  <r>
    <x v="1"/>
    <x v="2"/>
    <x v="1"/>
    <s v="Konventionel"/>
    <x v="1"/>
    <s v="Halm"/>
    <n v="243.66299910145614"/>
    <n v="1286.5406352556884"/>
    <n v="737.90715765909226"/>
    <n v="737.90715765909226"/>
  </r>
  <r>
    <x v="1"/>
    <x v="3"/>
    <x v="1"/>
    <s v="Konventionel"/>
    <x v="1"/>
    <s v="Græs"/>
    <n v="716.47131301367313"/>
    <n v="42661.567862086158"/>
    <n v="0"/>
    <n v="42661.567862086158"/>
  </r>
  <r>
    <x v="1"/>
    <x v="4"/>
    <x v="1"/>
    <s v="Konventionel"/>
    <x v="1"/>
    <s v="Grøntsager"/>
    <n v="13.56919075168542"/>
    <n v="337.87284971696698"/>
    <n v="0"/>
    <n v="337.87284971696698"/>
  </r>
  <r>
    <x v="1"/>
    <x v="5"/>
    <x v="1"/>
    <s v="Konventionel"/>
    <x v="1"/>
    <s v="Kartofler"/>
    <n v="23.068866162854491"/>
    <n v="1175.7065948522729"/>
    <n v="0"/>
    <n v="1175.7065948522729"/>
  </r>
  <r>
    <x v="1"/>
    <x v="6"/>
    <x v="1"/>
    <s v="Konventionel"/>
    <x v="1"/>
    <s v="Roer"/>
    <n v="64.449558610774517"/>
    <n v="6284.1205446636968"/>
    <n v="0"/>
    <n v="6284.1205446636968"/>
  </r>
  <r>
    <x v="1"/>
    <x v="7"/>
    <x v="1"/>
    <s v="Konventionel"/>
    <x v="1"/>
    <s v="Majs"/>
    <n v="68.713175144526659"/>
    <n v="3670.108110819458"/>
    <n v="0"/>
    <n v="3670.108110819458"/>
  </r>
  <r>
    <x v="1"/>
    <x v="8"/>
    <x v="1"/>
    <s v="Konventionel"/>
    <x v="1"/>
    <s v="Frugt"/>
    <n v="14.822844383576701"/>
    <n v="151.01513857987945"/>
    <n v="0"/>
    <n v="151.01513857987945"/>
  </r>
  <r>
    <x v="1"/>
    <x v="9"/>
    <x v="1"/>
    <s v="Konventionel"/>
    <x v="1"/>
    <s v="Øvrige"/>
    <n v="105.84229815168821"/>
    <n v="3784.405363805176"/>
    <n v="0"/>
    <n v="3784.405363805176"/>
  </r>
  <r>
    <x v="1"/>
    <x v="10"/>
    <x v="1"/>
    <s v="Konventionel"/>
    <x v="1"/>
    <s v="Halm"/>
    <n v="768.41006535428994"/>
    <n v="13175.645316049056"/>
    <n v="2350.5526752036908"/>
    <n v="2350.5526752036908"/>
  </r>
  <r>
    <x v="1"/>
    <x v="11"/>
    <x v="1"/>
    <s v="Konventionel"/>
    <x v="1"/>
    <s v="Juletræer"/>
    <n v="23.227312797648128"/>
    <n v="1393.6387678588878"/>
    <n v="0"/>
    <n v="1393.6387678588878"/>
  </r>
  <r>
    <x v="1"/>
    <x v="12"/>
    <x v="1"/>
    <s v="Konventionel"/>
    <x v="1"/>
    <s v="Pil &amp; poppel"/>
    <n v="49.297032923373933"/>
    <n v="1442.8399880011884"/>
    <n v="0"/>
    <n v="1442.8399880011884"/>
  </r>
  <r>
    <x v="1"/>
    <x v="13"/>
    <x v="1"/>
    <s v="Konventionel"/>
    <x v="1"/>
    <s v="Græs"/>
    <n v="4624.9645652760382"/>
    <n v="76533.913626187874"/>
    <n v="0"/>
    <n v="76533.913626187874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285.23736720509544"/>
    <n v="1607.6092110626062"/>
    <n v="563.48048668022147"/>
    <n v="563.48048668022147"/>
  </r>
  <r>
    <x v="1"/>
    <x v="1"/>
    <x v="1"/>
    <s v="Økologisk"/>
    <x v="1"/>
    <s v="Halm"/>
    <n v="7.7132743559551313"/>
    <n v="20.364895485566976"/>
    <n v="6.4925134851684581"/>
    <n v="6.4925134851684581"/>
  </r>
  <r>
    <x v="1"/>
    <x v="2"/>
    <x v="1"/>
    <s v="Økologisk"/>
    <x v="1"/>
    <s v="Halm"/>
    <n v="31.155120040041375"/>
    <n v="90.474468596280161"/>
    <n v="51.89245961852545"/>
    <n v="51.89245961852545"/>
  </r>
  <r>
    <x v="1"/>
    <x v="3"/>
    <x v="1"/>
    <s v="Økologisk"/>
    <x v="1"/>
    <s v="Græs"/>
    <n v="91.609107022821874"/>
    <n v="4254.722681482187"/>
    <n v="0"/>
    <n v="4254.722681482187"/>
  </r>
  <r>
    <x v="1"/>
    <x v="4"/>
    <x v="1"/>
    <s v="Økologisk"/>
    <x v="1"/>
    <s v="Grøntsager"/>
    <n v="1.7349772771160648"/>
    <n v="24.624532494108305"/>
    <n v="0"/>
    <n v="24.624532494108305"/>
  </r>
  <r>
    <x v="1"/>
    <x v="5"/>
    <x v="1"/>
    <s v="Økologisk"/>
    <x v="1"/>
    <s v="Kartofler"/>
    <n v="2.9496201603926053"/>
    <n v="85.686746575610925"/>
    <n v="0"/>
    <n v="85.686746575610925"/>
  </r>
  <r>
    <x v="1"/>
    <x v="6"/>
    <x v="1"/>
    <s v="Økologisk"/>
    <x v="1"/>
    <s v="Roer"/>
    <n v="8.2406181588953551"/>
    <n v="457.99338620605954"/>
    <n v="0"/>
    <n v="457.99338620605954"/>
  </r>
  <r>
    <x v="1"/>
    <x v="7"/>
    <x v="1"/>
    <s v="Økologisk"/>
    <x v="1"/>
    <s v="Majs"/>
    <n v="8.7857706252262986"/>
    <n v="389.49043192670729"/>
    <n v="0"/>
    <n v="389.49043192670729"/>
  </r>
  <r>
    <x v="1"/>
    <x v="8"/>
    <x v="1"/>
    <s v="Økologisk"/>
    <x v="1"/>
    <s v="Frugt"/>
    <n v="1.8952713288770544"/>
    <n v="11.006143850201674"/>
    <n v="0"/>
    <n v="11.006143850201674"/>
  </r>
  <r>
    <x v="1"/>
    <x v="9"/>
    <x v="1"/>
    <s v="Økologisk"/>
    <x v="1"/>
    <s v="Øvrige"/>
    <n v="13.533156516950996"/>
    <n v="275.81148627349637"/>
    <n v="0"/>
    <n v="275.81148627349637"/>
  </r>
  <r>
    <x v="1"/>
    <x v="10"/>
    <x v="1"/>
    <s v="Økologisk"/>
    <x v="1"/>
    <s v="Halm"/>
    <n v="98.25007454710375"/>
    <n v="960.25503821239181"/>
    <n v="171.31077793955066"/>
    <n v="171.31077793955066"/>
  </r>
  <r>
    <x v="1"/>
    <x v="11"/>
    <x v="1"/>
    <s v="Økologisk"/>
    <x v="1"/>
    <s v="Juletræer"/>
    <n v="2.96987938705049"/>
    <n v="101.56987503712675"/>
    <n v="0"/>
    <n v="101.56987503712675"/>
  </r>
  <r>
    <x v="1"/>
    <x v="12"/>
    <x v="1"/>
    <s v="Økologisk"/>
    <x v="1"/>
    <s v="Pil &amp; poppel"/>
    <n v="6.3031932792803271"/>
    <n v="105.15571226896935"/>
    <n v="0"/>
    <n v="105.15571226896935"/>
  </r>
  <r>
    <x v="1"/>
    <x v="13"/>
    <x v="1"/>
    <s v="Økologisk"/>
    <x v="1"/>
    <s v="Græs"/>
    <n v="591.35497282505401"/>
    <n v="9785.7420903089933"/>
    <n v="0"/>
    <n v="9785.7420903089933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1325.1374814814808"/>
    <n v="21928.375043555545"/>
    <n v="0"/>
    <n v="21928.375043555545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229.7001774151138"/>
    <n v="12068.277541151925"/>
    <n v="4230.0323085269065"/>
    <n v="4230.0323085269065"/>
  </r>
  <r>
    <x v="1"/>
    <x v="1"/>
    <x v="1"/>
    <s v="Konventionel"/>
    <x v="2"/>
    <s v="Halm"/>
    <n v="22.335410277576099"/>
    <n v="120.70055714002125"/>
    <n v="38.480432931969773"/>
    <n v="38.480432931969773"/>
  </r>
  <r>
    <x v="1"/>
    <x v="2"/>
    <x v="1"/>
    <s v="Konventionel"/>
    <x v="2"/>
    <s v="Halm"/>
    <n v="109.10325291425241"/>
    <n v="672.07603795179477"/>
    <n v="385.47536339357953"/>
    <n v="385.47536339357953"/>
  </r>
  <r>
    <x v="1"/>
    <x v="3"/>
    <x v="1"/>
    <s v="Konventionel"/>
    <x v="2"/>
    <s v="Græs"/>
    <n v="801.75462298516175"/>
    <n v="55696.290149533219"/>
    <n v="0"/>
    <n v="55696.290149533219"/>
  </r>
  <r>
    <x v="1"/>
    <x v="4"/>
    <x v="1"/>
    <s v="Konventionel"/>
    <x v="2"/>
    <s v="Grøntsager"/>
    <n v="3.7735374359053933"/>
    <n v="109.62126251305168"/>
    <n v="0"/>
    <n v="109.62126251305168"/>
  </r>
  <r>
    <x v="1"/>
    <x v="5"/>
    <x v="1"/>
    <s v="Konventionel"/>
    <x v="2"/>
    <s v="Kartofler"/>
    <n v="21.50871323094557"/>
    <n v="1278.8921563318527"/>
    <n v="0"/>
    <n v="1278.8921563318527"/>
  </r>
  <r>
    <x v="1"/>
    <x v="6"/>
    <x v="1"/>
    <s v="Konventionel"/>
    <x v="2"/>
    <s v="Roer"/>
    <n v="24.769124387034655"/>
    <n v="2817.6172899734825"/>
    <n v="0"/>
    <n v="2817.6172899734825"/>
  </r>
  <r>
    <x v="1"/>
    <x v="7"/>
    <x v="1"/>
    <s v="Konventionel"/>
    <x v="2"/>
    <s v="Majs"/>
    <n v="25.441049088005123"/>
    <n v="1585.3335328699513"/>
    <n v="0"/>
    <n v="1585.3335328699513"/>
  </r>
  <r>
    <x v="1"/>
    <x v="8"/>
    <x v="1"/>
    <s v="Konventionel"/>
    <x v="2"/>
    <s v="Frugt"/>
    <n v="9.2319327042333263"/>
    <n v="109.73075212251732"/>
    <n v="0"/>
    <n v="109.73075212251732"/>
  </r>
  <r>
    <x v="1"/>
    <x v="9"/>
    <x v="1"/>
    <s v="Konventionel"/>
    <x v="2"/>
    <s v="Øvrige"/>
    <n v="65.920477103599382"/>
    <n v="2749.82793653615"/>
    <n v="0"/>
    <n v="2749.82793653615"/>
  </r>
  <r>
    <x v="1"/>
    <x v="10"/>
    <x v="1"/>
    <s v="Konventionel"/>
    <x v="2"/>
    <s v="Halm"/>
    <n v="616.89552694179065"/>
    <n v="12340.628002676012"/>
    <n v="2201.5844742003133"/>
    <n v="2201.5844742003133"/>
  </r>
  <r>
    <x v="1"/>
    <x v="11"/>
    <x v="1"/>
    <s v="Konventionel"/>
    <x v="2"/>
    <s v="Juletræer"/>
    <n v="14.466386011962104"/>
    <n v="1012.6470208373472"/>
    <n v="0"/>
    <n v="1012.6470208373472"/>
  </r>
  <r>
    <x v="1"/>
    <x v="12"/>
    <x v="1"/>
    <s v="Konventionel"/>
    <x v="2"/>
    <s v="Pil &amp; poppel"/>
    <n v="44.128542424612569"/>
    <n v="1506.8282779136"/>
    <n v="0"/>
    <n v="1506.8282779136"/>
  </r>
  <r>
    <x v="1"/>
    <x v="13"/>
    <x v="1"/>
    <s v="Konventionel"/>
    <x v="2"/>
    <s v="Græs"/>
    <n v="4022.6412881001361"/>
    <n v="77661.11270806122"/>
    <n v="0"/>
    <n v="77661.11270806122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157.2313267993388"/>
    <n v="1033.8557216098363"/>
    <n v="362.37508541318959"/>
    <n v="362.37508541318959"/>
  </r>
  <r>
    <x v="1"/>
    <x v="1"/>
    <x v="1"/>
    <s v="Økologisk"/>
    <x v="2"/>
    <s v="Halm"/>
    <n v="2.8558393802405542"/>
    <n v="8.7967849261673745"/>
    <n v="2.8044948622371098"/>
    <n v="2.8044948622371098"/>
  </r>
  <r>
    <x v="1"/>
    <x v="2"/>
    <x v="1"/>
    <s v="Økologisk"/>
    <x v="2"/>
    <s v="Halm"/>
    <n v="13.950107130903383"/>
    <n v="47.262962959500669"/>
    <n v="27.108105025428031"/>
    <n v="27.108105025428031"/>
  </r>
  <r>
    <x v="1"/>
    <x v="3"/>
    <x v="1"/>
    <s v="Økologisk"/>
    <x v="2"/>
    <s v="Græs"/>
    <n v="102.51356017891004"/>
    <n v="5554.7013588366472"/>
    <n v="0"/>
    <n v="5554.7013588366472"/>
  </r>
  <r>
    <x v="1"/>
    <x v="4"/>
    <x v="1"/>
    <s v="Økologisk"/>
    <x v="2"/>
    <s v="Grøntsager"/>
    <n v="0.48249021076142495"/>
    <n v="7.9893141548930551"/>
    <n v="0"/>
    <n v="7.9893141548930551"/>
  </r>
  <r>
    <x v="1"/>
    <x v="5"/>
    <x v="1"/>
    <s v="Økologisk"/>
    <x v="2"/>
    <s v="Kartofler"/>
    <n v="2.7501366440044395"/>
    <n v="93.207019997122003"/>
    <n v="0"/>
    <n v="93.207019997122003"/>
  </r>
  <r>
    <x v="1"/>
    <x v="6"/>
    <x v="1"/>
    <s v="Økologisk"/>
    <x v="2"/>
    <s v="Roer"/>
    <n v="3.1670177516097451"/>
    <n v="205.35094361986913"/>
    <n v="0"/>
    <n v="205.35094361986913"/>
  </r>
  <r>
    <x v="1"/>
    <x v="7"/>
    <x v="1"/>
    <s v="Økologisk"/>
    <x v="2"/>
    <s v="Majs"/>
    <n v="3.2529310613605098"/>
    <n v="168.24361131082361"/>
    <n v="0"/>
    <n v="168.24361131082361"/>
  </r>
  <r>
    <x v="1"/>
    <x v="8"/>
    <x v="1"/>
    <s v="Økologisk"/>
    <x v="2"/>
    <s v="Frugt"/>
    <n v="1.1804088953292959"/>
    <n v="7.9972938740338861"/>
    <n v="0"/>
    <n v="7.9972938740338861"/>
  </r>
  <r>
    <x v="1"/>
    <x v="9"/>
    <x v="1"/>
    <s v="Økologisk"/>
    <x v="2"/>
    <s v="Øvrige"/>
    <n v="8.4286920247759696"/>
    <n v="200.41038347166389"/>
    <n v="0"/>
    <n v="200.41038347166389"/>
  </r>
  <r>
    <x v="1"/>
    <x v="10"/>
    <x v="1"/>
    <s v="Økologisk"/>
    <x v="2"/>
    <s v="Halm"/>
    <n v="78.877196229672492"/>
    <n v="899.39808867198917"/>
    <n v="160.45381707610923"/>
    <n v="160.45381707610923"/>
  </r>
  <r>
    <x v="1"/>
    <x v="11"/>
    <x v="1"/>
    <s v="Økologisk"/>
    <x v="2"/>
    <s v="Juletræer"/>
    <n v="1.8496940217032787"/>
    <n v="73.802791465960794"/>
    <n v="0"/>
    <n v="73.802791465960794"/>
  </r>
  <r>
    <x v="1"/>
    <x v="12"/>
    <x v="1"/>
    <s v="Økologisk"/>
    <x v="2"/>
    <s v="Pil &amp; poppel"/>
    <n v="5.6423422575473294"/>
    <n v="109.81924686640899"/>
    <n v="0"/>
    <n v="109.81924686640899"/>
  </r>
  <r>
    <x v="1"/>
    <x v="13"/>
    <x v="1"/>
    <s v="Økologisk"/>
    <x v="2"/>
    <s v="Græs"/>
    <n v="514.34100651696951"/>
    <n v="9929.8674718166149"/>
    <n v="0"/>
    <n v="9929.8674718166149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1031.5034074074065"/>
    <n v="19914.204783407389"/>
    <n v="0"/>
    <n v="19914.20478340738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4698307.4709618408"/>
  </r>
  <r>
    <x v="1"/>
    <x v="0"/>
    <x v="1"/>
    <n v="545577.01129372371"/>
  </r>
  <r>
    <x v="2"/>
    <x v="0"/>
    <x v="1"/>
    <n v="736385.00175039668"/>
  </r>
  <r>
    <x v="3"/>
    <x v="0"/>
    <x v="1"/>
    <n v="23233296.600181103"/>
  </r>
  <r>
    <x v="4"/>
    <x v="0"/>
    <x v="1"/>
    <n v="318920.65280775877"/>
  </r>
  <r>
    <x v="5"/>
    <x v="0"/>
    <x v="1"/>
    <n v="2537122.9309529141"/>
  </r>
  <r>
    <x v="6"/>
    <x v="0"/>
    <x v="1"/>
    <n v="2891451.8691946529"/>
  </r>
  <r>
    <x v="7"/>
    <x v="0"/>
    <x v="1"/>
    <n v="4171283.8969927602"/>
  </r>
  <r>
    <x v="8"/>
    <x v="0"/>
    <x v="1"/>
    <n v="488405.10801459721"/>
  </r>
  <r>
    <x v="9"/>
    <x v="0"/>
    <x v="1"/>
    <n v="1037736.7550566321"/>
  </r>
  <r>
    <x v="10"/>
    <x v="0"/>
    <x v="1"/>
    <n v="749561.48395824642"/>
  </r>
  <r>
    <x v="11"/>
    <x v="0"/>
    <x v="1"/>
    <n v="682243.34675238712"/>
  </r>
  <r>
    <x v="12"/>
    <x v="0"/>
    <x v="1"/>
    <n v="897193.5214277351"/>
  </r>
  <r>
    <x v="0"/>
    <x v="0"/>
    <x v="2"/>
    <n v="482048.93054039421"/>
  </r>
  <r>
    <x v="1"/>
    <x v="0"/>
    <x v="2"/>
    <n v="669028.68943321821"/>
  </r>
  <r>
    <x v="2"/>
    <x v="0"/>
    <x v="2"/>
    <n v="649292.34846099082"/>
  </r>
  <r>
    <x v="3"/>
    <x v="0"/>
    <x v="2"/>
    <n v="34445105.835390486"/>
  </r>
  <r>
    <x v="4"/>
    <x v="0"/>
    <x v="2"/>
    <n v="301754.85239496577"/>
  </r>
  <r>
    <x v="5"/>
    <x v="0"/>
    <x v="2"/>
    <n v="2337126.3206842514"/>
  </r>
  <r>
    <x v="6"/>
    <x v="0"/>
    <x v="2"/>
    <n v="2749867.8949207771"/>
  </r>
  <r>
    <x v="7"/>
    <x v="0"/>
    <x v="2"/>
    <n v="513235.88893477799"/>
  </r>
  <r>
    <x v="8"/>
    <x v="0"/>
    <x v="2"/>
    <n v="774671.670329666"/>
  </r>
  <r>
    <x v="9"/>
    <x v="0"/>
    <x v="2"/>
    <n v="90697.791194463221"/>
  </r>
  <r>
    <x v="10"/>
    <x v="0"/>
    <x v="2"/>
    <n v="62819.759709472717"/>
  </r>
  <r>
    <x v="11"/>
    <x v="0"/>
    <x v="2"/>
    <n v="386762.96576702269"/>
  </r>
  <r>
    <x v="12"/>
    <x v="0"/>
    <x v="2"/>
    <n v="1315903.539799313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426697.7169863379"/>
  </r>
  <r>
    <x v="1"/>
    <x v="1"/>
    <x v="1"/>
    <n v="165990.97004737973"/>
  </r>
  <r>
    <x v="2"/>
    <x v="1"/>
    <x v="1"/>
    <n v="225804.31636026004"/>
  </r>
  <r>
    <x v="3"/>
    <x v="1"/>
    <x v="1"/>
    <n v="6569596.6515662586"/>
  </r>
  <r>
    <x v="4"/>
    <x v="1"/>
    <x v="1"/>
    <n v="98055.31431785204"/>
  </r>
  <r>
    <x v="5"/>
    <x v="1"/>
    <x v="1"/>
    <n v="757571.37538443948"/>
  </r>
  <r>
    <x v="6"/>
    <x v="1"/>
    <x v="1"/>
    <n v="898519.08431343141"/>
  </r>
  <r>
    <x v="7"/>
    <x v="1"/>
    <x v="1"/>
    <n v="1224051.0749297491"/>
  </r>
  <r>
    <x v="8"/>
    <x v="1"/>
    <x v="1"/>
    <n v="150209.37360134395"/>
  </r>
  <r>
    <x v="9"/>
    <x v="1"/>
    <x v="1"/>
    <n v="311483.30240974069"/>
  </r>
  <r>
    <x v="10"/>
    <x v="1"/>
    <x v="1"/>
    <n v="239925.67708956901"/>
  </r>
  <r>
    <x v="11"/>
    <x v="1"/>
    <x v="1"/>
    <n v="205340.3536719332"/>
  </r>
  <r>
    <x v="12"/>
    <x v="1"/>
    <x v="1"/>
    <n v="272470.87062579964"/>
  </r>
  <r>
    <x v="0"/>
    <x v="1"/>
    <x v="2"/>
    <n v="160350.24819795735"/>
  </r>
  <r>
    <x v="1"/>
    <x v="1"/>
    <x v="2"/>
    <n v="222547.77389902543"/>
  </r>
  <r>
    <x v="2"/>
    <x v="1"/>
    <x v="2"/>
    <n v="215982.61635398451"/>
  </r>
  <r>
    <x v="3"/>
    <x v="1"/>
    <x v="2"/>
    <n v="11397047.281261299"/>
  </r>
  <r>
    <x v="4"/>
    <x v="1"/>
    <x v="2"/>
    <n v="100376.66803290648"/>
  </r>
  <r>
    <x v="5"/>
    <x v="1"/>
    <x v="2"/>
    <n v="777428.93272593827"/>
  </r>
  <r>
    <x v="6"/>
    <x v="1"/>
    <x v="2"/>
    <n v="914724.5674164847"/>
  </r>
  <r>
    <x v="7"/>
    <x v="1"/>
    <x v="2"/>
    <n v="170724.37456200234"/>
  </r>
  <r>
    <x v="8"/>
    <x v="1"/>
    <x v="2"/>
    <n v="257689.18202978774"/>
  </r>
  <r>
    <x v="9"/>
    <x v="1"/>
    <x v="2"/>
    <n v="30169.993972883625"/>
  </r>
  <r>
    <x v="10"/>
    <x v="1"/>
    <x v="2"/>
    <n v="20896.559297118682"/>
  </r>
  <r>
    <x v="11"/>
    <x v="1"/>
    <x v="2"/>
    <n v="128654.0299653736"/>
  </r>
  <r>
    <x v="12"/>
    <x v="1"/>
    <x v="2"/>
    <n v="437726.2262045594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00342.5314320424"/>
  </r>
  <r>
    <x v="0"/>
    <x v="2"/>
    <x v="1"/>
    <s v="JB1-10"/>
    <n v="543583.04014158307"/>
  </r>
  <r>
    <x v="0"/>
    <x v="3"/>
    <x v="1"/>
    <s v="JB1-10"/>
    <n v="362850.67167361401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66892.145975308638"/>
  </r>
  <r>
    <x v="0"/>
    <x v="2"/>
    <x v="1"/>
    <s v="OC6"/>
    <n v="0"/>
  </r>
  <r>
    <x v="0"/>
    <x v="3"/>
    <x v="1"/>
    <s v="OC6"/>
    <n v="73747.854024691362"/>
  </r>
  <r>
    <x v="0"/>
    <x v="4"/>
    <x v="1"/>
    <s v="OC6"/>
    <n v="0"/>
  </r>
  <r>
    <x v="0"/>
    <x v="0"/>
    <x v="1"/>
    <s v="OC12"/>
    <n v="0"/>
  </r>
  <r>
    <x v="0"/>
    <x v="1"/>
    <x v="1"/>
    <s v="OC12"/>
    <n v="52069.673876543202"/>
  </r>
  <r>
    <x v="0"/>
    <x v="2"/>
    <x v="1"/>
    <s v="OC12"/>
    <n v="0"/>
  </r>
  <r>
    <x v="0"/>
    <x v="3"/>
    <x v="1"/>
    <s v="OC12"/>
    <n v="59921.4372345679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463209.4724471318"/>
  </r>
  <r>
    <x v="0"/>
    <x v="2"/>
    <x v="2"/>
    <s v="JB1-10"/>
    <n v="652101.55866010161"/>
  </r>
  <r>
    <x v="0"/>
    <x v="3"/>
    <x v="2"/>
    <s v="JB1-10"/>
    <n v="491465.21214000636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725.0625185185199"/>
  </r>
  <r>
    <x v="0"/>
    <x v="2"/>
    <x v="2"/>
    <s v="OC6"/>
    <n v="0"/>
  </r>
  <r>
    <x v="0"/>
    <x v="3"/>
    <x v="2"/>
    <s v="OC6"/>
    <n v="131914.93748148147"/>
  </r>
  <r>
    <x v="0"/>
    <x v="4"/>
    <x v="2"/>
    <s v="OC6"/>
    <n v="0"/>
  </r>
  <r>
    <x v="0"/>
    <x v="0"/>
    <x v="2"/>
    <s v="OC12"/>
    <n v="0"/>
  </r>
  <r>
    <x v="0"/>
    <x v="1"/>
    <x v="2"/>
    <s v="OC12"/>
    <n v="6791.6965925925906"/>
  </r>
  <r>
    <x v="0"/>
    <x v="2"/>
    <x v="2"/>
    <s v="OC12"/>
    <n v="0"/>
  </r>
  <r>
    <x v="0"/>
    <x v="3"/>
    <x v="2"/>
    <s v="OC12"/>
    <n v="105199.41451851852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22741.61671610549"/>
  </r>
  <r>
    <x v="1"/>
    <x v="2"/>
    <x v="1"/>
    <s v="JB1-10"/>
    <n v="143826.95985841687"/>
  </r>
  <r>
    <x v="1"/>
    <x v="3"/>
    <x v="1"/>
    <s v="JB1-10"/>
    <n v="82325.1801782378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0159.387358024691"/>
  </r>
  <r>
    <x v="1"/>
    <x v="2"/>
    <x v="1"/>
    <s v="OC6"/>
    <n v="0"/>
  </r>
  <r>
    <x v="1"/>
    <x v="3"/>
    <x v="1"/>
    <s v="OC6"/>
    <n v="11200.612641975309"/>
  </r>
  <r>
    <x v="1"/>
    <x v="4"/>
    <x v="1"/>
    <s v="OC6"/>
    <n v="0"/>
  </r>
  <r>
    <x v="1"/>
    <x v="0"/>
    <x v="1"/>
    <s v="OC12"/>
    <n v="0"/>
  </r>
  <r>
    <x v="1"/>
    <x v="1"/>
    <x v="1"/>
    <s v="OC12"/>
    <n v="7908.1927901234558"/>
  </r>
  <r>
    <x v="1"/>
    <x v="2"/>
    <x v="1"/>
    <s v="OC12"/>
    <n v="0"/>
  </r>
  <r>
    <x v="1"/>
    <x v="3"/>
    <x v="1"/>
    <s v="OC12"/>
    <n v="9100.69609876543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486726.52755286818"/>
  </r>
  <r>
    <x v="1"/>
    <x v="2"/>
    <x v="2"/>
    <s v="JB1-10"/>
    <n v="160308.44133989836"/>
  </r>
  <r>
    <x v="1"/>
    <x v="3"/>
    <x v="2"/>
    <s v="JB1-10"/>
    <n v="101858.78785999372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325.1374814814808"/>
  </r>
  <r>
    <x v="1"/>
    <x v="2"/>
    <x v="2"/>
    <s v="OC6"/>
    <n v="0"/>
  </r>
  <r>
    <x v="1"/>
    <x v="3"/>
    <x v="2"/>
    <s v="OC6"/>
    <n v="20034.862518518519"/>
  </r>
  <r>
    <x v="1"/>
    <x v="4"/>
    <x v="2"/>
    <s v="OC6"/>
    <n v="0"/>
  </r>
  <r>
    <x v="1"/>
    <x v="0"/>
    <x v="2"/>
    <s v="OC12"/>
    <n v="0"/>
  </r>
  <r>
    <x v="1"/>
    <x v="1"/>
    <x v="2"/>
    <s v="OC12"/>
    <n v="1031.5034074074065"/>
  </r>
  <r>
    <x v="1"/>
    <x v="2"/>
    <x v="2"/>
    <s v="OC12"/>
    <n v="0"/>
  </r>
  <r>
    <x v="1"/>
    <x v="3"/>
    <x v="2"/>
    <s v="OC12"/>
    <n v="15977.385481481482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745893.035319086"/>
  </r>
  <r>
    <x v="1"/>
    <s v="Vestdanmark"/>
    <x v="15"/>
    <x v="1"/>
    <n v="4551096.1446218006"/>
  </r>
  <r>
    <x v="1"/>
    <s v="Vestdanmark"/>
    <x v="16"/>
    <x v="1"/>
    <n v="6146.3860846246353"/>
  </r>
  <r>
    <x v="1"/>
    <s v="Vestdanmark"/>
    <x v="17"/>
    <x v="1"/>
    <n v="1481053.1985566379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761545.7522961586"/>
  </r>
  <r>
    <x v="1"/>
    <s v="Vestdanmark"/>
    <x v="21"/>
    <x v="1"/>
    <n v="3838456.805706011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0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0"/>
  </r>
  <r>
    <x v="1"/>
    <s v="Vestdanmark"/>
    <x v="15"/>
    <x v="2"/>
    <n v="61870.340176480422"/>
  </r>
  <r>
    <x v="1"/>
    <s v="Vestdanmark"/>
    <x v="16"/>
    <x v="2"/>
    <n v="12641.434133773972"/>
  </r>
  <r>
    <x v="1"/>
    <s v="Vestdanmark"/>
    <x v="17"/>
    <x v="2"/>
    <n v="1517880.3720548805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4013919.0937787211"/>
  </r>
  <r>
    <x v="1"/>
    <s v="Vestdanmark"/>
    <x v="21"/>
    <x v="2"/>
    <n v="9508401.068542948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0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57048.9001647846"/>
  </r>
  <r>
    <x v="1"/>
    <s v="Østdanmark"/>
    <x v="15"/>
    <x v="1"/>
    <n v="323464.65204194176"/>
  </r>
  <r>
    <x v="1"/>
    <s v="Østdanmark"/>
    <x v="16"/>
    <x v="1"/>
    <n v="515.86391537536554"/>
  </r>
  <r>
    <x v="1"/>
    <s v="Østdanmark"/>
    <x v="17"/>
    <x v="1"/>
    <n v="1266377.3160230415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39591.41441688087"/>
  </r>
  <r>
    <x v="1"/>
    <s v="Østdanmark"/>
    <x v="21"/>
    <x v="1"/>
    <n v="502507.4017944691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0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0"/>
  </r>
  <r>
    <x v="1"/>
    <s v="Østdanmark"/>
    <x v="15"/>
    <x v="2"/>
    <n v="4397.3731648257435"/>
  </r>
  <r>
    <x v="1"/>
    <s v="Østdanmark"/>
    <x v="16"/>
    <x v="2"/>
    <n v="1060.9909007378428"/>
  </r>
  <r>
    <x v="1"/>
    <s v="Østdanmark"/>
    <x v="17"/>
    <x v="2"/>
    <n v="1324256.644494239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578414.57574082457"/>
  </r>
  <r>
    <x v="1"/>
    <s v="Østdanmark"/>
    <x v="21"/>
    <x v="2"/>
    <n v="1345551.9694721752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0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3213850.6503298059"/>
  </r>
  <r>
    <x v="2"/>
    <s v="Vestdanmark"/>
    <x v="22"/>
    <x v="1"/>
    <n v="499432.74755070958"/>
  </r>
  <r>
    <x v="2"/>
    <s v="Vestdanmark"/>
    <x v="2"/>
    <x v="1"/>
    <n v="753476.59121508116"/>
  </r>
  <r>
    <x v="2"/>
    <s v="Vestdanmark"/>
    <x v="5"/>
    <x v="1"/>
    <n v="51766.523378049998"/>
  </r>
  <r>
    <x v="2"/>
    <s v="Vestdanmark"/>
    <x v="25"/>
    <x v="1"/>
    <n v="675121.74238873541"/>
  </r>
  <r>
    <x v="2"/>
    <s v="Vestdanmark"/>
    <x v="24"/>
    <x v="1"/>
    <n v="3107018.8030339861"/>
  </r>
  <r>
    <x v="2"/>
    <s v="Vestdanmark"/>
    <x v="28"/>
    <x v="1"/>
    <n v="297667.91735204216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821978.8314936236"/>
  </r>
  <r>
    <x v="2"/>
    <s v="Vestdanmark"/>
    <x v="29"/>
    <x v="1"/>
    <n v="784847.28992527397"/>
  </r>
  <r>
    <x v="2"/>
    <s v="Vestdanmark"/>
    <x v="30"/>
    <x v="1"/>
    <n v="3603112.0414954"/>
  </r>
  <r>
    <x v="2"/>
    <s v="Vestdanmark"/>
    <x v="31"/>
    <x v="1"/>
    <n v="1750884.4374278623"/>
  </r>
  <r>
    <x v="2"/>
    <s v="Vestdanmark"/>
    <x v="32"/>
    <x v="1"/>
    <n v="39589.144539968278"/>
  </r>
  <r>
    <x v="2"/>
    <s v="Vestdanmark"/>
    <x v="33"/>
    <x v="1"/>
    <n v="2500193.1989936335"/>
  </r>
  <r>
    <x v="2"/>
    <s v="Vestdanmark"/>
    <x v="0"/>
    <x v="2"/>
    <n v="350004.26926330419"/>
  </r>
  <r>
    <x v="2"/>
    <s v="Vestdanmark"/>
    <x v="22"/>
    <x v="2"/>
    <n v="204619.16541082526"/>
  </r>
  <r>
    <x v="2"/>
    <s v="Vestdanmark"/>
    <x v="2"/>
    <x v="2"/>
    <n v="1555390.1797161226"/>
  </r>
  <r>
    <x v="2"/>
    <s v="Vestdanmark"/>
    <x v="5"/>
    <x v="2"/>
    <n v="37918.362883307651"/>
  </r>
  <r>
    <x v="2"/>
    <s v="Vestdanmark"/>
    <x v="25"/>
    <x v="2"/>
    <n v="494518.64926980395"/>
  </r>
  <r>
    <x v="2"/>
    <s v="Vestdanmark"/>
    <x v="24"/>
    <x v="2"/>
    <n v="366941.45938834856"/>
  </r>
  <r>
    <x v="2"/>
    <s v="Vestdanmark"/>
    <x v="28"/>
    <x v="2"/>
    <n v="385620.59434870677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7194482.7131786915"/>
  </r>
  <r>
    <x v="2"/>
    <s v="Vestdanmark"/>
    <x v="29"/>
    <x v="2"/>
    <n v="0"/>
  </r>
  <r>
    <x v="2"/>
    <s v="Vestdanmark"/>
    <x v="30"/>
    <x v="2"/>
    <n v="7440134.0206201067"/>
  </r>
  <r>
    <x v="2"/>
    <s v="Vestdanmark"/>
    <x v="31"/>
    <x v="2"/>
    <n v="3614323.9107155115"/>
  </r>
  <r>
    <x v="2"/>
    <s v="Vestdanmark"/>
    <x v="32"/>
    <x v="2"/>
    <n v="39591.750029137664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420737.76566977677"/>
  </r>
  <r>
    <x v="2"/>
    <s v="Østdanmark"/>
    <x v="22"/>
    <x v="1"/>
    <n v="65382.695454513305"/>
  </r>
  <r>
    <x v="2"/>
    <s v="Østdanmark"/>
    <x v="2"/>
    <x v="1"/>
    <n v="98640.569199997146"/>
  </r>
  <r>
    <x v="2"/>
    <s v="Østdanmark"/>
    <x v="5"/>
    <x v="1"/>
    <n v="6776.9581577594281"/>
  </r>
  <r>
    <x v="2"/>
    <s v="Østdanmark"/>
    <x v="25"/>
    <x v="1"/>
    <n v="88382.829307445863"/>
  </r>
  <r>
    <x v="2"/>
    <s v="Østdanmark"/>
    <x v="24"/>
    <x v="1"/>
    <n v="406751.99046612647"/>
  </r>
  <r>
    <x v="2"/>
    <s v="Østdanmark"/>
    <x v="28"/>
    <x v="1"/>
    <n v="38968.87194973476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85833.6860159934"/>
  </r>
  <r>
    <x v="2"/>
    <s v="Østdanmark"/>
    <x v="29"/>
    <x v="1"/>
    <n v="102747.43013377195"/>
  </r>
  <r>
    <x v="2"/>
    <s v="Østdanmark"/>
    <x v="30"/>
    <x v="1"/>
    <n v="471697.49771697511"/>
  </r>
  <r>
    <x v="2"/>
    <s v="Østdanmark"/>
    <x v="31"/>
    <x v="1"/>
    <n v="229215.13358867078"/>
  </r>
  <r>
    <x v="2"/>
    <s v="Østdanmark"/>
    <x v="32"/>
    <x v="1"/>
    <n v="5182.7698392938037"/>
  </r>
  <r>
    <x v="2"/>
    <s v="Østdanmark"/>
    <x v="33"/>
    <x v="1"/>
    <n v="327310.07589895441"/>
  </r>
  <r>
    <x v="2"/>
    <s v="Østdanmark"/>
    <x v="0"/>
    <x v="2"/>
    <n v="49529.771665708242"/>
  </r>
  <r>
    <x v="2"/>
    <s v="Østdanmark"/>
    <x v="22"/>
    <x v="2"/>
    <n v="28956.048343518098"/>
  </r>
  <r>
    <x v="2"/>
    <s v="Østdanmark"/>
    <x v="2"/>
    <x v="2"/>
    <n v="220106.23074563002"/>
  </r>
  <r>
    <x v="2"/>
    <s v="Østdanmark"/>
    <x v="5"/>
    <x v="2"/>
    <n v="5365.8998488810739"/>
  </r>
  <r>
    <x v="2"/>
    <s v="Østdanmark"/>
    <x v="25"/>
    <x v="2"/>
    <n v="69980.277195824005"/>
  </r>
  <r>
    <x v="2"/>
    <s v="Østdanmark"/>
    <x v="24"/>
    <x v="2"/>
    <n v="51926.585742627525"/>
  </r>
  <r>
    <x v="2"/>
    <s v="Østdanmark"/>
    <x v="28"/>
    <x v="2"/>
    <n v="54569.90575539997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018104.9699383936"/>
  </r>
  <r>
    <x v="2"/>
    <s v="Østdanmark"/>
    <x v="29"/>
    <x v="2"/>
    <n v="0"/>
  </r>
  <r>
    <x v="2"/>
    <s v="Østdanmark"/>
    <x v="30"/>
    <x v="2"/>
    <n v="1052867.5549564718"/>
  </r>
  <r>
    <x v="2"/>
    <s v="Østdanmark"/>
    <x v="31"/>
    <x v="2"/>
    <n v="511469.86978315056"/>
  </r>
  <r>
    <x v="2"/>
    <s v="Østdanmark"/>
    <x v="32"/>
    <x v="2"/>
    <n v="5602.7040553433098"/>
  </r>
  <r>
    <x v="2"/>
    <s v="Østdanmark"/>
    <x v="33"/>
    <x v="2"/>
    <n v="0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40357.0052034357"/>
  </r>
  <r>
    <x v="3"/>
    <s v="Vestdanmark"/>
    <x v="34"/>
    <x v="1"/>
    <n v="235643.20056012695"/>
  </r>
  <r>
    <x v="3"/>
    <s v="Vestdanmark"/>
    <x v="35"/>
    <x v="1"/>
    <n v="897193.5214277351"/>
  </r>
  <r>
    <x v="3"/>
    <s v="Vestdanmark"/>
    <x v="36"/>
    <x v="1"/>
    <n v="2212209.4819686995"/>
  </r>
  <r>
    <x v="3"/>
    <s v="Vestdanmark"/>
    <x v="26"/>
    <x v="1"/>
    <n v="526734.10986839118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1213.6299194002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513852.51374389092"/>
  </r>
  <r>
    <x v="3"/>
    <s v="Østdanmark"/>
    <x v="34"/>
    <x v="1"/>
    <n v="72257.381235283217"/>
  </r>
  <r>
    <x v="3"/>
    <s v="Østdanmark"/>
    <x v="35"/>
    <x v="1"/>
    <n v="272470.87062579964"/>
  </r>
  <r>
    <x v="3"/>
    <s v="Østdanmark"/>
    <x v="36"/>
    <x v="1"/>
    <n v="646548.74657684658"/>
  </r>
  <r>
    <x v="3"/>
    <s v="Østdanmark"/>
    <x v="26"/>
    <x v="1"/>
    <n v="456074.89013160887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296.99682560615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207773.55150751706"/>
  </r>
  <r>
    <x v="3"/>
    <s v="Vestdanmark"/>
    <x v="35"/>
    <x v="2"/>
    <n v="1315903.5397993135"/>
  </r>
  <r>
    <x v="3"/>
    <s v="Vestdanmark"/>
    <x v="36"/>
    <x v="2"/>
    <n v="2149322.1793498904"/>
  </r>
  <r>
    <x v="3"/>
    <s v="Vestdanmark"/>
    <x v="26"/>
    <x v="2"/>
    <n v="524881.9750393981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37679.9542953518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128289.96787416932"/>
  </r>
  <r>
    <x v="3"/>
    <s v="Østdanmark"/>
    <x v="34"/>
    <x v="2"/>
    <n v="69114.43723327505"/>
  </r>
  <r>
    <x v="3"/>
    <s v="Østdanmark"/>
    <x v="35"/>
    <x v="2"/>
    <n v="437726.22620455944"/>
  </r>
  <r>
    <x v="3"/>
    <s v="Østdanmark"/>
    <x v="36"/>
    <x v="2"/>
    <n v="611742.92957675515"/>
  </r>
  <r>
    <x v="3"/>
    <s v="Østdanmark"/>
    <x v="26"/>
    <x v="2"/>
    <n v="457927.02496060182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6699.1864551374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3581964.3451063624"/>
  </r>
  <r>
    <x v="5"/>
    <s v="Vestdanmark"/>
    <x v="15"/>
    <x v="1"/>
    <n v="1517032.048207267"/>
  </r>
  <r>
    <x v="5"/>
    <s v="Vestdanmark"/>
    <x v="16"/>
    <x v="1"/>
    <n v="2048.7953615415449"/>
  </r>
  <r>
    <x v="5"/>
    <s v="Vestdanmark"/>
    <x v="20"/>
    <x v="1"/>
    <n v="222290.29731356286"/>
  </r>
  <r>
    <x v="5"/>
    <s v="Vestdanmark"/>
    <x v="38"/>
    <x v="1"/>
    <n v="17741283.594546799"/>
  </r>
  <r>
    <x v="5"/>
    <s v="Vestdanmark"/>
    <x v="39"/>
    <x v="1"/>
    <n v="708590.7242708815"/>
  </r>
  <r>
    <x v="5"/>
    <s v="Vestdanmark"/>
    <x v="14"/>
    <x v="2"/>
    <n v="0"/>
  </r>
  <r>
    <x v="5"/>
    <s v="Vestdanmark"/>
    <x v="15"/>
    <x v="2"/>
    <n v="6874.4822418311569"/>
  </r>
  <r>
    <x v="5"/>
    <s v="Vestdanmark"/>
    <x v="16"/>
    <x v="2"/>
    <n v="1404.603792641552"/>
  </r>
  <r>
    <x v="5"/>
    <s v="Vestdanmark"/>
    <x v="20"/>
    <x v="2"/>
    <n v="168839.45394466043"/>
  </r>
  <r>
    <x v="5"/>
    <s v="Vestdanmark"/>
    <x v="38"/>
    <x v="2"/>
    <n v="380267.18980249454"/>
  </r>
  <r>
    <x v="5"/>
    <s v="Vestdanmark"/>
    <x v="39"/>
    <x v="2"/>
    <n v="1043723.47576151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519016.30005492823"/>
  </r>
  <r>
    <x v="5"/>
    <s v="Østdanmark"/>
    <x v="15"/>
    <x v="1"/>
    <n v="107821.55068064725"/>
  </r>
  <r>
    <x v="5"/>
    <s v="Østdanmark"/>
    <x v="16"/>
    <x v="1"/>
    <n v="171.95463845845521"/>
  </r>
  <r>
    <x v="5"/>
    <s v="Østdanmark"/>
    <x v="20"/>
    <x v="1"/>
    <n v="30234.154676415921"/>
  </r>
  <r>
    <x v="5"/>
    <s v="Østdanmark"/>
    <x v="38"/>
    <x v="1"/>
    <n v="3082747.997526899"/>
  </r>
  <r>
    <x v="5"/>
    <s v="Østdanmark"/>
    <x v="39"/>
    <x v="1"/>
    <n v="352682.42266556359"/>
  </r>
  <r>
    <x v="5"/>
    <s v="Østdanmark"/>
    <x v="14"/>
    <x v="2"/>
    <n v="0"/>
  </r>
  <r>
    <x v="5"/>
    <s v="Østdanmark"/>
    <x v="15"/>
    <x v="2"/>
    <n v="488.59701831397138"/>
  </r>
  <r>
    <x v="5"/>
    <s v="Østdanmark"/>
    <x v="16"/>
    <x v="2"/>
    <n v="117.88787785976028"/>
  </r>
  <r>
    <x v="5"/>
    <s v="Østdanmark"/>
    <x v="20"/>
    <x v="2"/>
    <n v="24330.136916082298"/>
  </r>
  <r>
    <x v="5"/>
    <s v="Østdanmark"/>
    <x v="38"/>
    <x v="2"/>
    <n v="81858.543893972019"/>
  </r>
  <r>
    <x v="5"/>
    <s v="Østdanmark"/>
    <x v="39"/>
    <x v="2"/>
    <n v="351154.23536016268"/>
  </r>
  <r>
    <x v="6"/>
    <s v="Vestdanmark"/>
    <x v="23"/>
    <x v="0"/>
    <n v="0"/>
  </r>
  <r>
    <x v="6"/>
    <s v="Vestdanmark"/>
    <x v="23"/>
    <x v="1"/>
    <n v="10473588.922093241"/>
  </r>
  <r>
    <x v="6"/>
    <s v="Vestdanmark"/>
    <x v="23"/>
    <x v="2"/>
    <n v="21620469.097170986"/>
  </r>
  <r>
    <x v="6"/>
    <s v="Østdanmark"/>
    <x v="23"/>
    <x v="0"/>
    <n v="0"/>
  </r>
  <r>
    <x v="6"/>
    <s v="Østdanmark"/>
    <x v="23"/>
    <x v="1"/>
    <n v="1371138.5129775794"/>
  </r>
  <r>
    <x v="6"/>
    <s v="Østdanmark"/>
    <x v="23"/>
    <x v="2"/>
    <n v="3059553.8161358451"/>
  </r>
  <r>
    <x v="7"/>
    <s v="Vestdanmark"/>
    <x v="40"/>
    <x v="0"/>
    <n v="485762.00237315823"/>
  </r>
  <r>
    <x v="7"/>
    <s v="Vestdanmark"/>
    <x v="40"/>
    <x v="1"/>
    <n v="736385.00175039668"/>
  </r>
  <r>
    <x v="7"/>
    <s v="Vestdanmark"/>
    <x v="40"/>
    <x v="2"/>
    <n v="649292.34846099082"/>
  </r>
  <r>
    <x v="7"/>
    <s v="Østdanmark"/>
    <x v="40"/>
    <x v="0"/>
    <n v="192563.22613808865"/>
  </r>
  <r>
    <x v="7"/>
    <s v="Østdanmark"/>
    <x v="40"/>
    <x v="1"/>
    <n v="225804.31636026004"/>
  </r>
  <r>
    <x v="7"/>
    <s v="Østdanmark"/>
    <x v="40"/>
    <x v="2"/>
    <n v="215982.6163539845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75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738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7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10"/>
    </i>
    <i>
      <x v="13"/>
    </i>
    <i>
      <x v="14"/>
    </i>
    <i>
      <x v="24"/>
    </i>
    <i>
      <x v="32"/>
    </i>
    <i>
      <x v="37"/>
    </i>
    <i>
      <x v="39"/>
    </i>
    <i>
      <x v="44"/>
    </i>
    <i t="grand">
      <x/>
    </i>
  </colItems>
  <pageFields count="1">
    <pageField fld="25" item="1" hier="-1"/>
  </pageFields>
  <dataFields count="1">
    <dataField name="Sum of Import" fld="26" baseField="0" baseItem="0" numFmtId="3"/>
  </dataFields>
  <formats count="1">
    <format dxfId="12">
      <pivotArea outline="0" collapsedLevelsAreSubtotals="1" fieldPosition="0"/>
    </format>
  </formats>
  <chartFormats count="12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5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6" format="5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5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4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73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8">
  <location ref="A4:L9" firstHeaderRow="1" firstDataRow="2" firstDataCol="1" rowPageCount="1" colPageCount="1"/>
  <pivotFields count="27">
    <pivotField axis="axisCol" showAll="0">
      <items count="49">
        <item h="1" x="0"/>
        <item x="1"/>
        <item h="1" x="2"/>
        <item h="1" x="4"/>
        <item h="1" x="6"/>
        <item h="1" x="9"/>
        <item h="1" x="10"/>
        <item x="13"/>
        <item h="1" x="15"/>
        <item x="16"/>
        <item h="1" x="19"/>
        <item x="21"/>
        <item x="22"/>
        <item h="1" x="23"/>
        <item h="1" x="25"/>
        <item x="26"/>
        <item h="1" x="27"/>
        <item h="1" x="28"/>
        <item h="1" x="29"/>
        <item h="1" x="31"/>
        <item h="1" x="34"/>
        <item x="35"/>
        <item x="38"/>
        <item h="1" x="39"/>
        <item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x="14"/>
        <item h="1" x="18"/>
        <item h="1" x="20"/>
        <item h="1" x="30"/>
        <item h="1" x="45"/>
        <item h="1" x="3"/>
        <item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1"/>
    </i>
    <i>
      <x v="7"/>
    </i>
    <i>
      <x v="9"/>
    </i>
    <i>
      <x v="11"/>
    </i>
    <i>
      <x v="12"/>
    </i>
    <i>
      <x v="15"/>
    </i>
    <i>
      <x v="22"/>
    </i>
    <i>
      <x v="24"/>
    </i>
    <i>
      <x v="26"/>
    </i>
    <i>
      <x v="44"/>
    </i>
    <i t="grand">
      <x/>
    </i>
  </colItems>
  <pageFields count="1">
    <pageField fld="26" item="1" hier="-1"/>
  </pageFields>
  <dataFields count="1">
    <dataField name="Sum of Produktion minus forbrug [ton]" fld="14" baseField="3" baseItem="0" numFmtId="3"/>
  </dataFields>
  <formats count="2"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chartFormats count="2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728" dataOnRows="1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3:K14" firstHeaderRow="1" firstDataRow="2" firstDataCol="1"/>
  <pivotFields count="25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4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20" baseField="0" baseItem="0"/>
    <dataField name="Sum of Biogasproduktion [PJ]" fld="19" baseField="0" baseItem="0"/>
  </dataFields>
  <formats count="1">
    <format dxfId="9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72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3">
  <location ref="A1:I6" firstHeaderRow="1" firstDataRow="2" firstDataCol="1"/>
  <pivotFields count="25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2" baseField="0" baseItem="0" numFmtId="171"/>
  </dataFields>
  <formats count="1">
    <format dxfId="8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72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749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72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10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6" baseField="0" baseItem="0" numFmtId="171"/>
  </dataFields>
  <formats count="1">
    <format dxfId="5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728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6">
  <location ref="A4:D9" firstHeaderRow="1" firstDataRow="2" firstDataCol="1"/>
  <pivotFields count="25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6" baseField="0" baseItem="0" numFmtId="171"/>
  </dataFields>
  <formats count="1">
    <format dxfId="4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75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3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744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2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4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E25"/>
  <sheetViews>
    <sheetView zoomScale="80" zoomScaleNormal="80" workbookViewId="0">
      <selection activeCell="D13" sqref="D1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5" ht="21" x14ac:dyDescent="0.35">
      <c r="A1" s="427" t="s">
        <v>268</v>
      </c>
      <c r="B1" s="427"/>
      <c r="D1" s="73" t="s">
        <v>281</v>
      </c>
    </row>
    <row r="2" spans="1:5" x14ac:dyDescent="0.25">
      <c r="A2" s="6" t="s">
        <v>0</v>
      </c>
      <c r="B2" s="199" t="s">
        <v>335</v>
      </c>
    </row>
    <row r="4" spans="1:5" ht="30" customHeight="1" thickBot="1" x14ac:dyDescent="0.3">
      <c r="A4" s="426" t="s">
        <v>267</v>
      </c>
      <c r="B4" s="426"/>
      <c r="D4" s="73"/>
    </row>
    <row r="5" spans="1:5" ht="15.75" thickTop="1" x14ac:dyDescent="0.25">
      <c r="A5" s="231" t="s">
        <v>85</v>
      </c>
      <c r="B5" s="230" t="s">
        <v>301</v>
      </c>
      <c r="D5" s="189" t="s">
        <v>43</v>
      </c>
      <c r="E5" s="190"/>
    </row>
    <row r="6" spans="1:5" x14ac:dyDescent="0.25">
      <c r="A6" s="184" t="s">
        <v>83</v>
      </c>
      <c r="B6" s="185" t="s">
        <v>255</v>
      </c>
      <c r="D6" s="191" t="s">
        <v>266</v>
      </c>
      <c r="E6" s="192" t="s">
        <v>44</v>
      </c>
    </row>
    <row r="7" spans="1:5" x14ac:dyDescent="0.25">
      <c r="A7" s="184"/>
      <c r="B7" s="185" t="s">
        <v>2</v>
      </c>
      <c r="D7" s="191" t="s">
        <v>41</v>
      </c>
      <c r="E7" s="192" t="s">
        <v>45</v>
      </c>
    </row>
    <row r="8" spans="1:5" x14ac:dyDescent="0.25">
      <c r="A8" s="197" t="s">
        <v>91</v>
      </c>
      <c r="B8" s="185" t="s">
        <v>256</v>
      </c>
      <c r="D8" s="191" t="s">
        <v>40</v>
      </c>
      <c r="E8" s="192" t="s">
        <v>46</v>
      </c>
    </row>
    <row r="9" spans="1:5" x14ac:dyDescent="0.25">
      <c r="A9" s="184" t="s">
        <v>92</v>
      </c>
      <c r="B9" s="185" t="s">
        <v>257</v>
      </c>
      <c r="D9" s="191"/>
      <c r="E9" s="192"/>
    </row>
    <row r="10" spans="1:5" x14ac:dyDescent="0.25">
      <c r="A10" s="184"/>
      <c r="B10" s="185"/>
      <c r="D10" s="193" t="s">
        <v>47</v>
      </c>
      <c r="E10" s="192"/>
    </row>
    <row r="11" spans="1:5" x14ac:dyDescent="0.25">
      <c r="A11" s="197" t="s">
        <v>68</v>
      </c>
      <c r="B11" s="198" t="s">
        <v>258</v>
      </c>
      <c r="D11" s="191" t="s">
        <v>32</v>
      </c>
      <c r="E11" s="192"/>
    </row>
    <row r="12" spans="1:5" x14ac:dyDescent="0.25">
      <c r="A12" s="184" t="s">
        <v>252</v>
      </c>
      <c r="B12" s="185" t="s">
        <v>259</v>
      </c>
      <c r="D12" s="191" t="s">
        <v>9</v>
      </c>
      <c r="E12" s="192"/>
    </row>
    <row r="13" spans="1:5" x14ac:dyDescent="0.25">
      <c r="A13" s="184"/>
      <c r="B13" s="185"/>
      <c r="D13" s="191" t="s">
        <v>10</v>
      </c>
      <c r="E13" s="192"/>
    </row>
    <row r="14" spans="1:5" x14ac:dyDescent="0.25">
      <c r="A14" s="197" t="s">
        <v>69</v>
      </c>
      <c r="B14" s="198" t="s">
        <v>260</v>
      </c>
      <c r="D14" s="191" t="s">
        <v>33</v>
      </c>
      <c r="E14" s="192"/>
    </row>
    <row r="15" spans="1:5" x14ac:dyDescent="0.25">
      <c r="A15" s="184" t="s">
        <v>70</v>
      </c>
      <c r="B15" s="185" t="s">
        <v>261</v>
      </c>
      <c r="D15" s="191" t="s">
        <v>11</v>
      </c>
      <c r="E15" s="192"/>
    </row>
    <row r="16" spans="1:5" x14ac:dyDescent="0.25">
      <c r="A16" s="184" t="s">
        <v>71</v>
      </c>
      <c r="B16" s="185"/>
      <c r="D16" s="191"/>
      <c r="E16" s="192"/>
    </row>
    <row r="17" spans="1:5" x14ac:dyDescent="0.25">
      <c r="A17" s="184" t="s">
        <v>72</v>
      </c>
      <c r="B17" s="198" t="s">
        <v>265</v>
      </c>
      <c r="D17" s="193" t="s">
        <v>349</v>
      </c>
      <c r="E17" s="192"/>
    </row>
    <row r="18" spans="1:5" x14ac:dyDescent="0.25">
      <c r="A18" s="184" t="s">
        <v>73</v>
      </c>
      <c r="B18" s="428" t="s">
        <v>269</v>
      </c>
      <c r="D18" s="191">
        <v>2019</v>
      </c>
      <c r="E18" s="192"/>
    </row>
    <row r="19" spans="1:5" x14ac:dyDescent="0.25">
      <c r="A19" s="184" t="s">
        <v>253</v>
      </c>
      <c r="B19" s="428"/>
      <c r="D19" s="191">
        <v>2030</v>
      </c>
      <c r="E19" s="192"/>
    </row>
    <row r="20" spans="1:5" ht="15.75" thickBot="1" x14ac:dyDescent="0.3">
      <c r="A20" s="184" t="s">
        <v>254</v>
      </c>
      <c r="B20" s="185"/>
      <c r="D20" s="194">
        <v>2050</v>
      </c>
      <c r="E20" s="195"/>
    </row>
    <row r="21" spans="1:5" ht="15.75" thickTop="1" x14ac:dyDescent="0.25">
      <c r="A21" s="184" t="s">
        <v>74</v>
      </c>
      <c r="B21" s="185"/>
    </row>
    <row r="22" spans="1:5" x14ac:dyDescent="0.25">
      <c r="A22" s="184"/>
      <c r="B22" s="185"/>
    </row>
    <row r="23" spans="1:5" x14ac:dyDescent="0.25">
      <c r="A23" s="232" t="s">
        <v>302</v>
      </c>
      <c r="B23" s="185"/>
    </row>
    <row r="24" spans="1:5" ht="15.75" thickBot="1" x14ac:dyDescent="0.3">
      <c r="A24" s="186" t="s">
        <v>1</v>
      </c>
      <c r="B24" s="187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topLeftCell="A10" zoomScale="55" zoomScaleNormal="55" workbookViewId="0">
      <selection activeCell="Q38" sqref="Q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29" t="s">
        <v>295</v>
      </c>
      <c r="B1" s="228"/>
      <c r="C1" s="429" t="s">
        <v>294</v>
      </c>
      <c r="D1" s="429"/>
      <c r="E1" s="429"/>
      <c r="F1" s="429"/>
      <c r="G1" s="429"/>
      <c r="H1" s="429"/>
      <c r="I1" s="429"/>
      <c r="J1" s="429"/>
      <c r="K1" s="429"/>
      <c r="L1" s="429"/>
      <c r="M1" s="429"/>
      <c r="N1" s="429"/>
      <c r="O1" s="429"/>
      <c r="P1" s="429"/>
      <c r="Q1" s="429"/>
      <c r="R1" s="429"/>
    </row>
    <row r="2" spans="1:18" ht="15" customHeight="1" x14ac:dyDescent="0.25">
      <c r="A2" s="228"/>
      <c r="B2" s="228"/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  <c r="Q2" s="429"/>
      <c r="R2" s="429"/>
    </row>
    <row r="3" spans="1:18" x14ac:dyDescent="0.25">
      <c r="A3" s="73"/>
    </row>
    <row r="34" spans="16:20" ht="15.75" x14ac:dyDescent="0.25">
      <c r="P34" s="316" t="s">
        <v>93</v>
      </c>
      <c r="Q34" s="316" t="s">
        <v>332</v>
      </c>
      <c r="R34" s="316" t="s">
        <v>333</v>
      </c>
    </row>
    <row r="35" spans="16:20" ht="15.75" x14ac:dyDescent="0.25">
      <c r="P35" s="316">
        <v>1990</v>
      </c>
      <c r="Q35" s="387">
        <v>20000000</v>
      </c>
      <c r="R35" s="317"/>
    </row>
    <row r="36" spans="16:20" ht="15.75" x14ac:dyDescent="0.25">
      <c r="P36" s="316">
        <f>År1</f>
        <v>2019</v>
      </c>
      <c r="Q36" s="388">
        <f>GETPIVOTDATA("Total",'CO2-pivot'!$A$1,"År",P36,"Sted2","CO2 - atmosfære")</f>
        <v>15057851.655114504</v>
      </c>
      <c r="R36" s="317">
        <f>1-Q36/$Q$35</f>
        <v>0.24710741724427487</v>
      </c>
    </row>
    <row r="37" spans="16:20" ht="15.75" x14ac:dyDescent="0.25">
      <c r="P37" s="316">
        <f>År2</f>
        <v>2030</v>
      </c>
      <c r="Q37" s="388">
        <f>GETPIVOTDATA("Total",'CO2-pivot'!$A$1,"År",P37,"Sted2","CO2 - atmosfære")</f>
        <v>9292321.163563855</v>
      </c>
      <c r="R37" s="317">
        <f>1-Q37/$Q$35</f>
        <v>0.53538394182180726</v>
      </c>
      <c r="T37" s="385"/>
    </row>
    <row r="38" spans="16:20" ht="15.75" x14ac:dyDescent="0.25">
      <c r="P38" s="316">
        <f>År3</f>
        <v>2050</v>
      </c>
      <c r="Q38" s="388">
        <f>GETPIVOTDATA("Total",'CO2-pivot'!$A$1,"År",P38,"Sted2","CO2 - atmosfære")</f>
        <v>1316600.6510551362</v>
      </c>
      <c r="R38" s="317">
        <f>1-Q38/$Q$35</f>
        <v>0.93416996744724323</v>
      </c>
    </row>
    <row r="123" spans="3:3" x14ac:dyDescent="0.25">
      <c r="C123" s="163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334</v>
      </c>
    </row>
    <row r="2" spans="1:1" x14ac:dyDescent="0.25">
      <c r="A2" s="101">
        <v>2019</v>
      </c>
    </row>
    <row r="3" spans="1:1" x14ac:dyDescent="0.25">
      <c r="A3" s="346">
        <v>2030</v>
      </c>
    </row>
    <row r="4" spans="1:1" x14ac:dyDescent="0.25">
      <c r="A4" s="339">
        <v>2050</v>
      </c>
    </row>
    <row r="5" spans="1:1" x14ac:dyDescent="0.25">
      <c r="A5" s="329" t="s">
        <v>15</v>
      </c>
    </row>
    <row r="6" spans="1:1" x14ac:dyDescent="0.25">
      <c r="A6" s="347" t="s">
        <v>49</v>
      </c>
    </row>
    <row r="7" spans="1:1" x14ac:dyDescent="0.25">
      <c r="A7" s="345" t="s">
        <v>182</v>
      </c>
    </row>
    <row r="8" spans="1:1" x14ac:dyDescent="0.25">
      <c r="A8" s="340" t="s">
        <v>32</v>
      </c>
    </row>
    <row r="9" spans="1:1" x14ac:dyDescent="0.25">
      <c r="A9" s="327" t="s">
        <v>102</v>
      </c>
    </row>
    <row r="10" spans="1:1" x14ac:dyDescent="0.25">
      <c r="A10" s="348" t="s">
        <v>109</v>
      </c>
    </row>
    <row r="11" spans="1:1" x14ac:dyDescent="0.25">
      <c r="A11" s="341" t="s">
        <v>260</v>
      </c>
    </row>
    <row r="12" spans="1:1" x14ac:dyDescent="0.25">
      <c r="A12" s="349" t="s">
        <v>110</v>
      </c>
    </row>
    <row r="13" spans="1:1" x14ac:dyDescent="0.25">
      <c r="A13" s="327" t="s">
        <v>229</v>
      </c>
    </row>
    <row r="14" spans="1:1" x14ac:dyDescent="0.25">
      <c r="A14" s="350" t="s">
        <v>207</v>
      </c>
    </row>
    <row r="15" spans="1:1" x14ac:dyDescent="0.25">
      <c r="A15" s="332" t="s">
        <v>111</v>
      </c>
    </row>
    <row r="16" spans="1:1" x14ac:dyDescent="0.25">
      <c r="A16" s="351" t="s">
        <v>101</v>
      </c>
    </row>
    <row r="17" spans="1:1" x14ac:dyDescent="0.25">
      <c r="A17" s="352" t="s">
        <v>203</v>
      </c>
    </row>
    <row r="18" spans="1:1" x14ac:dyDescent="0.25">
      <c r="A18" s="353" t="s">
        <v>19</v>
      </c>
    </row>
    <row r="19" spans="1:1" x14ac:dyDescent="0.25">
      <c r="A19" s="97" t="s">
        <v>137</v>
      </c>
    </row>
    <row r="20" spans="1:1" x14ac:dyDescent="0.25">
      <c r="A20" s="369" t="s">
        <v>96</v>
      </c>
    </row>
    <row r="21" spans="1:1" x14ac:dyDescent="0.25">
      <c r="A21" s="383" t="s">
        <v>113</v>
      </c>
    </row>
    <row r="22" spans="1:1" x14ac:dyDescent="0.25">
      <c r="A22" s="384" t="s">
        <v>54</v>
      </c>
    </row>
    <row r="23" spans="1:1" x14ac:dyDescent="0.25">
      <c r="A23" s="326" t="s">
        <v>158</v>
      </c>
    </row>
    <row r="24" spans="1:1" x14ac:dyDescent="0.25">
      <c r="A24" s="342" t="s">
        <v>51</v>
      </c>
    </row>
    <row r="25" spans="1:1" x14ac:dyDescent="0.25">
      <c r="A25" s="342" t="s">
        <v>223</v>
      </c>
    </row>
    <row r="26" spans="1:1" x14ac:dyDescent="0.25">
      <c r="A26" s="330" t="s">
        <v>202</v>
      </c>
    </row>
    <row r="27" spans="1:1" x14ac:dyDescent="0.25">
      <c r="A27" s="381" t="s">
        <v>6</v>
      </c>
    </row>
    <row r="28" spans="1:1" x14ac:dyDescent="0.25">
      <c r="A28" s="325" t="s">
        <v>67</v>
      </c>
    </row>
    <row r="29" spans="1:1" x14ac:dyDescent="0.25">
      <c r="A29" s="325" t="s">
        <v>226</v>
      </c>
    </row>
    <row r="30" spans="1:1" x14ac:dyDescent="0.25">
      <c r="A30" s="331" t="s">
        <v>199</v>
      </c>
    </row>
    <row r="31" spans="1:1" x14ac:dyDescent="0.25">
      <c r="A31" s="324" t="s">
        <v>225</v>
      </c>
    </row>
    <row r="32" spans="1:1" x14ac:dyDescent="0.25">
      <c r="A32" s="382" t="s">
        <v>162</v>
      </c>
    </row>
    <row r="33" spans="1:1" x14ac:dyDescent="0.25">
      <c r="A33" s="333" t="s">
        <v>192</v>
      </c>
    </row>
    <row r="34" spans="1:1" x14ac:dyDescent="0.25">
      <c r="A34" s="328" t="s">
        <v>221</v>
      </c>
    </row>
    <row r="35" spans="1:1" x14ac:dyDescent="0.25">
      <c r="A35" s="337" t="s">
        <v>11</v>
      </c>
    </row>
    <row r="36" spans="1:1" x14ac:dyDescent="0.25">
      <c r="A36" s="368" t="s">
        <v>159</v>
      </c>
    </row>
    <row r="37" spans="1:1" x14ac:dyDescent="0.25">
      <c r="A37" s="322" t="s">
        <v>103</v>
      </c>
    </row>
    <row r="38" spans="1:1" x14ac:dyDescent="0.25">
      <c r="A38" s="377" t="s">
        <v>56</v>
      </c>
    </row>
    <row r="39" spans="1:1" x14ac:dyDescent="0.25">
      <c r="A39" s="378" t="s">
        <v>12</v>
      </c>
    </row>
    <row r="40" spans="1:1" x14ac:dyDescent="0.25">
      <c r="A40" s="379" t="s">
        <v>48</v>
      </c>
    </row>
    <row r="41" spans="1:1" x14ac:dyDescent="0.25">
      <c r="A41" s="356" t="s">
        <v>115</v>
      </c>
    </row>
    <row r="42" spans="1:1" x14ac:dyDescent="0.25">
      <c r="A42" s="354" t="s">
        <v>136</v>
      </c>
    </row>
    <row r="43" spans="1:1" x14ac:dyDescent="0.25">
      <c r="A43" s="339" t="s">
        <v>9</v>
      </c>
    </row>
    <row r="44" spans="1:1" x14ac:dyDescent="0.25">
      <c r="A44" s="380" t="s">
        <v>108</v>
      </c>
    </row>
    <row r="45" spans="1:1" x14ac:dyDescent="0.25">
      <c r="A45" s="376" t="s">
        <v>53</v>
      </c>
    </row>
    <row r="46" spans="1:1" x14ac:dyDescent="0.25">
      <c r="A46" s="339" t="s">
        <v>193</v>
      </c>
    </row>
    <row r="47" spans="1:1" x14ac:dyDescent="0.25">
      <c r="A47" s="375" t="s">
        <v>116</v>
      </c>
    </row>
    <row r="48" spans="1:1" x14ac:dyDescent="0.25">
      <c r="A48" s="374" t="s">
        <v>106</v>
      </c>
    </row>
    <row r="49" spans="1:1" x14ac:dyDescent="0.25">
      <c r="A49" s="338" t="s">
        <v>33</v>
      </c>
    </row>
    <row r="50" spans="1:1" x14ac:dyDescent="0.25">
      <c r="A50" s="370" t="s">
        <v>14</v>
      </c>
    </row>
    <row r="51" spans="1:1" x14ac:dyDescent="0.25">
      <c r="A51" s="371" t="s">
        <v>55</v>
      </c>
    </row>
    <row r="52" spans="1:1" x14ac:dyDescent="0.25">
      <c r="A52" s="372" t="s">
        <v>38</v>
      </c>
    </row>
    <row r="53" spans="1:1" x14ac:dyDescent="0.25">
      <c r="A53" s="373" t="s">
        <v>95</v>
      </c>
    </row>
    <row r="54" spans="1:1" x14ac:dyDescent="0.25">
      <c r="A54" s="321" t="s">
        <v>305</v>
      </c>
    </row>
    <row r="55" spans="1:1" x14ac:dyDescent="0.25">
      <c r="A55" s="356" t="s">
        <v>306</v>
      </c>
    </row>
    <row r="56" spans="1:1" x14ac:dyDescent="0.25">
      <c r="A56" s="336" t="s">
        <v>309</v>
      </c>
    </row>
    <row r="57" spans="1:1" x14ac:dyDescent="0.25">
      <c r="A57" s="321" t="s">
        <v>311</v>
      </c>
    </row>
    <row r="58" spans="1:1" x14ac:dyDescent="0.25">
      <c r="A58" s="357" t="s">
        <v>117</v>
      </c>
    </row>
    <row r="59" spans="1:1" x14ac:dyDescent="0.25">
      <c r="A59" s="359" t="s">
        <v>50</v>
      </c>
    </row>
    <row r="60" spans="1:1" x14ac:dyDescent="0.25">
      <c r="A60" s="360" t="s">
        <v>237</v>
      </c>
    </row>
    <row r="61" spans="1:1" x14ac:dyDescent="0.25">
      <c r="A61" s="361" t="s">
        <v>230</v>
      </c>
    </row>
    <row r="62" spans="1:1" x14ac:dyDescent="0.25">
      <c r="A62" s="362" t="s">
        <v>52</v>
      </c>
    </row>
    <row r="63" spans="1:1" x14ac:dyDescent="0.25">
      <c r="A63" s="334" t="s">
        <v>10</v>
      </c>
    </row>
    <row r="64" spans="1:1" x14ac:dyDescent="0.25">
      <c r="A64" s="100" t="s">
        <v>176</v>
      </c>
    </row>
    <row r="65" spans="1:8" x14ac:dyDescent="0.25">
      <c r="A65" s="344" t="s">
        <v>177</v>
      </c>
    </row>
    <row r="66" spans="1:8" x14ac:dyDescent="0.25">
      <c r="A66" s="339" t="s">
        <v>178</v>
      </c>
    </row>
    <row r="67" spans="1:8" x14ac:dyDescent="0.25">
      <c r="A67" s="334" t="s">
        <v>179</v>
      </c>
    </row>
    <row r="68" spans="1:8" x14ac:dyDescent="0.25">
      <c r="A68" s="338" t="s">
        <v>180</v>
      </c>
    </row>
    <row r="69" spans="1:8" x14ac:dyDescent="0.25">
      <c r="A69" s="363" t="s">
        <v>121</v>
      </c>
    </row>
    <row r="70" spans="1:8" x14ac:dyDescent="0.25">
      <c r="A70" s="364" t="s">
        <v>107</v>
      </c>
    </row>
    <row r="71" spans="1:8" x14ac:dyDescent="0.25">
      <c r="A71" s="365" t="s">
        <v>140</v>
      </c>
    </row>
    <row r="72" spans="1:8" x14ac:dyDescent="0.25">
      <c r="A72" s="355" t="s">
        <v>135</v>
      </c>
    </row>
    <row r="73" spans="1:8" x14ac:dyDescent="0.25">
      <c r="A73" s="366" t="s">
        <v>13</v>
      </c>
    </row>
    <row r="74" spans="1:8" x14ac:dyDescent="0.25">
      <c r="A74" s="358" t="s">
        <v>99</v>
      </c>
      <c r="H74" s="343" t="s">
        <v>104</v>
      </c>
    </row>
    <row r="75" spans="1:8" x14ac:dyDescent="0.25">
      <c r="A75" s="367" t="s">
        <v>119</v>
      </c>
    </row>
    <row r="76" spans="1:8" x14ac:dyDescent="0.25">
      <c r="A76" s="323" t="s">
        <v>118</v>
      </c>
    </row>
    <row r="77" spans="1:8" x14ac:dyDescent="0.25">
      <c r="A77" s="335" t="s">
        <v>331</v>
      </c>
    </row>
    <row r="78" spans="1:8" x14ac:dyDescent="0.25">
      <c r="A78" s="323" t="s">
        <v>224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13.140625" style="1" bestFit="1" customWidth="1"/>
    <col min="13" max="13" width="12.85546875" style="1" customWidth="1"/>
    <col min="14" max="15" width="13.140625" style="1" bestFit="1" customWidth="1"/>
    <col min="16" max="16" width="13.140625" style="1" customWidth="1"/>
    <col min="17" max="18" width="13.140625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05" t="s">
        <v>270</v>
      </c>
      <c r="B1" s="73" t="s">
        <v>296</v>
      </c>
    </row>
    <row r="2" spans="1:22" ht="42.95" customHeight="1" x14ac:dyDescent="0.25">
      <c r="A2" s="200" t="s">
        <v>280</v>
      </c>
      <c r="B2" s="24" t="s">
        <v>65</v>
      </c>
      <c r="C2" s="24">
        <f>År2</f>
        <v>2030</v>
      </c>
      <c r="D2" s="24">
        <f>År3</f>
        <v>2050</v>
      </c>
      <c r="E2" s="24" t="s">
        <v>39</v>
      </c>
      <c r="F2" s="24" t="s">
        <v>34</v>
      </c>
      <c r="G2" s="24" t="s">
        <v>35</v>
      </c>
      <c r="J2" s="6" t="s">
        <v>303</v>
      </c>
      <c r="K2" s="6"/>
      <c r="L2" s="6"/>
      <c r="M2" s="6"/>
      <c r="N2" s="6"/>
      <c r="O2" s="6"/>
      <c r="P2" s="6"/>
    </row>
    <row r="3" spans="1:22" x14ac:dyDescent="0.25">
      <c r="A3" s="2" t="s">
        <v>263</v>
      </c>
      <c r="B3" s="2"/>
      <c r="C3" s="9">
        <f>D3/($D$2-2023)*($C$2-2023)</f>
        <v>18254.133333333335</v>
      </c>
      <c r="D3" s="9">
        <f>90%*L6</f>
        <v>70408.800000000003</v>
      </c>
      <c r="E3" s="9" t="s">
        <v>40</v>
      </c>
      <c r="F3" s="104" t="s">
        <v>9</v>
      </c>
      <c r="G3" s="104" t="s">
        <v>33</v>
      </c>
      <c r="I3" s="2" t="s">
        <v>175</v>
      </c>
      <c r="J3" s="24">
        <f>År1</f>
        <v>2019</v>
      </c>
      <c r="K3" s="24">
        <f>År1</f>
        <v>2019</v>
      </c>
      <c r="L3" s="24">
        <f>År1</f>
        <v>2019</v>
      </c>
      <c r="M3" s="24">
        <f>År2</f>
        <v>2030</v>
      </c>
      <c r="N3" s="24">
        <f>År2</f>
        <v>2030</v>
      </c>
      <c r="O3" s="24">
        <f>År2</f>
        <v>2030</v>
      </c>
      <c r="P3" s="24">
        <f>År3</f>
        <v>2050</v>
      </c>
      <c r="Q3" s="24">
        <f>År3</f>
        <v>2050</v>
      </c>
      <c r="R3" s="24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264</v>
      </c>
      <c r="B4" s="2"/>
      <c r="C4" s="9">
        <f>D4/($D$2-2023)*($C$2-2023)</f>
        <v>23450.466666666667</v>
      </c>
      <c r="D4" s="21">
        <f>90%*K6</f>
        <v>90451.8</v>
      </c>
      <c r="E4" s="9" t="s">
        <v>41</v>
      </c>
      <c r="F4" s="104" t="s">
        <v>9</v>
      </c>
      <c r="G4" s="104" t="s">
        <v>33</v>
      </c>
      <c r="I4" s="2"/>
      <c r="J4" s="24" t="str">
        <f>Jordbund1</f>
        <v>JB1-10</v>
      </c>
      <c r="K4" s="24" t="str">
        <f>Organ6</f>
        <v>OC6</v>
      </c>
      <c r="L4" s="24" t="str">
        <f>Organ12</f>
        <v>OC12</v>
      </c>
      <c r="M4" s="24" t="str">
        <f>Jordbund1</f>
        <v>JB1-10</v>
      </c>
      <c r="N4" s="24" t="str">
        <f>Organ6</f>
        <v>OC6</v>
      </c>
      <c r="O4" s="24" t="str">
        <f>Organ12</f>
        <v>OC12</v>
      </c>
      <c r="P4" s="24" t="str">
        <f>Jordbund1</f>
        <v>JB1-10</v>
      </c>
      <c r="Q4" s="24" t="str">
        <f>Organ6</f>
        <v>OC6</v>
      </c>
      <c r="R4" s="24" t="str">
        <f>Organ12</f>
        <v>OC12</v>
      </c>
    </row>
    <row r="5" spans="1:22" x14ac:dyDescent="0.25">
      <c r="A5" s="2" t="s">
        <v>36</v>
      </c>
      <c r="B5" s="196"/>
      <c r="C5" s="9">
        <v>125000</v>
      </c>
      <c r="D5" s="9">
        <v>250000</v>
      </c>
      <c r="E5" s="9" t="s">
        <v>266</v>
      </c>
      <c r="F5" s="104" t="s">
        <v>9</v>
      </c>
      <c r="G5" s="104" t="s">
        <v>10</v>
      </c>
      <c r="I5" s="25" t="str">
        <f>Bebyg</f>
        <v>Bebyggelse &amp; infrastruktur</v>
      </c>
      <c r="J5" s="16">
        <f t="shared" ref="J5:R5" si="0">SUM(J25,J35)</f>
        <v>592120</v>
      </c>
      <c r="K5" s="16">
        <f t="shared" si="0"/>
        <v>0</v>
      </c>
      <c r="L5" s="16">
        <f t="shared" si="0"/>
        <v>0</v>
      </c>
      <c r="M5" s="17">
        <f t="shared" si="0"/>
        <v>592120</v>
      </c>
      <c r="N5" s="17">
        <f t="shared" si="0"/>
        <v>0</v>
      </c>
      <c r="O5" s="17">
        <f t="shared" si="0"/>
        <v>0</v>
      </c>
      <c r="P5" s="17">
        <f t="shared" si="0"/>
        <v>592120</v>
      </c>
      <c r="Q5" s="17">
        <f t="shared" si="0"/>
        <v>0</v>
      </c>
      <c r="R5" s="17">
        <f t="shared" si="0"/>
        <v>0</v>
      </c>
      <c r="T5" s="14">
        <f>SUMIFS($J5:$R5,$J$3:$R$3,T$3)/4293300</f>
        <v>0.13791721985419142</v>
      </c>
      <c r="U5" s="14">
        <f t="shared" ref="U5:V9" si="1">SUMIFS($J5:$R5,$J$3:$R$3,U$3)/4293300</f>
        <v>0.13791721985419142</v>
      </c>
      <c r="V5" s="14">
        <f t="shared" si="1"/>
        <v>0.13791721985419142</v>
      </c>
    </row>
    <row r="6" spans="1:22" x14ac:dyDescent="0.25">
      <c r="A6" s="2" t="s">
        <v>359</v>
      </c>
      <c r="B6" s="2" t="s">
        <v>388</v>
      </c>
      <c r="C6" s="9">
        <f>D6/($D$2-2023)*($C$2-2023)</f>
        <v>51851.851851851854</v>
      </c>
      <c r="D6" s="9">
        <v>200000</v>
      </c>
      <c r="E6" s="9" t="s">
        <v>266</v>
      </c>
      <c r="F6" s="104" t="s">
        <v>9</v>
      </c>
      <c r="G6" s="104" t="s">
        <v>33</v>
      </c>
      <c r="I6" s="25" t="str">
        <f>Afgrøder</f>
        <v>Landbrugsafgrøder</v>
      </c>
      <c r="J6" s="16">
        <f t="shared" ref="J6:R6" si="2">SUM(J26,J36)</f>
        <v>2399936</v>
      </c>
      <c r="K6" s="16">
        <f t="shared" si="2"/>
        <v>100502</v>
      </c>
      <c r="L6" s="16">
        <f t="shared" si="2"/>
        <v>78232</v>
      </c>
      <c r="M6" s="17">
        <f t="shared" si="2"/>
        <v>2223084.1481481479</v>
      </c>
      <c r="N6" s="17">
        <f t="shared" si="2"/>
        <v>77051.533333333326</v>
      </c>
      <c r="O6" s="17">
        <f t="shared" si="2"/>
        <v>59977.866666666654</v>
      </c>
      <c r="P6" s="17">
        <f t="shared" si="2"/>
        <v>1949936</v>
      </c>
      <c r="Q6" s="17">
        <f t="shared" si="2"/>
        <v>10050.200000000001</v>
      </c>
      <c r="R6" s="17">
        <f t="shared" si="2"/>
        <v>7823.1999999999971</v>
      </c>
      <c r="T6" s="14">
        <f>SUMIFS($J6:$R6,$J$3:$R$3,T$3)/4293300</f>
        <v>0.60062655765960915</v>
      </c>
      <c r="U6" s="14">
        <f t="shared" si="1"/>
        <v>0.54972015655746109</v>
      </c>
      <c r="V6" s="14">
        <f t="shared" si="1"/>
        <v>0.45834425733119044</v>
      </c>
    </row>
    <row r="7" spans="1:22" x14ac:dyDescent="0.25">
      <c r="A7" s="2"/>
      <c r="B7" s="2"/>
      <c r="C7" s="9"/>
      <c r="D7" s="9"/>
      <c r="E7" s="9"/>
      <c r="F7" s="104"/>
      <c r="G7" s="104"/>
      <c r="I7" s="25" t="str">
        <f>SkovAreal</f>
        <v>Skov</v>
      </c>
      <c r="J7" s="16">
        <f t="shared" ref="J7:R7" si="3">SUM(J27,J37)</f>
        <v>562410</v>
      </c>
      <c r="K7" s="16">
        <f t="shared" si="3"/>
        <v>0</v>
      </c>
      <c r="L7" s="16">
        <f t="shared" si="3"/>
        <v>0</v>
      </c>
      <c r="M7" s="17">
        <f t="shared" si="3"/>
        <v>687410</v>
      </c>
      <c r="N7" s="17">
        <f t="shared" si="3"/>
        <v>0</v>
      </c>
      <c r="O7" s="17">
        <f t="shared" si="3"/>
        <v>0</v>
      </c>
      <c r="P7" s="17">
        <f t="shared" si="3"/>
        <v>812410</v>
      </c>
      <c r="Q7" s="17">
        <f t="shared" si="3"/>
        <v>0</v>
      </c>
      <c r="R7" s="17">
        <f t="shared" si="3"/>
        <v>0</v>
      </c>
      <c r="T7" s="14">
        <f>SUMIFS($J7:$R7,$J$3:$R$3,T$3)/4293300</f>
        <v>0.13099713507092448</v>
      </c>
      <c r="U7" s="14">
        <f t="shared" si="1"/>
        <v>0.16011226795239095</v>
      </c>
      <c r="V7" s="14">
        <f t="shared" si="1"/>
        <v>0.18922740083385742</v>
      </c>
    </row>
    <row r="8" spans="1:22" x14ac:dyDescent="0.25">
      <c r="A8" s="2"/>
      <c r="B8" s="2"/>
      <c r="C8" s="9"/>
      <c r="D8" s="9"/>
      <c r="E8" s="9"/>
      <c r="F8" s="104"/>
      <c r="G8" s="104"/>
      <c r="I8" s="25" t="str">
        <f>NaturAreal</f>
        <v>Natur</v>
      </c>
      <c r="J8" s="16">
        <f t="shared" ref="J8:R8" si="4">SUM(J28,J38)</f>
        <v>393324.00000000006</v>
      </c>
      <c r="K8" s="16">
        <f t="shared" si="4"/>
        <v>61498</v>
      </c>
      <c r="L8" s="16">
        <f t="shared" si="4"/>
        <v>50768</v>
      </c>
      <c r="M8" s="17">
        <f t="shared" si="4"/>
        <v>445175.85185185191</v>
      </c>
      <c r="N8" s="17">
        <f t="shared" si="4"/>
        <v>84948.466666666674</v>
      </c>
      <c r="O8" s="17">
        <f t="shared" si="4"/>
        <v>69022.133333333331</v>
      </c>
      <c r="P8" s="17">
        <f t="shared" si="4"/>
        <v>593324.00000000012</v>
      </c>
      <c r="Q8" s="17">
        <f t="shared" si="4"/>
        <v>151949.79999999999</v>
      </c>
      <c r="R8" s="17">
        <f t="shared" si="4"/>
        <v>121176.8</v>
      </c>
      <c r="T8" s="14">
        <f>SUMIFS($J8:$R8,$J$3:$R$3,T$3)/4293300</f>
        <v>0.11776256026832507</v>
      </c>
      <c r="U8" s="14">
        <f t="shared" si="1"/>
        <v>0.13955382848900658</v>
      </c>
      <c r="V8" s="14">
        <f t="shared" si="1"/>
        <v>0.20181459483381084</v>
      </c>
    </row>
    <row r="9" spans="1:22" ht="15.75" thickBot="1" x14ac:dyDescent="0.3">
      <c r="A9" s="2"/>
      <c r="B9" s="2"/>
      <c r="C9" s="9"/>
      <c r="D9" s="9"/>
      <c r="E9" s="9"/>
      <c r="F9" s="104"/>
      <c r="G9" s="104"/>
      <c r="I9" s="26" t="str">
        <f>IKareal</f>
        <v>Ikke klassificeret</v>
      </c>
      <c r="J9" s="18">
        <f t="shared" ref="J9:R9" si="5">SUM(J29,J39)</f>
        <v>66640</v>
      </c>
      <c r="K9" s="18">
        <f t="shared" si="5"/>
        <v>0</v>
      </c>
      <c r="L9" s="18">
        <f t="shared" si="5"/>
        <v>0</v>
      </c>
      <c r="M9" s="88">
        <f t="shared" si="5"/>
        <v>66640</v>
      </c>
      <c r="N9" s="88">
        <f t="shared" si="5"/>
        <v>0</v>
      </c>
      <c r="O9" s="88">
        <f t="shared" si="5"/>
        <v>0</v>
      </c>
      <c r="P9" s="88">
        <f t="shared" si="5"/>
        <v>66640</v>
      </c>
      <c r="Q9" s="88">
        <f t="shared" si="5"/>
        <v>0</v>
      </c>
      <c r="R9" s="88">
        <f t="shared" si="5"/>
        <v>0</v>
      </c>
      <c r="T9" s="14">
        <f>SUMIFS($J9:$R9,$J$3:$R$3,T$3)/4293300</f>
        <v>1.5521859641767406E-2</v>
      </c>
      <c r="U9" s="14">
        <f t="shared" si="1"/>
        <v>1.5521859641767406E-2</v>
      </c>
      <c r="V9" s="14">
        <f t="shared" si="1"/>
        <v>1.5521859641767406E-2</v>
      </c>
    </row>
    <row r="10" spans="1:22" x14ac:dyDescent="0.25">
      <c r="A10" s="2"/>
      <c r="B10" s="2"/>
      <c r="C10" s="9"/>
      <c r="D10" s="9"/>
      <c r="E10" s="9"/>
      <c r="F10" s="104"/>
      <c r="G10" s="104"/>
      <c r="I10" s="27" t="s">
        <v>30</v>
      </c>
      <c r="J10" s="19">
        <f t="shared" ref="J10:R10" si="6">SUM(J5:J9)</f>
        <v>4014430</v>
      </c>
      <c r="K10" s="19">
        <f t="shared" si="6"/>
        <v>162000</v>
      </c>
      <c r="L10" s="19">
        <f t="shared" si="6"/>
        <v>129000</v>
      </c>
      <c r="M10" s="20">
        <f t="shared" si="6"/>
        <v>4014430</v>
      </c>
      <c r="N10" s="20">
        <f t="shared" si="6"/>
        <v>162000</v>
      </c>
      <c r="O10" s="20">
        <f t="shared" si="6"/>
        <v>128999.99999999999</v>
      </c>
      <c r="P10" s="20">
        <f t="shared" si="6"/>
        <v>4014430</v>
      </c>
      <c r="Q10" s="20">
        <f t="shared" si="6"/>
        <v>162000</v>
      </c>
      <c r="R10" s="20">
        <f t="shared" si="6"/>
        <v>129000</v>
      </c>
    </row>
    <row r="11" spans="1:22" x14ac:dyDescent="0.25">
      <c r="A11" s="2"/>
      <c r="B11" s="2"/>
      <c r="C11" s="9"/>
      <c r="D11" s="9"/>
      <c r="E11" s="9"/>
      <c r="F11" s="104"/>
      <c r="G11" s="104"/>
    </row>
    <row r="12" spans="1:22" x14ac:dyDescent="0.25">
      <c r="A12" s="2"/>
      <c r="B12" s="2"/>
      <c r="C12" s="9"/>
      <c r="D12" s="9"/>
      <c r="E12" s="9"/>
      <c r="F12" s="104"/>
      <c r="G12" s="104"/>
    </row>
    <row r="13" spans="1:22" x14ac:dyDescent="0.25">
      <c r="A13" s="2"/>
      <c r="B13" s="2"/>
      <c r="C13" s="9"/>
      <c r="D13" s="9"/>
      <c r="E13" s="9"/>
      <c r="F13" s="104"/>
      <c r="G13" s="104"/>
    </row>
    <row r="14" spans="1:22" x14ac:dyDescent="0.25">
      <c r="A14" s="2"/>
      <c r="B14" s="2"/>
      <c r="C14" s="9"/>
      <c r="D14" s="9"/>
      <c r="E14" s="9"/>
      <c r="F14" s="104"/>
      <c r="G14" s="104"/>
      <c r="T14" s="389">
        <f>4293300*0.25</f>
        <v>1073325</v>
      </c>
    </row>
    <row r="15" spans="1:22" x14ac:dyDescent="0.25">
      <c r="A15" s="2"/>
      <c r="B15" s="2"/>
      <c r="C15" s="9"/>
      <c r="D15" s="9"/>
      <c r="E15" s="9"/>
      <c r="F15" s="104"/>
      <c r="G15" s="104"/>
    </row>
    <row r="16" spans="1:22" x14ac:dyDescent="0.25">
      <c r="A16" s="2"/>
      <c r="B16" s="2"/>
      <c r="C16" s="9"/>
      <c r="D16" s="9"/>
      <c r="E16" s="9"/>
      <c r="F16" s="104"/>
      <c r="G16" s="104"/>
    </row>
    <row r="17" spans="1:18" x14ac:dyDescent="0.25">
      <c r="A17" s="2"/>
      <c r="B17" s="2"/>
      <c r="C17" s="9"/>
      <c r="D17" s="9"/>
      <c r="E17" s="9"/>
      <c r="F17" s="104"/>
      <c r="G17" s="104"/>
    </row>
    <row r="18" spans="1:18" x14ac:dyDescent="0.25">
      <c r="D18" s="14"/>
      <c r="E18" s="14"/>
      <c r="F18" s="14"/>
      <c r="G18" s="14"/>
    </row>
    <row r="19" spans="1:18" x14ac:dyDescent="0.25">
      <c r="D19" s="14"/>
      <c r="E19" s="14"/>
      <c r="F19" s="14"/>
      <c r="G19" s="14"/>
    </row>
    <row r="20" spans="1:18" x14ac:dyDescent="0.25">
      <c r="D20" s="14"/>
      <c r="E20" s="14"/>
      <c r="F20" s="14"/>
      <c r="G20" s="14"/>
    </row>
    <row r="21" spans="1:18" hidden="1" x14ac:dyDescent="0.25">
      <c r="D21" s="14"/>
      <c r="E21" s="14"/>
      <c r="F21" s="14"/>
      <c r="G21" s="14"/>
    </row>
    <row r="22" spans="1:18" hidden="1" x14ac:dyDescent="0.25">
      <c r="D22" s="14"/>
      <c r="E22" s="14"/>
      <c r="F22" s="14"/>
      <c r="G22" s="14"/>
      <c r="I22" s="233"/>
      <c r="J22" s="234" t="s">
        <v>297</v>
      </c>
      <c r="K22" s="234"/>
      <c r="L22" s="234"/>
      <c r="M22" s="234"/>
      <c r="N22" s="234"/>
      <c r="O22" s="234"/>
      <c r="P22" s="234"/>
      <c r="Q22" s="233"/>
      <c r="R22" s="233"/>
    </row>
    <row r="23" spans="1:18" hidden="1" x14ac:dyDescent="0.25">
      <c r="D23" s="14"/>
      <c r="E23" s="14"/>
      <c r="F23" s="14"/>
      <c r="G23" s="14"/>
      <c r="I23" s="235" t="s">
        <v>175</v>
      </c>
      <c r="J23" s="236">
        <f>År1</f>
        <v>2019</v>
      </c>
      <c r="K23" s="236">
        <f>År1</f>
        <v>2019</v>
      </c>
      <c r="L23" s="236">
        <f>År1</f>
        <v>2019</v>
      </c>
      <c r="M23" s="236">
        <f>År2</f>
        <v>2030</v>
      </c>
      <c r="N23" s="236">
        <f>År2</f>
        <v>2030</v>
      </c>
      <c r="O23" s="236">
        <f>År2</f>
        <v>2030</v>
      </c>
      <c r="P23" s="236">
        <f>År3</f>
        <v>2050</v>
      </c>
      <c r="Q23" s="236">
        <f>År3</f>
        <v>2050</v>
      </c>
      <c r="R23" s="236">
        <f>År3</f>
        <v>2050</v>
      </c>
    </row>
    <row r="24" spans="1:18" hidden="1" x14ac:dyDescent="0.25">
      <c r="D24" s="14"/>
      <c r="E24" s="14"/>
      <c r="F24" s="14"/>
      <c r="G24" s="14"/>
      <c r="I24" s="235"/>
      <c r="J24" s="236" t="str">
        <f>Jordbund1</f>
        <v>JB1-10</v>
      </c>
      <c r="K24" s="236" t="str">
        <f>Organ6</f>
        <v>OC6</v>
      </c>
      <c r="L24" s="236" t="str">
        <f>Organ12</f>
        <v>OC12</v>
      </c>
      <c r="M24" s="236" t="str">
        <f>Jordbund1</f>
        <v>JB1-10</v>
      </c>
      <c r="N24" s="236" t="str">
        <f>Organ6</f>
        <v>OC6</v>
      </c>
      <c r="O24" s="236" t="str">
        <f>Organ12</f>
        <v>OC12</v>
      </c>
      <c r="P24" s="236" t="str">
        <f>Jordbund1</f>
        <v>JB1-10</v>
      </c>
      <c r="Q24" s="236" t="str">
        <f>Organ6</f>
        <v>OC6</v>
      </c>
      <c r="R24" s="236" t="str">
        <f>Organ12</f>
        <v>OC12</v>
      </c>
    </row>
    <row r="25" spans="1:18" hidden="1" x14ac:dyDescent="0.25">
      <c r="D25" s="14"/>
      <c r="E25" s="14"/>
      <c r="F25" s="14"/>
      <c r="G25" s="14"/>
      <c r="I25" s="237" t="str">
        <f>Bebyg</f>
        <v>Bebyggelse &amp; infrastruktur</v>
      </c>
      <c r="J25" s="243">
        <f>SUMIF([1]Arealanvendelse!$B$15:$B$22,I25,[1]Arealanvendelse!$D$15:$D$22)-SUM(K25:L25)</f>
        <v>413346.96815611009</v>
      </c>
      <c r="K25" s="243"/>
      <c r="L25" s="243"/>
      <c r="M25" s="246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46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46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46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46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46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4"/>
      <c r="E26" s="14"/>
      <c r="F26" s="14"/>
      <c r="G26" s="14"/>
      <c r="I26" s="237" t="str">
        <f>Afgrøder</f>
        <v>Landbrugsafgrøder</v>
      </c>
      <c r="J26" s="243">
        <f>SUMIF([1]Arealanvendelse!$B$15:$B$22,I26,[1]Arealanvendelse!$D$15:$D$22)-SUM(K26:L26)</f>
        <v>1853876.1391137983</v>
      </c>
      <c r="K26" s="243">
        <f>[1]Jordbundstypefordeling!$D$16*[1]Jordbundstypefordeling!$F$4</f>
        <v>87250.625185185185</v>
      </c>
      <c r="L26" s="243">
        <f>[1]Jordbundstypefordeling!$D$15*[1]Jordbundstypefordeling!$F$4</f>
        <v>67916.965925925921</v>
      </c>
      <c r="M26" s="246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1700342.5314320424</v>
      </c>
      <c r="N26" s="246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66892.145975308638</v>
      </c>
      <c r="O26" s="246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52069.673876543202</v>
      </c>
      <c r="P26" s="246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1463209.4724471318</v>
      </c>
      <c r="Q26" s="246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8725.0625185185199</v>
      </c>
      <c r="R26" s="246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6791.6965925925906</v>
      </c>
    </row>
    <row r="27" spans="1:18" hidden="1" x14ac:dyDescent="0.25">
      <c r="D27" s="14"/>
      <c r="E27" s="14"/>
      <c r="F27" s="14"/>
      <c r="G27" s="14"/>
      <c r="I27" s="237" t="str">
        <f>SkovAreal</f>
        <v>Skov</v>
      </c>
      <c r="J27" s="243">
        <f>SUMIF([1]Arealanvendelse!$B$15:$B$22,I27,[1]Arealanvendelse!$D$15:$D$22)-SUM(K27:L27)</f>
        <v>435064.52162306459</v>
      </c>
      <c r="K27" s="243"/>
      <c r="L27" s="243"/>
      <c r="M27" s="246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543583.04014158307</v>
      </c>
      <c r="N27" s="246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46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46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652101.55866010161</v>
      </c>
      <c r="Q27" s="246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46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4"/>
      <c r="E28" s="14"/>
      <c r="F28" s="14"/>
      <c r="G28" s="14"/>
      <c r="I28" s="237" t="str">
        <f>NaturAreal</f>
        <v>Natur</v>
      </c>
      <c r="J28" s="243">
        <f>SUMIF([1]Arealanvendelse!$B$15:$B$22,I28,[1]Arealanvendelse!$D$15:$D$22)-SUM(K28:L28)</f>
        <v>317835.5825103767</v>
      </c>
      <c r="K28" s="243">
        <f>([1]Jordbundstypefordeling!$E$16-[1]Jordbundstypefordeling!$D$16)*SUM([1]Jordbundstypefordeling!$D$3:$D$5)</f>
        <v>53389.374814814815</v>
      </c>
      <c r="L28" s="243">
        <f>([1]Jordbundstypefordeling!$E$15-[1]Jordbundstypefordeling!$D$15)*SUM([1]Jordbundstypefordeling!D3:D5)</f>
        <v>44074.145185185182</v>
      </c>
      <c r="M28" s="246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362850.67167361401</v>
      </c>
      <c r="N28" s="246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73747.854024691362</v>
      </c>
      <c r="O28" s="246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59921.4372345679</v>
      </c>
      <c r="P28" s="246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491465.21214000636</v>
      </c>
      <c r="Q28" s="246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131914.93748148147</v>
      </c>
      <c r="R28" s="246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105199.41451851852</v>
      </c>
    </row>
    <row r="29" spans="1:18" ht="15.75" hidden="1" thickBot="1" x14ac:dyDescent="0.3">
      <c r="D29" s="14"/>
      <c r="E29" s="14"/>
      <c r="F29" s="14"/>
      <c r="G29" s="14"/>
      <c r="I29" s="238" t="str">
        <f>IKareal</f>
        <v>Ikke klassificeret</v>
      </c>
      <c r="J29" s="244">
        <f>SUMIF([1]Arealanvendelse!$B$15:$B$22,I29,[1]Arealanvendelse!$D$15:$D$22)-SUM(K29:L29)</f>
        <v>47192.371697540235</v>
      </c>
      <c r="K29" s="244"/>
      <c r="L29" s="244"/>
      <c r="M29" s="247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47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47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47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47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47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39" t="s">
        <v>30</v>
      </c>
      <c r="J30" s="245">
        <f t="shared" ref="J30:R30" si="7">SUM(J25:J29)</f>
        <v>3067315.5831008903</v>
      </c>
      <c r="K30" s="245">
        <f t="shared" si="7"/>
        <v>140640</v>
      </c>
      <c r="L30" s="245">
        <f t="shared" si="7"/>
        <v>111991.11111111109</v>
      </c>
      <c r="M30" s="248">
        <f t="shared" si="7"/>
        <v>3067315.5831008898</v>
      </c>
      <c r="N30" s="248">
        <f t="shared" si="7"/>
        <v>140640</v>
      </c>
      <c r="O30" s="248">
        <f t="shared" si="7"/>
        <v>111991.11111111109</v>
      </c>
      <c r="P30" s="248">
        <f t="shared" si="7"/>
        <v>3067315.5831008903</v>
      </c>
      <c r="Q30" s="248">
        <f t="shared" si="7"/>
        <v>140640</v>
      </c>
      <c r="R30" s="248">
        <f t="shared" si="7"/>
        <v>111991.11111111111</v>
      </c>
    </row>
    <row r="31" spans="1:18" hidden="1" x14ac:dyDescent="0.25">
      <c r="I31" s="240"/>
      <c r="J31" s="241"/>
      <c r="K31" s="241"/>
      <c r="L31" s="241"/>
      <c r="M31" s="242"/>
      <c r="N31" s="241"/>
      <c r="O31" s="241"/>
      <c r="P31" s="241"/>
      <c r="Q31" s="241"/>
      <c r="R31" s="241"/>
    </row>
    <row r="32" spans="1:18" hidden="1" x14ac:dyDescent="0.25">
      <c r="I32" s="240"/>
      <c r="J32" s="234" t="s">
        <v>298</v>
      </c>
      <c r="K32" s="234"/>
      <c r="L32" s="234"/>
      <c r="M32" s="234"/>
      <c r="N32" s="234"/>
      <c r="O32" s="234"/>
      <c r="P32" s="234"/>
      <c r="Q32" s="234"/>
      <c r="R32" s="234"/>
    </row>
    <row r="33" spans="9:18" hidden="1" x14ac:dyDescent="0.25">
      <c r="I33" s="235" t="s">
        <v>175</v>
      </c>
      <c r="J33" s="236">
        <f>År1</f>
        <v>2019</v>
      </c>
      <c r="K33" s="236">
        <f>År1</f>
        <v>2019</v>
      </c>
      <c r="L33" s="236">
        <f>År1</f>
        <v>2019</v>
      </c>
      <c r="M33" s="236">
        <v>2030</v>
      </c>
      <c r="N33" s="236">
        <v>2030</v>
      </c>
      <c r="O33" s="236">
        <v>2030</v>
      </c>
      <c r="P33" s="236">
        <f>År3</f>
        <v>2050</v>
      </c>
      <c r="Q33" s="236">
        <f>År3</f>
        <v>2050</v>
      </c>
      <c r="R33" s="236">
        <f>År3</f>
        <v>2050</v>
      </c>
    </row>
    <row r="34" spans="9:18" hidden="1" x14ac:dyDescent="0.25">
      <c r="I34" s="235"/>
      <c r="J34" s="236" t="str">
        <f>Jordbund1</f>
        <v>JB1-10</v>
      </c>
      <c r="K34" s="236" t="str">
        <f>Organ6</f>
        <v>OC6</v>
      </c>
      <c r="L34" s="236" t="str">
        <f>Organ12</f>
        <v>OC12</v>
      </c>
      <c r="M34" s="236" t="str">
        <f>Jordbund1</f>
        <v>JB1-10</v>
      </c>
      <c r="N34" s="236" t="str">
        <f>Organ6</f>
        <v>OC6</v>
      </c>
      <c r="O34" s="236" t="str">
        <f>Organ12</f>
        <v>OC12</v>
      </c>
      <c r="P34" s="236" t="str">
        <f>Jordbund1</f>
        <v>JB1-10</v>
      </c>
      <c r="Q34" s="236" t="str">
        <f>Organ6</f>
        <v>OC6</v>
      </c>
      <c r="R34" s="236" t="str">
        <f>Organ12</f>
        <v>OC12</v>
      </c>
    </row>
    <row r="35" spans="9:18" hidden="1" x14ac:dyDescent="0.25">
      <c r="I35" s="237" t="str">
        <f>Bebyg</f>
        <v>Bebyggelse &amp; infrastruktur</v>
      </c>
      <c r="J35" s="243">
        <f>SUMIF([1]Arealanvendelse!$B$15:$B$22,I35,[1]Arealanvendelse!$E$15:$E$22)-SUM(K35:L35)</f>
        <v>178773.03184388991</v>
      </c>
      <c r="K35" s="243"/>
      <c r="L35" s="243"/>
      <c r="M35" s="246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46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46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46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46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46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37" t="str">
        <f>Afgrøder</f>
        <v>Landbrugsafgrøder</v>
      </c>
      <c r="J36" s="243">
        <f>SUMIF([1]Arealanvendelse!$B$15:$B$22,I36,[1]Arealanvendelse!$E$15:$E$22)-SUM(K36:L36)</f>
        <v>546059.8608862015</v>
      </c>
      <c r="K36" s="243">
        <f>[1]Jordbundstypefordeling!$D$16*[1]Jordbundstypefordeling!$G$4</f>
        <v>13251.374814814815</v>
      </c>
      <c r="L36" s="243">
        <f>[1]Jordbundstypefordeling!$D$15*[1]Jordbundstypefordeling!$G$4</f>
        <v>10315.034074074074</v>
      </c>
      <c r="M36" s="246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522741.61671610549</v>
      </c>
      <c r="N36" s="246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10159.387358024691</v>
      </c>
      <c r="O36" s="246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7908.1927901234558</v>
      </c>
      <c r="P36" s="246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486726.52755286818</v>
      </c>
      <c r="Q36" s="246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1325.1374814814808</v>
      </c>
      <c r="R36" s="246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1031.5034074074065</v>
      </c>
    </row>
    <row r="37" spans="9:18" hidden="1" x14ac:dyDescent="0.25">
      <c r="I37" s="237" t="str">
        <f>SkovAreal</f>
        <v>Skov</v>
      </c>
      <c r="J37" s="243">
        <f>SUMIF([1]Arealanvendelse!$B$15:$B$22,I37,[1]Arealanvendelse!$E$15:$E$22)-SUM(K37:L37)</f>
        <v>127345.4783769354</v>
      </c>
      <c r="K37" s="243"/>
      <c r="L37" s="243"/>
      <c r="M37" s="246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143826.95985841687</v>
      </c>
      <c r="N37" s="246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46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46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160308.44133989836</v>
      </c>
      <c r="Q37" s="246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46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37" t="str">
        <f>NaturAreal</f>
        <v>Natur</v>
      </c>
      <c r="J38" s="243">
        <f>SUMIF([1]Arealanvendelse!$B$15:$B$22,I38,[1]Arealanvendelse!$E$15:$E$22)-SUM(K38:L38)</f>
        <v>75488.417489623345</v>
      </c>
      <c r="K38" s="243">
        <f>([1]Jordbundstypefordeling!$E$16-[1]Jordbundstypefordeling!$D$16)*[1]Jordbundstypefordeling!$G$4</f>
        <v>8108.6251851851857</v>
      </c>
      <c r="L38" s="243">
        <f>([1]Jordbundstypefordeling!$E$15-[1]Jordbundstypefordeling!$D$15)*[1]Jordbundstypefordeling!$G$4</f>
        <v>6693.8548148148147</v>
      </c>
      <c r="M38" s="246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82325.18017823789</v>
      </c>
      <c r="N38" s="246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11200.612641975309</v>
      </c>
      <c r="O38" s="246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9100.6960987654329</v>
      </c>
      <c r="P38" s="246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101858.78785999372</v>
      </c>
      <c r="Q38" s="246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20034.862518518519</v>
      </c>
      <c r="R38" s="246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15977.385481481482</v>
      </c>
    </row>
    <row r="39" spans="9:18" ht="15.75" hidden="1" thickBot="1" x14ac:dyDescent="0.3">
      <c r="I39" s="238" t="str">
        <f>IKareal</f>
        <v>Ikke klassificeret</v>
      </c>
      <c r="J39" s="244">
        <f>SUMIF([1]Arealanvendelse!$B$15:$B$22,I39,[1]Arealanvendelse!$E$15:$E$22)-SUM(K39:L39)</f>
        <v>19447.628302459765</v>
      </c>
      <c r="K39" s="244"/>
      <c r="L39" s="244"/>
      <c r="M39" s="247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47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47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47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47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47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39" t="s">
        <v>30</v>
      </c>
      <c r="J40" s="245">
        <f t="shared" ref="J40:R40" si="8">SUM(J35:J39)</f>
        <v>947114.41689910984</v>
      </c>
      <c r="K40" s="245">
        <f t="shared" si="8"/>
        <v>21360</v>
      </c>
      <c r="L40" s="245">
        <f t="shared" si="8"/>
        <v>17008.888888888891</v>
      </c>
      <c r="M40" s="248">
        <f t="shared" si="8"/>
        <v>947114.41689910984</v>
      </c>
      <c r="N40" s="248">
        <f t="shared" si="8"/>
        <v>21360</v>
      </c>
      <c r="O40" s="248">
        <f t="shared" si="8"/>
        <v>17008.888888888891</v>
      </c>
      <c r="P40" s="248">
        <f t="shared" si="8"/>
        <v>947114.41689910996</v>
      </c>
      <c r="Q40" s="248">
        <f t="shared" si="8"/>
        <v>21360</v>
      </c>
      <c r="R40" s="248">
        <f t="shared" si="8"/>
        <v>17008.888888888891</v>
      </c>
    </row>
    <row r="41" spans="9:18" hidden="1" x14ac:dyDescent="0.25"/>
  </sheetData>
  <conditionalFormatting sqref="J5:R9">
    <cfRule type="cellIs" dxfId="22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I56"/>
  <sheetViews>
    <sheetView topLeftCell="A23" zoomScale="90" zoomScaleNormal="90" workbookViewId="0">
      <selection activeCell="E35" sqref="E3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5.5703125" style="1" customWidth="1"/>
    <col min="8" max="8" width="13.85546875" style="1" customWidth="1"/>
    <col min="9" max="9" width="17.42578125" style="1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04" t="s">
        <v>270</v>
      </c>
    </row>
    <row r="2" spans="1:9" ht="15.75" x14ac:dyDescent="0.25">
      <c r="A2" s="201" t="s">
        <v>66</v>
      </c>
    </row>
    <row r="3" spans="1:9" x14ac:dyDescent="0.25">
      <c r="B3" s="80"/>
      <c r="C3" s="81"/>
      <c r="D3" s="81"/>
      <c r="E3" s="81"/>
      <c r="G3" s="6"/>
    </row>
    <row r="4" spans="1:9" x14ac:dyDescent="0.25">
      <c r="B4" s="85" t="s">
        <v>37</v>
      </c>
      <c r="C4" s="82">
        <f>År1</f>
        <v>2019</v>
      </c>
      <c r="D4" s="82">
        <f>År2</f>
        <v>2030</v>
      </c>
      <c r="E4" s="82">
        <f>År3</f>
        <v>2050</v>
      </c>
    </row>
    <row r="5" spans="1:9" x14ac:dyDescent="0.25">
      <c r="B5" s="2" t="s">
        <v>5</v>
      </c>
      <c r="C5" s="7">
        <f>297696/2625965</f>
        <v>0.11336632437979943</v>
      </c>
      <c r="D5" s="8">
        <f t="shared" ref="D5:D8" si="0">C5</f>
        <v>0.11336632437979943</v>
      </c>
      <c r="E5" s="8">
        <v>1</v>
      </c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si="0"/>
        <v>3.9915791472992256E-2</v>
      </c>
      <c r="E6" s="8">
        <v>1</v>
      </c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0.15042455841097682</v>
      </c>
      <c r="E7" s="8">
        <v>1</v>
      </c>
      <c r="I7" s="13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0.14212072473400883</v>
      </c>
      <c r="E8" s="8">
        <v>1</v>
      </c>
    </row>
    <row r="9" spans="1:9" x14ac:dyDescent="0.25">
      <c r="B9" s="79"/>
      <c r="C9" s="12"/>
      <c r="D9" s="12"/>
      <c r="E9" s="78"/>
      <c r="H9" s="1" t="s">
        <v>352</v>
      </c>
      <c r="I9" s="1" t="s">
        <v>355</v>
      </c>
    </row>
    <row r="10" spans="1:9" x14ac:dyDescent="0.25">
      <c r="B10" s="85" t="s">
        <v>31</v>
      </c>
      <c r="C10" s="82">
        <f>År1</f>
        <v>2019</v>
      </c>
      <c r="D10" s="82">
        <f>År2</f>
        <v>2030</v>
      </c>
      <c r="E10" s="82">
        <f>År3</f>
        <v>2050</v>
      </c>
      <c r="G10" s="1" t="s">
        <v>353</v>
      </c>
      <c r="H10" s="412">
        <v>1</v>
      </c>
      <c r="I10" s="13">
        <f>(I12-I11)/I12</f>
        <v>0.89186769363522433</v>
      </c>
    </row>
    <row r="11" spans="1:9" x14ac:dyDescent="0.25">
      <c r="B11" s="2" t="s">
        <v>22</v>
      </c>
      <c r="C11" s="7">
        <v>1</v>
      </c>
      <c r="D11" s="3">
        <f>C11-(C11-E11)/($E$10-$C$10)*($D$10-$C$10)</f>
        <v>0.92903225806451617</v>
      </c>
      <c r="E11" s="3">
        <v>0.8</v>
      </c>
      <c r="G11" s="1" t="s">
        <v>354</v>
      </c>
      <c r="H11" s="98">
        <f>[1]Dyrehold!$M$14*(1-H10)</f>
        <v>0</v>
      </c>
      <c r="I11" s="425">
        <v>100000</v>
      </c>
    </row>
    <row r="12" spans="1:9" x14ac:dyDescent="0.25">
      <c r="B12" s="2" t="s">
        <v>3</v>
      </c>
      <c r="C12" s="7">
        <v>1</v>
      </c>
      <c r="D12" s="3">
        <f>C12-(C12-E12)/($E$10-$C$10)*($D$10-$C$10)</f>
        <v>0.66895310313586476</v>
      </c>
      <c r="E12" s="3">
        <f>([1]Dyrehold!$M$14*(1-H10)+[1]Dyrehold!$M$15*(1-I10))/SUM([1]Dyrehold!$M$14:$M$15)</f>
        <v>6.7049654291982466E-2</v>
      </c>
      <c r="G12" s="1" t="s">
        <v>356</v>
      </c>
      <c r="H12" s="1">
        <f>[1]Dyrehold!$M$14</f>
        <v>566639</v>
      </c>
      <c r="I12" s="1">
        <f>[1]Dyrehold!$M$15</f>
        <v>924793</v>
      </c>
    </row>
    <row r="13" spans="1:9" x14ac:dyDescent="0.25">
      <c r="B13" s="2" t="s">
        <v>4</v>
      </c>
      <c r="C13" s="7">
        <v>1</v>
      </c>
      <c r="D13" s="3">
        <f>C13-(C13-E13)/($E$10-$C$10)*($D$10-$C$10)</f>
        <v>1</v>
      </c>
      <c r="E13" s="3">
        <v>1</v>
      </c>
      <c r="G13" s="1" t="s">
        <v>357</v>
      </c>
      <c r="H13" s="14">
        <f>H11/SUM($H11:$I11)</f>
        <v>0</v>
      </c>
      <c r="I13" s="14">
        <f>I11/SUM($H11:$I11)</f>
        <v>1</v>
      </c>
    </row>
    <row r="14" spans="1:9" x14ac:dyDescent="0.25">
      <c r="C14" s="287"/>
      <c r="D14" s="12"/>
      <c r="E14" s="12"/>
      <c r="G14" s="1" t="s">
        <v>358</v>
      </c>
      <c r="H14" s="14">
        <f>H12/SUM($H12:$I12)</f>
        <v>0.37992949058354653</v>
      </c>
      <c r="I14" s="14">
        <f>I12/SUM($H12:$I12)</f>
        <v>0.62007050941645347</v>
      </c>
    </row>
    <row r="15" spans="1:9" x14ac:dyDescent="0.25">
      <c r="B15" s="85" t="s">
        <v>134</v>
      </c>
      <c r="C15" s="82">
        <f>År1</f>
        <v>2019</v>
      </c>
      <c r="D15" s="82">
        <f>År2</f>
        <v>2030</v>
      </c>
      <c r="E15" s="82">
        <f>År3</f>
        <v>2050</v>
      </c>
      <c r="F15" s="6"/>
    </row>
    <row r="16" spans="1:9" x14ac:dyDescent="0.25">
      <c r="B16" s="2" t="s">
        <v>90</v>
      </c>
      <c r="C16" s="84">
        <v>1</v>
      </c>
      <c r="D16" s="3">
        <f>($C$16+0.0065)^(D15-$C$15)</f>
        <v>1.0738696575911724</v>
      </c>
      <c r="E16" s="3">
        <f>($C$16+0.0065)^(E15-$C$15)</f>
        <v>1.222438884672097</v>
      </c>
    </row>
    <row r="17" spans="2:8" x14ac:dyDescent="0.25">
      <c r="B17" s="2" t="s">
        <v>84</v>
      </c>
      <c r="C17" s="84">
        <v>0.59345000000000003</v>
      </c>
      <c r="D17" s="3">
        <f>C17</f>
        <v>0.59345000000000003</v>
      </c>
      <c r="E17" s="3">
        <f>D17</f>
        <v>0.59345000000000003</v>
      </c>
    </row>
    <row r="18" spans="2:8" x14ac:dyDescent="0.25">
      <c r="B18" s="2" t="s">
        <v>141</v>
      </c>
      <c r="C18" s="84">
        <v>1</v>
      </c>
      <c r="D18" s="3">
        <f>($C$18+0.0065)^(D15-$C$15)</f>
        <v>1.0738696575911724</v>
      </c>
      <c r="E18" s="3">
        <f>($C$18+0.0065)^(E15-$C$15)</f>
        <v>1.222438884672097</v>
      </c>
      <c r="G18" s="163"/>
    </row>
    <row r="20" spans="2:8" x14ac:dyDescent="0.25">
      <c r="B20" s="432" t="s">
        <v>322</v>
      </c>
      <c r="C20" s="24"/>
      <c r="D20" s="24"/>
      <c r="E20" s="24"/>
    </row>
    <row r="21" spans="2:8" ht="29.45" customHeight="1" x14ac:dyDescent="0.25">
      <c r="B21" s="432"/>
      <c r="C21" s="82">
        <f>År1</f>
        <v>2019</v>
      </c>
      <c r="D21" s="82">
        <f>År2</f>
        <v>2030</v>
      </c>
      <c r="E21" s="82">
        <f>År3</f>
        <v>2050</v>
      </c>
    </row>
    <row r="22" spans="2:8" x14ac:dyDescent="0.25">
      <c r="B22" s="2" t="str">
        <f>Organ6</f>
        <v>OC6</v>
      </c>
      <c r="C22" s="7">
        <f>'[1]Afgrødefordeling - jordtype'!$H$17</f>
        <v>0.24584476889448309</v>
      </c>
      <c r="D22" s="410">
        <f>C22-(C22-E22)/($E$10-$C$10)*($D$10-$C$10)</f>
        <v>0.51344823799644068</v>
      </c>
      <c r="E22" s="8">
        <v>1</v>
      </c>
    </row>
    <row r="23" spans="2:8" x14ac:dyDescent="0.25">
      <c r="B23" s="2" t="str">
        <f>Organ12</f>
        <v>OC12</v>
      </c>
      <c r="C23" s="7">
        <f>'[1]Afgrødefordeling - jordtype'!$I$17</f>
        <v>0.33924520978284484</v>
      </c>
      <c r="D23" s="410">
        <f>C23-(C23-E23)/($E$10-$C$10)*($D$10-$C$10)</f>
        <v>0.57370658695667409</v>
      </c>
      <c r="E23" s="8">
        <v>1</v>
      </c>
    </row>
    <row r="24" spans="2:8" x14ac:dyDescent="0.25">
      <c r="B24" s="303" t="str">
        <f>CONCATENATE("Omlægning til permanent græs, ", Organ6,", hektar")</f>
        <v>Omlægning til permanent græs, OC6, hektar</v>
      </c>
      <c r="C24" s="304"/>
      <c r="D24" s="10">
        <f>D22*Arealanvendelse!N6-C22*Arealanvendelse!N6</f>
        <v>20619.257619625121</v>
      </c>
      <c r="E24" s="10">
        <f>E22*Arealanvendelse!Q6-C22*Arealanvendelse!Q6</f>
        <v>7579.4109036566661</v>
      </c>
    </row>
    <row r="25" spans="2:8" x14ac:dyDescent="0.25">
      <c r="B25" s="303" t="str">
        <f>CONCATENATE("Omlægning til permanent græs, ", Organ12, ", hektar")</f>
        <v>Omlægning til permanent græs, OC12, hektar</v>
      </c>
      <c r="C25" s="304"/>
      <c r="D25" s="10">
        <f>D23*Arealanvendelse!O6-C23*Arealanvendelse!O6</f>
        <v>14062.493218614971</v>
      </c>
      <c r="E25" s="10">
        <f>E23*Arealanvendelse!R6-C23*Arealanvendelse!R6</f>
        <v>5169.2168748268468</v>
      </c>
      <c r="G25" s="98"/>
    </row>
    <row r="26" spans="2:8" x14ac:dyDescent="0.25">
      <c r="B26" s="303" t="str">
        <f>CONCATENATE("Antal hektar som 1% svarer til, ", Organ6)</f>
        <v>Antal hektar som 1% svarer til, OC6</v>
      </c>
      <c r="C26" s="304"/>
      <c r="D26" s="10">
        <f>1%*Arealanvendelse!N6</f>
        <v>770.51533333333327</v>
      </c>
      <c r="E26" s="10">
        <f>1%*Arealanvendelse!Q6</f>
        <v>100.50200000000001</v>
      </c>
    </row>
    <row r="27" spans="2:8" ht="15.75" thickBot="1" x14ac:dyDescent="0.3">
      <c r="B27" s="305" t="str">
        <f>CONCATENATE("Antal hektar som 1% svarer til, ", Organ12)</f>
        <v>Antal hektar som 1% svarer til, OC12</v>
      </c>
      <c r="C27" s="306"/>
      <c r="D27" s="109">
        <f>1%*Arealanvendelse!O6</f>
        <v>599.7786666666666</v>
      </c>
      <c r="E27" s="109">
        <f>1%*Arealanvendelse!R6</f>
        <v>78.231999999999971</v>
      </c>
      <c r="F27" s="4"/>
    </row>
    <row r="28" spans="2:8" ht="15.75" thickBot="1" x14ac:dyDescent="0.3">
      <c r="B28" s="209" t="s">
        <v>262</v>
      </c>
      <c r="C28" s="210"/>
      <c r="D28" s="208">
        <f>SUM(D24:D25)</f>
        <v>34681.750838240092</v>
      </c>
      <c r="E28" s="208">
        <f>SUM(E24:E25)</f>
        <v>12748.627778483513</v>
      </c>
      <c r="F28" s="302"/>
      <c r="G28" s="98"/>
      <c r="H28" s="98"/>
    </row>
    <row r="29" spans="2:8" x14ac:dyDescent="0.25">
      <c r="C29" s="98"/>
      <c r="D29" s="98"/>
      <c r="E29" s="98"/>
      <c r="F29" s="98"/>
      <c r="G29" s="98"/>
      <c r="H29" s="98"/>
    </row>
    <row r="30" spans="2:8" x14ac:dyDescent="0.25">
      <c r="B30" s="430" t="s">
        <v>321</v>
      </c>
      <c r="C30" s="24"/>
      <c r="D30" s="24"/>
      <c r="E30" s="24"/>
    </row>
    <row r="31" spans="2:8" x14ac:dyDescent="0.25">
      <c r="B31" s="431"/>
      <c r="C31" s="82">
        <f>År1</f>
        <v>2019</v>
      </c>
      <c r="D31" s="82">
        <f>År2</f>
        <v>2030</v>
      </c>
      <c r="E31" s="82">
        <f>År3</f>
        <v>2050</v>
      </c>
    </row>
    <row r="32" spans="2:8" x14ac:dyDescent="0.25">
      <c r="B32" s="2" t="str">
        <f>[1]Afgrødefordeling!$C2</f>
        <v>Korn</v>
      </c>
      <c r="C32" s="299">
        <f>'[1]Afgrødefordeling - jordtype'!$Y4</f>
        <v>0.53753334285647836</v>
      </c>
      <c r="D32" s="410">
        <f>C32-(C32-E32)/($E$10-$C$10)*($D$10-$C$10)</f>
        <v>0.36715654240787016</v>
      </c>
      <c r="E32" s="87">
        <f>(100%-SUM($E$33:$E$38,$E$40,$E$43:$E$44))*C32/SUM($C$32,$C$39,$C$41:$C$42,$C$45)</f>
        <v>5.7380541592218878E-2</v>
      </c>
      <c r="F32" s="414"/>
    </row>
    <row r="33" spans="2:5" x14ac:dyDescent="0.25">
      <c r="B33" s="2" t="str">
        <f>[1]Afgrødefordeling!$C3</f>
        <v>Bælgsæd</v>
      </c>
      <c r="C33" s="299">
        <f>'[1]Afgrødefordeling - jordtype'!$Y5</f>
        <v>3.0976273829928767E-2</v>
      </c>
      <c r="D33" s="410">
        <f t="shared" ref="D33:D45" si="1">C33-(C33-E33)/($E$10-$C$10)*($D$10-$C$10)</f>
        <v>8.0307273438663729E-2</v>
      </c>
      <c r="E33" s="411">
        <v>0.17</v>
      </c>
    </row>
    <row r="34" spans="2:5" x14ac:dyDescent="0.25">
      <c r="B34" s="2" t="str">
        <f>[1]Afgrødefordeling!$C4</f>
        <v>Raps</v>
      </c>
      <c r="C34" s="299">
        <f>'[1]Afgrødefordeling - jordtype'!$Y6</f>
        <v>6.5329688585482673E-2</v>
      </c>
      <c r="D34" s="410">
        <f t="shared" si="1"/>
        <v>9.5373992635795268E-2</v>
      </c>
      <c r="E34" s="411">
        <v>0.15</v>
      </c>
    </row>
    <row r="35" spans="2:5" x14ac:dyDescent="0.25">
      <c r="B35" s="2" t="str">
        <f>[1]Afgrødefordeling!$C5</f>
        <v>Græs</v>
      </c>
      <c r="C35" s="299">
        <f>'[1]Afgrødefordeling - jordtype'!$Y7</f>
        <v>0.10115967422642448</v>
      </c>
      <c r="D35" s="410">
        <f t="shared" si="1"/>
        <v>0.1894578543396287</v>
      </c>
      <c r="E35" s="411">
        <v>0.35</v>
      </c>
    </row>
    <row r="36" spans="2:5" x14ac:dyDescent="0.25">
      <c r="B36" s="2" t="str">
        <f>[1]Afgrødefordeling!$C6</f>
        <v>Grøntsager</v>
      </c>
      <c r="C36" s="299">
        <f>'[1]Afgrødefordeling - jordtype'!$Y8</f>
        <v>5.2060865589185204E-3</v>
      </c>
      <c r="D36" s="410">
        <f t="shared" si="1"/>
        <v>7.912150200034742E-3</v>
      </c>
      <c r="E36" s="411">
        <f>10%*C36/SUM($C$36:$C$38)</f>
        <v>1.2832265911155143E-2</v>
      </c>
    </row>
    <row r="37" spans="2:5" x14ac:dyDescent="0.25">
      <c r="B37" s="2" t="str">
        <f>[1]Afgrødefordeling!$C7</f>
        <v>Kartofler</v>
      </c>
      <c r="C37" s="299">
        <f>'[1]Afgrødefordeling - jordtype'!$Y9</f>
        <v>2.189728375215861E-2</v>
      </c>
      <c r="D37" s="410">
        <f t="shared" si="1"/>
        <v>3.3279238840748362E-2</v>
      </c>
      <c r="E37" s="411">
        <f t="shared" ref="E37:E38" si="2">10%*C37/SUM($C$36:$C$38)</f>
        <v>5.3973702638184289E-2</v>
      </c>
    </row>
    <row r="38" spans="2:5" x14ac:dyDescent="0.25">
      <c r="B38" s="2" t="str">
        <f>[1]Afgrødefordeling!$C8</f>
        <v>Roer</v>
      </c>
      <c r="C38" s="299">
        <f>'[1]Afgrødefordeling - jordtype'!$Y10</f>
        <v>1.3466912404096722E-2</v>
      </c>
      <c r="D38" s="410">
        <f t="shared" si="1"/>
        <v>2.0466857872232284E-2</v>
      </c>
      <c r="E38" s="411">
        <f t="shared" si="2"/>
        <v>3.3194031450660584E-2</v>
      </c>
    </row>
    <row r="39" spans="2:5" x14ac:dyDescent="0.25">
      <c r="B39" s="2" t="str">
        <f>[1]Afgrødefordeling!$C9</f>
        <v>Majs</v>
      </c>
      <c r="C39" s="299">
        <f>'[1]Afgrødefordeling - jordtype'!$Y11</f>
        <v>7.2759287296729286E-2</v>
      </c>
      <c r="D39" s="410">
        <f t="shared" si="1"/>
        <v>4.9697472179061938E-2</v>
      </c>
      <c r="E39" s="87">
        <f>(100%-SUM($E$33:$E$38,$E$40,$E$43:$E$44))*C39/SUM($C$32,$C$39,$C$41:$C$42,$C$45)</f>
        <v>7.7668992378485732E-3</v>
      </c>
    </row>
    <row r="40" spans="2:5" x14ac:dyDescent="0.25">
      <c r="B40" s="2" t="str">
        <f>[1]Afgrødefordeling!$C10</f>
        <v>Frugt</v>
      </c>
      <c r="C40" s="299">
        <f>'[1]Afgrødefordeling - jordtype'!$Y12</f>
        <v>2.0301913757470973E-3</v>
      </c>
      <c r="D40" s="410">
        <f t="shared" si="1"/>
        <v>3.3066288339252348E-2</v>
      </c>
      <c r="E40" s="411">
        <f>10%-E43-E44+5%</f>
        <v>8.9495555545625521E-2</v>
      </c>
    </row>
    <row r="41" spans="2:5" x14ac:dyDescent="0.25">
      <c r="B41" s="2" t="str">
        <f>[1]Afgrødefordeling!$C11</f>
        <v>Øvrige</v>
      </c>
      <c r="C41" s="299">
        <f>'[1]Afgrødefordeling - jordtype'!$Y13</f>
        <v>2.7968670218625629E-2</v>
      </c>
      <c r="D41" s="410">
        <f t="shared" si="1"/>
        <v>1.9103708429782654E-2</v>
      </c>
      <c r="E41" s="87">
        <f>(100%-SUM($E$33:$E$38,$E$40,$E$43:$E$44))*C41/SUM($C$32,$C$39,$C$41:$C$42,$C$45)</f>
        <v>2.9855960864317937E-3</v>
      </c>
    </row>
    <row r="42" spans="2:5" x14ac:dyDescent="0.25">
      <c r="B42" s="2" t="str">
        <f>[1]Afgrødefordeling!$C12</f>
        <v>Frø</v>
      </c>
      <c r="C42" s="299">
        <f>'[1]Afgrødefordeling - jordtype'!$Y14</f>
        <v>4.0395307311065158E-2</v>
      </c>
      <c r="D42" s="410">
        <f t="shared" si="1"/>
        <v>2.7591593263813649E-2</v>
      </c>
      <c r="E42" s="87">
        <f>(100%-SUM($E$33:$E$38,$E$40,$E$43:$E$44))*C42/SUM($C$32,$C$39,$C$41:$C$42,$C$45)</f>
        <v>4.3121131779018202E-3</v>
      </c>
    </row>
    <row r="43" spans="2:5" x14ac:dyDescent="0.25">
      <c r="B43" s="2" t="str">
        <f>[1]Afgrødefordeling!$C13</f>
        <v>Juletræer</v>
      </c>
      <c r="C43" s="299">
        <f>'[1]Afgrødefordeling - jordtype'!$Y15</f>
        <v>7.5869349743828522E-3</v>
      </c>
      <c r="D43" s="410">
        <f t="shared" si="1"/>
        <v>7.5869349743828522E-3</v>
      </c>
      <c r="E43" s="411">
        <v>7.5869349743828522E-3</v>
      </c>
    </row>
    <row r="44" spans="2:5" x14ac:dyDescent="0.25">
      <c r="B44" s="2" t="str">
        <f>[1]Afgrødefordeling!$C14</f>
        <v>Pil &amp; poppel</v>
      </c>
      <c r="C44" s="299">
        <f>'[1]Afgrødefordeling - jordtype'!$Y16</f>
        <v>2.9175094799916215E-3</v>
      </c>
      <c r="D44" s="410">
        <f t="shared" si="1"/>
        <v>2.0659444963862589E-2</v>
      </c>
      <c r="E44" s="411">
        <f>0.291750947999162%+5%</f>
        <v>5.2917509479991624E-2</v>
      </c>
    </row>
    <row r="45" spans="2:5" x14ac:dyDescent="0.25">
      <c r="B45" s="2" t="str">
        <f>[1]Afgrødefordeling!$C15</f>
        <v>Permanent græs</v>
      </c>
      <c r="C45" s="299">
        <f>'[1]Afgrødefordeling - jordtype'!$Y17</f>
        <v>7.0772837129970206E-2</v>
      </c>
      <c r="D45" s="410">
        <f t="shared" si="1"/>
        <v>4.8340648114870752E-2</v>
      </c>
      <c r="E45" s="87">
        <f>(100%-SUM($E$33:$E$38,$E$40,$E$43:$E$44))*C45/SUM($C$32,$C$39,$C$41:$C$42,$C$45)</f>
        <v>7.5548499055990139E-3</v>
      </c>
    </row>
    <row r="46" spans="2:5" x14ac:dyDescent="0.25">
      <c r="B46" s="24" t="s">
        <v>287</v>
      </c>
      <c r="C46" s="84"/>
      <c r="D46" s="86">
        <f>SUM(D32:D45)</f>
        <v>1.0000000000000002</v>
      </c>
      <c r="E46" s="86">
        <f>SUM(E32:E45)</f>
        <v>1</v>
      </c>
    </row>
    <row r="47" spans="2:5" x14ac:dyDescent="0.25">
      <c r="B47" s="24" t="s">
        <v>241</v>
      </c>
      <c r="C47" s="84"/>
      <c r="D47" s="108" cm="1">
        <f t="array" ref="D47">SUMPRODUCT((D32:D45&gt;$C$32:$C$45)*(D32:D45-$C$32:$C$45))*Arealanvendelse!M6</f>
        <v>528070.2534754239</v>
      </c>
      <c r="E47" s="108" cm="1">
        <f t="array" ref="E47">SUMPRODUCT((E32:E45&gt;$C$32:$C$45)*(E32:E45-$C$32:$C$45))*Arealanvendelse!P6</f>
        <v>1305344.573900626</v>
      </c>
    </row>
    <row r="48" spans="2:5" x14ac:dyDescent="0.25">
      <c r="B48" s="24" t="s">
        <v>240</v>
      </c>
      <c r="C48" s="103"/>
      <c r="D48" s="108">
        <f>1%*Arealanvendelse!M6</f>
        <v>22230.841481481479</v>
      </c>
      <c r="E48" s="108">
        <f>1%*Arealanvendelse!P6</f>
        <v>19499.36</v>
      </c>
    </row>
    <row r="49" spans="2:8" x14ac:dyDescent="0.25">
      <c r="D49" s="98"/>
      <c r="E49" s="98"/>
      <c r="H49" s="98"/>
    </row>
    <row r="50" spans="2:8" ht="15" customHeight="1" x14ac:dyDescent="0.25">
      <c r="B50" s="2"/>
      <c r="C50" s="82">
        <f>År1</f>
        <v>2019</v>
      </c>
      <c r="D50" s="82">
        <f>År2</f>
        <v>2030</v>
      </c>
      <c r="E50" s="82">
        <f>År3</f>
        <v>2050</v>
      </c>
    </row>
    <row r="51" spans="2:8" ht="27.75" customHeight="1" x14ac:dyDescent="0.25">
      <c r="B51" s="106" t="s">
        <v>151</v>
      </c>
      <c r="C51" s="107">
        <f>786/121381</f>
        <v>6.475478040220463E-3</v>
      </c>
      <c r="D51" s="188">
        <v>7.0000000000000001E-3</v>
      </c>
      <c r="E51" s="188">
        <v>8.0000000000000002E-3</v>
      </c>
    </row>
    <row r="55" spans="2:8" x14ac:dyDescent="0.25">
      <c r="B55" s="1" t="s">
        <v>360</v>
      </c>
      <c r="C55" s="1">
        <f>(C35+C45)*Arealanvendelse!J6+C22*Arealanvendelse!K6+C23*Arealanvendelse!L6</f>
        <v>463874.74578978529</v>
      </c>
      <c r="D55" s="1">
        <f>(D35+D45)*Arealanvendelse!M6+D22*Arealanvendelse!N6+D23*Arealanvendelse!O6</f>
        <v>602617.7524631659</v>
      </c>
      <c r="E55" s="1">
        <f>(E35+E45)*Arealanvendelse!P6+E22*Arealanvendelse!Q6+E23*Arealanvendelse!R6</f>
        <v>715082.47380552394</v>
      </c>
    </row>
    <row r="56" spans="2:8" x14ac:dyDescent="0.25">
      <c r="B56" s="1" t="s">
        <v>361</v>
      </c>
      <c r="C56" s="392">
        <f>C35+C43+C44+C45</f>
        <v>0.18243695581076916</v>
      </c>
      <c r="D56" s="392">
        <f>D35+D43+D44+D45</f>
        <v>0.26604488239274487</v>
      </c>
      <c r="E56" s="392">
        <f>E35+E43+E44+E45</f>
        <v>0.41805929435997347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7EA54-1AA3-4A70-B5E5-DD164DD7D43D}">
  <sheetPr codeName="Sheet38">
    <tabColor theme="9" tint="0.39997558519241921"/>
  </sheetPr>
  <dimension ref="B2:L31"/>
  <sheetViews>
    <sheetView workbookViewId="0">
      <selection activeCell="H10" sqref="H10"/>
    </sheetView>
  </sheetViews>
  <sheetFormatPr defaultRowHeight="15" x14ac:dyDescent="0.25"/>
  <cols>
    <col min="2" max="2" width="21.42578125" bestFit="1" customWidth="1"/>
    <col min="3" max="3" width="26.42578125" bestFit="1" customWidth="1"/>
    <col min="4" max="4" width="26.42578125" hidden="1" customWidth="1"/>
    <col min="8" max="8" width="27" customWidth="1"/>
    <col min="13" max="13" width="26" bestFit="1" customWidth="1"/>
  </cols>
  <sheetData>
    <row r="2" spans="2:12" x14ac:dyDescent="0.25">
      <c r="B2" s="85" t="s">
        <v>363</v>
      </c>
      <c r="C2" s="102"/>
      <c r="D2" s="102"/>
      <c r="E2" s="82">
        <f>År1</f>
        <v>2019</v>
      </c>
      <c r="F2" s="82">
        <f>År2</f>
        <v>2030</v>
      </c>
      <c r="G2" s="82">
        <f>År3</f>
        <v>2050</v>
      </c>
      <c r="I2" s="102"/>
      <c r="J2" s="102" t="s">
        <v>377</v>
      </c>
      <c r="K2" s="102">
        <v>2050</v>
      </c>
    </row>
    <row r="3" spans="2:12" x14ac:dyDescent="0.25">
      <c r="B3" s="102" t="s">
        <v>22</v>
      </c>
      <c r="C3" s="2" t="s">
        <v>346</v>
      </c>
      <c r="D3" s="2" t="str">
        <f>B3&amp;C3</f>
        <v>SvinSlagtesvin</v>
      </c>
      <c r="E3" s="7">
        <v>1</v>
      </c>
      <c r="F3" s="3">
        <f>E3-(E3-G3)/($G$2-$E$2)*($F$2-$E$2)</f>
        <v>1</v>
      </c>
      <c r="G3" s="3">
        <v>1</v>
      </c>
      <c r="I3" s="102" t="s">
        <v>382</v>
      </c>
      <c r="J3" s="102" t="s">
        <v>30</v>
      </c>
      <c r="K3" s="84">
        <f>1-L10*K10</f>
        <v>0.79064908335660733</v>
      </c>
      <c r="L3" s="415"/>
    </row>
    <row r="4" spans="2:12" x14ac:dyDescent="0.25">
      <c r="B4" s="102" t="s">
        <v>22</v>
      </c>
      <c r="C4" s="2" t="s">
        <v>112</v>
      </c>
      <c r="D4" s="2" t="str">
        <f t="shared" ref="D4:D31" si="0">B4&amp;C4</f>
        <v>SvinFoder</v>
      </c>
      <c r="E4" s="7">
        <v>1</v>
      </c>
      <c r="F4" s="3">
        <f t="shared" ref="F4:F31" si="1">E4-(E4-G4)/($G$2-$E$2)*($F$2-$E$2)</f>
        <v>1</v>
      </c>
      <c r="G4" s="3">
        <f>(G3-100%)*50%+100%</f>
        <v>1</v>
      </c>
      <c r="I4" s="102" t="s">
        <v>22</v>
      </c>
      <c r="J4" s="102" t="s">
        <v>30</v>
      </c>
      <c r="K4" s="84">
        <f>1-K11*L11-K12*L12</f>
        <v>1</v>
      </c>
      <c r="L4" s="415"/>
    </row>
    <row r="5" spans="2:12" x14ac:dyDescent="0.25">
      <c r="B5" s="102" t="s">
        <v>22</v>
      </c>
      <c r="C5" s="2" t="s">
        <v>135</v>
      </c>
      <c r="D5" s="2" t="str">
        <f t="shared" si="0"/>
        <v>SvinSvinegylle</v>
      </c>
      <c r="E5" s="7">
        <v>1</v>
      </c>
      <c r="F5" s="3">
        <f t="shared" si="1"/>
        <v>1</v>
      </c>
      <c r="G5" s="3">
        <f>G4</f>
        <v>1</v>
      </c>
      <c r="I5" s="102" t="s">
        <v>3</v>
      </c>
      <c r="J5" s="102" t="s">
        <v>30</v>
      </c>
      <c r="K5" s="84">
        <f>1-K13*L13-K14*L14</f>
        <v>1</v>
      </c>
      <c r="L5" s="415"/>
    </row>
    <row r="6" spans="2:12" x14ac:dyDescent="0.25">
      <c r="B6" s="102" t="s">
        <v>22</v>
      </c>
      <c r="C6" s="2" t="s">
        <v>111</v>
      </c>
      <c r="D6" s="2" t="str">
        <f t="shared" si="0"/>
        <v>SvinCO2 - atmosfære</v>
      </c>
      <c r="E6" s="7">
        <v>1</v>
      </c>
      <c r="F6" s="3">
        <f t="shared" si="1"/>
        <v>1</v>
      </c>
      <c r="G6" s="3">
        <f>$K$4</f>
        <v>1</v>
      </c>
      <c r="I6" s="102" t="s">
        <v>4</v>
      </c>
      <c r="J6" s="102" t="s">
        <v>30</v>
      </c>
      <c r="K6" s="84">
        <f>1-K15*L15-K16*L16</f>
        <v>1</v>
      </c>
      <c r="L6" s="415"/>
    </row>
    <row r="7" spans="2:12" x14ac:dyDescent="0.25">
      <c r="B7" s="102" t="s">
        <v>3</v>
      </c>
      <c r="C7" s="2" t="s">
        <v>348</v>
      </c>
      <c r="D7" s="2" t="str">
        <f t="shared" si="0"/>
        <v>KøerSlagtekøer</v>
      </c>
      <c r="E7" s="7">
        <v>1</v>
      </c>
      <c r="F7" s="3">
        <f t="shared" si="1"/>
        <v>1.2174167101317843</v>
      </c>
      <c r="G7" s="3">
        <f>100%*Landbrug!I13/Landbrug!I14</f>
        <v>1.6127198194623011</v>
      </c>
      <c r="L7" s="415"/>
    </row>
    <row r="8" spans="2:12" x14ac:dyDescent="0.25">
      <c r="B8" s="102" t="s">
        <v>3</v>
      </c>
      <c r="C8" s="2" t="s">
        <v>112</v>
      </c>
      <c r="D8" s="2" t="str">
        <f t="shared" si="0"/>
        <v>KøerFoder</v>
      </c>
      <c r="E8" s="7">
        <v>1</v>
      </c>
      <c r="F8" s="3">
        <f t="shared" si="1"/>
        <v>0.69151599679691178</v>
      </c>
      <c r="G8" s="3">
        <f>((G7-100%)*50%+100%)*10%</f>
        <v>0.13063599097311504</v>
      </c>
      <c r="L8" s="415"/>
    </row>
    <row r="9" spans="2:12" x14ac:dyDescent="0.25">
      <c r="B9" s="102" t="s">
        <v>3</v>
      </c>
      <c r="C9" s="2" t="s">
        <v>117</v>
      </c>
      <c r="D9" s="2" t="str">
        <f t="shared" si="0"/>
        <v>KøerRåmælk</v>
      </c>
      <c r="E9" s="7">
        <v>1</v>
      </c>
      <c r="F9" s="3">
        <f t="shared" si="1"/>
        <v>0.64516129032258063</v>
      </c>
      <c r="G9" s="3">
        <f>150%*Landbrug!H13/Landbrug!H14</f>
        <v>0</v>
      </c>
      <c r="I9" s="102"/>
      <c r="J9" s="102"/>
      <c r="K9" s="102" t="s">
        <v>380</v>
      </c>
      <c r="L9" s="102" t="s">
        <v>390</v>
      </c>
    </row>
    <row r="10" spans="2:12" x14ac:dyDescent="0.25">
      <c r="B10" s="102" t="s">
        <v>3</v>
      </c>
      <c r="C10" s="2" t="s">
        <v>136</v>
      </c>
      <c r="D10" s="2" t="str">
        <f t="shared" si="0"/>
        <v>KøerKvæggylle</v>
      </c>
      <c r="E10" s="7">
        <v>1</v>
      </c>
      <c r="F10" s="3">
        <f t="shared" si="1"/>
        <v>0.69151599679691178</v>
      </c>
      <c r="G10" s="3">
        <f>G8</f>
        <v>0.13063599097311504</v>
      </c>
      <c r="I10" s="102" t="s">
        <v>193</v>
      </c>
      <c r="J10" s="102" t="s">
        <v>381</v>
      </c>
      <c r="K10" s="7">
        <f>0.68/[1]Afgrødedata!$J$5</f>
        <v>0.29907273806198947</v>
      </c>
      <c r="L10" s="3">
        <v>0.7</v>
      </c>
    </row>
    <row r="11" spans="2:12" x14ac:dyDescent="0.25">
      <c r="B11" s="102" t="s">
        <v>3</v>
      </c>
      <c r="C11" s="2" t="s">
        <v>111</v>
      </c>
      <c r="D11" s="2" t="str">
        <f t="shared" si="0"/>
        <v>KøerCO2 - atmosfære</v>
      </c>
      <c r="E11" s="7">
        <v>1</v>
      </c>
      <c r="F11" s="3">
        <f t="shared" si="1"/>
        <v>1</v>
      </c>
      <c r="G11" s="3">
        <f>$K$5</f>
        <v>1</v>
      </c>
      <c r="I11" s="416" t="s">
        <v>22</v>
      </c>
      <c r="J11" s="102" t="s">
        <v>379</v>
      </c>
      <c r="K11" s="84">
        <v>0.85</v>
      </c>
      <c r="L11" s="3">
        <v>0</v>
      </c>
    </row>
    <row r="12" spans="2:12" x14ac:dyDescent="0.25">
      <c r="B12" s="102" t="s">
        <v>4</v>
      </c>
      <c r="C12" s="2" t="s">
        <v>347</v>
      </c>
      <c r="D12" s="2" t="str">
        <f t="shared" si="0"/>
        <v>FjerkræSlagtefjerkræ</v>
      </c>
      <c r="E12" s="7">
        <v>1</v>
      </c>
      <c r="F12" s="3">
        <f t="shared" si="1"/>
        <v>1</v>
      </c>
      <c r="G12" s="3">
        <v>1</v>
      </c>
      <c r="I12" s="102" t="s">
        <v>22</v>
      </c>
      <c r="J12" s="102" t="s">
        <v>378</v>
      </c>
      <c r="K12" s="84">
        <v>0.15</v>
      </c>
      <c r="L12" s="3">
        <v>0</v>
      </c>
    </row>
    <row r="13" spans="2:12" x14ac:dyDescent="0.25">
      <c r="B13" s="102" t="s">
        <v>4</v>
      </c>
      <c r="C13" s="2" t="s">
        <v>137</v>
      </c>
      <c r="D13" s="2" t="str">
        <f t="shared" si="0"/>
        <v>FjerkræFjerkrægylle</v>
      </c>
      <c r="E13" s="7">
        <v>1</v>
      </c>
      <c r="F13" s="3">
        <f t="shared" si="1"/>
        <v>1</v>
      </c>
      <c r="G13" s="3">
        <f>G14</f>
        <v>1</v>
      </c>
      <c r="I13" s="102" t="s">
        <v>3</v>
      </c>
      <c r="J13" s="102" t="s">
        <v>379</v>
      </c>
      <c r="K13" s="84">
        <v>0.25</v>
      </c>
      <c r="L13" s="3">
        <v>0</v>
      </c>
    </row>
    <row r="14" spans="2:12" x14ac:dyDescent="0.25">
      <c r="B14" s="102" t="s">
        <v>4</v>
      </c>
      <c r="C14" s="2" t="s">
        <v>112</v>
      </c>
      <c r="D14" s="2" t="str">
        <f t="shared" si="0"/>
        <v>FjerkræFoder</v>
      </c>
      <c r="E14" s="7">
        <v>1</v>
      </c>
      <c r="F14" s="3">
        <f t="shared" si="1"/>
        <v>1</v>
      </c>
      <c r="G14" s="3">
        <f>(G12-100%)*50%+100%</f>
        <v>1</v>
      </c>
      <c r="I14" s="102" t="s">
        <v>3</v>
      </c>
      <c r="J14" s="102" t="s">
        <v>378</v>
      </c>
      <c r="K14" s="84">
        <v>0.75</v>
      </c>
      <c r="L14" s="3">
        <v>0</v>
      </c>
    </row>
    <row r="15" spans="2:12" x14ac:dyDescent="0.25">
      <c r="B15" s="102" t="s">
        <v>4</v>
      </c>
      <c r="C15" s="2" t="s">
        <v>111</v>
      </c>
      <c r="D15" s="2" t="str">
        <f t="shared" si="0"/>
        <v>FjerkræCO2 - atmosfære</v>
      </c>
      <c r="E15" s="7">
        <v>1</v>
      </c>
      <c r="F15" s="3">
        <f t="shared" si="1"/>
        <v>1</v>
      </c>
      <c r="G15" s="3">
        <f>$K$6</f>
        <v>1</v>
      </c>
      <c r="I15" s="102" t="s">
        <v>4</v>
      </c>
      <c r="J15" s="102" t="s">
        <v>379</v>
      </c>
      <c r="K15" s="84">
        <v>0.1</v>
      </c>
      <c r="L15" s="3">
        <v>0</v>
      </c>
    </row>
    <row r="16" spans="2:12" x14ac:dyDescent="0.25">
      <c r="B16" s="102" t="s">
        <v>362</v>
      </c>
      <c r="C16" s="2" t="s">
        <v>51</v>
      </c>
      <c r="D16" s="2" t="str">
        <f t="shared" si="0"/>
        <v>Areal-græsGræs</v>
      </c>
      <c r="E16" s="7">
        <v>1</v>
      </c>
      <c r="F16" s="3">
        <f t="shared" si="1"/>
        <v>1.1419354838709677</v>
      </c>
      <c r="G16" s="3">
        <v>1.4</v>
      </c>
      <c r="H16" s="433" t="s">
        <v>389</v>
      </c>
      <c r="I16" s="102" t="s">
        <v>4</v>
      </c>
      <c r="J16" s="102" t="s">
        <v>378</v>
      </c>
      <c r="K16" s="84">
        <v>0.9</v>
      </c>
      <c r="L16" s="3">
        <v>0</v>
      </c>
    </row>
    <row r="17" spans="2:8" x14ac:dyDescent="0.25">
      <c r="B17" s="102" t="s">
        <v>362</v>
      </c>
      <c r="C17" s="2" t="s">
        <v>114</v>
      </c>
      <c r="D17" s="2" t="str">
        <f t="shared" si="0"/>
        <v>Areal-græsGødning</v>
      </c>
      <c r="E17" s="7">
        <v>1</v>
      </c>
      <c r="F17" s="3">
        <f t="shared" si="1"/>
        <v>1.1419354838709677</v>
      </c>
      <c r="G17" s="3">
        <v>1.4</v>
      </c>
      <c r="H17" s="433"/>
    </row>
    <row r="18" spans="2:8" x14ac:dyDescent="0.25">
      <c r="B18" s="102" t="s">
        <v>364</v>
      </c>
      <c r="C18" s="2" t="s">
        <v>111</v>
      </c>
      <c r="D18" s="2" t="str">
        <f t="shared" si="0"/>
        <v>Areal-kornCO2 - atmosfære</v>
      </c>
      <c r="E18" s="7">
        <v>1</v>
      </c>
      <c r="F18" s="3">
        <f t="shared" si="1"/>
        <v>0.92571419086847362</v>
      </c>
      <c r="G18" s="3">
        <f t="shared" ref="G18:G31" si="2">$K$3</f>
        <v>0.79064908335660733</v>
      </c>
    </row>
    <row r="19" spans="2:8" x14ac:dyDescent="0.25">
      <c r="B19" s="102" t="s">
        <v>365</v>
      </c>
      <c r="C19" s="2" t="s">
        <v>111</v>
      </c>
      <c r="D19" s="2" t="str">
        <f t="shared" si="0"/>
        <v>Areal-grøntsagerCO2 - atmosfære</v>
      </c>
      <c r="E19" s="7">
        <v>1</v>
      </c>
      <c r="F19" s="3">
        <f t="shared" si="1"/>
        <v>0.92571419086847362</v>
      </c>
      <c r="G19" s="3">
        <f t="shared" si="2"/>
        <v>0.79064908335660733</v>
      </c>
    </row>
    <row r="20" spans="2:8" x14ac:dyDescent="0.25">
      <c r="B20" s="102" t="s">
        <v>366</v>
      </c>
      <c r="C20" s="2" t="s">
        <v>111</v>
      </c>
      <c r="D20" s="2" t="str">
        <f t="shared" si="0"/>
        <v>Areal-kartoflerCO2 - atmosfære</v>
      </c>
      <c r="E20" s="7">
        <v>1</v>
      </c>
      <c r="F20" s="3">
        <f t="shared" si="1"/>
        <v>0.92571419086847362</v>
      </c>
      <c r="G20" s="3">
        <f t="shared" si="2"/>
        <v>0.79064908335660733</v>
      </c>
    </row>
    <row r="21" spans="2:8" x14ac:dyDescent="0.25">
      <c r="B21" s="102" t="s">
        <v>362</v>
      </c>
      <c r="C21" s="2" t="s">
        <v>111</v>
      </c>
      <c r="D21" s="2" t="str">
        <f t="shared" si="0"/>
        <v>Areal-græsCO2 - atmosfære</v>
      </c>
      <c r="E21" s="7">
        <v>1</v>
      </c>
      <c r="F21" s="3">
        <f t="shared" si="1"/>
        <v>0.92571419086847362</v>
      </c>
      <c r="G21" s="3">
        <f t="shared" si="2"/>
        <v>0.79064908335660733</v>
      </c>
    </row>
    <row r="22" spans="2:8" x14ac:dyDescent="0.25">
      <c r="B22" s="102" t="s">
        <v>367</v>
      </c>
      <c r="C22" s="2" t="s">
        <v>111</v>
      </c>
      <c r="D22" s="2" t="str">
        <f t="shared" si="0"/>
        <v>Areal-bælgsædCO2 - atmosfære</v>
      </c>
      <c r="E22" s="7">
        <v>1</v>
      </c>
      <c r="F22" s="3">
        <f t="shared" si="1"/>
        <v>0.92571419086847362</v>
      </c>
      <c r="G22" s="3">
        <f t="shared" si="2"/>
        <v>0.79064908335660733</v>
      </c>
    </row>
    <row r="23" spans="2:8" x14ac:dyDescent="0.25">
      <c r="B23" s="102" t="s">
        <v>368</v>
      </c>
      <c r="C23" s="2" t="s">
        <v>111</v>
      </c>
      <c r="D23" s="2" t="str">
        <f t="shared" si="0"/>
        <v>Areal-roerCO2 - atmosfære</v>
      </c>
      <c r="E23" s="7">
        <v>1</v>
      </c>
      <c r="F23" s="3">
        <f t="shared" si="1"/>
        <v>0.92571419086847362</v>
      </c>
      <c r="G23" s="3">
        <f t="shared" si="2"/>
        <v>0.79064908335660733</v>
      </c>
    </row>
    <row r="24" spans="2:8" x14ac:dyDescent="0.25">
      <c r="B24" s="102" t="s">
        <v>369</v>
      </c>
      <c r="C24" s="2" t="s">
        <v>111</v>
      </c>
      <c r="D24" s="2" t="str">
        <f t="shared" si="0"/>
        <v>Areal-frugtCO2 - atmosfære</v>
      </c>
      <c r="E24" s="7">
        <v>1</v>
      </c>
      <c r="F24" s="3">
        <f t="shared" si="1"/>
        <v>0.92571419086847362</v>
      </c>
      <c r="G24" s="3">
        <f t="shared" si="2"/>
        <v>0.79064908335660733</v>
      </c>
    </row>
    <row r="25" spans="2:8" x14ac:dyDescent="0.25">
      <c r="B25" s="102" t="s">
        <v>370</v>
      </c>
      <c r="C25" s="2" t="s">
        <v>111</v>
      </c>
      <c r="D25" s="2" t="str">
        <f t="shared" si="0"/>
        <v>Areal-øvrigeCO2 - atmosfære</v>
      </c>
      <c r="E25" s="7">
        <v>1</v>
      </c>
      <c r="F25" s="3">
        <f t="shared" si="1"/>
        <v>0.92571419086847362</v>
      </c>
      <c r="G25" s="3">
        <f t="shared" si="2"/>
        <v>0.79064908335660733</v>
      </c>
    </row>
    <row r="26" spans="2:8" x14ac:dyDescent="0.25">
      <c r="B26" s="102" t="s">
        <v>371</v>
      </c>
      <c r="C26" s="2" t="s">
        <v>111</v>
      </c>
      <c r="D26" s="2" t="str">
        <f t="shared" si="0"/>
        <v>Areal-majsCO2 - atmosfære</v>
      </c>
      <c r="E26" s="7">
        <v>1</v>
      </c>
      <c r="F26" s="3">
        <f t="shared" si="1"/>
        <v>0.92571419086847362</v>
      </c>
      <c r="G26" s="3">
        <f t="shared" si="2"/>
        <v>0.79064908335660733</v>
      </c>
    </row>
    <row r="27" spans="2:8" x14ac:dyDescent="0.25">
      <c r="B27" s="102" t="s">
        <v>372</v>
      </c>
      <c r="C27" s="2" t="s">
        <v>111</v>
      </c>
      <c r="D27" s="2" t="str">
        <f t="shared" si="0"/>
        <v>Areal-rapsCO2 - atmosfære</v>
      </c>
      <c r="E27" s="7">
        <v>1</v>
      </c>
      <c r="F27" s="3">
        <f t="shared" si="1"/>
        <v>0.92571419086847362</v>
      </c>
      <c r="G27" s="3">
        <f t="shared" si="2"/>
        <v>0.79064908335660733</v>
      </c>
    </row>
    <row r="28" spans="2:8" x14ac:dyDescent="0.25">
      <c r="B28" s="102" t="s">
        <v>373</v>
      </c>
      <c r="C28" s="2" t="s">
        <v>111</v>
      </c>
      <c r="D28" s="2" t="str">
        <f t="shared" si="0"/>
        <v>Areal-frøgræsCO2 - atmosfære</v>
      </c>
      <c r="E28" s="7">
        <v>1</v>
      </c>
      <c r="F28" s="3">
        <f t="shared" si="1"/>
        <v>0.92571419086847362</v>
      </c>
      <c r="G28" s="3">
        <f t="shared" si="2"/>
        <v>0.79064908335660733</v>
      </c>
    </row>
    <row r="29" spans="2:8" x14ac:dyDescent="0.25">
      <c r="B29" s="102" t="s">
        <v>374</v>
      </c>
      <c r="C29" s="2" t="s">
        <v>111</v>
      </c>
      <c r="D29" s="2" t="str">
        <f t="shared" si="0"/>
        <v>Areal-juletræerCO2 - atmosfære</v>
      </c>
      <c r="E29" s="7">
        <v>1</v>
      </c>
      <c r="F29" s="3">
        <f t="shared" si="1"/>
        <v>0.92571419086847362</v>
      </c>
      <c r="G29" s="3">
        <f t="shared" si="2"/>
        <v>0.79064908335660733</v>
      </c>
    </row>
    <row r="30" spans="2:8" x14ac:dyDescent="0.25">
      <c r="B30" s="102" t="s">
        <v>375</v>
      </c>
      <c r="C30" s="2" t="s">
        <v>111</v>
      </c>
      <c r="D30" s="2" t="str">
        <f t="shared" si="0"/>
        <v>Areal-pil-poppelCO2 - atmosfære</v>
      </c>
      <c r="E30" s="7">
        <v>1</v>
      </c>
      <c r="F30" s="3">
        <f t="shared" si="1"/>
        <v>0.92571419086847362</v>
      </c>
      <c r="G30" s="3">
        <f t="shared" si="2"/>
        <v>0.79064908335660733</v>
      </c>
    </row>
    <row r="31" spans="2:8" x14ac:dyDescent="0.25">
      <c r="B31" s="102" t="s">
        <v>376</v>
      </c>
      <c r="C31" s="2" t="s">
        <v>111</v>
      </c>
      <c r="D31" s="2" t="str">
        <f t="shared" si="0"/>
        <v>Areal-permanent græsCO2 - atmosfære</v>
      </c>
      <c r="E31" s="7">
        <v>1</v>
      </c>
      <c r="F31" s="3">
        <f t="shared" si="1"/>
        <v>0.92571419086847362</v>
      </c>
      <c r="G31" s="3">
        <f t="shared" si="2"/>
        <v>0.79064908335660733</v>
      </c>
    </row>
  </sheetData>
  <mergeCells count="1">
    <mergeCell ref="H16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B653-CB5A-40C0-B152-DED5D2034A63}">
  <sheetPr>
    <tabColor theme="9" tint="0.39997558519241921"/>
  </sheetPr>
  <dimension ref="B2:E7"/>
  <sheetViews>
    <sheetView workbookViewId="0">
      <selection activeCell="E7" sqref="E7"/>
    </sheetView>
  </sheetViews>
  <sheetFormatPr defaultRowHeight="15" x14ac:dyDescent="0.25"/>
  <cols>
    <col min="1" max="1" width="4.85546875" customWidth="1"/>
    <col min="2" max="2" width="27.42578125" bestFit="1" customWidth="1"/>
  </cols>
  <sheetData>
    <row r="2" spans="2:5" x14ac:dyDescent="0.25">
      <c r="B2" s="102"/>
      <c r="C2" s="102">
        <v>2019</v>
      </c>
      <c r="D2" s="102">
        <v>2030</v>
      </c>
      <c r="E2" s="102">
        <v>2050</v>
      </c>
    </row>
    <row r="3" spans="2:5" x14ac:dyDescent="0.25">
      <c r="B3" s="102" t="s">
        <v>391</v>
      </c>
      <c r="C3" s="3">
        <v>0.18</v>
      </c>
      <c r="D3" s="410">
        <f>C3-(C3-E3)/($E$2-$C$2)*($D$2-$C$2)</f>
        <v>0.18709677419354839</v>
      </c>
      <c r="E3" s="3">
        <v>0.2</v>
      </c>
    </row>
    <row r="4" spans="2:5" x14ac:dyDescent="0.25">
      <c r="B4" s="102" t="s">
        <v>392</v>
      </c>
      <c r="C4" s="3">
        <v>0.4</v>
      </c>
      <c r="D4" s="410">
        <f>C4-(C4-E4)/($E$2-$C$2)*($D$2-$C$2)</f>
        <v>0.52419354838709675</v>
      </c>
      <c r="E4" s="3">
        <v>0.75</v>
      </c>
    </row>
    <row r="5" spans="2:5" x14ac:dyDescent="0.25">
      <c r="B5" s="102" t="s">
        <v>395</v>
      </c>
      <c r="C5" s="3">
        <v>0</v>
      </c>
      <c r="D5" s="410">
        <f>C5-(C5-E5)/($E$2-$C$2)*($D$2-$C$2)</f>
        <v>0.35483870967741937</v>
      </c>
      <c r="E5" s="3">
        <v>1</v>
      </c>
    </row>
    <row r="6" spans="2:5" x14ac:dyDescent="0.25">
      <c r="B6" s="102" t="s">
        <v>393</v>
      </c>
      <c r="C6" s="3">
        <v>0</v>
      </c>
      <c r="D6" s="410">
        <f>C6-(C6-E6)/($E$2-$C$2)*($D$2-$C$2)</f>
        <v>0.14193548387096774</v>
      </c>
      <c r="E6" s="3">
        <v>0.4</v>
      </c>
    </row>
    <row r="7" spans="2:5" x14ac:dyDescent="0.25">
      <c r="B7" s="102" t="s">
        <v>394</v>
      </c>
      <c r="C7" s="3">
        <v>0</v>
      </c>
      <c r="D7" s="410">
        <f>C7-(C7-E7)/($E$2-$C$2)*($D$2-$C$2)</f>
        <v>0.21290322580645163</v>
      </c>
      <c r="E7" s="3">
        <f>1-E6</f>
        <v>0.6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J43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4" width="13.85546875" style="1" bestFit="1" customWidth="1"/>
    <col min="5" max="5" width="15.85546875" style="1" bestFit="1" customWidth="1"/>
    <col min="6" max="6" width="21" style="1" bestFit="1" customWidth="1"/>
    <col min="7" max="16384" width="9.140625" style="1"/>
  </cols>
  <sheetData>
    <row r="1" spans="1:10" x14ac:dyDescent="0.25">
      <c r="A1" s="204" t="s">
        <v>270</v>
      </c>
    </row>
    <row r="2" spans="1:10" ht="15.75" thickBot="1" x14ac:dyDescent="0.3">
      <c r="A2" s="289"/>
      <c r="B2" s="289"/>
      <c r="C2" s="289">
        <f>År1</f>
        <v>2019</v>
      </c>
      <c r="D2" s="289">
        <f>År2</f>
        <v>2030</v>
      </c>
      <c r="E2" s="289">
        <f>År3</f>
        <v>2050</v>
      </c>
      <c r="F2" s="289" t="s">
        <v>313</v>
      </c>
    </row>
    <row r="3" spans="1:10" x14ac:dyDescent="0.25">
      <c r="A3" s="290" t="str">
        <f>'[1]Processer - data'!$D440</f>
        <v>Korn</v>
      </c>
      <c r="B3" s="1" t="s">
        <v>133</v>
      </c>
      <c r="C3" s="111">
        <f>VLOOKUP(A3,[1]Foder!$A$2:$E$16,5,FALSE)</f>
        <v>0.39994582515067378</v>
      </c>
      <c r="D3" s="412">
        <f>C3-(C3-E3)/($E$2-$C$2)*($D$2-$C$2)</f>
        <v>0.27240053235527339</v>
      </c>
      <c r="E3" s="413">
        <v>4.0500000000000001E-2</v>
      </c>
      <c r="I3" s="218"/>
      <c r="J3" s="424"/>
    </row>
    <row r="4" spans="1:10" x14ac:dyDescent="0.25">
      <c r="A4" s="2" t="str">
        <f>'[1]Processer - data'!$D441</f>
        <v>Halm</v>
      </c>
      <c r="B4" s="1" t="s">
        <v>133</v>
      </c>
      <c r="C4" s="111">
        <f>VLOOKUP(A4,[1]Foder!$A$2:$E$16,5,FALSE)</f>
        <v>1.1105844111871065E-2</v>
      </c>
      <c r="D4" s="288">
        <f t="shared" ref="D4:D17" si="0">C4-(C4-E4)/($E$2-$C$2)*($D$2-$C$2)</f>
        <v>8.939254265723267E-3</v>
      </c>
      <c r="E4" s="288">
        <v>5.0000000000000001E-3</v>
      </c>
      <c r="I4" s="218"/>
      <c r="J4" s="424"/>
    </row>
    <row r="5" spans="1:10" x14ac:dyDescent="0.25">
      <c r="A5" s="2" t="str">
        <f>'[1]Processer - data'!$D442</f>
        <v>Kartofler</v>
      </c>
      <c r="B5" s="1" t="s">
        <v>133</v>
      </c>
      <c r="C5" s="111">
        <f>VLOOKUP(A5,[1]Foder!$A$2:$E$16,5,FALSE)</f>
        <v>0</v>
      </c>
      <c r="D5" s="288">
        <f t="shared" si="0"/>
        <v>1.7741935483870968E-2</v>
      </c>
      <c r="E5" s="288">
        <v>0.05</v>
      </c>
      <c r="I5" s="218"/>
      <c r="J5" s="424"/>
    </row>
    <row r="6" spans="1:10" x14ac:dyDescent="0.25">
      <c r="A6" s="2" t="str">
        <f>'[1]Processer - data'!$D443</f>
        <v>Bælgsæd</v>
      </c>
      <c r="B6" s="1" t="s">
        <v>133</v>
      </c>
      <c r="C6" s="111">
        <f>VLOOKUP(A6,[1]Foder!$A$2:$E$16,5,FALSE)</f>
        <v>5.2820478093045303E-3</v>
      </c>
      <c r="D6" s="288">
        <f t="shared" si="0"/>
        <v>5.2820478093045303E-3</v>
      </c>
      <c r="E6" s="288">
        <f>C6</f>
        <v>5.2820478093045303E-3</v>
      </c>
      <c r="I6" s="218"/>
      <c r="J6" s="424"/>
    </row>
    <row r="7" spans="1:10" x14ac:dyDescent="0.25">
      <c r="A7" s="2" t="str">
        <f>'[1]Processer - data'!$D444</f>
        <v>Roer</v>
      </c>
      <c r="B7" s="1" t="s">
        <v>133</v>
      </c>
      <c r="C7" s="111">
        <f>VLOOKUP(A7,[1]Foder!$A$2:$E$16,5,FALSE)</f>
        <v>9.683754317058306E-3</v>
      </c>
      <c r="D7" s="288">
        <f t="shared" si="0"/>
        <v>9.683754317058306E-3</v>
      </c>
      <c r="E7" s="288">
        <f t="shared" ref="E5:E11" si="1">C7</f>
        <v>9.683754317058306E-3</v>
      </c>
      <c r="I7" s="218"/>
      <c r="J7" s="424"/>
    </row>
    <row r="8" spans="1:10" x14ac:dyDescent="0.25">
      <c r="A8" s="2" t="str">
        <f>'[1]Processer - data'!$D445</f>
        <v>Majs</v>
      </c>
      <c r="B8" s="1" t="s">
        <v>133</v>
      </c>
      <c r="C8" s="111">
        <f>VLOOKUP(A8,[1]Foder!$A$2:$E$16,5,FALSE)</f>
        <v>0.1132931536534164</v>
      </c>
      <c r="D8" s="288">
        <f t="shared" si="0"/>
        <v>7.7527841066720254E-2</v>
      </c>
      <c r="E8" s="413">
        <v>1.2500000000000001E-2</v>
      </c>
      <c r="I8" s="218"/>
      <c r="J8" s="424"/>
    </row>
    <row r="9" spans="1:10" x14ac:dyDescent="0.25">
      <c r="A9" s="2" t="str">
        <f>'[1]Processer - data'!$D446</f>
        <v>Rapskage</v>
      </c>
      <c r="B9" s="1" t="s">
        <v>133</v>
      </c>
      <c r="C9" s="111">
        <f>VLOOKUP(A9,[1]Foder!$A$2:$E$16,5,FALSE)</f>
        <v>1.6320173359517843E-2</v>
      </c>
      <c r="D9" s="288">
        <f t="shared" si="0"/>
        <v>2.8271079586785708E-2</v>
      </c>
      <c r="E9" s="413">
        <v>0.05</v>
      </c>
      <c r="I9" s="218"/>
      <c r="J9" s="424"/>
    </row>
    <row r="10" spans="1:10" x14ac:dyDescent="0.25">
      <c r="A10" s="2" t="str">
        <f>'[1]Processer - data'!$D447</f>
        <v>Tang</v>
      </c>
      <c r="B10" s="1" t="s">
        <v>133</v>
      </c>
      <c r="C10" s="111">
        <f>VLOOKUP(A10,[1]Foder!$A$2:$E$16,5,FALSE)</f>
        <v>0</v>
      </c>
      <c r="D10" s="288">
        <f t="shared" si="0"/>
        <v>0</v>
      </c>
      <c r="E10" s="288">
        <f t="shared" si="1"/>
        <v>0</v>
      </c>
      <c r="I10" s="218"/>
      <c r="J10" s="424"/>
    </row>
    <row r="11" spans="1:10" x14ac:dyDescent="0.25">
      <c r="A11" s="2" t="str">
        <f>'[1]Processer - data'!$D448</f>
        <v>Muslinger</v>
      </c>
      <c r="B11" s="1" t="s">
        <v>133</v>
      </c>
      <c r="C11" s="111">
        <f>VLOOKUP(A11,[1]Foder!$A$2:$E$16,5,FALSE)</f>
        <v>0</v>
      </c>
      <c r="D11" s="288">
        <f t="shared" si="0"/>
        <v>0</v>
      </c>
      <c r="E11" s="288">
        <f t="shared" si="1"/>
        <v>0</v>
      </c>
      <c r="I11" s="218"/>
      <c r="J11" s="424"/>
    </row>
    <row r="12" spans="1:10" x14ac:dyDescent="0.25">
      <c r="A12" s="2" t="str">
        <f>'[1]Processer - data'!$D449</f>
        <v>Græs</v>
      </c>
      <c r="B12" s="1" t="s">
        <v>133</v>
      </c>
      <c r="C12" s="111">
        <f>VLOOKUP(A12,[1]Foder!$A$2:$E$16,5,FALSE)</f>
        <v>0.15385657208640888</v>
      </c>
      <c r="D12" s="288">
        <f t="shared" si="0"/>
        <v>0.15385657208640888</v>
      </c>
      <c r="E12" s="288">
        <f>C12</f>
        <v>0.15385657208640888</v>
      </c>
      <c r="J12" s="424"/>
    </row>
    <row r="13" spans="1:10" x14ac:dyDescent="0.25">
      <c r="A13" s="2" t="str">
        <f>'[1]Processer - data'!$D450</f>
        <v>Mælk til foder</v>
      </c>
      <c r="B13" s="1" t="s">
        <v>133</v>
      </c>
      <c r="C13" s="111">
        <f>VLOOKUP(A13,[1]Foder!$A$2:$E$16,5,FALSE)</f>
        <v>1.1038125550213313E-2</v>
      </c>
      <c r="D13" s="288">
        <f t="shared" si="0"/>
        <v>7.1213713227182666E-3</v>
      </c>
      <c r="E13" s="413">
        <v>0</v>
      </c>
      <c r="J13" s="424"/>
    </row>
    <row r="14" spans="1:10" x14ac:dyDescent="0.25">
      <c r="A14" s="2" t="str">
        <f>'[1]Processer - data'!$D451</f>
        <v>Fiberfraktion</v>
      </c>
      <c r="B14" s="1" t="s">
        <v>133</v>
      </c>
      <c r="C14" s="111">
        <f>VLOOKUP(A14,[1]Foder!$A$2:$E$16,5,FALSE)</f>
        <v>0</v>
      </c>
      <c r="D14" s="111">
        <f>ROUND('[1]Processer - data'!I$491/'[1]Processer - data'!I$490*D15*'[1]Processer - data'!$H$451/'[1]Processer - data'!$H$452,3)</f>
        <v>0.105</v>
      </c>
      <c r="E14" s="111">
        <f>ROUND('[1]Processer - data'!J$491/'[1]Processer - data'!J$490*E15*'[1]Processer - data'!$H$451/'[1]Processer - data'!$H$452,3)</f>
        <v>0.29599999999999999</v>
      </c>
      <c r="F14" s="1" t="s">
        <v>314</v>
      </c>
      <c r="J14" s="424"/>
    </row>
    <row r="15" spans="1:10" x14ac:dyDescent="0.25">
      <c r="A15" s="2" t="str">
        <f>'[1]Processer - data'!$D452</f>
        <v>Græsprotein</v>
      </c>
      <c r="B15" s="1" t="s">
        <v>133</v>
      </c>
      <c r="C15" s="111">
        <f>VLOOKUP(A15,[1]Foder!$A$2:$E$16,5,FALSE)</f>
        <v>0</v>
      </c>
      <c r="D15" s="111">
        <f>C15-(C15-E15)/($E$2-$C$2)*($D$2-$C$2)</f>
        <v>3.2652308830647812E-2</v>
      </c>
      <c r="E15" s="111">
        <f>E22*E23*[1]Foder!$C$14/E20</f>
        <v>9.20201430681893E-2</v>
      </c>
      <c r="J15" s="424"/>
    </row>
    <row r="16" spans="1:10" x14ac:dyDescent="0.25">
      <c r="A16" s="2" t="str">
        <f>'[1]Processer - data'!$D453</f>
        <v>Slagteriaffald til foder</v>
      </c>
      <c r="B16" s="1" t="s">
        <v>133</v>
      </c>
      <c r="C16" s="111">
        <f>VLOOKUP(A16,[1]Foder!$A$2:$E$16,5,FALSE)</f>
        <v>8.1939459605877979E-3</v>
      </c>
      <c r="D16" s="288">
        <f t="shared" si="0"/>
        <v>1.0254158684250192E-2</v>
      </c>
      <c r="E16" s="413">
        <v>1.4E-2</v>
      </c>
      <c r="J16" s="424"/>
    </row>
    <row r="17" spans="1:10" ht="15.75" thickBot="1" x14ac:dyDescent="0.3">
      <c r="A17" s="2" t="str">
        <f>'[1]Processer - data'!$D454</f>
        <v>Import af foder</v>
      </c>
      <c r="B17" s="1" t="s">
        <v>133</v>
      </c>
      <c r="C17" s="111">
        <f>VLOOKUP(A17,[1]Foder!$A$2:$E$16,5,FALSE)</f>
        <v>0.27128055800094808</v>
      </c>
      <c r="D17" s="288">
        <f t="shared" si="0"/>
        <v>0.17501971483932133</v>
      </c>
      <c r="E17" s="413">
        <v>0</v>
      </c>
      <c r="F17" s="289"/>
      <c r="J17" s="424"/>
    </row>
    <row r="18" spans="1:10" ht="15.75" thickBot="1" x14ac:dyDescent="0.3">
      <c r="A18" s="219" t="s">
        <v>30</v>
      </c>
      <c r="B18" s="219" t="s">
        <v>133</v>
      </c>
      <c r="C18" s="112">
        <f>SUM(C3:C17)</f>
        <v>1</v>
      </c>
      <c r="D18" s="112">
        <f>ROUND(SUM(D3:D17),3)</f>
        <v>0.90400000000000003</v>
      </c>
      <c r="E18" s="112">
        <f>ROUND(SUM(E3:E17),3)</f>
        <v>0.72899999999999998</v>
      </c>
      <c r="F18" s="292" t="s">
        <v>315</v>
      </c>
    </row>
    <row r="20" spans="1:10" x14ac:dyDescent="0.25">
      <c r="A20" s="1" t="s">
        <v>396</v>
      </c>
      <c r="C20" s="163">
        <f>-SUM('Resultater - Danmark'!H99,'Resultater - Danmark'!H106,'Resultater - Danmark'!H114,'Resultater - Danmark'!H122,'Resultater - Danmark'!H130,'Resultater - Danmark'!H138)</f>
        <v>14852134263.120003</v>
      </c>
      <c r="D20" s="163">
        <f>-SUM('Resultater - Danmark'!I99,'Resultater - Danmark'!I106,'Resultater - Danmark'!I114,'Resultater - Danmark'!I122,'Resultater - Danmark'!I130,'Resultater - Danmark'!I138)</f>
        <v>12007105442.212469</v>
      </c>
      <c r="E20" s="163">
        <f>-SUM('Resultater - Danmark'!J99,'Resultater - Danmark'!J106,'Resultater - Danmark'!J114,'Resultater - Danmark'!J122,'Resultater - Danmark'!J130,'Resultater - Danmark'!J138)</f>
        <v>8877482052.3087616</v>
      </c>
    </row>
    <row r="21" spans="1:10" x14ac:dyDescent="0.25">
      <c r="C21" s="389">
        <f t="shared" ref="C21:D21" si="2">C15*C20</f>
        <v>0</v>
      </c>
      <c r="D21" s="389">
        <f t="shared" si="2"/>
        <v>392059715.06127363</v>
      </c>
      <c r="E21" s="389">
        <f>E15*E20</f>
        <v>816907168.53873503</v>
      </c>
    </row>
    <row r="22" spans="1:10" x14ac:dyDescent="0.25">
      <c r="A22" s="1" t="s">
        <v>397</v>
      </c>
      <c r="B22" s="1" t="s">
        <v>399</v>
      </c>
      <c r="C22" s="392">
        <f>Græsprotein!C3*Græsprotein!C4*Græsprotein!C5*Græsprotein!C7</f>
        <v>0</v>
      </c>
      <c r="D22" s="392">
        <f>Græsprotein!D3*Græsprotein!D4*Græsprotein!D5*Græsprotein!D7</f>
        <v>7.4091980583007857E-3</v>
      </c>
      <c r="E22" s="392">
        <f>Græsprotein!E3*Græsprotein!E4*Græsprotein!E5*Græsprotein!E7</f>
        <v>9.0000000000000011E-2</v>
      </c>
    </row>
    <row r="23" spans="1:10" x14ac:dyDescent="0.25">
      <c r="A23" s="1" t="s">
        <v>400</v>
      </c>
      <c r="B23" s="1" t="s">
        <v>398</v>
      </c>
      <c r="C23" s="98">
        <f>SUMIFS('Produktion &amp; forbrug'!$G$4:$G$147,'Produktion &amp; forbrug'!$F$4:$F$147,Fodersammensætning!C2,'Produktion &amp; forbrug'!$A$4:$A$147,"Græs")</f>
        <v>17913006.538833313</v>
      </c>
      <c r="D23" s="98">
        <f>SUMIFS('Produktion &amp; forbrug'!$G$4:$G$147,'Produktion &amp; forbrug'!$F$4:$F$147,Fodersammensætning!D2,'Produktion &amp; forbrug'!$A$4:$A$147,"Græs")</f>
        <v>29802893.251747362</v>
      </c>
      <c r="E23" s="98">
        <f>SUMIFS('Produktion &amp; forbrug'!$G$4:$G$147,'Produktion &amp; forbrug'!$F$4:$F$147,Fodersammensætning!E2,'Produktion &amp; forbrug'!$A$4:$A$147,"Græs")</f>
        <v>45842153.116651788</v>
      </c>
    </row>
    <row r="24" spans="1:10" x14ac:dyDescent="0.25">
      <c r="A24" s="1" t="s">
        <v>401</v>
      </c>
      <c r="C24" s="14">
        <f>C22*C23*[1]Foder!$C$14/C20</f>
        <v>0</v>
      </c>
      <c r="D24" s="14">
        <f>D22*D23*[1]Foder!$C$14/D20</f>
        <v>3.6413003030010024E-3</v>
      </c>
      <c r="E24" s="14">
        <f>E22*E23*[1]Foder!$C$14/E20</f>
        <v>9.20201430681893E-2</v>
      </c>
    </row>
    <row r="29" spans="1:10" x14ac:dyDescent="0.25">
      <c r="D29" s="1" t="s">
        <v>48</v>
      </c>
      <c r="E29" s="467">
        <v>0</v>
      </c>
    </row>
    <row r="30" spans="1:10" x14ac:dyDescent="0.25">
      <c r="D30" s="1" t="s">
        <v>67</v>
      </c>
      <c r="E30" s="467">
        <v>1.1105844111871065E-2</v>
      </c>
    </row>
    <row r="31" spans="1:10" x14ac:dyDescent="0.25">
      <c r="D31" s="1" t="s">
        <v>12</v>
      </c>
      <c r="E31" s="467">
        <v>0</v>
      </c>
    </row>
    <row r="32" spans="1:10" x14ac:dyDescent="0.25">
      <c r="D32" s="1" t="s">
        <v>49</v>
      </c>
      <c r="E32" s="467">
        <v>8.6999999999999994E-2</v>
      </c>
    </row>
    <row r="33" spans="4:5" x14ac:dyDescent="0.25">
      <c r="D33" s="1" t="s">
        <v>52</v>
      </c>
      <c r="E33" s="467">
        <v>9.683754317058306E-3</v>
      </c>
    </row>
    <row r="34" spans="4:5" x14ac:dyDescent="0.25">
      <c r="D34" s="1" t="s">
        <v>53</v>
      </c>
      <c r="E34" s="467">
        <v>0</v>
      </c>
    </row>
    <row r="35" spans="4:5" x14ac:dyDescent="0.25">
      <c r="D35" s="1" t="s">
        <v>237</v>
      </c>
      <c r="E35" s="467">
        <v>2.8000000000000001E-2</v>
      </c>
    </row>
    <row r="36" spans="4:5" x14ac:dyDescent="0.25">
      <c r="D36" s="1" t="s">
        <v>99</v>
      </c>
      <c r="E36" s="467">
        <v>0</v>
      </c>
    </row>
    <row r="37" spans="4:5" x14ac:dyDescent="0.25">
      <c r="D37" s="1" t="s">
        <v>106</v>
      </c>
      <c r="E37" s="467">
        <v>0</v>
      </c>
    </row>
    <row r="38" spans="4:5" x14ac:dyDescent="0.25">
      <c r="D38" s="1" t="s">
        <v>51</v>
      </c>
      <c r="E38" s="467">
        <v>0.25</v>
      </c>
    </row>
    <row r="39" spans="4:5" x14ac:dyDescent="0.25">
      <c r="D39" s="1" t="s">
        <v>108</v>
      </c>
      <c r="E39" s="467">
        <v>0</v>
      </c>
    </row>
    <row r="40" spans="4:5" x14ac:dyDescent="0.25">
      <c r="D40" s="1" t="s">
        <v>203</v>
      </c>
      <c r="E40" s="467">
        <v>0.46200000000000002</v>
      </c>
    </row>
    <row r="41" spans="4:5" x14ac:dyDescent="0.25">
      <c r="D41" s="1" t="s">
        <v>202</v>
      </c>
      <c r="E41" s="467">
        <v>0.14369999999999999</v>
      </c>
    </row>
    <row r="42" spans="4:5" x14ac:dyDescent="0.25">
      <c r="D42" s="1" t="s">
        <v>107</v>
      </c>
      <c r="E42" s="467">
        <v>8.1939459605877979E-3</v>
      </c>
    </row>
    <row r="43" spans="4:5" x14ac:dyDescent="0.25">
      <c r="D43" s="1" t="s">
        <v>159</v>
      </c>
      <c r="E43" s="467">
        <v>0</v>
      </c>
    </row>
  </sheetData>
  <conditionalFormatting sqref="C18">
    <cfRule type="cellIs" dxfId="21" priority="2" operator="notBetween">
      <formula>1</formula>
      <formula>1</formula>
    </cfRule>
  </conditionalFormatting>
  <conditionalFormatting sqref="D18:E18">
    <cfRule type="cellIs" dxfId="2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70" zoomScaleNormal="7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03" t="s">
        <v>270</v>
      </c>
    </row>
    <row r="2" spans="1:4" x14ac:dyDescent="0.25">
      <c r="A2" t="s">
        <v>246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387</v>
      </c>
    </row>
    <row r="9" spans="1:4" x14ac:dyDescent="0.25">
      <c r="A9" s="2" t="s">
        <v>279</v>
      </c>
      <c r="B9" s="2"/>
      <c r="C9" s="188">
        <v>5.0000000000000001E-3</v>
      </c>
      <c r="D9" s="4"/>
    </row>
    <row r="10" spans="1:4" x14ac:dyDescent="0.25">
      <c r="A10" s="79"/>
      <c r="B10" s="79"/>
      <c r="C10" s="79"/>
      <c r="D10" s="81"/>
    </row>
    <row r="11" spans="1:4" x14ac:dyDescent="0.25">
      <c r="A11" s="2" t="s">
        <v>278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/>
      <c r="D13" s="8"/>
    </row>
    <row r="14" spans="1:4" x14ac:dyDescent="0.25">
      <c r="A14" s="2" t="s">
        <v>177</v>
      </c>
      <c r="B14" s="7">
        <v>0</v>
      </c>
      <c r="C14" s="8">
        <f>1-C17</f>
        <v>0.4</v>
      </c>
      <c r="D14" s="8">
        <f>1-D17</f>
        <v>0.4</v>
      </c>
    </row>
    <row r="15" spans="1:4" x14ac:dyDescent="0.25">
      <c r="A15" s="2" t="s">
        <v>178</v>
      </c>
      <c r="B15" s="7">
        <v>0</v>
      </c>
      <c r="C15" s="8"/>
      <c r="D15" s="8"/>
    </row>
    <row r="16" spans="1:4" x14ac:dyDescent="0.25">
      <c r="A16" s="2" t="s">
        <v>179</v>
      </c>
      <c r="B16" s="7">
        <v>0</v>
      </c>
      <c r="C16" s="8"/>
      <c r="D16" s="8"/>
    </row>
    <row r="17" spans="1:8" ht="15.75" thickBot="1" x14ac:dyDescent="0.3">
      <c r="A17" s="307" t="s">
        <v>180</v>
      </c>
      <c r="B17" s="308">
        <v>0</v>
      </c>
      <c r="C17" s="311">
        <f>D17</f>
        <v>0.6</v>
      </c>
      <c r="D17" s="311">
        <v>0.6</v>
      </c>
    </row>
    <row r="18" spans="1:8" ht="15.75" thickBot="1" x14ac:dyDescent="0.3">
      <c r="A18" s="309" t="s">
        <v>30</v>
      </c>
      <c r="B18" s="310"/>
      <c r="C18" s="310">
        <f>SUM(C13:C17)</f>
        <v>1</v>
      </c>
      <c r="D18" s="310">
        <f>SUM(D13:D17)</f>
        <v>1</v>
      </c>
    </row>
    <row r="19" spans="1:8" x14ac:dyDescent="0.25">
      <c r="B19" s="12"/>
      <c r="C19" s="12"/>
      <c r="D19" s="12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4" t="s">
        <v>184</v>
      </c>
      <c r="B21" s="165" t="s">
        <v>185</v>
      </c>
      <c r="C21" s="165">
        <f>År1</f>
        <v>2019</v>
      </c>
      <c r="D21" s="165">
        <f>År2</f>
        <v>2030</v>
      </c>
      <c r="E21" s="165">
        <f>År3</f>
        <v>2050</v>
      </c>
      <c r="F21" s="165">
        <f>År1</f>
        <v>2019</v>
      </c>
      <c r="G21" s="165">
        <f>År2</f>
        <v>2030</v>
      </c>
      <c r="H21" s="165">
        <f>År3</f>
        <v>2050</v>
      </c>
    </row>
    <row r="22" spans="1:8" hidden="1" x14ac:dyDescent="0.25">
      <c r="A22" s="2" t="s">
        <v>182</v>
      </c>
      <c r="B22" s="166" t="s">
        <v>181</v>
      </c>
      <c r="C22" s="103">
        <f>Arealanvendelse!J27</f>
        <v>435064.52162306459</v>
      </c>
      <c r="D22" s="103">
        <f>C22*(1-$C$9)^(D21-C21)</f>
        <v>411725.30255233188</v>
      </c>
      <c r="E22" s="103">
        <f>D22*(1-$C$9)^(E21-D21)</f>
        <v>372451.02368307725</v>
      </c>
      <c r="F22" s="103">
        <f>Arealanvendelse!J37</f>
        <v>127345.4783769354</v>
      </c>
      <c r="G22" s="103">
        <f>F22*(1-$C$9)^(G21-F21)</f>
        <v>120513.97668054659</v>
      </c>
      <c r="H22" s="103">
        <f>G22*(1-$C$9)^(H21-G21)</f>
        <v>109018.20632479334</v>
      </c>
    </row>
    <row r="23" spans="1:8" hidden="1" x14ac:dyDescent="0.25">
      <c r="A23" s="2" t="s">
        <v>176</v>
      </c>
      <c r="B23" s="167">
        <v>10</v>
      </c>
      <c r="C23" s="103">
        <v>0</v>
      </c>
      <c r="D23" s="103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3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3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3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3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67">
        <v>20</v>
      </c>
      <c r="C24" s="103">
        <v>0</v>
      </c>
      <c r="D24" s="103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3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3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3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3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67">
        <v>30</v>
      </c>
      <c r="C25" s="103">
        <v>0</v>
      </c>
      <c r="D25" s="103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3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3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3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3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68">
        <v>40</v>
      </c>
      <c r="C26" s="103">
        <v>0</v>
      </c>
      <c r="D26" s="103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3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3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3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3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67">
        <v>10</v>
      </c>
      <c r="C27" s="103">
        <v>0</v>
      </c>
      <c r="D27" s="103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47934.184879022061</v>
      </c>
      <c r="E27" s="103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30466.135143758769</v>
      </c>
      <c r="F27" s="103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3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8472.4784537125106</v>
      </c>
      <c r="H27" s="103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5736.4434525475253</v>
      </c>
    </row>
    <row r="28" spans="1:8" hidden="1" x14ac:dyDescent="0.25">
      <c r="A28" s="2" t="s">
        <v>177</v>
      </c>
      <c r="B28" s="167">
        <v>20</v>
      </c>
      <c r="C28" s="103">
        <v>0</v>
      </c>
      <c r="D28" s="103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4808.9101566784193</v>
      </c>
      <c r="E28" s="103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29977.985977523316</v>
      </c>
      <c r="F28" s="103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3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852.71481743560128</v>
      </c>
      <c r="H28" s="103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5689.162797083688</v>
      </c>
    </row>
    <row r="29" spans="1:8" hidden="1" x14ac:dyDescent="0.25">
      <c r="A29" s="2" t="s">
        <v>177</v>
      </c>
      <c r="B29" s="167">
        <v>30</v>
      </c>
      <c r="C29" s="103">
        <v>0</v>
      </c>
      <c r="D29" s="103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3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46758.713289500229</v>
      </c>
      <c r="F29" s="103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3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3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8264.6423051714901</v>
      </c>
    </row>
    <row r="30" spans="1:8" hidden="1" x14ac:dyDescent="0.25">
      <c r="A30" s="2" t="s">
        <v>177</v>
      </c>
      <c r="B30" s="168">
        <v>40</v>
      </c>
      <c r="C30" s="103">
        <v>0</v>
      </c>
      <c r="D30" s="103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3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4657.3795800273956</v>
      </c>
      <c r="F30" s="103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3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3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825.84545123930332</v>
      </c>
    </row>
    <row r="31" spans="1:8" hidden="1" x14ac:dyDescent="0.25">
      <c r="A31" s="2" t="s">
        <v>178</v>
      </c>
      <c r="B31" s="167">
        <v>10</v>
      </c>
      <c r="C31" s="103">
        <v>0</v>
      </c>
      <c r="D31" s="103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3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3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3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3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67">
        <v>20</v>
      </c>
      <c r="C32" s="103">
        <v>0</v>
      </c>
      <c r="D32" s="103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3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3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3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3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67">
        <v>30</v>
      </c>
      <c r="C33" s="103">
        <v>0</v>
      </c>
      <c r="D33" s="103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3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3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3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3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68">
        <v>40</v>
      </c>
      <c r="C34" s="103">
        <v>0</v>
      </c>
      <c r="D34" s="103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3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3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3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3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67">
        <v>10</v>
      </c>
      <c r="C35" s="103">
        <v>0</v>
      </c>
      <c r="D35" s="103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3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3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3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3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67">
        <v>20</v>
      </c>
      <c r="C36" s="103">
        <v>0</v>
      </c>
      <c r="D36" s="103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3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3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3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3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67">
        <v>30</v>
      </c>
      <c r="C37" s="103">
        <v>0</v>
      </c>
      <c r="D37" s="103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3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3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3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3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68">
        <v>40</v>
      </c>
      <c r="C38" s="103">
        <v>0</v>
      </c>
      <c r="D38" s="103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3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3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3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3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67">
        <v>10</v>
      </c>
      <c r="C39" s="103">
        <v>0</v>
      </c>
      <c r="D39" s="103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71890.257069489599</v>
      </c>
      <c r="E39" s="103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44042.605081673908</v>
      </c>
      <c r="F39" s="103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3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12706.763572601465</v>
      </c>
      <c r="H39" s="103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8306.7590997186417</v>
      </c>
    </row>
    <row r="40" spans="1:10" hidden="1" x14ac:dyDescent="0.25">
      <c r="A40" s="2" t="s">
        <v>180</v>
      </c>
      <c r="B40" s="167">
        <v>20</v>
      </c>
      <c r="C40" s="103">
        <v>0</v>
      </c>
      <c r="D40" s="103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7224.3854840611129</v>
      </c>
      <c r="E40" s="103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44633.073350989973</v>
      </c>
      <c r="F40" s="103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3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1281.0263341207046</v>
      </c>
      <c r="H40" s="103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8479.5920026221902</v>
      </c>
    </row>
    <row r="41" spans="1:10" hidden="1" x14ac:dyDescent="0.25">
      <c r="A41" s="2" t="s">
        <v>180</v>
      </c>
      <c r="B41" s="167">
        <v>30</v>
      </c>
      <c r="C41" s="103">
        <v>0</v>
      </c>
      <c r="D41" s="103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3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71890.257069489599</v>
      </c>
      <c r="F41" s="103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3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3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12706.763572601465</v>
      </c>
    </row>
    <row r="42" spans="1:10" hidden="1" x14ac:dyDescent="0.25">
      <c r="A42" s="2" t="s">
        <v>180</v>
      </c>
      <c r="B42" s="103">
        <v>40</v>
      </c>
      <c r="C42" s="103">
        <v>0</v>
      </c>
      <c r="D42" s="103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3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7224.3854840611129</v>
      </c>
      <c r="F42" s="103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3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3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1281.0263341207046</v>
      </c>
    </row>
    <row r="43" spans="1:10" hidden="1" x14ac:dyDescent="0.25">
      <c r="B43" s="137"/>
    </row>
    <row r="44" spans="1:10" hidden="1" x14ac:dyDescent="0.25">
      <c r="B44" s="137"/>
    </row>
    <row r="45" spans="1:10" hidden="1" x14ac:dyDescent="0.25">
      <c r="B45" s="137"/>
    </row>
    <row r="46" spans="1:10" hidden="1" x14ac:dyDescent="0.25"/>
    <row r="47" spans="1:10" hidden="1" x14ac:dyDescent="0.25">
      <c r="A47" s="434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325</v>
      </c>
    </row>
    <row r="48" spans="1:10" hidden="1" x14ac:dyDescent="0.25">
      <c r="A48" s="435"/>
      <c r="B48" s="165">
        <f>År1</f>
        <v>2019</v>
      </c>
      <c r="C48" s="165">
        <f>År2</f>
        <v>2030</v>
      </c>
      <c r="D48" s="165">
        <f>År3</f>
        <v>2050</v>
      </c>
      <c r="E48" s="165">
        <f>År1</f>
        <v>2019</v>
      </c>
      <c r="F48" s="165">
        <f>År2</f>
        <v>2030</v>
      </c>
      <c r="G48" s="165">
        <f>År3</f>
        <v>2050</v>
      </c>
      <c r="H48" s="165">
        <f>År1</f>
        <v>2019</v>
      </c>
      <c r="I48" s="165">
        <f>År2</f>
        <v>2030</v>
      </c>
      <c r="J48" s="165">
        <f>År3</f>
        <v>2050</v>
      </c>
    </row>
    <row r="49" spans="1:10" hidden="1" x14ac:dyDescent="0.25">
      <c r="A49" s="2" t="s">
        <v>182</v>
      </c>
      <c r="B49" s="103">
        <f t="shared" ref="B49:G54" si="0">SUMIF($A$22:$A$42,$A49,C$22:C$42)</f>
        <v>435064.52162306459</v>
      </c>
      <c r="C49" s="103">
        <f t="shared" si="0"/>
        <v>411725.30255233188</v>
      </c>
      <c r="D49" s="103">
        <f t="shared" si="0"/>
        <v>372451.02368307725</v>
      </c>
      <c r="E49" s="103">
        <f t="shared" si="0"/>
        <v>127345.4783769354</v>
      </c>
      <c r="F49" s="103">
        <f t="shared" si="0"/>
        <v>120513.97668054659</v>
      </c>
      <c r="G49" s="103">
        <f t="shared" si="0"/>
        <v>109018.20632479334</v>
      </c>
      <c r="H49" s="103">
        <f t="shared" ref="H49:H54" si="1">SUM(B49,E49)</f>
        <v>562410</v>
      </c>
      <c r="I49" s="103">
        <f t="shared" ref="I49:J54" si="2">SUM(C49,F49)</f>
        <v>532239.27923287847</v>
      </c>
      <c r="J49" s="103">
        <f t="shared" si="2"/>
        <v>481469.23000787059</v>
      </c>
    </row>
    <row r="50" spans="1:10" hidden="1" x14ac:dyDescent="0.25">
      <c r="A50" s="2" t="s">
        <v>176</v>
      </c>
      <c r="B50" s="103">
        <f t="shared" si="0"/>
        <v>0</v>
      </c>
      <c r="C50" s="103">
        <f t="shared" ca="1" si="0"/>
        <v>0</v>
      </c>
      <c r="D50" s="103">
        <f t="shared" ca="1" si="0"/>
        <v>0</v>
      </c>
      <c r="E50" s="103">
        <f t="shared" ca="1" si="0"/>
        <v>0</v>
      </c>
      <c r="F50" s="103">
        <f t="shared" ca="1" si="0"/>
        <v>0</v>
      </c>
      <c r="G50" s="103">
        <f t="shared" ca="1" si="0"/>
        <v>0</v>
      </c>
      <c r="H50" s="103">
        <f t="shared" ca="1" si="1"/>
        <v>0</v>
      </c>
      <c r="I50" s="103">
        <f t="shared" ca="1" si="2"/>
        <v>0</v>
      </c>
      <c r="J50" s="103">
        <f t="shared" ca="1" si="2"/>
        <v>0</v>
      </c>
    </row>
    <row r="51" spans="1:10" hidden="1" x14ac:dyDescent="0.25">
      <c r="A51" s="2" t="s">
        <v>177</v>
      </c>
      <c r="B51" s="103">
        <f t="shared" si="0"/>
        <v>0</v>
      </c>
      <c r="C51" s="103">
        <f ca="1">SUMIF($A$22:$A$42,$A51,D$22:D$42)</f>
        <v>52743.095035700477</v>
      </c>
      <c r="D51" s="103">
        <f t="shared" ca="1" si="0"/>
        <v>111860.21399080972</v>
      </c>
      <c r="E51" s="103">
        <f t="shared" ca="1" si="0"/>
        <v>0</v>
      </c>
      <c r="F51" s="103">
        <f t="shared" ca="1" si="0"/>
        <v>9325.1932711481113</v>
      </c>
      <c r="G51" s="103">
        <f t="shared" ca="1" si="0"/>
        <v>20516.094006042007</v>
      </c>
      <c r="H51" s="103">
        <f t="shared" ca="1" si="1"/>
        <v>0</v>
      </c>
      <c r="I51" s="103">
        <f t="shared" ca="1" si="2"/>
        <v>62068.28830684859</v>
      </c>
      <c r="J51" s="103">
        <f t="shared" ca="1" si="2"/>
        <v>132376.30799685171</v>
      </c>
    </row>
    <row r="52" spans="1:10" hidden="1" x14ac:dyDescent="0.25">
      <c r="A52" s="2" t="s">
        <v>178</v>
      </c>
      <c r="B52" s="103">
        <f t="shared" si="0"/>
        <v>0</v>
      </c>
      <c r="C52" s="103">
        <f t="shared" ca="1" si="0"/>
        <v>0</v>
      </c>
      <c r="D52" s="103">
        <f t="shared" ca="1" si="0"/>
        <v>0</v>
      </c>
      <c r="E52" s="103">
        <f t="shared" ca="1" si="0"/>
        <v>0</v>
      </c>
      <c r="F52" s="103">
        <f t="shared" ca="1" si="0"/>
        <v>0</v>
      </c>
      <c r="G52" s="103">
        <f t="shared" ca="1" si="0"/>
        <v>0</v>
      </c>
      <c r="H52" s="103">
        <f t="shared" ca="1" si="1"/>
        <v>0</v>
      </c>
      <c r="I52" s="103">
        <f t="shared" ca="1" si="2"/>
        <v>0</v>
      </c>
      <c r="J52" s="103">
        <f t="shared" ca="1" si="2"/>
        <v>0</v>
      </c>
    </row>
    <row r="53" spans="1:10" hidden="1" x14ac:dyDescent="0.25">
      <c r="A53" s="2" t="s">
        <v>179</v>
      </c>
      <c r="B53" s="103">
        <f t="shared" si="0"/>
        <v>0</v>
      </c>
      <c r="C53" s="103">
        <f t="shared" ca="1" si="0"/>
        <v>0</v>
      </c>
      <c r="D53" s="103">
        <f t="shared" ca="1" si="0"/>
        <v>0</v>
      </c>
      <c r="E53" s="103">
        <f t="shared" ca="1" si="0"/>
        <v>0</v>
      </c>
      <c r="F53" s="103">
        <f t="shared" ca="1" si="0"/>
        <v>0</v>
      </c>
      <c r="G53" s="103">
        <f t="shared" ca="1" si="0"/>
        <v>0</v>
      </c>
      <c r="H53" s="103">
        <f t="shared" ca="1" si="1"/>
        <v>0</v>
      </c>
      <c r="I53" s="103">
        <f t="shared" ca="1" si="2"/>
        <v>0</v>
      </c>
      <c r="J53" s="103">
        <f t="shared" ca="1" si="2"/>
        <v>0</v>
      </c>
    </row>
    <row r="54" spans="1:10" hidden="1" x14ac:dyDescent="0.25">
      <c r="A54" s="2" t="s">
        <v>180</v>
      </c>
      <c r="B54" s="103">
        <f t="shared" si="0"/>
        <v>0</v>
      </c>
      <c r="C54" s="103">
        <f t="shared" ca="1" si="0"/>
        <v>79114.642553550715</v>
      </c>
      <c r="D54" s="103">
        <f t="shared" ca="1" si="0"/>
        <v>167790.32098621459</v>
      </c>
      <c r="E54" s="103">
        <f t="shared" ca="1" si="0"/>
        <v>0</v>
      </c>
      <c r="F54" s="103">
        <f t="shared" ca="1" si="0"/>
        <v>13987.78990672217</v>
      </c>
      <c r="G54" s="103">
        <f t="shared" ca="1" si="0"/>
        <v>30774.141009063002</v>
      </c>
      <c r="H54" s="103">
        <f t="shared" ca="1" si="1"/>
        <v>0</v>
      </c>
      <c r="I54" s="103">
        <f t="shared" ca="1" si="2"/>
        <v>93102.432460272888</v>
      </c>
      <c r="J54" s="103">
        <f t="shared" ca="1" si="2"/>
        <v>198564.46199527758</v>
      </c>
    </row>
    <row r="55" spans="1:10" hidden="1" x14ac:dyDescent="0.25"/>
    <row r="57" spans="1:10" x14ac:dyDescent="0.25">
      <c r="A57" s="1" t="s">
        <v>326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2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12" t="s">
        <v>119</v>
      </c>
      <c r="B60" s="308">
        <f>'[1]Processer - data'!$H424</f>
        <v>0.52</v>
      </c>
      <c r="C60" s="311">
        <f>B60</f>
        <v>0.52</v>
      </c>
      <c r="D60" s="311">
        <f>C60</f>
        <v>0.52</v>
      </c>
    </row>
    <row r="61" spans="1:10" ht="15.75" thickBot="1" x14ac:dyDescent="0.3">
      <c r="A61" s="309" t="s">
        <v>30</v>
      </c>
      <c r="B61" s="310">
        <f>SUM(B59:B60)</f>
        <v>1</v>
      </c>
      <c r="C61" s="310">
        <f>SUM(C59:C60)</f>
        <v>1</v>
      </c>
      <c r="D61" s="310">
        <f>SUM(D59:D60)</f>
        <v>1</v>
      </c>
    </row>
  </sheetData>
  <mergeCells count="1">
    <mergeCell ref="A47:A48"/>
  </mergeCells>
  <phoneticPr fontId="10" type="noConversion"/>
  <conditionalFormatting sqref="B61:D61">
    <cfRule type="cellIs" dxfId="19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L311"/>
  <sheetViews>
    <sheetView zoomScaleNormal="100" workbookViewId="0">
      <selection activeCell="D2" sqref="D2"/>
    </sheetView>
  </sheetViews>
  <sheetFormatPr defaultRowHeight="15" x14ac:dyDescent="0.25"/>
  <cols>
    <col min="1" max="1" width="10.140625" bestFit="1" customWidth="1"/>
    <col min="2" max="2" width="12.7109375" bestFit="1" customWidth="1"/>
  </cols>
  <sheetData>
    <row r="1" spans="1:36" x14ac:dyDescent="0.25">
      <c r="D1" t="s">
        <v>328</v>
      </c>
      <c r="E1" t="s">
        <v>327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</row>
    <row r="2" spans="1:36" x14ac:dyDescent="0.25">
      <c r="A2" t="s">
        <v>176</v>
      </c>
      <c r="B2" t="s">
        <v>23</v>
      </c>
      <c r="C2">
        <v>2020</v>
      </c>
      <c r="D2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0</v>
      </c>
      <c r="E2">
        <f t="shared" ref="E2:E63" si="0">IF(C2=2020,SUM(G2:AJ2),SUM(F1:AJ1)-SUM(G2:AJ2))</f>
        <v>0</v>
      </c>
      <c r="F2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>
        <f>IF($C2-G$1&lt;År1,0,F1*(1-VLOOKUP($A2,[1]Hugst!$R$5:$W$9,MATCH(ROUNDUP((G$1)/10,0)*10,[1]Hugst!$R$4:$W$4,0))))</f>
        <v>0</v>
      </c>
      <c r="H2">
        <f>IF($C2-H$1&lt;År1,0,G1*(1-VLOOKUP($A2,[1]Hugst!$R$5:$W$9,MATCH(ROUNDUP((H$1)/10,0)*10,[1]Hugst!$R$4:$W$4,0))))</f>
        <v>0</v>
      </c>
      <c r="I2">
        <f>IF($C2-I$1&lt;År1,0,H1*(1-VLOOKUP($A2,[1]Hugst!$R$5:$W$9,MATCH(ROUNDUP((I$1)/10,0)*10,[1]Hugst!$R$4:$W$4,0))))</f>
        <v>0</v>
      </c>
      <c r="J2">
        <f>IF($C2-J$1&lt;År1,0,I1*(1-VLOOKUP($A2,[1]Hugst!$R$5:$W$9,MATCH(ROUNDUP((J$1)/10,0)*10,[1]Hugst!$R$4:$W$4,0))))</f>
        <v>0</v>
      </c>
      <c r="K2">
        <f>IF($C2-K$1&lt;År1,0,J1*(1-VLOOKUP($A2,[1]Hugst!$R$5:$W$9,MATCH(ROUNDUP((K$1)/10,0)*10,[1]Hugst!$R$4:$W$4,0))))</f>
        <v>0</v>
      </c>
      <c r="L2">
        <f>IF($C2-L$1&lt;År1,0,K1*(1-VLOOKUP($A2,[1]Hugst!$R$5:$W$9,MATCH(ROUNDUP((L$1)/10,0)*10,[1]Hugst!$R$4:$W$4,0))))</f>
        <v>0</v>
      </c>
      <c r="M2">
        <f>IF($C2-M$1&lt;År1,0,L1*(1-VLOOKUP($A2,[1]Hugst!$R$5:$W$9,MATCH(ROUNDUP((M$1)/10,0)*10,[1]Hugst!$R$4:$W$4,0))))</f>
        <v>0</v>
      </c>
      <c r="N2">
        <f>IF($C2-N$1&lt;År1,0,M1*(1-VLOOKUP($A2,[1]Hugst!$R$5:$W$9,MATCH(ROUNDUP((N$1)/10,0)*10,[1]Hugst!$R$4:$W$4,0))))</f>
        <v>0</v>
      </c>
      <c r="O2">
        <f>IF($C2-O$1&lt;År1,0,N1*(1-VLOOKUP($A2,[1]Hugst!$R$5:$W$9,MATCH(ROUNDUP((O$1)/10,0)*10,[1]Hugst!$R$4:$W$4,0))))</f>
        <v>0</v>
      </c>
      <c r="P2">
        <f>IF($C2-P$1&lt;År1,0,O1*(1-VLOOKUP($A2,[1]Hugst!$R$5:$W$9,MATCH(ROUNDUP((P$1)/10,0)*10,[1]Hugst!$R$4:$W$4,0))))</f>
        <v>0</v>
      </c>
      <c r="Q2">
        <f>IF($C2-Q$1&lt;År1,0,P1*(1-VLOOKUP($A2,[1]Hugst!$R$5:$W$9,MATCH(ROUNDUP((Q$1)/10,0)*10,[1]Hugst!$R$4:$W$4,0))))</f>
        <v>0</v>
      </c>
      <c r="R2">
        <f>IF($C2-R$1&lt;År1,0,Q1*(1-VLOOKUP($A2,[1]Hugst!$R$5:$W$9,MATCH(ROUNDUP((R$1)/10,0)*10,[1]Hugst!$R$4:$W$4,0))))</f>
        <v>0</v>
      </c>
      <c r="S2">
        <f>IF($C2-S$1&lt;År1,0,R1*(1-VLOOKUP($A2,[1]Hugst!$R$5:$W$9,MATCH(ROUNDUP((S$1)/10,0)*10,[1]Hugst!$R$4:$W$4,0))))</f>
        <v>0</v>
      </c>
      <c r="T2">
        <f>IF($C2-T$1&lt;År1,0,S1*(1-VLOOKUP($A2,[1]Hugst!$R$5:$W$9,MATCH(ROUNDUP((T$1)/10,0)*10,[1]Hugst!$R$4:$W$4,0))))</f>
        <v>0</v>
      </c>
      <c r="U2">
        <f>IF($C2-U$1&lt;År1,0,T1*(1-VLOOKUP($A2,[1]Hugst!$R$5:$W$9,MATCH(ROUNDUP((U$1)/10,0)*10,[1]Hugst!$R$4:$W$4,0))))</f>
        <v>0</v>
      </c>
      <c r="V2">
        <f>IF($C2-V$1&lt;År1,0,U1*(1-VLOOKUP($A2,[1]Hugst!$R$5:$W$9,MATCH(ROUNDUP((V$1)/10,0)*10,[1]Hugst!$R$4:$W$4,0))))</f>
        <v>0</v>
      </c>
      <c r="W2">
        <f>IF($C2-W$1&lt;År1,0,V1*(1-VLOOKUP($A2,[1]Hugst!$R$5:$W$9,MATCH(ROUNDUP((W$1)/10,0)*10,[1]Hugst!$R$4:$W$4,0))))</f>
        <v>0</v>
      </c>
      <c r="X2">
        <f>IF($C2-X$1&lt;År1,0,W1*(1-VLOOKUP($A2,[1]Hugst!$R$5:$W$9,MATCH(ROUNDUP((X$1)/10,0)*10,[1]Hugst!$R$4:$W$4,0))))</f>
        <v>0</v>
      </c>
      <c r="Y2">
        <f>IF($C2-Y$1&lt;År1,0,X1*(1-VLOOKUP($A2,[1]Hugst!$R$5:$W$9,MATCH(ROUNDUP((Y$1)/10,0)*10,[1]Hugst!$R$4:$W$4,0))))</f>
        <v>0</v>
      </c>
      <c r="Z2">
        <f>IF($C2-Z$1&lt;År1,0,Y1*(1-VLOOKUP($A2,[1]Hugst!$R$5:$W$9,MATCH(ROUNDUP((Z$1)/10,0)*10,[1]Hugst!$R$4:$W$4,0))))</f>
        <v>0</v>
      </c>
      <c r="AA2">
        <f>IF($C2-AA$1&lt;År1,0,Z1*(1-VLOOKUP($A2,[1]Hugst!$R$5:$W$9,MATCH(ROUNDUP((AA$1)/10,0)*10,[1]Hugst!$R$4:$W$4,0))))</f>
        <v>0</v>
      </c>
      <c r="AB2">
        <f>IF($C2-AB$1&lt;År1,0,AA1*(1-VLOOKUP($A2,[1]Hugst!$R$5:$W$9,MATCH(ROUNDUP((AB$1)/10,0)*10,[1]Hugst!$R$4:$W$4,0))))</f>
        <v>0</v>
      </c>
      <c r="AC2">
        <f>IF($C2-AC$1&lt;År1,0,AB1*(1-VLOOKUP($A2,[1]Hugst!$R$5:$W$9,MATCH(ROUNDUP((AC$1)/10,0)*10,[1]Hugst!$R$4:$W$4,0))))</f>
        <v>0</v>
      </c>
      <c r="AD2">
        <f>IF($C2-AD$1&lt;År1,0,AC1*(1-VLOOKUP($A2,[1]Hugst!$R$5:$W$9,MATCH(ROUNDUP((AD$1)/10,0)*10,[1]Hugst!$R$4:$W$4,0))))</f>
        <v>0</v>
      </c>
      <c r="AE2">
        <f>IF($C2-AE$1&lt;År1,0,AD1*(1-VLOOKUP($A2,[1]Hugst!$R$5:$W$9,MATCH(ROUNDUP((AE$1)/10,0)*10,[1]Hugst!$R$4:$W$4,0))))</f>
        <v>0</v>
      </c>
      <c r="AF2">
        <f>IF($C2-AF$1&lt;År1,0,AE1*(1-VLOOKUP($A2,[1]Hugst!$R$5:$W$9,MATCH(ROUNDUP((AF$1)/10,0)*10,[1]Hugst!$R$4:$W$4,0))))</f>
        <v>0</v>
      </c>
      <c r="AG2">
        <f>IF($C2-AG$1&lt;År1,0,AF1*(1-VLOOKUP($A2,[1]Hugst!$R$5:$W$9,MATCH(ROUNDUP((AG$1)/10,0)*10,[1]Hugst!$R$4:$W$4,0))))</f>
        <v>0</v>
      </c>
      <c r="AH2">
        <f>IF($C2-AH$1&lt;År1,0,AG1*(1-VLOOKUP($A2,[1]Hugst!$R$5:$W$9,MATCH(ROUNDUP((AH$1)/10,0)*10,[1]Hugst!$R$4:$W$4,0))))</f>
        <v>0</v>
      </c>
      <c r="AI2">
        <f>IF($C2-AI$1&lt;År1,0,AH1*(1-VLOOKUP($A2,[1]Hugst!$R$5:$W$9,MATCH(ROUNDUP((AI$1)/10,0)*10,[1]Hugst!$R$4:$W$4,0))))</f>
        <v>0</v>
      </c>
      <c r="AJ2">
        <f>IF($C2-AJ$1&lt;År1,0,AI1*(1-VLOOKUP($A2,[1]Hugst!$R$5:$W$9,MATCH(ROUNDUP((AJ$1)/10,0)*10,[1]Hugst!$R$4:$W$4,0))))</f>
        <v>0</v>
      </c>
    </row>
    <row r="3" spans="1:36" x14ac:dyDescent="0.25">
      <c r="A3" t="s">
        <v>176</v>
      </c>
      <c r="B3" t="s">
        <v>23</v>
      </c>
      <c r="C3">
        <v>2021</v>
      </c>
      <c r="D3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0</v>
      </c>
      <c r="E3">
        <f t="shared" ca="1" si="0"/>
        <v>0</v>
      </c>
      <c r="F3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>
        <f ca="1">IF($C3-G$1&lt;År1,0,F2*(1-VLOOKUP($A3,[1]Hugst!$R$5:$W$9,MATCH(ROUNDUP((G$1)/10,0)*10,[1]Hugst!$R$4:$W$4,0))))</f>
        <v>0</v>
      </c>
      <c r="H3">
        <f>IF($C3-H$1&lt;År1,0,G2*(1-VLOOKUP($A3,[1]Hugst!$R$5:$W$9,MATCH(ROUNDUP((H$1)/10,0)*10,[1]Hugst!$R$4:$W$4,0))))</f>
        <v>0</v>
      </c>
      <c r="I3">
        <f>IF($C3-I$1&lt;År1,0,H2*(1-VLOOKUP($A3,[1]Hugst!$R$5:$W$9,MATCH(ROUNDUP((I$1)/10,0)*10,[1]Hugst!$R$4:$W$4,0))))</f>
        <v>0</v>
      </c>
      <c r="J3">
        <f>IF($C3-J$1&lt;År1,0,I2*(1-VLOOKUP($A3,[1]Hugst!$R$5:$W$9,MATCH(ROUNDUP((J$1)/10,0)*10,[1]Hugst!$R$4:$W$4,0))))</f>
        <v>0</v>
      </c>
      <c r="K3">
        <f>IF($C3-K$1&lt;År1,0,J2*(1-VLOOKUP($A3,[1]Hugst!$R$5:$W$9,MATCH(ROUNDUP((K$1)/10,0)*10,[1]Hugst!$R$4:$W$4,0))))</f>
        <v>0</v>
      </c>
      <c r="L3">
        <f>IF($C3-L$1&lt;År1,0,K2*(1-VLOOKUP($A3,[1]Hugst!$R$5:$W$9,MATCH(ROUNDUP((L$1)/10,0)*10,[1]Hugst!$R$4:$W$4,0))))</f>
        <v>0</v>
      </c>
      <c r="M3">
        <f>IF($C3-M$1&lt;År1,0,L2*(1-VLOOKUP($A3,[1]Hugst!$R$5:$W$9,MATCH(ROUNDUP((M$1)/10,0)*10,[1]Hugst!$R$4:$W$4,0))))</f>
        <v>0</v>
      </c>
      <c r="N3">
        <f>IF($C3-N$1&lt;År1,0,M2*(1-VLOOKUP($A3,[1]Hugst!$R$5:$W$9,MATCH(ROUNDUP((N$1)/10,0)*10,[1]Hugst!$R$4:$W$4,0))))</f>
        <v>0</v>
      </c>
      <c r="O3">
        <f>IF($C3-O$1&lt;År1,0,N2*(1-VLOOKUP($A3,[1]Hugst!$R$5:$W$9,MATCH(ROUNDUP((O$1)/10,0)*10,[1]Hugst!$R$4:$W$4,0))))</f>
        <v>0</v>
      </c>
      <c r="P3">
        <f>IF($C3-P$1&lt;År1,0,O2*(1-VLOOKUP($A3,[1]Hugst!$R$5:$W$9,MATCH(ROUNDUP((P$1)/10,0)*10,[1]Hugst!$R$4:$W$4,0))))</f>
        <v>0</v>
      </c>
      <c r="Q3">
        <f>IF($C3-Q$1&lt;År1,0,P2*(1-VLOOKUP($A3,[1]Hugst!$R$5:$W$9,MATCH(ROUNDUP((Q$1)/10,0)*10,[1]Hugst!$R$4:$W$4,0))))</f>
        <v>0</v>
      </c>
      <c r="R3">
        <f>IF($C3-R$1&lt;År1,0,Q2*(1-VLOOKUP($A3,[1]Hugst!$R$5:$W$9,MATCH(ROUNDUP((R$1)/10,0)*10,[1]Hugst!$R$4:$W$4,0))))</f>
        <v>0</v>
      </c>
      <c r="S3">
        <f>IF($C3-S$1&lt;År1,0,R2*(1-VLOOKUP($A3,[1]Hugst!$R$5:$W$9,MATCH(ROUNDUP((S$1)/10,0)*10,[1]Hugst!$R$4:$W$4,0))))</f>
        <v>0</v>
      </c>
      <c r="T3">
        <f>IF($C3-T$1&lt;År1,0,S2*(1-VLOOKUP($A3,[1]Hugst!$R$5:$W$9,MATCH(ROUNDUP((T$1)/10,0)*10,[1]Hugst!$R$4:$W$4,0))))</f>
        <v>0</v>
      </c>
      <c r="U3">
        <f>IF($C3-U$1&lt;År1,0,T2*(1-VLOOKUP($A3,[1]Hugst!$R$5:$W$9,MATCH(ROUNDUP((U$1)/10,0)*10,[1]Hugst!$R$4:$W$4,0))))</f>
        <v>0</v>
      </c>
      <c r="V3">
        <f>IF($C3-V$1&lt;År1,0,U2*(1-VLOOKUP($A3,[1]Hugst!$R$5:$W$9,MATCH(ROUNDUP((V$1)/10,0)*10,[1]Hugst!$R$4:$W$4,0))))</f>
        <v>0</v>
      </c>
      <c r="W3">
        <f>IF($C3-W$1&lt;År1,0,V2*(1-VLOOKUP($A3,[1]Hugst!$R$5:$W$9,MATCH(ROUNDUP((W$1)/10,0)*10,[1]Hugst!$R$4:$W$4,0))))</f>
        <v>0</v>
      </c>
      <c r="X3">
        <f>IF($C3-X$1&lt;År1,0,W2*(1-VLOOKUP($A3,[1]Hugst!$R$5:$W$9,MATCH(ROUNDUP((X$1)/10,0)*10,[1]Hugst!$R$4:$W$4,0))))</f>
        <v>0</v>
      </c>
      <c r="Y3">
        <f>IF($C3-Y$1&lt;År1,0,X2*(1-VLOOKUP($A3,[1]Hugst!$R$5:$W$9,MATCH(ROUNDUP((Y$1)/10,0)*10,[1]Hugst!$R$4:$W$4,0))))</f>
        <v>0</v>
      </c>
      <c r="Z3">
        <f>IF($C3-Z$1&lt;År1,0,Y2*(1-VLOOKUP($A3,[1]Hugst!$R$5:$W$9,MATCH(ROUNDUP((Z$1)/10,0)*10,[1]Hugst!$R$4:$W$4,0))))</f>
        <v>0</v>
      </c>
      <c r="AA3">
        <f>IF($C3-AA$1&lt;År1,0,Z2*(1-VLOOKUP($A3,[1]Hugst!$R$5:$W$9,MATCH(ROUNDUP((AA$1)/10,0)*10,[1]Hugst!$R$4:$W$4,0))))</f>
        <v>0</v>
      </c>
      <c r="AB3">
        <f>IF($C3-AB$1&lt;År1,0,AA2*(1-VLOOKUP($A3,[1]Hugst!$R$5:$W$9,MATCH(ROUNDUP((AB$1)/10,0)*10,[1]Hugst!$R$4:$W$4,0))))</f>
        <v>0</v>
      </c>
      <c r="AC3">
        <f>IF($C3-AC$1&lt;År1,0,AB2*(1-VLOOKUP($A3,[1]Hugst!$R$5:$W$9,MATCH(ROUNDUP((AC$1)/10,0)*10,[1]Hugst!$R$4:$W$4,0))))</f>
        <v>0</v>
      </c>
      <c r="AD3">
        <f>IF($C3-AD$1&lt;År1,0,AC2*(1-VLOOKUP($A3,[1]Hugst!$R$5:$W$9,MATCH(ROUNDUP((AD$1)/10,0)*10,[1]Hugst!$R$4:$W$4,0))))</f>
        <v>0</v>
      </c>
      <c r="AE3">
        <f>IF($C3-AE$1&lt;År1,0,AD2*(1-VLOOKUP($A3,[1]Hugst!$R$5:$W$9,MATCH(ROUNDUP((AE$1)/10,0)*10,[1]Hugst!$R$4:$W$4,0))))</f>
        <v>0</v>
      </c>
      <c r="AF3">
        <f>IF($C3-AF$1&lt;År1,0,AE2*(1-VLOOKUP($A3,[1]Hugst!$R$5:$W$9,MATCH(ROUNDUP((AF$1)/10,0)*10,[1]Hugst!$R$4:$W$4,0))))</f>
        <v>0</v>
      </c>
      <c r="AG3">
        <f>IF($C3-AG$1&lt;År1,0,AF2*(1-VLOOKUP($A3,[1]Hugst!$R$5:$W$9,MATCH(ROUNDUP((AG$1)/10,0)*10,[1]Hugst!$R$4:$W$4,0))))</f>
        <v>0</v>
      </c>
      <c r="AH3">
        <f>IF($C3-AH$1&lt;År1,0,AG2*(1-VLOOKUP($A3,[1]Hugst!$R$5:$W$9,MATCH(ROUNDUP((AH$1)/10,0)*10,[1]Hugst!$R$4:$W$4,0))))</f>
        <v>0</v>
      </c>
      <c r="AI3">
        <f>IF($C3-AI$1&lt;År1,0,AH2*(1-VLOOKUP($A3,[1]Hugst!$R$5:$W$9,MATCH(ROUNDUP((AI$1)/10,0)*10,[1]Hugst!$R$4:$W$4,0))))</f>
        <v>0</v>
      </c>
      <c r="AJ3">
        <f>IF($C3-AJ$1&lt;År1,0,AI2*(1-VLOOKUP($A3,[1]Hugst!$R$5:$W$9,MATCH(ROUNDUP((AJ$1)/10,0)*10,[1]Hugst!$R$4:$W$4,0))))</f>
        <v>0</v>
      </c>
    </row>
    <row r="4" spans="1:36" x14ac:dyDescent="0.25">
      <c r="A4" t="s">
        <v>176</v>
      </c>
      <c r="B4" t="s">
        <v>23</v>
      </c>
      <c r="C4">
        <v>2022</v>
      </c>
      <c r="D4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0</v>
      </c>
      <c r="E4">
        <f t="shared" ca="1" si="0"/>
        <v>0</v>
      </c>
      <c r="F4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>
        <f ca="1">IF($C4-G$1&lt;År1,0,F3*(1-VLOOKUP($A4,[1]Hugst!$R$5:$W$9,MATCH(ROUNDUP((G$1)/10,0)*10,[1]Hugst!$R$4:$W$4,0))))</f>
        <v>0</v>
      </c>
      <c r="H4">
        <f ca="1">IF($C4-H$1&lt;År1,0,G3*(1-VLOOKUP($A4,[1]Hugst!$R$5:$W$9,MATCH(ROUNDUP((H$1)/10,0)*10,[1]Hugst!$R$4:$W$4,0))))</f>
        <v>0</v>
      </c>
      <c r="I4">
        <f>IF($C4-I$1&lt;År1,0,H3*(1-VLOOKUP($A4,[1]Hugst!$R$5:$W$9,MATCH(ROUNDUP((I$1)/10,0)*10,[1]Hugst!$R$4:$W$4,0))))</f>
        <v>0</v>
      </c>
      <c r="J4">
        <f>IF($C4-J$1&lt;År1,0,I3*(1-VLOOKUP($A4,[1]Hugst!$R$5:$W$9,MATCH(ROUNDUP((J$1)/10,0)*10,[1]Hugst!$R$4:$W$4,0))))</f>
        <v>0</v>
      </c>
      <c r="K4">
        <f>IF($C4-K$1&lt;År1,0,J3*(1-VLOOKUP($A4,[1]Hugst!$R$5:$W$9,MATCH(ROUNDUP((K$1)/10,0)*10,[1]Hugst!$R$4:$W$4,0))))</f>
        <v>0</v>
      </c>
      <c r="L4">
        <f>IF($C4-L$1&lt;År1,0,K3*(1-VLOOKUP($A4,[1]Hugst!$R$5:$W$9,MATCH(ROUNDUP((L$1)/10,0)*10,[1]Hugst!$R$4:$W$4,0))))</f>
        <v>0</v>
      </c>
      <c r="M4">
        <f>IF($C4-M$1&lt;År1,0,L3*(1-VLOOKUP($A4,[1]Hugst!$R$5:$W$9,MATCH(ROUNDUP((M$1)/10,0)*10,[1]Hugst!$R$4:$W$4,0))))</f>
        <v>0</v>
      </c>
      <c r="N4">
        <f>IF($C4-N$1&lt;År1,0,M3*(1-VLOOKUP($A4,[1]Hugst!$R$5:$W$9,MATCH(ROUNDUP((N$1)/10,0)*10,[1]Hugst!$R$4:$W$4,0))))</f>
        <v>0</v>
      </c>
      <c r="O4">
        <f>IF($C4-O$1&lt;År1,0,N3*(1-VLOOKUP($A4,[1]Hugst!$R$5:$W$9,MATCH(ROUNDUP((O$1)/10,0)*10,[1]Hugst!$R$4:$W$4,0))))</f>
        <v>0</v>
      </c>
      <c r="P4">
        <f>IF($C4-P$1&lt;År1,0,O3*(1-VLOOKUP($A4,[1]Hugst!$R$5:$W$9,MATCH(ROUNDUP((P$1)/10,0)*10,[1]Hugst!$R$4:$W$4,0))))</f>
        <v>0</v>
      </c>
      <c r="Q4">
        <f>IF($C4-Q$1&lt;År1,0,P3*(1-VLOOKUP($A4,[1]Hugst!$R$5:$W$9,MATCH(ROUNDUP((Q$1)/10,0)*10,[1]Hugst!$R$4:$W$4,0))))</f>
        <v>0</v>
      </c>
      <c r="R4">
        <f>IF($C4-R$1&lt;År1,0,Q3*(1-VLOOKUP($A4,[1]Hugst!$R$5:$W$9,MATCH(ROUNDUP((R$1)/10,0)*10,[1]Hugst!$R$4:$W$4,0))))</f>
        <v>0</v>
      </c>
      <c r="S4">
        <f>IF($C4-S$1&lt;År1,0,R3*(1-VLOOKUP($A4,[1]Hugst!$R$5:$W$9,MATCH(ROUNDUP((S$1)/10,0)*10,[1]Hugst!$R$4:$W$4,0))))</f>
        <v>0</v>
      </c>
      <c r="T4">
        <f>IF($C4-T$1&lt;År1,0,S3*(1-VLOOKUP($A4,[1]Hugst!$R$5:$W$9,MATCH(ROUNDUP((T$1)/10,0)*10,[1]Hugst!$R$4:$W$4,0))))</f>
        <v>0</v>
      </c>
      <c r="U4">
        <f>IF($C4-U$1&lt;År1,0,T3*(1-VLOOKUP($A4,[1]Hugst!$R$5:$W$9,MATCH(ROUNDUP((U$1)/10,0)*10,[1]Hugst!$R$4:$W$4,0))))</f>
        <v>0</v>
      </c>
      <c r="V4">
        <f>IF($C4-V$1&lt;År1,0,U3*(1-VLOOKUP($A4,[1]Hugst!$R$5:$W$9,MATCH(ROUNDUP((V$1)/10,0)*10,[1]Hugst!$R$4:$W$4,0))))</f>
        <v>0</v>
      </c>
      <c r="W4">
        <f>IF($C4-W$1&lt;År1,0,V3*(1-VLOOKUP($A4,[1]Hugst!$R$5:$W$9,MATCH(ROUNDUP((W$1)/10,0)*10,[1]Hugst!$R$4:$W$4,0))))</f>
        <v>0</v>
      </c>
      <c r="X4">
        <f>IF($C4-X$1&lt;År1,0,W3*(1-VLOOKUP($A4,[1]Hugst!$R$5:$W$9,MATCH(ROUNDUP((X$1)/10,0)*10,[1]Hugst!$R$4:$W$4,0))))</f>
        <v>0</v>
      </c>
      <c r="Y4">
        <f>IF($C4-Y$1&lt;År1,0,X3*(1-VLOOKUP($A4,[1]Hugst!$R$5:$W$9,MATCH(ROUNDUP((Y$1)/10,0)*10,[1]Hugst!$R$4:$W$4,0))))</f>
        <v>0</v>
      </c>
      <c r="Z4">
        <f>IF($C4-Z$1&lt;År1,0,Y3*(1-VLOOKUP($A4,[1]Hugst!$R$5:$W$9,MATCH(ROUNDUP((Z$1)/10,0)*10,[1]Hugst!$R$4:$W$4,0))))</f>
        <v>0</v>
      </c>
      <c r="AA4">
        <f>IF($C4-AA$1&lt;År1,0,Z3*(1-VLOOKUP($A4,[1]Hugst!$R$5:$W$9,MATCH(ROUNDUP((AA$1)/10,0)*10,[1]Hugst!$R$4:$W$4,0))))</f>
        <v>0</v>
      </c>
      <c r="AB4">
        <f>IF($C4-AB$1&lt;År1,0,AA3*(1-VLOOKUP($A4,[1]Hugst!$R$5:$W$9,MATCH(ROUNDUP((AB$1)/10,0)*10,[1]Hugst!$R$4:$W$4,0))))</f>
        <v>0</v>
      </c>
      <c r="AC4">
        <f>IF($C4-AC$1&lt;År1,0,AB3*(1-VLOOKUP($A4,[1]Hugst!$R$5:$W$9,MATCH(ROUNDUP((AC$1)/10,0)*10,[1]Hugst!$R$4:$W$4,0))))</f>
        <v>0</v>
      </c>
      <c r="AD4">
        <f>IF($C4-AD$1&lt;År1,0,AC3*(1-VLOOKUP($A4,[1]Hugst!$R$5:$W$9,MATCH(ROUNDUP((AD$1)/10,0)*10,[1]Hugst!$R$4:$W$4,0))))</f>
        <v>0</v>
      </c>
      <c r="AE4">
        <f>IF($C4-AE$1&lt;År1,0,AD3*(1-VLOOKUP($A4,[1]Hugst!$R$5:$W$9,MATCH(ROUNDUP((AE$1)/10,0)*10,[1]Hugst!$R$4:$W$4,0))))</f>
        <v>0</v>
      </c>
      <c r="AF4">
        <f>IF($C4-AF$1&lt;År1,0,AE3*(1-VLOOKUP($A4,[1]Hugst!$R$5:$W$9,MATCH(ROUNDUP((AF$1)/10,0)*10,[1]Hugst!$R$4:$W$4,0))))</f>
        <v>0</v>
      </c>
      <c r="AG4">
        <f>IF($C4-AG$1&lt;År1,0,AF3*(1-VLOOKUP($A4,[1]Hugst!$R$5:$W$9,MATCH(ROUNDUP((AG$1)/10,0)*10,[1]Hugst!$R$4:$W$4,0))))</f>
        <v>0</v>
      </c>
      <c r="AH4">
        <f>IF($C4-AH$1&lt;År1,0,AG3*(1-VLOOKUP($A4,[1]Hugst!$R$5:$W$9,MATCH(ROUNDUP((AH$1)/10,0)*10,[1]Hugst!$R$4:$W$4,0))))</f>
        <v>0</v>
      </c>
      <c r="AI4">
        <f>IF($C4-AI$1&lt;År1,0,AH3*(1-VLOOKUP($A4,[1]Hugst!$R$5:$W$9,MATCH(ROUNDUP((AI$1)/10,0)*10,[1]Hugst!$R$4:$W$4,0))))</f>
        <v>0</v>
      </c>
      <c r="AJ4">
        <f>IF($C4-AJ$1&lt;År1,0,AI3*(1-VLOOKUP($A4,[1]Hugst!$R$5:$W$9,MATCH(ROUNDUP((AJ$1)/10,0)*10,[1]Hugst!$R$4:$W$4,0))))</f>
        <v>0</v>
      </c>
    </row>
    <row r="5" spans="1:36" x14ac:dyDescent="0.25">
      <c r="A5" t="s">
        <v>176</v>
      </c>
      <c r="B5" t="s">
        <v>23</v>
      </c>
      <c r="C5">
        <v>2023</v>
      </c>
      <c r="D5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0</v>
      </c>
      <c r="E5">
        <f t="shared" ca="1" si="0"/>
        <v>0</v>
      </c>
      <c r="F5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>
        <f ca="1">IF($C5-G$1&lt;År1,0,F4*(1-VLOOKUP($A5,[1]Hugst!$R$5:$W$9,MATCH(ROUNDUP((G$1)/10,0)*10,[1]Hugst!$R$4:$W$4,0))))</f>
        <v>0</v>
      </c>
      <c r="H5">
        <f ca="1">IF($C5-H$1&lt;År1,0,G4*(1-VLOOKUP($A5,[1]Hugst!$R$5:$W$9,MATCH(ROUNDUP((H$1)/10,0)*10,[1]Hugst!$R$4:$W$4,0))))</f>
        <v>0</v>
      </c>
      <c r="I5">
        <f ca="1">IF($C5-I$1&lt;År1,0,H4*(1-VLOOKUP($A5,[1]Hugst!$R$5:$W$9,MATCH(ROUNDUP((I$1)/10,0)*10,[1]Hugst!$R$4:$W$4,0))))</f>
        <v>0</v>
      </c>
      <c r="J5">
        <f>IF($C5-J$1&lt;År1,0,I4*(1-VLOOKUP($A5,[1]Hugst!$R$5:$W$9,MATCH(ROUNDUP((J$1)/10,0)*10,[1]Hugst!$R$4:$W$4,0))))</f>
        <v>0</v>
      </c>
      <c r="K5">
        <f>IF($C5-K$1&lt;År1,0,J4*(1-VLOOKUP($A5,[1]Hugst!$R$5:$W$9,MATCH(ROUNDUP((K$1)/10,0)*10,[1]Hugst!$R$4:$W$4,0))))</f>
        <v>0</v>
      </c>
      <c r="L5">
        <f>IF($C5-L$1&lt;År1,0,K4*(1-VLOOKUP($A5,[1]Hugst!$R$5:$W$9,MATCH(ROUNDUP((L$1)/10,0)*10,[1]Hugst!$R$4:$W$4,0))))</f>
        <v>0</v>
      </c>
      <c r="M5">
        <f>IF($C5-M$1&lt;År1,0,L4*(1-VLOOKUP($A5,[1]Hugst!$R$5:$W$9,MATCH(ROUNDUP((M$1)/10,0)*10,[1]Hugst!$R$4:$W$4,0))))</f>
        <v>0</v>
      </c>
      <c r="N5">
        <f>IF($C5-N$1&lt;År1,0,M4*(1-VLOOKUP($A5,[1]Hugst!$R$5:$W$9,MATCH(ROUNDUP((N$1)/10,0)*10,[1]Hugst!$R$4:$W$4,0))))</f>
        <v>0</v>
      </c>
      <c r="O5">
        <f>IF($C5-O$1&lt;År1,0,N4*(1-VLOOKUP($A5,[1]Hugst!$R$5:$W$9,MATCH(ROUNDUP((O$1)/10,0)*10,[1]Hugst!$R$4:$W$4,0))))</f>
        <v>0</v>
      </c>
      <c r="P5">
        <f>IF($C5-P$1&lt;År1,0,O4*(1-VLOOKUP($A5,[1]Hugst!$R$5:$W$9,MATCH(ROUNDUP((P$1)/10,0)*10,[1]Hugst!$R$4:$W$4,0))))</f>
        <v>0</v>
      </c>
      <c r="Q5">
        <f>IF($C5-Q$1&lt;År1,0,P4*(1-VLOOKUP($A5,[1]Hugst!$R$5:$W$9,MATCH(ROUNDUP((Q$1)/10,0)*10,[1]Hugst!$R$4:$W$4,0))))</f>
        <v>0</v>
      </c>
      <c r="R5">
        <f>IF($C5-R$1&lt;År1,0,Q4*(1-VLOOKUP($A5,[1]Hugst!$R$5:$W$9,MATCH(ROUNDUP((R$1)/10,0)*10,[1]Hugst!$R$4:$W$4,0))))</f>
        <v>0</v>
      </c>
      <c r="S5">
        <f>IF($C5-S$1&lt;År1,0,R4*(1-VLOOKUP($A5,[1]Hugst!$R$5:$W$9,MATCH(ROUNDUP((S$1)/10,0)*10,[1]Hugst!$R$4:$W$4,0))))</f>
        <v>0</v>
      </c>
      <c r="T5">
        <f>IF($C5-T$1&lt;År1,0,S4*(1-VLOOKUP($A5,[1]Hugst!$R$5:$W$9,MATCH(ROUNDUP((T$1)/10,0)*10,[1]Hugst!$R$4:$W$4,0))))</f>
        <v>0</v>
      </c>
      <c r="U5">
        <f>IF($C5-U$1&lt;År1,0,T4*(1-VLOOKUP($A5,[1]Hugst!$R$5:$W$9,MATCH(ROUNDUP((U$1)/10,0)*10,[1]Hugst!$R$4:$W$4,0))))</f>
        <v>0</v>
      </c>
      <c r="V5">
        <f>IF($C5-V$1&lt;År1,0,U4*(1-VLOOKUP($A5,[1]Hugst!$R$5:$W$9,MATCH(ROUNDUP((V$1)/10,0)*10,[1]Hugst!$R$4:$W$4,0))))</f>
        <v>0</v>
      </c>
      <c r="W5">
        <f>IF($C5-W$1&lt;År1,0,V4*(1-VLOOKUP($A5,[1]Hugst!$R$5:$W$9,MATCH(ROUNDUP((W$1)/10,0)*10,[1]Hugst!$R$4:$W$4,0))))</f>
        <v>0</v>
      </c>
      <c r="X5">
        <f>IF($C5-X$1&lt;År1,0,W4*(1-VLOOKUP($A5,[1]Hugst!$R$5:$W$9,MATCH(ROUNDUP((X$1)/10,0)*10,[1]Hugst!$R$4:$W$4,0))))</f>
        <v>0</v>
      </c>
      <c r="Y5">
        <f>IF($C5-Y$1&lt;År1,0,X4*(1-VLOOKUP($A5,[1]Hugst!$R$5:$W$9,MATCH(ROUNDUP((Y$1)/10,0)*10,[1]Hugst!$R$4:$W$4,0))))</f>
        <v>0</v>
      </c>
      <c r="Z5">
        <f>IF($C5-Z$1&lt;År1,0,Y4*(1-VLOOKUP($A5,[1]Hugst!$R$5:$W$9,MATCH(ROUNDUP((Z$1)/10,0)*10,[1]Hugst!$R$4:$W$4,0))))</f>
        <v>0</v>
      </c>
      <c r="AA5">
        <f>IF($C5-AA$1&lt;År1,0,Z4*(1-VLOOKUP($A5,[1]Hugst!$R$5:$W$9,MATCH(ROUNDUP((AA$1)/10,0)*10,[1]Hugst!$R$4:$W$4,0))))</f>
        <v>0</v>
      </c>
      <c r="AB5">
        <f>IF($C5-AB$1&lt;År1,0,AA4*(1-VLOOKUP($A5,[1]Hugst!$R$5:$W$9,MATCH(ROUNDUP((AB$1)/10,0)*10,[1]Hugst!$R$4:$W$4,0))))</f>
        <v>0</v>
      </c>
      <c r="AC5">
        <f>IF($C5-AC$1&lt;År1,0,AB4*(1-VLOOKUP($A5,[1]Hugst!$R$5:$W$9,MATCH(ROUNDUP((AC$1)/10,0)*10,[1]Hugst!$R$4:$W$4,0))))</f>
        <v>0</v>
      </c>
      <c r="AD5">
        <f>IF($C5-AD$1&lt;År1,0,AC4*(1-VLOOKUP($A5,[1]Hugst!$R$5:$W$9,MATCH(ROUNDUP((AD$1)/10,0)*10,[1]Hugst!$R$4:$W$4,0))))</f>
        <v>0</v>
      </c>
      <c r="AE5">
        <f>IF($C5-AE$1&lt;År1,0,AD4*(1-VLOOKUP($A5,[1]Hugst!$R$5:$W$9,MATCH(ROUNDUP((AE$1)/10,0)*10,[1]Hugst!$R$4:$W$4,0))))</f>
        <v>0</v>
      </c>
      <c r="AF5">
        <f>IF($C5-AF$1&lt;År1,0,AE4*(1-VLOOKUP($A5,[1]Hugst!$R$5:$W$9,MATCH(ROUNDUP((AF$1)/10,0)*10,[1]Hugst!$R$4:$W$4,0))))</f>
        <v>0</v>
      </c>
      <c r="AG5">
        <f>IF($C5-AG$1&lt;År1,0,AF4*(1-VLOOKUP($A5,[1]Hugst!$R$5:$W$9,MATCH(ROUNDUP((AG$1)/10,0)*10,[1]Hugst!$R$4:$W$4,0))))</f>
        <v>0</v>
      </c>
      <c r="AH5">
        <f>IF($C5-AH$1&lt;År1,0,AG4*(1-VLOOKUP($A5,[1]Hugst!$R$5:$W$9,MATCH(ROUNDUP((AH$1)/10,0)*10,[1]Hugst!$R$4:$W$4,0))))</f>
        <v>0</v>
      </c>
      <c r="AI5">
        <f>IF($C5-AI$1&lt;År1,0,AH4*(1-VLOOKUP($A5,[1]Hugst!$R$5:$W$9,MATCH(ROUNDUP((AI$1)/10,0)*10,[1]Hugst!$R$4:$W$4,0))))</f>
        <v>0</v>
      </c>
      <c r="AJ5">
        <f>IF($C5-AJ$1&lt;År1,0,AI4*(1-VLOOKUP($A5,[1]Hugst!$R$5:$W$9,MATCH(ROUNDUP((AJ$1)/10,0)*10,[1]Hugst!$R$4:$W$4,0))))</f>
        <v>0</v>
      </c>
    </row>
    <row r="6" spans="1:36" x14ac:dyDescent="0.25">
      <c r="A6" t="s">
        <v>176</v>
      </c>
      <c r="B6" t="s">
        <v>23</v>
      </c>
      <c r="C6">
        <v>2024</v>
      </c>
      <c r="D6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0</v>
      </c>
      <c r="E6">
        <f t="shared" ca="1" si="0"/>
        <v>0</v>
      </c>
      <c r="F6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>
        <f ca="1">IF($C6-G$1&lt;År1,0,F5*(1-VLOOKUP($A6,[1]Hugst!$R$5:$W$9,MATCH(ROUNDUP((G$1)/10,0)*10,[1]Hugst!$R$4:$W$4,0))))</f>
        <v>0</v>
      </c>
      <c r="H6">
        <f ca="1">IF($C6-H$1&lt;År1,0,G5*(1-VLOOKUP($A6,[1]Hugst!$R$5:$W$9,MATCH(ROUNDUP((H$1)/10,0)*10,[1]Hugst!$R$4:$W$4,0))))</f>
        <v>0</v>
      </c>
      <c r="I6">
        <f ca="1">IF($C6-I$1&lt;År1,0,H5*(1-VLOOKUP($A6,[1]Hugst!$R$5:$W$9,MATCH(ROUNDUP((I$1)/10,0)*10,[1]Hugst!$R$4:$W$4,0))))</f>
        <v>0</v>
      </c>
      <c r="J6">
        <f ca="1">IF($C6-J$1&lt;År1,0,I5*(1-VLOOKUP($A6,[1]Hugst!$R$5:$W$9,MATCH(ROUNDUP((J$1)/10,0)*10,[1]Hugst!$R$4:$W$4,0))))</f>
        <v>0</v>
      </c>
      <c r="K6">
        <f>IF($C6-K$1&lt;År1,0,J5*(1-VLOOKUP($A6,[1]Hugst!$R$5:$W$9,MATCH(ROUNDUP((K$1)/10,0)*10,[1]Hugst!$R$4:$W$4,0))))</f>
        <v>0</v>
      </c>
      <c r="L6">
        <f>IF($C6-L$1&lt;År1,0,K5*(1-VLOOKUP($A6,[1]Hugst!$R$5:$W$9,MATCH(ROUNDUP((L$1)/10,0)*10,[1]Hugst!$R$4:$W$4,0))))</f>
        <v>0</v>
      </c>
      <c r="M6">
        <f>IF($C6-M$1&lt;År1,0,L5*(1-VLOOKUP($A6,[1]Hugst!$R$5:$W$9,MATCH(ROUNDUP((M$1)/10,0)*10,[1]Hugst!$R$4:$W$4,0))))</f>
        <v>0</v>
      </c>
      <c r="N6">
        <f>IF($C6-N$1&lt;År1,0,M5*(1-VLOOKUP($A6,[1]Hugst!$R$5:$W$9,MATCH(ROUNDUP((N$1)/10,0)*10,[1]Hugst!$R$4:$W$4,0))))</f>
        <v>0</v>
      </c>
      <c r="O6">
        <f>IF($C6-O$1&lt;År1,0,N5*(1-VLOOKUP($A6,[1]Hugst!$R$5:$W$9,MATCH(ROUNDUP((O$1)/10,0)*10,[1]Hugst!$R$4:$W$4,0))))</f>
        <v>0</v>
      </c>
      <c r="P6">
        <f>IF($C6-P$1&lt;År1,0,O5*(1-VLOOKUP($A6,[1]Hugst!$R$5:$W$9,MATCH(ROUNDUP((P$1)/10,0)*10,[1]Hugst!$R$4:$W$4,0))))</f>
        <v>0</v>
      </c>
      <c r="Q6">
        <f>IF($C6-Q$1&lt;År1,0,P5*(1-VLOOKUP($A6,[1]Hugst!$R$5:$W$9,MATCH(ROUNDUP((Q$1)/10,0)*10,[1]Hugst!$R$4:$W$4,0))))</f>
        <v>0</v>
      </c>
      <c r="R6">
        <f>IF($C6-R$1&lt;År1,0,Q5*(1-VLOOKUP($A6,[1]Hugst!$R$5:$W$9,MATCH(ROUNDUP((R$1)/10,0)*10,[1]Hugst!$R$4:$W$4,0))))</f>
        <v>0</v>
      </c>
      <c r="S6">
        <f>IF($C6-S$1&lt;År1,0,R5*(1-VLOOKUP($A6,[1]Hugst!$R$5:$W$9,MATCH(ROUNDUP((S$1)/10,0)*10,[1]Hugst!$R$4:$W$4,0))))</f>
        <v>0</v>
      </c>
      <c r="T6">
        <f>IF($C6-T$1&lt;År1,0,S5*(1-VLOOKUP($A6,[1]Hugst!$R$5:$W$9,MATCH(ROUNDUP((T$1)/10,0)*10,[1]Hugst!$R$4:$W$4,0))))</f>
        <v>0</v>
      </c>
      <c r="U6">
        <f>IF($C6-U$1&lt;År1,0,T5*(1-VLOOKUP($A6,[1]Hugst!$R$5:$W$9,MATCH(ROUNDUP((U$1)/10,0)*10,[1]Hugst!$R$4:$W$4,0))))</f>
        <v>0</v>
      </c>
      <c r="V6">
        <f>IF($C6-V$1&lt;År1,0,U5*(1-VLOOKUP($A6,[1]Hugst!$R$5:$W$9,MATCH(ROUNDUP((V$1)/10,0)*10,[1]Hugst!$R$4:$W$4,0))))</f>
        <v>0</v>
      </c>
      <c r="W6">
        <f>IF($C6-W$1&lt;År1,0,V5*(1-VLOOKUP($A6,[1]Hugst!$R$5:$W$9,MATCH(ROUNDUP((W$1)/10,0)*10,[1]Hugst!$R$4:$W$4,0))))</f>
        <v>0</v>
      </c>
      <c r="X6">
        <f>IF($C6-X$1&lt;År1,0,W5*(1-VLOOKUP($A6,[1]Hugst!$R$5:$W$9,MATCH(ROUNDUP((X$1)/10,0)*10,[1]Hugst!$R$4:$W$4,0))))</f>
        <v>0</v>
      </c>
      <c r="Y6">
        <f>IF($C6-Y$1&lt;År1,0,X5*(1-VLOOKUP($A6,[1]Hugst!$R$5:$W$9,MATCH(ROUNDUP((Y$1)/10,0)*10,[1]Hugst!$R$4:$W$4,0))))</f>
        <v>0</v>
      </c>
      <c r="Z6">
        <f>IF($C6-Z$1&lt;År1,0,Y5*(1-VLOOKUP($A6,[1]Hugst!$R$5:$W$9,MATCH(ROUNDUP((Z$1)/10,0)*10,[1]Hugst!$R$4:$W$4,0))))</f>
        <v>0</v>
      </c>
      <c r="AA6">
        <f>IF($C6-AA$1&lt;År1,0,Z5*(1-VLOOKUP($A6,[1]Hugst!$R$5:$W$9,MATCH(ROUNDUP((AA$1)/10,0)*10,[1]Hugst!$R$4:$W$4,0))))</f>
        <v>0</v>
      </c>
      <c r="AB6">
        <f>IF($C6-AB$1&lt;År1,0,AA5*(1-VLOOKUP($A6,[1]Hugst!$R$5:$W$9,MATCH(ROUNDUP((AB$1)/10,0)*10,[1]Hugst!$R$4:$W$4,0))))</f>
        <v>0</v>
      </c>
      <c r="AC6">
        <f>IF($C6-AC$1&lt;År1,0,AB5*(1-VLOOKUP($A6,[1]Hugst!$R$5:$W$9,MATCH(ROUNDUP((AC$1)/10,0)*10,[1]Hugst!$R$4:$W$4,0))))</f>
        <v>0</v>
      </c>
      <c r="AD6">
        <f>IF($C6-AD$1&lt;År1,0,AC5*(1-VLOOKUP($A6,[1]Hugst!$R$5:$W$9,MATCH(ROUNDUP((AD$1)/10,0)*10,[1]Hugst!$R$4:$W$4,0))))</f>
        <v>0</v>
      </c>
      <c r="AE6">
        <f>IF($C6-AE$1&lt;År1,0,AD5*(1-VLOOKUP($A6,[1]Hugst!$R$5:$W$9,MATCH(ROUNDUP((AE$1)/10,0)*10,[1]Hugst!$R$4:$W$4,0))))</f>
        <v>0</v>
      </c>
      <c r="AF6">
        <f>IF($C6-AF$1&lt;År1,0,AE5*(1-VLOOKUP($A6,[1]Hugst!$R$5:$W$9,MATCH(ROUNDUP((AF$1)/10,0)*10,[1]Hugst!$R$4:$W$4,0))))</f>
        <v>0</v>
      </c>
      <c r="AG6">
        <f>IF($C6-AG$1&lt;År1,0,AF5*(1-VLOOKUP($A6,[1]Hugst!$R$5:$W$9,MATCH(ROUNDUP((AG$1)/10,0)*10,[1]Hugst!$R$4:$W$4,0))))</f>
        <v>0</v>
      </c>
      <c r="AH6">
        <f>IF($C6-AH$1&lt;År1,0,AG5*(1-VLOOKUP($A6,[1]Hugst!$R$5:$W$9,MATCH(ROUNDUP((AH$1)/10,0)*10,[1]Hugst!$R$4:$W$4,0))))</f>
        <v>0</v>
      </c>
      <c r="AI6">
        <f>IF($C6-AI$1&lt;År1,0,AH5*(1-VLOOKUP($A6,[1]Hugst!$R$5:$W$9,MATCH(ROUNDUP((AI$1)/10,0)*10,[1]Hugst!$R$4:$W$4,0))))</f>
        <v>0</v>
      </c>
      <c r="AJ6">
        <f>IF($C6-AJ$1&lt;År1,0,AI5*(1-VLOOKUP($A6,[1]Hugst!$R$5:$W$9,MATCH(ROUNDUP((AJ$1)/10,0)*10,[1]Hugst!$R$4:$W$4,0))))</f>
        <v>0</v>
      </c>
    </row>
    <row r="7" spans="1:36" x14ac:dyDescent="0.25">
      <c r="A7" t="s">
        <v>176</v>
      </c>
      <c r="B7" t="s">
        <v>23</v>
      </c>
      <c r="C7">
        <v>2025</v>
      </c>
      <c r="D7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0</v>
      </c>
      <c r="E7">
        <f t="shared" ca="1" si="0"/>
        <v>0</v>
      </c>
      <c r="F7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>
        <f ca="1">IF($C7-G$1&lt;År1,0,F6*(1-VLOOKUP($A7,[1]Hugst!$R$5:$W$9,MATCH(ROUNDUP((G$1)/10,0)*10,[1]Hugst!$R$4:$W$4,0))))</f>
        <v>0</v>
      </c>
      <c r="H7">
        <f ca="1">IF($C7-H$1&lt;År1,0,G6*(1-VLOOKUP($A7,[1]Hugst!$R$5:$W$9,MATCH(ROUNDUP((H$1)/10,0)*10,[1]Hugst!$R$4:$W$4,0))))</f>
        <v>0</v>
      </c>
      <c r="I7">
        <f ca="1">IF($C7-I$1&lt;År1,0,H6*(1-VLOOKUP($A7,[1]Hugst!$R$5:$W$9,MATCH(ROUNDUP((I$1)/10,0)*10,[1]Hugst!$R$4:$W$4,0))))</f>
        <v>0</v>
      </c>
      <c r="J7">
        <f ca="1">IF($C7-J$1&lt;År1,0,I6*(1-VLOOKUP($A7,[1]Hugst!$R$5:$W$9,MATCH(ROUNDUP((J$1)/10,0)*10,[1]Hugst!$R$4:$W$4,0))))</f>
        <v>0</v>
      </c>
      <c r="K7">
        <f ca="1">IF($C7-K$1&lt;År1,0,J6*(1-VLOOKUP($A7,[1]Hugst!$R$5:$W$9,MATCH(ROUNDUP((K$1)/10,0)*10,[1]Hugst!$R$4:$W$4,0))))</f>
        <v>0</v>
      </c>
      <c r="L7">
        <f>IF($C7-L$1&lt;År1,0,K6*(1-VLOOKUP($A7,[1]Hugst!$R$5:$W$9,MATCH(ROUNDUP((L$1)/10,0)*10,[1]Hugst!$R$4:$W$4,0))))</f>
        <v>0</v>
      </c>
      <c r="M7">
        <f>IF($C7-M$1&lt;År1,0,L6*(1-VLOOKUP($A7,[1]Hugst!$R$5:$W$9,MATCH(ROUNDUP((M$1)/10,0)*10,[1]Hugst!$R$4:$W$4,0))))</f>
        <v>0</v>
      </c>
      <c r="N7">
        <f>IF($C7-N$1&lt;År1,0,M6*(1-VLOOKUP($A7,[1]Hugst!$R$5:$W$9,MATCH(ROUNDUP((N$1)/10,0)*10,[1]Hugst!$R$4:$W$4,0))))</f>
        <v>0</v>
      </c>
      <c r="O7">
        <f>IF($C7-O$1&lt;År1,0,N6*(1-VLOOKUP($A7,[1]Hugst!$R$5:$W$9,MATCH(ROUNDUP((O$1)/10,0)*10,[1]Hugst!$R$4:$W$4,0))))</f>
        <v>0</v>
      </c>
      <c r="P7">
        <f>IF($C7-P$1&lt;År1,0,O6*(1-VLOOKUP($A7,[1]Hugst!$R$5:$W$9,MATCH(ROUNDUP((P$1)/10,0)*10,[1]Hugst!$R$4:$W$4,0))))</f>
        <v>0</v>
      </c>
      <c r="Q7">
        <f>IF($C7-Q$1&lt;År1,0,P6*(1-VLOOKUP($A7,[1]Hugst!$R$5:$W$9,MATCH(ROUNDUP((Q$1)/10,0)*10,[1]Hugst!$R$4:$W$4,0))))</f>
        <v>0</v>
      </c>
      <c r="R7">
        <f>IF($C7-R$1&lt;År1,0,Q6*(1-VLOOKUP($A7,[1]Hugst!$R$5:$W$9,MATCH(ROUNDUP((R$1)/10,0)*10,[1]Hugst!$R$4:$W$4,0))))</f>
        <v>0</v>
      </c>
      <c r="S7">
        <f>IF($C7-S$1&lt;År1,0,R6*(1-VLOOKUP($A7,[1]Hugst!$R$5:$W$9,MATCH(ROUNDUP((S$1)/10,0)*10,[1]Hugst!$R$4:$W$4,0))))</f>
        <v>0</v>
      </c>
      <c r="T7">
        <f>IF($C7-T$1&lt;År1,0,S6*(1-VLOOKUP($A7,[1]Hugst!$R$5:$W$9,MATCH(ROUNDUP((T$1)/10,0)*10,[1]Hugst!$R$4:$W$4,0))))</f>
        <v>0</v>
      </c>
      <c r="U7">
        <f>IF($C7-U$1&lt;År1,0,T6*(1-VLOOKUP($A7,[1]Hugst!$R$5:$W$9,MATCH(ROUNDUP((U$1)/10,0)*10,[1]Hugst!$R$4:$W$4,0))))</f>
        <v>0</v>
      </c>
      <c r="V7">
        <f>IF($C7-V$1&lt;År1,0,U6*(1-VLOOKUP($A7,[1]Hugst!$R$5:$W$9,MATCH(ROUNDUP((V$1)/10,0)*10,[1]Hugst!$R$4:$W$4,0))))</f>
        <v>0</v>
      </c>
      <c r="W7">
        <f>IF($C7-W$1&lt;År1,0,V6*(1-VLOOKUP($A7,[1]Hugst!$R$5:$W$9,MATCH(ROUNDUP((W$1)/10,0)*10,[1]Hugst!$R$4:$W$4,0))))</f>
        <v>0</v>
      </c>
      <c r="X7">
        <f>IF($C7-X$1&lt;År1,0,W6*(1-VLOOKUP($A7,[1]Hugst!$R$5:$W$9,MATCH(ROUNDUP((X$1)/10,0)*10,[1]Hugst!$R$4:$W$4,0))))</f>
        <v>0</v>
      </c>
      <c r="Y7">
        <f>IF($C7-Y$1&lt;År1,0,X6*(1-VLOOKUP($A7,[1]Hugst!$R$5:$W$9,MATCH(ROUNDUP((Y$1)/10,0)*10,[1]Hugst!$R$4:$W$4,0))))</f>
        <v>0</v>
      </c>
      <c r="Z7">
        <f>IF($C7-Z$1&lt;År1,0,Y6*(1-VLOOKUP($A7,[1]Hugst!$R$5:$W$9,MATCH(ROUNDUP((Z$1)/10,0)*10,[1]Hugst!$R$4:$W$4,0))))</f>
        <v>0</v>
      </c>
      <c r="AA7">
        <f>IF($C7-AA$1&lt;År1,0,Z6*(1-VLOOKUP($A7,[1]Hugst!$R$5:$W$9,MATCH(ROUNDUP((AA$1)/10,0)*10,[1]Hugst!$R$4:$W$4,0))))</f>
        <v>0</v>
      </c>
      <c r="AB7">
        <f>IF($C7-AB$1&lt;År1,0,AA6*(1-VLOOKUP($A7,[1]Hugst!$R$5:$W$9,MATCH(ROUNDUP((AB$1)/10,0)*10,[1]Hugst!$R$4:$W$4,0))))</f>
        <v>0</v>
      </c>
      <c r="AC7">
        <f>IF($C7-AC$1&lt;År1,0,AB6*(1-VLOOKUP($A7,[1]Hugst!$R$5:$W$9,MATCH(ROUNDUP((AC$1)/10,0)*10,[1]Hugst!$R$4:$W$4,0))))</f>
        <v>0</v>
      </c>
      <c r="AD7">
        <f>IF($C7-AD$1&lt;År1,0,AC6*(1-VLOOKUP($A7,[1]Hugst!$R$5:$W$9,MATCH(ROUNDUP((AD$1)/10,0)*10,[1]Hugst!$R$4:$W$4,0))))</f>
        <v>0</v>
      </c>
      <c r="AE7">
        <f>IF($C7-AE$1&lt;År1,0,AD6*(1-VLOOKUP($A7,[1]Hugst!$R$5:$W$9,MATCH(ROUNDUP((AE$1)/10,0)*10,[1]Hugst!$R$4:$W$4,0))))</f>
        <v>0</v>
      </c>
      <c r="AF7">
        <f>IF($C7-AF$1&lt;År1,0,AE6*(1-VLOOKUP($A7,[1]Hugst!$R$5:$W$9,MATCH(ROUNDUP((AF$1)/10,0)*10,[1]Hugst!$R$4:$W$4,0))))</f>
        <v>0</v>
      </c>
      <c r="AG7">
        <f>IF($C7-AG$1&lt;År1,0,AF6*(1-VLOOKUP($A7,[1]Hugst!$R$5:$W$9,MATCH(ROUNDUP((AG$1)/10,0)*10,[1]Hugst!$R$4:$W$4,0))))</f>
        <v>0</v>
      </c>
      <c r="AH7">
        <f>IF($C7-AH$1&lt;År1,0,AG6*(1-VLOOKUP($A7,[1]Hugst!$R$5:$W$9,MATCH(ROUNDUP((AH$1)/10,0)*10,[1]Hugst!$R$4:$W$4,0))))</f>
        <v>0</v>
      </c>
      <c r="AI7">
        <f>IF($C7-AI$1&lt;År1,0,AH6*(1-VLOOKUP($A7,[1]Hugst!$R$5:$W$9,MATCH(ROUNDUP((AI$1)/10,0)*10,[1]Hugst!$R$4:$W$4,0))))</f>
        <v>0</v>
      </c>
      <c r="AJ7">
        <f>IF($C7-AJ$1&lt;År1,0,AI6*(1-VLOOKUP($A7,[1]Hugst!$R$5:$W$9,MATCH(ROUNDUP((AJ$1)/10,0)*10,[1]Hugst!$R$4:$W$4,0))))</f>
        <v>0</v>
      </c>
    </row>
    <row r="8" spans="1:36" x14ac:dyDescent="0.25">
      <c r="A8" t="s">
        <v>176</v>
      </c>
      <c r="B8" t="s">
        <v>23</v>
      </c>
      <c r="C8">
        <v>2026</v>
      </c>
      <c r="D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0</v>
      </c>
      <c r="E8">
        <f t="shared" ca="1" si="0"/>
        <v>0</v>
      </c>
      <c r="F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>
        <f ca="1">IF($C8-G$1&lt;År1,0,F7*(1-VLOOKUP($A8,[1]Hugst!$R$5:$W$9,MATCH(ROUNDUP((G$1)/10,0)*10,[1]Hugst!$R$4:$W$4,0))))</f>
        <v>0</v>
      </c>
      <c r="H8">
        <f ca="1">IF($C8-H$1&lt;År1,0,G7*(1-VLOOKUP($A8,[1]Hugst!$R$5:$W$9,MATCH(ROUNDUP((H$1)/10,0)*10,[1]Hugst!$R$4:$W$4,0))))</f>
        <v>0</v>
      </c>
      <c r="I8">
        <f ca="1">IF($C8-I$1&lt;År1,0,H7*(1-VLOOKUP($A8,[1]Hugst!$R$5:$W$9,MATCH(ROUNDUP((I$1)/10,0)*10,[1]Hugst!$R$4:$W$4,0))))</f>
        <v>0</v>
      </c>
      <c r="J8">
        <f ca="1">IF($C8-J$1&lt;År1,0,I7*(1-VLOOKUP($A8,[1]Hugst!$R$5:$W$9,MATCH(ROUNDUP((J$1)/10,0)*10,[1]Hugst!$R$4:$W$4,0))))</f>
        <v>0</v>
      </c>
      <c r="K8">
        <f ca="1">IF($C8-K$1&lt;År1,0,J7*(1-VLOOKUP($A8,[1]Hugst!$R$5:$W$9,MATCH(ROUNDUP((K$1)/10,0)*10,[1]Hugst!$R$4:$W$4,0))))</f>
        <v>0</v>
      </c>
      <c r="L8">
        <f ca="1">IF($C8-L$1&lt;År1,0,K7*(1-VLOOKUP($A8,[1]Hugst!$R$5:$W$9,MATCH(ROUNDUP((L$1)/10,0)*10,[1]Hugst!$R$4:$W$4,0))))</f>
        <v>0</v>
      </c>
      <c r="M8">
        <f>IF($C8-M$1&lt;År1,0,L7*(1-VLOOKUP($A8,[1]Hugst!$R$5:$W$9,MATCH(ROUNDUP((M$1)/10,0)*10,[1]Hugst!$R$4:$W$4,0))))</f>
        <v>0</v>
      </c>
      <c r="N8">
        <f>IF($C8-N$1&lt;År1,0,M7*(1-VLOOKUP($A8,[1]Hugst!$R$5:$W$9,MATCH(ROUNDUP((N$1)/10,0)*10,[1]Hugst!$R$4:$W$4,0))))</f>
        <v>0</v>
      </c>
      <c r="O8">
        <f>IF($C8-O$1&lt;År1,0,N7*(1-VLOOKUP($A8,[1]Hugst!$R$5:$W$9,MATCH(ROUNDUP((O$1)/10,0)*10,[1]Hugst!$R$4:$W$4,0))))</f>
        <v>0</v>
      </c>
      <c r="P8">
        <f>IF($C8-P$1&lt;År1,0,O7*(1-VLOOKUP($A8,[1]Hugst!$R$5:$W$9,MATCH(ROUNDUP((P$1)/10,0)*10,[1]Hugst!$R$4:$W$4,0))))</f>
        <v>0</v>
      </c>
      <c r="Q8">
        <f>IF($C8-Q$1&lt;År1,0,P7*(1-VLOOKUP($A8,[1]Hugst!$R$5:$W$9,MATCH(ROUNDUP((Q$1)/10,0)*10,[1]Hugst!$R$4:$W$4,0))))</f>
        <v>0</v>
      </c>
      <c r="R8">
        <f>IF($C8-R$1&lt;År1,0,Q7*(1-VLOOKUP($A8,[1]Hugst!$R$5:$W$9,MATCH(ROUNDUP((R$1)/10,0)*10,[1]Hugst!$R$4:$W$4,0))))</f>
        <v>0</v>
      </c>
      <c r="S8">
        <f>IF($C8-S$1&lt;År1,0,R7*(1-VLOOKUP($A8,[1]Hugst!$R$5:$W$9,MATCH(ROUNDUP((S$1)/10,0)*10,[1]Hugst!$R$4:$W$4,0))))</f>
        <v>0</v>
      </c>
      <c r="T8">
        <f>IF($C8-T$1&lt;År1,0,S7*(1-VLOOKUP($A8,[1]Hugst!$R$5:$W$9,MATCH(ROUNDUP((T$1)/10,0)*10,[1]Hugst!$R$4:$W$4,0))))</f>
        <v>0</v>
      </c>
      <c r="U8">
        <f>IF($C8-U$1&lt;År1,0,T7*(1-VLOOKUP($A8,[1]Hugst!$R$5:$W$9,MATCH(ROUNDUP((U$1)/10,0)*10,[1]Hugst!$R$4:$W$4,0))))</f>
        <v>0</v>
      </c>
      <c r="V8">
        <f>IF($C8-V$1&lt;År1,0,U7*(1-VLOOKUP($A8,[1]Hugst!$R$5:$W$9,MATCH(ROUNDUP((V$1)/10,0)*10,[1]Hugst!$R$4:$W$4,0))))</f>
        <v>0</v>
      </c>
      <c r="W8">
        <f>IF($C8-W$1&lt;År1,0,V7*(1-VLOOKUP($A8,[1]Hugst!$R$5:$W$9,MATCH(ROUNDUP((W$1)/10,0)*10,[1]Hugst!$R$4:$W$4,0))))</f>
        <v>0</v>
      </c>
      <c r="X8">
        <f>IF($C8-X$1&lt;År1,0,W7*(1-VLOOKUP($A8,[1]Hugst!$R$5:$W$9,MATCH(ROUNDUP((X$1)/10,0)*10,[1]Hugst!$R$4:$W$4,0))))</f>
        <v>0</v>
      </c>
      <c r="Y8">
        <f>IF($C8-Y$1&lt;År1,0,X7*(1-VLOOKUP($A8,[1]Hugst!$R$5:$W$9,MATCH(ROUNDUP((Y$1)/10,0)*10,[1]Hugst!$R$4:$W$4,0))))</f>
        <v>0</v>
      </c>
      <c r="Z8">
        <f>IF($C8-Z$1&lt;År1,0,Y7*(1-VLOOKUP($A8,[1]Hugst!$R$5:$W$9,MATCH(ROUNDUP((Z$1)/10,0)*10,[1]Hugst!$R$4:$W$4,0))))</f>
        <v>0</v>
      </c>
      <c r="AA8">
        <f>IF($C8-AA$1&lt;År1,0,Z7*(1-VLOOKUP($A8,[1]Hugst!$R$5:$W$9,MATCH(ROUNDUP((AA$1)/10,0)*10,[1]Hugst!$R$4:$W$4,0))))</f>
        <v>0</v>
      </c>
      <c r="AB8">
        <f>IF($C8-AB$1&lt;År1,0,AA7*(1-VLOOKUP($A8,[1]Hugst!$R$5:$W$9,MATCH(ROUNDUP((AB$1)/10,0)*10,[1]Hugst!$R$4:$W$4,0))))</f>
        <v>0</v>
      </c>
      <c r="AC8">
        <f>IF($C8-AC$1&lt;År1,0,AB7*(1-VLOOKUP($A8,[1]Hugst!$R$5:$W$9,MATCH(ROUNDUP((AC$1)/10,0)*10,[1]Hugst!$R$4:$W$4,0))))</f>
        <v>0</v>
      </c>
      <c r="AD8">
        <f>IF($C8-AD$1&lt;År1,0,AC7*(1-VLOOKUP($A8,[1]Hugst!$R$5:$W$9,MATCH(ROUNDUP((AD$1)/10,0)*10,[1]Hugst!$R$4:$W$4,0))))</f>
        <v>0</v>
      </c>
      <c r="AE8">
        <f>IF($C8-AE$1&lt;År1,0,AD7*(1-VLOOKUP($A8,[1]Hugst!$R$5:$W$9,MATCH(ROUNDUP((AE$1)/10,0)*10,[1]Hugst!$R$4:$W$4,0))))</f>
        <v>0</v>
      </c>
      <c r="AF8">
        <f>IF($C8-AF$1&lt;År1,0,AE7*(1-VLOOKUP($A8,[1]Hugst!$R$5:$W$9,MATCH(ROUNDUP((AF$1)/10,0)*10,[1]Hugst!$R$4:$W$4,0))))</f>
        <v>0</v>
      </c>
      <c r="AG8">
        <f>IF($C8-AG$1&lt;År1,0,AF7*(1-VLOOKUP($A8,[1]Hugst!$R$5:$W$9,MATCH(ROUNDUP((AG$1)/10,0)*10,[1]Hugst!$R$4:$W$4,0))))</f>
        <v>0</v>
      </c>
      <c r="AH8">
        <f>IF($C8-AH$1&lt;År1,0,AG7*(1-VLOOKUP($A8,[1]Hugst!$R$5:$W$9,MATCH(ROUNDUP((AH$1)/10,0)*10,[1]Hugst!$R$4:$W$4,0))))</f>
        <v>0</v>
      </c>
      <c r="AI8">
        <f>IF($C8-AI$1&lt;År1,0,AH7*(1-VLOOKUP($A8,[1]Hugst!$R$5:$W$9,MATCH(ROUNDUP((AI$1)/10,0)*10,[1]Hugst!$R$4:$W$4,0))))</f>
        <v>0</v>
      </c>
      <c r="AJ8">
        <f>IF($C8-AJ$1&lt;År1,0,AI7*(1-VLOOKUP($A8,[1]Hugst!$R$5:$W$9,MATCH(ROUNDUP((AJ$1)/10,0)*10,[1]Hugst!$R$4:$W$4,0))))</f>
        <v>0</v>
      </c>
    </row>
    <row r="9" spans="1:36" x14ac:dyDescent="0.25">
      <c r="A9" t="s">
        <v>176</v>
      </c>
      <c r="B9" t="s">
        <v>23</v>
      </c>
      <c r="C9">
        <v>2027</v>
      </c>
      <c r="D9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0</v>
      </c>
      <c r="E9">
        <f t="shared" ca="1" si="0"/>
        <v>0</v>
      </c>
      <c r="F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>
        <f ca="1">IF($C9-G$1&lt;År1,0,F8*(1-VLOOKUP($A9,[1]Hugst!$R$5:$W$9,MATCH(ROUNDUP((G$1)/10,0)*10,[1]Hugst!$R$4:$W$4,0))))</f>
        <v>0</v>
      </c>
      <c r="H9">
        <f ca="1">IF($C9-H$1&lt;År1,0,G8*(1-VLOOKUP($A9,[1]Hugst!$R$5:$W$9,MATCH(ROUNDUP((H$1)/10,0)*10,[1]Hugst!$R$4:$W$4,0))))</f>
        <v>0</v>
      </c>
      <c r="I9">
        <f ca="1">IF($C9-I$1&lt;År1,0,H8*(1-VLOOKUP($A9,[1]Hugst!$R$5:$W$9,MATCH(ROUNDUP((I$1)/10,0)*10,[1]Hugst!$R$4:$W$4,0))))</f>
        <v>0</v>
      </c>
      <c r="J9">
        <f ca="1">IF($C9-J$1&lt;År1,0,I8*(1-VLOOKUP($A9,[1]Hugst!$R$5:$W$9,MATCH(ROUNDUP((J$1)/10,0)*10,[1]Hugst!$R$4:$W$4,0))))</f>
        <v>0</v>
      </c>
      <c r="K9">
        <f ca="1">IF($C9-K$1&lt;År1,0,J8*(1-VLOOKUP($A9,[1]Hugst!$R$5:$W$9,MATCH(ROUNDUP((K$1)/10,0)*10,[1]Hugst!$R$4:$W$4,0))))</f>
        <v>0</v>
      </c>
      <c r="L9">
        <f ca="1">IF($C9-L$1&lt;År1,0,K8*(1-VLOOKUP($A9,[1]Hugst!$R$5:$W$9,MATCH(ROUNDUP((L$1)/10,0)*10,[1]Hugst!$R$4:$W$4,0))))</f>
        <v>0</v>
      </c>
      <c r="M9">
        <f ca="1">IF($C9-M$1&lt;År1,0,L8*(1-VLOOKUP($A9,[1]Hugst!$R$5:$W$9,MATCH(ROUNDUP((M$1)/10,0)*10,[1]Hugst!$R$4:$W$4,0))))</f>
        <v>0</v>
      </c>
      <c r="N9">
        <f>IF($C9-N$1&lt;År1,0,M8*(1-VLOOKUP($A9,[1]Hugst!$R$5:$W$9,MATCH(ROUNDUP((N$1)/10,0)*10,[1]Hugst!$R$4:$W$4,0))))</f>
        <v>0</v>
      </c>
      <c r="O9">
        <f>IF($C9-O$1&lt;År1,0,N8*(1-VLOOKUP($A9,[1]Hugst!$R$5:$W$9,MATCH(ROUNDUP((O$1)/10,0)*10,[1]Hugst!$R$4:$W$4,0))))</f>
        <v>0</v>
      </c>
      <c r="P9">
        <f>IF($C9-P$1&lt;År1,0,O8*(1-VLOOKUP($A9,[1]Hugst!$R$5:$W$9,MATCH(ROUNDUP((P$1)/10,0)*10,[1]Hugst!$R$4:$W$4,0))))</f>
        <v>0</v>
      </c>
      <c r="Q9">
        <f>IF($C9-Q$1&lt;År1,0,P8*(1-VLOOKUP($A9,[1]Hugst!$R$5:$W$9,MATCH(ROUNDUP((Q$1)/10,0)*10,[1]Hugst!$R$4:$W$4,0))))</f>
        <v>0</v>
      </c>
      <c r="R9">
        <f>IF($C9-R$1&lt;År1,0,Q8*(1-VLOOKUP($A9,[1]Hugst!$R$5:$W$9,MATCH(ROUNDUP((R$1)/10,0)*10,[1]Hugst!$R$4:$W$4,0))))</f>
        <v>0</v>
      </c>
      <c r="S9">
        <f>IF($C9-S$1&lt;År1,0,R8*(1-VLOOKUP($A9,[1]Hugst!$R$5:$W$9,MATCH(ROUNDUP((S$1)/10,0)*10,[1]Hugst!$R$4:$W$4,0))))</f>
        <v>0</v>
      </c>
      <c r="T9">
        <f>IF($C9-T$1&lt;År1,0,S8*(1-VLOOKUP($A9,[1]Hugst!$R$5:$W$9,MATCH(ROUNDUP((T$1)/10,0)*10,[1]Hugst!$R$4:$W$4,0))))</f>
        <v>0</v>
      </c>
      <c r="U9">
        <f>IF($C9-U$1&lt;År1,0,T8*(1-VLOOKUP($A9,[1]Hugst!$R$5:$W$9,MATCH(ROUNDUP((U$1)/10,0)*10,[1]Hugst!$R$4:$W$4,0))))</f>
        <v>0</v>
      </c>
      <c r="V9">
        <f>IF($C9-V$1&lt;År1,0,U8*(1-VLOOKUP($A9,[1]Hugst!$R$5:$W$9,MATCH(ROUNDUP((V$1)/10,0)*10,[1]Hugst!$R$4:$W$4,0))))</f>
        <v>0</v>
      </c>
      <c r="W9">
        <f>IF($C9-W$1&lt;År1,0,V8*(1-VLOOKUP($A9,[1]Hugst!$R$5:$W$9,MATCH(ROUNDUP((W$1)/10,0)*10,[1]Hugst!$R$4:$W$4,0))))</f>
        <v>0</v>
      </c>
      <c r="X9">
        <f>IF($C9-X$1&lt;År1,0,W8*(1-VLOOKUP($A9,[1]Hugst!$R$5:$W$9,MATCH(ROUNDUP((X$1)/10,0)*10,[1]Hugst!$R$4:$W$4,0))))</f>
        <v>0</v>
      </c>
      <c r="Y9">
        <f>IF($C9-Y$1&lt;År1,0,X8*(1-VLOOKUP($A9,[1]Hugst!$R$5:$W$9,MATCH(ROUNDUP((Y$1)/10,0)*10,[1]Hugst!$R$4:$W$4,0))))</f>
        <v>0</v>
      </c>
      <c r="Z9">
        <f>IF($C9-Z$1&lt;År1,0,Y8*(1-VLOOKUP($A9,[1]Hugst!$R$5:$W$9,MATCH(ROUNDUP((Z$1)/10,0)*10,[1]Hugst!$R$4:$W$4,0))))</f>
        <v>0</v>
      </c>
      <c r="AA9">
        <f>IF($C9-AA$1&lt;År1,0,Z8*(1-VLOOKUP($A9,[1]Hugst!$R$5:$W$9,MATCH(ROUNDUP((AA$1)/10,0)*10,[1]Hugst!$R$4:$W$4,0))))</f>
        <v>0</v>
      </c>
      <c r="AB9">
        <f>IF($C9-AB$1&lt;År1,0,AA8*(1-VLOOKUP($A9,[1]Hugst!$R$5:$W$9,MATCH(ROUNDUP((AB$1)/10,0)*10,[1]Hugst!$R$4:$W$4,0))))</f>
        <v>0</v>
      </c>
      <c r="AC9">
        <f>IF($C9-AC$1&lt;År1,0,AB8*(1-VLOOKUP($A9,[1]Hugst!$R$5:$W$9,MATCH(ROUNDUP((AC$1)/10,0)*10,[1]Hugst!$R$4:$W$4,0))))</f>
        <v>0</v>
      </c>
      <c r="AD9">
        <f>IF($C9-AD$1&lt;År1,0,AC8*(1-VLOOKUP($A9,[1]Hugst!$R$5:$W$9,MATCH(ROUNDUP((AD$1)/10,0)*10,[1]Hugst!$R$4:$W$4,0))))</f>
        <v>0</v>
      </c>
      <c r="AE9">
        <f>IF($C9-AE$1&lt;År1,0,AD8*(1-VLOOKUP($A9,[1]Hugst!$R$5:$W$9,MATCH(ROUNDUP((AE$1)/10,0)*10,[1]Hugst!$R$4:$W$4,0))))</f>
        <v>0</v>
      </c>
      <c r="AF9">
        <f>IF($C9-AF$1&lt;År1,0,AE8*(1-VLOOKUP($A9,[1]Hugst!$R$5:$W$9,MATCH(ROUNDUP((AF$1)/10,0)*10,[1]Hugst!$R$4:$W$4,0))))</f>
        <v>0</v>
      </c>
      <c r="AG9">
        <f>IF($C9-AG$1&lt;År1,0,AF8*(1-VLOOKUP($A9,[1]Hugst!$R$5:$W$9,MATCH(ROUNDUP((AG$1)/10,0)*10,[1]Hugst!$R$4:$W$4,0))))</f>
        <v>0</v>
      </c>
      <c r="AH9">
        <f>IF($C9-AH$1&lt;År1,0,AG8*(1-VLOOKUP($A9,[1]Hugst!$R$5:$W$9,MATCH(ROUNDUP((AH$1)/10,0)*10,[1]Hugst!$R$4:$W$4,0))))</f>
        <v>0</v>
      </c>
      <c r="AI9">
        <f>IF($C9-AI$1&lt;År1,0,AH8*(1-VLOOKUP($A9,[1]Hugst!$R$5:$W$9,MATCH(ROUNDUP((AI$1)/10,0)*10,[1]Hugst!$R$4:$W$4,0))))</f>
        <v>0</v>
      </c>
      <c r="AJ9">
        <f>IF($C9-AJ$1&lt;År1,0,AI8*(1-VLOOKUP($A9,[1]Hugst!$R$5:$W$9,MATCH(ROUNDUP((AJ$1)/10,0)*10,[1]Hugst!$R$4:$W$4,0))))</f>
        <v>0</v>
      </c>
    </row>
    <row r="10" spans="1:36" x14ac:dyDescent="0.25">
      <c r="A10" t="s">
        <v>176</v>
      </c>
      <c r="B10" t="s">
        <v>23</v>
      </c>
      <c r="C10">
        <v>2028</v>
      </c>
      <c r="D10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0</v>
      </c>
      <c r="E10">
        <f t="shared" ca="1" si="0"/>
        <v>0</v>
      </c>
      <c r="F10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>
        <f ca="1">IF($C10-G$1&lt;År1,0,F9*(1-VLOOKUP($A10,[1]Hugst!$R$5:$W$9,MATCH(ROUNDUP((G$1)/10,0)*10,[1]Hugst!$R$4:$W$4,0))))</f>
        <v>0</v>
      </c>
      <c r="H10">
        <f ca="1">IF($C10-H$1&lt;År1,0,G9*(1-VLOOKUP($A10,[1]Hugst!$R$5:$W$9,MATCH(ROUNDUP((H$1)/10,0)*10,[1]Hugst!$R$4:$W$4,0))))</f>
        <v>0</v>
      </c>
      <c r="I10">
        <f ca="1">IF($C10-I$1&lt;År1,0,H9*(1-VLOOKUP($A10,[1]Hugst!$R$5:$W$9,MATCH(ROUNDUP((I$1)/10,0)*10,[1]Hugst!$R$4:$W$4,0))))</f>
        <v>0</v>
      </c>
      <c r="J10">
        <f ca="1">IF($C10-J$1&lt;År1,0,I9*(1-VLOOKUP($A10,[1]Hugst!$R$5:$W$9,MATCH(ROUNDUP((J$1)/10,0)*10,[1]Hugst!$R$4:$W$4,0))))</f>
        <v>0</v>
      </c>
      <c r="K10">
        <f ca="1">IF($C10-K$1&lt;År1,0,J9*(1-VLOOKUP($A10,[1]Hugst!$R$5:$W$9,MATCH(ROUNDUP((K$1)/10,0)*10,[1]Hugst!$R$4:$W$4,0))))</f>
        <v>0</v>
      </c>
      <c r="L10">
        <f ca="1">IF($C10-L$1&lt;År1,0,K9*(1-VLOOKUP($A10,[1]Hugst!$R$5:$W$9,MATCH(ROUNDUP((L$1)/10,0)*10,[1]Hugst!$R$4:$W$4,0))))</f>
        <v>0</v>
      </c>
      <c r="M10">
        <f ca="1">IF($C10-M$1&lt;År1,0,L9*(1-VLOOKUP($A10,[1]Hugst!$R$5:$W$9,MATCH(ROUNDUP((M$1)/10,0)*10,[1]Hugst!$R$4:$W$4,0))))</f>
        <v>0</v>
      </c>
      <c r="N10">
        <f ca="1">IF($C10-N$1&lt;År1,0,M9*(1-VLOOKUP($A10,[1]Hugst!$R$5:$W$9,MATCH(ROUNDUP((N$1)/10,0)*10,[1]Hugst!$R$4:$W$4,0))))</f>
        <v>0</v>
      </c>
      <c r="O10">
        <f>IF($C10-O$1&lt;År1,0,N9*(1-VLOOKUP($A10,[1]Hugst!$R$5:$W$9,MATCH(ROUNDUP((O$1)/10,0)*10,[1]Hugst!$R$4:$W$4,0))))</f>
        <v>0</v>
      </c>
      <c r="P10">
        <f>IF($C10-P$1&lt;År1,0,O9*(1-VLOOKUP($A10,[1]Hugst!$R$5:$W$9,MATCH(ROUNDUP((P$1)/10,0)*10,[1]Hugst!$R$4:$W$4,0))))</f>
        <v>0</v>
      </c>
      <c r="Q10">
        <f>IF($C10-Q$1&lt;År1,0,P9*(1-VLOOKUP($A10,[1]Hugst!$R$5:$W$9,MATCH(ROUNDUP((Q$1)/10,0)*10,[1]Hugst!$R$4:$W$4,0))))</f>
        <v>0</v>
      </c>
      <c r="R10">
        <f>IF($C10-R$1&lt;År1,0,Q9*(1-VLOOKUP($A10,[1]Hugst!$R$5:$W$9,MATCH(ROUNDUP((R$1)/10,0)*10,[1]Hugst!$R$4:$W$4,0))))</f>
        <v>0</v>
      </c>
      <c r="S10">
        <f>IF($C10-S$1&lt;År1,0,R9*(1-VLOOKUP($A10,[1]Hugst!$R$5:$W$9,MATCH(ROUNDUP((S$1)/10,0)*10,[1]Hugst!$R$4:$W$4,0))))</f>
        <v>0</v>
      </c>
      <c r="T10">
        <f>IF($C10-T$1&lt;År1,0,S9*(1-VLOOKUP($A10,[1]Hugst!$R$5:$W$9,MATCH(ROUNDUP((T$1)/10,0)*10,[1]Hugst!$R$4:$W$4,0))))</f>
        <v>0</v>
      </c>
      <c r="U10">
        <f>IF($C10-U$1&lt;År1,0,T9*(1-VLOOKUP($A10,[1]Hugst!$R$5:$W$9,MATCH(ROUNDUP((U$1)/10,0)*10,[1]Hugst!$R$4:$W$4,0))))</f>
        <v>0</v>
      </c>
      <c r="V10">
        <f>IF($C10-V$1&lt;År1,0,U9*(1-VLOOKUP($A10,[1]Hugst!$R$5:$W$9,MATCH(ROUNDUP((V$1)/10,0)*10,[1]Hugst!$R$4:$W$4,0))))</f>
        <v>0</v>
      </c>
      <c r="W10">
        <f>IF($C10-W$1&lt;År1,0,V9*(1-VLOOKUP($A10,[1]Hugst!$R$5:$W$9,MATCH(ROUNDUP((W$1)/10,0)*10,[1]Hugst!$R$4:$W$4,0))))</f>
        <v>0</v>
      </c>
      <c r="X10">
        <f>IF($C10-X$1&lt;År1,0,W9*(1-VLOOKUP($A10,[1]Hugst!$R$5:$W$9,MATCH(ROUNDUP((X$1)/10,0)*10,[1]Hugst!$R$4:$W$4,0))))</f>
        <v>0</v>
      </c>
      <c r="Y10">
        <f>IF($C10-Y$1&lt;År1,0,X9*(1-VLOOKUP($A10,[1]Hugst!$R$5:$W$9,MATCH(ROUNDUP((Y$1)/10,0)*10,[1]Hugst!$R$4:$W$4,0))))</f>
        <v>0</v>
      </c>
      <c r="Z10">
        <f>IF($C10-Z$1&lt;År1,0,Y9*(1-VLOOKUP($A10,[1]Hugst!$R$5:$W$9,MATCH(ROUNDUP((Z$1)/10,0)*10,[1]Hugst!$R$4:$W$4,0))))</f>
        <v>0</v>
      </c>
      <c r="AA10">
        <f>IF($C10-AA$1&lt;År1,0,Z9*(1-VLOOKUP($A10,[1]Hugst!$R$5:$W$9,MATCH(ROUNDUP((AA$1)/10,0)*10,[1]Hugst!$R$4:$W$4,0))))</f>
        <v>0</v>
      </c>
      <c r="AB10">
        <f>IF($C10-AB$1&lt;År1,0,AA9*(1-VLOOKUP($A10,[1]Hugst!$R$5:$W$9,MATCH(ROUNDUP((AB$1)/10,0)*10,[1]Hugst!$R$4:$W$4,0))))</f>
        <v>0</v>
      </c>
      <c r="AC10">
        <f>IF($C10-AC$1&lt;År1,0,AB9*(1-VLOOKUP($A10,[1]Hugst!$R$5:$W$9,MATCH(ROUNDUP((AC$1)/10,0)*10,[1]Hugst!$R$4:$W$4,0))))</f>
        <v>0</v>
      </c>
      <c r="AD10">
        <f>IF($C10-AD$1&lt;År1,0,AC9*(1-VLOOKUP($A10,[1]Hugst!$R$5:$W$9,MATCH(ROUNDUP((AD$1)/10,0)*10,[1]Hugst!$R$4:$W$4,0))))</f>
        <v>0</v>
      </c>
      <c r="AE10">
        <f>IF($C10-AE$1&lt;År1,0,AD9*(1-VLOOKUP($A10,[1]Hugst!$R$5:$W$9,MATCH(ROUNDUP((AE$1)/10,0)*10,[1]Hugst!$R$4:$W$4,0))))</f>
        <v>0</v>
      </c>
      <c r="AF10">
        <f>IF($C10-AF$1&lt;År1,0,AE9*(1-VLOOKUP($A10,[1]Hugst!$R$5:$W$9,MATCH(ROUNDUP((AF$1)/10,0)*10,[1]Hugst!$R$4:$W$4,0))))</f>
        <v>0</v>
      </c>
      <c r="AG10">
        <f>IF($C10-AG$1&lt;År1,0,AF9*(1-VLOOKUP($A10,[1]Hugst!$R$5:$W$9,MATCH(ROUNDUP((AG$1)/10,0)*10,[1]Hugst!$R$4:$W$4,0))))</f>
        <v>0</v>
      </c>
      <c r="AH10">
        <f>IF($C10-AH$1&lt;År1,0,AG9*(1-VLOOKUP($A10,[1]Hugst!$R$5:$W$9,MATCH(ROUNDUP((AH$1)/10,0)*10,[1]Hugst!$R$4:$W$4,0))))</f>
        <v>0</v>
      </c>
      <c r="AI10">
        <f>IF($C10-AI$1&lt;År1,0,AH9*(1-VLOOKUP($A10,[1]Hugst!$R$5:$W$9,MATCH(ROUNDUP((AI$1)/10,0)*10,[1]Hugst!$R$4:$W$4,0))))</f>
        <v>0</v>
      </c>
      <c r="AJ10">
        <f>IF($C10-AJ$1&lt;År1,0,AI9*(1-VLOOKUP($A10,[1]Hugst!$R$5:$W$9,MATCH(ROUNDUP((AJ$1)/10,0)*10,[1]Hugst!$R$4:$W$4,0))))</f>
        <v>0</v>
      </c>
    </row>
    <row r="11" spans="1:36" x14ac:dyDescent="0.25">
      <c r="A11" t="s">
        <v>176</v>
      </c>
      <c r="B11" t="s">
        <v>23</v>
      </c>
      <c r="C11">
        <v>2029</v>
      </c>
      <c r="D11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0</v>
      </c>
      <c r="E11">
        <f t="shared" ca="1" si="0"/>
        <v>0</v>
      </c>
      <c r="F11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>
        <f ca="1">IF($C11-G$1&lt;År1,0,F10*(1-VLOOKUP($A11,[1]Hugst!$R$5:$W$9,MATCH(ROUNDUP((G$1)/10,0)*10,[1]Hugst!$R$4:$W$4,0))))</f>
        <v>0</v>
      </c>
      <c r="H11">
        <f ca="1">IF($C11-H$1&lt;År1,0,G10*(1-VLOOKUP($A11,[1]Hugst!$R$5:$W$9,MATCH(ROUNDUP((H$1)/10,0)*10,[1]Hugst!$R$4:$W$4,0))))</f>
        <v>0</v>
      </c>
      <c r="I11">
        <f ca="1">IF($C11-I$1&lt;År1,0,H10*(1-VLOOKUP($A11,[1]Hugst!$R$5:$W$9,MATCH(ROUNDUP((I$1)/10,0)*10,[1]Hugst!$R$4:$W$4,0))))</f>
        <v>0</v>
      </c>
      <c r="J11">
        <f ca="1">IF($C11-J$1&lt;År1,0,I10*(1-VLOOKUP($A11,[1]Hugst!$R$5:$W$9,MATCH(ROUNDUP((J$1)/10,0)*10,[1]Hugst!$R$4:$W$4,0))))</f>
        <v>0</v>
      </c>
      <c r="K11">
        <f ca="1">IF($C11-K$1&lt;År1,0,J10*(1-VLOOKUP($A11,[1]Hugst!$R$5:$W$9,MATCH(ROUNDUP((K$1)/10,0)*10,[1]Hugst!$R$4:$W$4,0))))</f>
        <v>0</v>
      </c>
      <c r="L11">
        <f ca="1">IF($C11-L$1&lt;År1,0,K10*(1-VLOOKUP($A11,[1]Hugst!$R$5:$W$9,MATCH(ROUNDUP((L$1)/10,0)*10,[1]Hugst!$R$4:$W$4,0))))</f>
        <v>0</v>
      </c>
      <c r="M11">
        <f ca="1">IF($C11-M$1&lt;År1,0,L10*(1-VLOOKUP($A11,[1]Hugst!$R$5:$W$9,MATCH(ROUNDUP((M$1)/10,0)*10,[1]Hugst!$R$4:$W$4,0))))</f>
        <v>0</v>
      </c>
      <c r="N11">
        <f ca="1">IF($C11-N$1&lt;År1,0,M10*(1-VLOOKUP($A11,[1]Hugst!$R$5:$W$9,MATCH(ROUNDUP((N$1)/10,0)*10,[1]Hugst!$R$4:$W$4,0))))</f>
        <v>0</v>
      </c>
      <c r="O11">
        <f ca="1">IF($C11-O$1&lt;År1,0,N10*(1-VLOOKUP($A11,[1]Hugst!$R$5:$W$9,MATCH(ROUNDUP((O$1)/10,0)*10,[1]Hugst!$R$4:$W$4,0))))</f>
        <v>0</v>
      </c>
      <c r="P11">
        <f>IF($C11-P$1&lt;År1,0,O10*(1-VLOOKUP($A11,[1]Hugst!$R$5:$W$9,MATCH(ROUNDUP((P$1)/10,0)*10,[1]Hugst!$R$4:$W$4,0))))</f>
        <v>0</v>
      </c>
      <c r="Q11">
        <f>IF($C11-Q$1&lt;År1,0,P10*(1-VLOOKUP($A11,[1]Hugst!$R$5:$W$9,MATCH(ROUNDUP((Q$1)/10,0)*10,[1]Hugst!$R$4:$W$4,0))))</f>
        <v>0</v>
      </c>
      <c r="R11">
        <f>IF($C11-R$1&lt;År1,0,Q10*(1-VLOOKUP($A11,[1]Hugst!$R$5:$W$9,MATCH(ROUNDUP((R$1)/10,0)*10,[1]Hugst!$R$4:$W$4,0))))</f>
        <v>0</v>
      </c>
      <c r="S11">
        <f>IF($C11-S$1&lt;År1,0,R10*(1-VLOOKUP($A11,[1]Hugst!$R$5:$W$9,MATCH(ROUNDUP((S$1)/10,0)*10,[1]Hugst!$R$4:$W$4,0))))</f>
        <v>0</v>
      </c>
      <c r="T11">
        <f>IF($C11-T$1&lt;År1,0,S10*(1-VLOOKUP($A11,[1]Hugst!$R$5:$W$9,MATCH(ROUNDUP((T$1)/10,0)*10,[1]Hugst!$R$4:$W$4,0))))</f>
        <v>0</v>
      </c>
      <c r="U11">
        <f>IF($C11-U$1&lt;År1,0,T10*(1-VLOOKUP($A11,[1]Hugst!$R$5:$W$9,MATCH(ROUNDUP((U$1)/10,0)*10,[1]Hugst!$R$4:$W$4,0))))</f>
        <v>0</v>
      </c>
      <c r="V11">
        <f>IF($C11-V$1&lt;År1,0,U10*(1-VLOOKUP($A11,[1]Hugst!$R$5:$W$9,MATCH(ROUNDUP((V$1)/10,0)*10,[1]Hugst!$R$4:$W$4,0))))</f>
        <v>0</v>
      </c>
      <c r="W11">
        <f>IF($C11-W$1&lt;År1,0,V10*(1-VLOOKUP($A11,[1]Hugst!$R$5:$W$9,MATCH(ROUNDUP((W$1)/10,0)*10,[1]Hugst!$R$4:$W$4,0))))</f>
        <v>0</v>
      </c>
      <c r="X11">
        <f>IF($C11-X$1&lt;År1,0,W10*(1-VLOOKUP($A11,[1]Hugst!$R$5:$W$9,MATCH(ROUNDUP((X$1)/10,0)*10,[1]Hugst!$R$4:$W$4,0))))</f>
        <v>0</v>
      </c>
      <c r="Y11">
        <f>IF($C11-Y$1&lt;År1,0,X10*(1-VLOOKUP($A11,[1]Hugst!$R$5:$W$9,MATCH(ROUNDUP((Y$1)/10,0)*10,[1]Hugst!$R$4:$W$4,0))))</f>
        <v>0</v>
      </c>
      <c r="Z11">
        <f>IF($C11-Z$1&lt;År1,0,Y10*(1-VLOOKUP($A11,[1]Hugst!$R$5:$W$9,MATCH(ROUNDUP((Z$1)/10,0)*10,[1]Hugst!$R$4:$W$4,0))))</f>
        <v>0</v>
      </c>
      <c r="AA11">
        <f>IF($C11-AA$1&lt;År1,0,Z10*(1-VLOOKUP($A11,[1]Hugst!$R$5:$W$9,MATCH(ROUNDUP((AA$1)/10,0)*10,[1]Hugst!$R$4:$W$4,0))))</f>
        <v>0</v>
      </c>
      <c r="AB11">
        <f>IF($C11-AB$1&lt;År1,0,AA10*(1-VLOOKUP($A11,[1]Hugst!$R$5:$W$9,MATCH(ROUNDUP((AB$1)/10,0)*10,[1]Hugst!$R$4:$W$4,0))))</f>
        <v>0</v>
      </c>
      <c r="AC11">
        <f>IF($C11-AC$1&lt;År1,0,AB10*(1-VLOOKUP($A11,[1]Hugst!$R$5:$W$9,MATCH(ROUNDUP((AC$1)/10,0)*10,[1]Hugst!$R$4:$W$4,0))))</f>
        <v>0</v>
      </c>
      <c r="AD11">
        <f>IF($C11-AD$1&lt;År1,0,AC10*(1-VLOOKUP($A11,[1]Hugst!$R$5:$W$9,MATCH(ROUNDUP((AD$1)/10,0)*10,[1]Hugst!$R$4:$W$4,0))))</f>
        <v>0</v>
      </c>
      <c r="AE11">
        <f>IF($C11-AE$1&lt;År1,0,AD10*(1-VLOOKUP($A11,[1]Hugst!$R$5:$W$9,MATCH(ROUNDUP((AE$1)/10,0)*10,[1]Hugst!$R$4:$W$4,0))))</f>
        <v>0</v>
      </c>
      <c r="AF11">
        <f>IF($C11-AF$1&lt;År1,0,AE10*(1-VLOOKUP($A11,[1]Hugst!$R$5:$W$9,MATCH(ROUNDUP((AF$1)/10,0)*10,[1]Hugst!$R$4:$W$4,0))))</f>
        <v>0</v>
      </c>
      <c r="AG11">
        <f>IF($C11-AG$1&lt;År1,0,AF10*(1-VLOOKUP($A11,[1]Hugst!$R$5:$W$9,MATCH(ROUNDUP((AG$1)/10,0)*10,[1]Hugst!$R$4:$W$4,0))))</f>
        <v>0</v>
      </c>
      <c r="AH11">
        <f>IF($C11-AH$1&lt;År1,0,AG10*(1-VLOOKUP($A11,[1]Hugst!$R$5:$W$9,MATCH(ROUNDUP((AH$1)/10,0)*10,[1]Hugst!$R$4:$W$4,0))))</f>
        <v>0</v>
      </c>
      <c r="AI11">
        <f>IF($C11-AI$1&lt;År1,0,AH10*(1-VLOOKUP($A11,[1]Hugst!$R$5:$W$9,MATCH(ROUNDUP((AI$1)/10,0)*10,[1]Hugst!$R$4:$W$4,0))))</f>
        <v>0</v>
      </c>
      <c r="AJ11">
        <f>IF($C11-AJ$1&lt;År1,0,AI10*(1-VLOOKUP($A11,[1]Hugst!$R$5:$W$9,MATCH(ROUNDUP((AJ$1)/10,0)*10,[1]Hugst!$R$4:$W$4,0))))</f>
        <v>0</v>
      </c>
    </row>
    <row r="12" spans="1:36" x14ac:dyDescent="0.25">
      <c r="A12" t="s">
        <v>176</v>
      </c>
      <c r="B12" t="s">
        <v>23</v>
      </c>
      <c r="C12">
        <v>2030</v>
      </c>
      <c r="D12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0</v>
      </c>
      <c r="E12">
        <f t="shared" ca="1" si="0"/>
        <v>0</v>
      </c>
      <c r="F12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>
        <f ca="1">IF($C12-G$1&lt;År1,0,F11*(1-VLOOKUP($A12,[1]Hugst!$R$5:$W$9,MATCH(ROUNDUP((G$1)/10,0)*10,[1]Hugst!$R$4:$W$4,0))))</f>
        <v>0</v>
      </c>
      <c r="H12">
        <f ca="1">IF($C12-H$1&lt;År1,0,G11*(1-VLOOKUP($A12,[1]Hugst!$R$5:$W$9,MATCH(ROUNDUP((H$1)/10,0)*10,[1]Hugst!$R$4:$W$4,0))))</f>
        <v>0</v>
      </c>
      <c r="I12">
        <f ca="1">IF($C12-I$1&lt;År1,0,H11*(1-VLOOKUP($A12,[1]Hugst!$R$5:$W$9,MATCH(ROUNDUP((I$1)/10,0)*10,[1]Hugst!$R$4:$W$4,0))))</f>
        <v>0</v>
      </c>
      <c r="J12">
        <f ca="1">IF($C12-J$1&lt;År1,0,I11*(1-VLOOKUP($A12,[1]Hugst!$R$5:$W$9,MATCH(ROUNDUP((J$1)/10,0)*10,[1]Hugst!$R$4:$W$4,0))))</f>
        <v>0</v>
      </c>
      <c r="K12">
        <f ca="1">IF($C12-K$1&lt;År1,0,J11*(1-VLOOKUP($A12,[1]Hugst!$R$5:$W$9,MATCH(ROUNDUP((K$1)/10,0)*10,[1]Hugst!$R$4:$W$4,0))))</f>
        <v>0</v>
      </c>
      <c r="L12">
        <f ca="1">IF($C12-L$1&lt;År1,0,K11*(1-VLOOKUP($A12,[1]Hugst!$R$5:$W$9,MATCH(ROUNDUP((L$1)/10,0)*10,[1]Hugst!$R$4:$W$4,0))))</f>
        <v>0</v>
      </c>
      <c r="M12">
        <f ca="1">IF($C12-M$1&lt;År1,0,L11*(1-VLOOKUP($A12,[1]Hugst!$R$5:$W$9,MATCH(ROUNDUP((M$1)/10,0)*10,[1]Hugst!$R$4:$W$4,0))))</f>
        <v>0</v>
      </c>
      <c r="N12">
        <f ca="1">IF($C12-N$1&lt;År1,0,M11*(1-VLOOKUP($A12,[1]Hugst!$R$5:$W$9,MATCH(ROUNDUP((N$1)/10,0)*10,[1]Hugst!$R$4:$W$4,0))))</f>
        <v>0</v>
      </c>
      <c r="O12">
        <f ca="1">IF($C12-O$1&lt;År1,0,N11*(1-VLOOKUP($A12,[1]Hugst!$R$5:$W$9,MATCH(ROUNDUP((O$1)/10,0)*10,[1]Hugst!$R$4:$W$4,0))))</f>
        <v>0</v>
      </c>
      <c r="P12">
        <f ca="1">IF($C12-P$1&lt;År1,0,O11*(1-VLOOKUP($A12,[1]Hugst!$R$5:$W$9,MATCH(ROUNDUP((P$1)/10,0)*10,[1]Hugst!$R$4:$W$4,0))))</f>
        <v>0</v>
      </c>
      <c r="Q12">
        <f>IF($C12-Q$1&lt;År1,0,P11*(1-VLOOKUP($A12,[1]Hugst!$R$5:$W$9,MATCH(ROUNDUP((Q$1)/10,0)*10,[1]Hugst!$R$4:$W$4,0))))</f>
        <v>0</v>
      </c>
      <c r="R12">
        <f>IF($C12-R$1&lt;År1,0,Q11*(1-VLOOKUP($A12,[1]Hugst!$R$5:$W$9,MATCH(ROUNDUP((R$1)/10,0)*10,[1]Hugst!$R$4:$W$4,0))))</f>
        <v>0</v>
      </c>
      <c r="S12">
        <f>IF($C12-S$1&lt;År1,0,R11*(1-VLOOKUP($A12,[1]Hugst!$R$5:$W$9,MATCH(ROUNDUP((S$1)/10,0)*10,[1]Hugst!$R$4:$W$4,0))))</f>
        <v>0</v>
      </c>
      <c r="T12">
        <f>IF($C12-T$1&lt;År1,0,S11*(1-VLOOKUP($A12,[1]Hugst!$R$5:$W$9,MATCH(ROUNDUP((T$1)/10,0)*10,[1]Hugst!$R$4:$W$4,0))))</f>
        <v>0</v>
      </c>
      <c r="U12">
        <f>IF($C12-U$1&lt;År1,0,T11*(1-VLOOKUP($A12,[1]Hugst!$R$5:$W$9,MATCH(ROUNDUP((U$1)/10,0)*10,[1]Hugst!$R$4:$W$4,0))))</f>
        <v>0</v>
      </c>
      <c r="V12">
        <f>IF($C12-V$1&lt;År1,0,U11*(1-VLOOKUP($A12,[1]Hugst!$R$5:$W$9,MATCH(ROUNDUP((V$1)/10,0)*10,[1]Hugst!$R$4:$W$4,0))))</f>
        <v>0</v>
      </c>
      <c r="W12">
        <f>IF($C12-W$1&lt;År1,0,V11*(1-VLOOKUP($A12,[1]Hugst!$R$5:$W$9,MATCH(ROUNDUP((W$1)/10,0)*10,[1]Hugst!$R$4:$W$4,0))))</f>
        <v>0</v>
      </c>
      <c r="X12">
        <f>IF($C12-X$1&lt;År1,0,W11*(1-VLOOKUP($A12,[1]Hugst!$R$5:$W$9,MATCH(ROUNDUP((X$1)/10,0)*10,[1]Hugst!$R$4:$W$4,0))))</f>
        <v>0</v>
      </c>
      <c r="Y12">
        <f>IF($C12-Y$1&lt;År1,0,X11*(1-VLOOKUP($A12,[1]Hugst!$R$5:$W$9,MATCH(ROUNDUP((Y$1)/10,0)*10,[1]Hugst!$R$4:$W$4,0))))</f>
        <v>0</v>
      </c>
      <c r="Z12">
        <f>IF($C12-Z$1&lt;År1,0,Y11*(1-VLOOKUP($A12,[1]Hugst!$R$5:$W$9,MATCH(ROUNDUP((Z$1)/10,0)*10,[1]Hugst!$R$4:$W$4,0))))</f>
        <v>0</v>
      </c>
      <c r="AA12">
        <f>IF($C12-AA$1&lt;År1,0,Z11*(1-VLOOKUP($A12,[1]Hugst!$R$5:$W$9,MATCH(ROUNDUP((AA$1)/10,0)*10,[1]Hugst!$R$4:$W$4,0))))</f>
        <v>0</v>
      </c>
      <c r="AB12">
        <f>IF($C12-AB$1&lt;År1,0,AA11*(1-VLOOKUP($A12,[1]Hugst!$R$5:$W$9,MATCH(ROUNDUP((AB$1)/10,0)*10,[1]Hugst!$R$4:$W$4,0))))</f>
        <v>0</v>
      </c>
      <c r="AC12">
        <f>IF($C12-AC$1&lt;År1,0,AB11*(1-VLOOKUP($A12,[1]Hugst!$R$5:$W$9,MATCH(ROUNDUP((AC$1)/10,0)*10,[1]Hugst!$R$4:$W$4,0))))</f>
        <v>0</v>
      </c>
      <c r="AD12">
        <f>IF($C12-AD$1&lt;År1,0,AC11*(1-VLOOKUP($A12,[1]Hugst!$R$5:$W$9,MATCH(ROUNDUP((AD$1)/10,0)*10,[1]Hugst!$R$4:$W$4,0))))</f>
        <v>0</v>
      </c>
      <c r="AE12">
        <f>IF($C12-AE$1&lt;År1,0,AD11*(1-VLOOKUP($A12,[1]Hugst!$R$5:$W$9,MATCH(ROUNDUP((AE$1)/10,0)*10,[1]Hugst!$R$4:$W$4,0))))</f>
        <v>0</v>
      </c>
      <c r="AF12">
        <f>IF($C12-AF$1&lt;År1,0,AE11*(1-VLOOKUP($A12,[1]Hugst!$R$5:$W$9,MATCH(ROUNDUP((AF$1)/10,0)*10,[1]Hugst!$R$4:$W$4,0))))</f>
        <v>0</v>
      </c>
      <c r="AG12">
        <f>IF($C12-AG$1&lt;År1,0,AF11*(1-VLOOKUP($A12,[1]Hugst!$R$5:$W$9,MATCH(ROUNDUP((AG$1)/10,0)*10,[1]Hugst!$R$4:$W$4,0))))</f>
        <v>0</v>
      </c>
      <c r="AH12">
        <f>IF($C12-AH$1&lt;År1,0,AG11*(1-VLOOKUP($A12,[1]Hugst!$R$5:$W$9,MATCH(ROUNDUP((AH$1)/10,0)*10,[1]Hugst!$R$4:$W$4,0))))</f>
        <v>0</v>
      </c>
      <c r="AI12">
        <f>IF($C12-AI$1&lt;År1,0,AH11*(1-VLOOKUP($A12,[1]Hugst!$R$5:$W$9,MATCH(ROUNDUP((AI$1)/10,0)*10,[1]Hugst!$R$4:$W$4,0))))</f>
        <v>0</v>
      </c>
      <c r="AJ12">
        <f>IF($C12-AJ$1&lt;År1,0,AI11*(1-VLOOKUP($A12,[1]Hugst!$R$5:$W$9,MATCH(ROUNDUP((AJ$1)/10,0)*10,[1]Hugst!$R$4:$W$4,0))))</f>
        <v>0</v>
      </c>
    </row>
    <row r="13" spans="1:36" x14ac:dyDescent="0.25">
      <c r="A13" t="s">
        <v>176</v>
      </c>
      <c r="B13" t="s">
        <v>23</v>
      </c>
      <c r="C13">
        <v>2031</v>
      </c>
      <c r="D13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0</v>
      </c>
      <c r="E13">
        <f t="shared" ca="1" si="0"/>
        <v>0</v>
      </c>
      <c r="F13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>
        <f ca="1">IF($C13-G$1&lt;År1,0,F12*(1-VLOOKUP($A13,[1]Hugst!$R$5:$W$9,MATCH(ROUNDUP((G$1)/10,0)*10,[1]Hugst!$R$4:$W$4,0))))</f>
        <v>0</v>
      </c>
      <c r="H13">
        <f ca="1">IF($C13-H$1&lt;År1,0,G12*(1-VLOOKUP($A13,[1]Hugst!$R$5:$W$9,MATCH(ROUNDUP((H$1)/10,0)*10,[1]Hugst!$R$4:$W$4,0))))</f>
        <v>0</v>
      </c>
      <c r="I13">
        <f ca="1">IF($C13-I$1&lt;År1,0,H12*(1-VLOOKUP($A13,[1]Hugst!$R$5:$W$9,MATCH(ROUNDUP((I$1)/10,0)*10,[1]Hugst!$R$4:$W$4,0))))</f>
        <v>0</v>
      </c>
      <c r="J13">
        <f ca="1">IF($C13-J$1&lt;År1,0,I12*(1-VLOOKUP($A13,[1]Hugst!$R$5:$W$9,MATCH(ROUNDUP((J$1)/10,0)*10,[1]Hugst!$R$4:$W$4,0))))</f>
        <v>0</v>
      </c>
      <c r="K13">
        <f ca="1">IF($C13-K$1&lt;År1,0,J12*(1-VLOOKUP($A13,[1]Hugst!$R$5:$W$9,MATCH(ROUNDUP((K$1)/10,0)*10,[1]Hugst!$R$4:$W$4,0))))</f>
        <v>0</v>
      </c>
      <c r="L13">
        <f ca="1">IF($C13-L$1&lt;År1,0,K12*(1-VLOOKUP($A13,[1]Hugst!$R$5:$W$9,MATCH(ROUNDUP((L$1)/10,0)*10,[1]Hugst!$R$4:$W$4,0))))</f>
        <v>0</v>
      </c>
      <c r="M13">
        <f ca="1">IF($C13-M$1&lt;År1,0,L12*(1-VLOOKUP($A13,[1]Hugst!$R$5:$W$9,MATCH(ROUNDUP((M$1)/10,0)*10,[1]Hugst!$R$4:$W$4,0))))</f>
        <v>0</v>
      </c>
      <c r="N13">
        <f ca="1">IF($C13-N$1&lt;År1,0,M12*(1-VLOOKUP($A13,[1]Hugst!$R$5:$W$9,MATCH(ROUNDUP((N$1)/10,0)*10,[1]Hugst!$R$4:$W$4,0))))</f>
        <v>0</v>
      </c>
      <c r="O13">
        <f ca="1">IF($C13-O$1&lt;År1,0,N12*(1-VLOOKUP($A13,[1]Hugst!$R$5:$W$9,MATCH(ROUNDUP((O$1)/10,0)*10,[1]Hugst!$R$4:$W$4,0))))</f>
        <v>0</v>
      </c>
      <c r="P13">
        <f ca="1">IF($C13-P$1&lt;År1,0,O12*(1-VLOOKUP($A13,[1]Hugst!$R$5:$W$9,MATCH(ROUNDUP((P$1)/10,0)*10,[1]Hugst!$R$4:$W$4,0))))</f>
        <v>0</v>
      </c>
      <c r="Q13">
        <f ca="1">IF($C13-Q$1&lt;År1,0,P12*(1-VLOOKUP($A13,[1]Hugst!$R$5:$W$9,MATCH(ROUNDUP((Q$1)/10,0)*10,[1]Hugst!$R$4:$W$4,0))))</f>
        <v>0</v>
      </c>
      <c r="R13">
        <f>IF($C13-R$1&lt;År1,0,Q12*(1-VLOOKUP($A13,[1]Hugst!$R$5:$W$9,MATCH(ROUNDUP((R$1)/10,0)*10,[1]Hugst!$R$4:$W$4,0))))</f>
        <v>0</v>
      </c>
      <c r="S13">
        <f>IF($C13-S$1&lt;År1,0,R12*(1-VLOOKUP($A13,[1]Hugst!$R$5:$W$9,MATCH(ROUNDUP((S$1)/10,0)*10,[1]Hugst!$R$4:$W$4,0))))</f>
        <v>0</v>
      </c>
      <c r="T13">
        <f>IF($C13-T$1&lt;År1,0,S12*(1-VLOOKUP($A13,[1]Hugst!$R$5:$W$9,MATCH(ROUNDUP((T$1)/10,0)*10,[1]Hugst!$R$4:$W$4,0))))</f>
        <v>0</v>
      </c>
      <c r="U13">
        <f>IF($C13-U$1&lt;År1,0,T12*(1-VLOOKUP($A13,[1]Hugst!$R$5:$W$9,MATCH(ROUNDUP((U$1)/10,0)*10,[1]Hugst!$R$4:$W$4,0))))</f>
        <v>0</v>
      </c>
      <c r="V13">
        <f>IF($C13-V$1&lt;År1,0,U12*(1-VLOOKUP($A13,[1]Hugst!$R$5:$W$9,MATCH(ROUNDUP((V$1)/10,0)*10,[1]Hugst!$R$4:$W$4,0))))</f>
        <v>0</v>
      </c>
      <c r="W13">
        <f>IF($C13-W$1&lt;År1,0,V12*(1-VLOOKUP($A13,[1]Hugst!$R$5:$W$9,MATCH(ROUNDUP((W$1)/10,0)*10,[1]Hugst!$R$4:$W$4,0))))</f>
        <v>0</v>
      </c>
      <c r="X13">
        <f>IF($C13-X$1&lt;År1,0,W12*(1-VLOOKUP($A13,[1]Hugst!$R$5:$W$9,MATCH(ROUNDUP((X$1)/10,0)*10,[1]Hugst!$R$4:$W$4,0))))</f>
        <v>0</v>
      </c>
      <c r="Y13">
        <f>IF($C13-Y$1&lt;År1,0,X12*(1-VLOOKUP($A13,[1]Hugst!$R$5:$W$9,MATCH(ROUNDUP((Y$1)/10,0)*10,[1]Hugst!$R$4:$W$4,0))))</f>
        <v>0</v>
      </c>
      <c r="Z13">
        <f>IF($C13-Z$1&lt;År1,0,Y12*(1-VLOOKUP($A13,[1]Hugst!$R$5:$W$9,MATCH(ROUNDUP((Z$1)/10,0)*10,[1]Hugst!$R$4:$W$4,0))))</f>
        <v>0</v>
      </c>
      <c r="AA13">
        <f>IF($C13-AA$1&lt;År1,0,Z12*(1-VLOOKUP($A13,[1]Hugst!$R$5:$W$9,MATCH(ROUNDUP((AA$1)/10,0)*10,[1]Hugst!$R$4:$W$4,0))))</f>
        <v>0</v>
      </c>
      <c r="AB13">
        <f>IF($C13-AB$1&lt;År1,0,AA12*(1-VLOOKUP($A13,[1]Hugst!$R$5:$W$9,MATCH(ROUNDUP((AB$1)/10,0)*10,[1]Hugst!$R$4:$W$4,0))))</f>
        <v>0</v>
      </c>
      <c r="AC13">
        <f>IF($C13-AC$1&lt;År1,0,AB12*(1-VLOOKUP($A13,[1]Hugst!$R$5:$W$9,MATCH(ROUNDUP((AC$1)/10,0)*10,[1]Hugst!$R$4:$W$4,0))))</f>
        <v>0</v>
      </c>
      <c r="AD13">
        <f>IF($C13-AD$1&lt;År1,0,AC12*(1-VLOOKUP($A13,[1]Hugst!$R$5:$W$9,MATCH(ROUNDUP((AD$1)/10,0)*10,[1]Hugst!$R$4:$W$4,0))))</f>
        <v>0</v>
      </c>
      <c r="AE13">
        <f>IF($C13-AE$1&lt;År1,0,AD12*(1-VLOOKUP($A13,[1]Hugst!$R$5:$W$9,MATCH(ROUNDUP((AE$1)/10,0)*10,[1]Hugst!$R$4:$W$4,0))))</f>
        <v>0</v>
      </c>
      <c r="AF13">
        <f>IF($C13-AF$1&lt;År1,0,AE12*(1-VLOOKUP($A13,[1]Hugst!$R$5:$W$9,MATCH(ROUNDUP((AF$1)/10,0)*10,[1]Hugst!$R$4:$W$4,0))))</f>
        <v>0</v>
      </c>
      <c r="AG13">
        <f>IF($C13-AG$1&lt;År1,0,AF12*(1-VLOOKUP($A13,[1]Hugst!$R$5:$W$9,MATCH(ROUNDUP((AG$1)/10,0)*10,[1]Hugst!$R$4:$W$4,0))))</f>
        <v>0</v>
      </c>
      <c r="AH13">
        <f>IF($C13-AH$1&lt;År1,0,AG12*(1-VLOOKUP($A13,[1]Hugst!$R$5:$W$9,MATCH(ROUNDUP((AH$1)/10,0)*10,[1]Hugst!$R$4:$W$4,0))))</f>
        <v>0</v>
      </c>
      <c r="AI13">
        <f>IF($C13-AI$1&lt;År1,0,AH12*(1-VLOOKUP($A13,[1]Hugst!$R$5:$W$9,MATCH(ROUNDUP((AI$1)/10,0)*10,[1]Hugst!$R$4:$W$4,0))))</f>
        <v>0</v>
      </c>
      <c r="AJ13">
        <f>IF($C13-AJ$1&lt;År1,0,AI12*(1-VLOOKUP($A13,[1]Hugst!$R$5:$W$9,MATCH(ROUNDUP((AJ$1)/10,0)*10,[1]Hugst!$R$4:$W$4,0))))</f>
        <v>0</v>
      </c>
    </row>
    <row r="14" spans="1:36" x14ac:dyDescent="0.25">
      <c r="A14" t="s">
        <v>176</v>
      </c>
      <c r="B14" t="s">
        <v>23</v>
      </c>
      <c r="C14">
        <v>2032</v>
      </c>
      <c r="D14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0</v>
      </c>
      <c r="E14">
        <f t="shared" ca="1" si="0"/>
        <v>0</v>
      </c>
      <c r="F14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>
        <f ca="1">IF($C14-G$1&lt;År1,0,F13*(1-VLOOKUP($A14,[1]Hugst!$R$5:$W$9,MATCH(ROUNDUP((G$1)/10,0)*10,[1]Hugst!$R$4:$W$4,0))))</f>
        <v>0</v>
      </c>
      <c r="H14">
        <f ca="1">IF($C14-H$1&lt;År1,0,G13*(1-VLOOKUP($A14,[1]Hugst!$R$5:$W$9,MATCH(ROUNDUP((H$1)/10,0)*10,[1]Hugst!$R$4:$W$4,0))))</f>
        <v>0</v>
      </c>
      <c r="I14">
        <f ca="1">IF($C14-I$1&lt;År1,0,H13*(1-VLOOKUP($A14,[1]Hugst!$R$5:$W$9,MATCH(ROUNDUP((I$1)/10,0)*10,[1]Hugst!$R$4:$W$4,0))))</f>
        <v>0</v>
      </c>
      <c r="J14">
        <f ca="1">IF($C14-J$1&lt;År1,0,I13*(1-VLOOKUP($A14,[1]Hugst!$R$5:$W$9,MATCH(ROUNDUP((J$1)/10,0)*10,[1]Hugst!$R$4:$W$4,0))))</f>
        <v>0</v>
      </c>
      <c r="K14">
        <f ca="1">IF($C14-K$1&lt;År1,0,J13*(1-VLOOKUP($A14,[1]Hugst!$R$5:$W$9,MATCH(ROUNDUP((K$1)/10,0)*10,[1]Hugst!$R$4:$W$4,0))))</f>
        <v>0</v>
      </c>
      <c r="L14">
        <f ca="1">IF($C14-L$1&lt;År1,0,K13*(1-VLOOKUP($A14,[1]Hugst!$R$5:$W$9,MATCH(ROUNDUP((L$1)/10,0)*10,[1]Hugst!$R$4:$W$4,0))))</f>
        <v>0</v>
      </c>
      <c r="M14">
        <f ca="1">IF($C14-M$1&lt;År1,0,L13*(1-VLOOKUP($A14,[1]Hugst!$R$5:$W$9,MATCH(ROUNDUP((M$1)/10,0)*10,[1]Hugst!$R$4:$W$4,0))))</f>
        <v>0</v>
      </c>
      <c r="N14">
        <f ca="1">IF($C14-N$1&lt;År1,0,M13*(1-VLOOKUP($A14,[1]Hugst!$R$5:$W$9,MATCH(ROUNDUP((N$1)/10,0)*10,[1]Hugst!$R$4:$W$4,0))))</f>
        <v>0</v>
      </c>
      <c r="O14">
        <f ca="1">IF($C14-O$1&lt;År1,0,N13*(1-VLOOKUP($A14,[1]Hugst!$R$5:$W$9,MATCH(ROUNDUP((O$1)/10,0)*10,[1]Hugst!$R$4:$W$4,0))))</f>
        <v>0</v>
      </c>
      <c r="P14">
        <f ca="1">IF($C14-P$1&lt;År1,0,O13*(1-VLOOKUP($A14,[1]Hugst!$R$5:$W$9,MATCH(ROUNDUP((P$1)/10,0)*10,[1]Hugst!$R$4:$W$4,0))))</f>
        <v>0</v>
      </c>
      <c r="Q14">
        <f ca="1">IF($C14-Q$1&lt;År1,0,P13*(1-VLOOKUP($A14,[1]Hugst!$R$5:$W$9,MATCH(ROUNDUP((Q$1)/10,0)*10,[1]Hugst!$R$4:$W$4,0))))</f>
        <v>0</v>
      </c>
      <c r="R14">
        <f ca="1">IF($C14-R$1&lt;År1,0,Q13*(1-VLOOKUP($A14,[1]Hugst!$R$5:$W$9,MATCH(ROUNDUP((R$1)/10,0)*10,[1]Hugst!$R$4:$W$4,0))))</f>
        <v>0</v>
      </c>
      <c r="S14">
        <f>IF($C14-S$1&lt;År1,0,R13*(1-VLOOKUP($A14,[1]Hugst!$R$5:$W$9,MATCH(ROUNDUP((S$1)/10,0)*10,[1]Hugst!$R$4:$W$4,0))))</f>
        <v>0</v>
      </c>
      <c r="T14">
        <f>IF($C14-T$1&lt;År1,0,S13*(1-VLOOKUP($A14,[1]Hugst!$R$5:$W$9,MATCH(ROUNDUP((T$1)/10,0)*10,[1]Hugst!$R$4:$W$4,0))))</f>
        <v>0</v>
      </c>
      <c r="U14">
        <f>IF($C14-U$1&lt;År1,0,T13*(1-VLOOKUP($A14,[1]Hugst!$R$5:$W$9,MATCH(ROUNDUP((U$1)/10,0)*10,[1]Hugst!$R$4:$W$4,0))))</f>
        <v>0</v>
      </c>
      <c r="V14">
        <f>IF($C14-V$1&lt;År1,0,U13*(1-VLOOKUP($A14,[1]Hugst!$R$5:$W$9,MATCH(ROUNDUP((V$1)/10,0)*10,[1]Hugst!$R$4:$W$4,0))))</f>
        <v>0</v>
      </c>
      <c r="W14">
        <f>IF($C14-W$1&lt;År1,0,V13*(1-VLOOKUP($A14,[1]Hugst!$R$5:$W$9,MATCH(ROUNDUP((W$1)/10,0)*10,[1]Hugst!$R$4:$W$4,0))))</f>
        <v>0</v>
      </c>
      <c r="X14">
        <f>IF($C14-X$1&lt;År1,0,W13*(1-VLOOKUP($A14,[1]Hugst!$R$5:$W$9,MATCH(ROUNDUP((X$1)/10,0)*10,[1]Hugst!$R$4:$W$4,0))))</f>
        <v>0</v>
      </c>
      <c r="Y14">
        <f>IF($C14-Y$1&lt;År1,0,X13*(1-VLOOKUP($A14,[1]Hugst!$R$5:$W$9,MATCH(ROUNDUP((Y$1)/10,0)*10,[1]Hugst!$R$4:$W$4,0))))</f>
        <v>0</v>
      </c>
      <c r="Z14">
        <f>IF($C14-Z$1&lt;År1,0,Y13*(1-VLOOKUP($A14,[1]Hugst!$R$5:$W$9,MATCH(ROUNDUP((Z$1)/10,0)*10,[1]Hugst!$R$4:$W$4,0))))</f>
        <v>0</v>
      </c>
      <c r="AA14">
        <f>IF($C14-AA$1&lt;År1,0,Z13*(1-VLOOKUP($A14,[1]Hugst!$R$5:$W$9,MATCH(ROUNDUP((AA$1)/10,0)*10,[1]Hugst!$R$4:$W$4,0))))</f>
        <v>0</v>
      </c>
      <c r="AB14">
        <f>IF($C14-AB$1&lt;År1,0,AA13*(1-VLOOKUP($A14,[1]Hugst!$R$5:$W$9,MATCH(ROUNDUP((AB$1)/10,0)*10,[1]Hugst!$R$4:$W$4,0))))</f>
        <v>0</v>
      </c>
      <c r="AC14">
        <f>IF($C14-AC$1&lt;År1,0,AB13*(1-VLOOKUP($A14,[1]Hugst!$R$5:$W$9,MATCH(ROUNDUP((AC$1)/10,0)*10,[1]Hugst!$R$4:$W$4,0))))</f>
        <v>0</v>
      </c>
      <c r="AD14">
        <f>IF($C14-AD$1&lt;År1,0,AC13*(1-VLOOKUP($A14,[1]Hugst!$R$5:$W$9,MATCH(ROUNDUP((AD$1)/10,0)*10,[1]Hugst!$R$4:$W$4,0))))</f>
        <v>0</v>
      </c>
      <c r="AE14">
        <f>IF($C14-AE$1&lt;År1,0,AD13*(1-VLOOKUP($A14,[1]Hugst!$R$5:$W$9,MATCH(ROUNDUP((AE$1)/10,0)*10,[1]Hugst!$R$4:$W$4,0))))</f>
        <v>0</v>
      </c>
      <c r="AF14">
        <f>IF($C14-AF$1&lt;År1,0,AE13*(1-VLOOKUP($A14,[1]Hugst!$R$5:$W$9,MATCH(ROUNDUP((AF$1)/10,0)*10,[1]Hugst!$R$4:$W$4,0))))</f>
        <v>0</v>
      </c>
      <c r="AG14">
        <f>IF($C14-AG$1&lt;År1,0,AF13*(1-VLOOKUP($A14,[1]Hugst!$R$5:$W$9,MATCH(ROUNDUP((AG$1)/10,0)*10,[1]Hugst!$R$4:$W$4,0))))</f>
        <v>0</v>
      </c>
      <c r="AH14">
        <f>IF($C14-AH$1&lt;År1,0,AG13*(1-VLOOKUP($A14,[1]Hugst!$R$5:$W$9,MATCH(ROUNDUP((AH$1)/10,0)*10,[1]Hugst!$R$4:$W$4,0))))</f>
        <v>0</v>
      </c>
      <c r="AI14">
        <f>IF($C14-AI$1&lt;År1,0,AH13*(1-VLOOKUP($A14,[1]Hugst!$R$5:$W$9,MATCH(ROUNDUP((AI$1)/10,0)*10,[1]Hugst!$R$4:$W$4,0))))</f>
        <v>0</v>
      </c>
      <c r="AJ14">
        <f>IF($C14-AJ$1&lt;År1,0,AI13*(1-VLOOKUP($A14,[1]Hugst!$R$5:$W$9,MATCH(ROUNDUP((AJ$1)/10,0)*10,[1]Hugst!$R$4:$W$4,0))))</f>
        <v>0</v>
      </c>
    </row>
    <row r="15" spans="1:36" x14ac:dyDescent="0.25">
      <c r="A15" t="s">
        <v>176</v>
      </c>
      <c r="B15" t="s">
        <v>23</v>
      </c>
      <c r="C15">
        <v>2033</v>
      </c>
      <c r="D15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0</v>
      </c>
      <c r="E15">
        <f t="shared" ca="1" si="0"/>
        <v>0</v>
      </c>
      <c r="F15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>
        <f ca="1">IF($C15-G$1&lt;År1,0,F14*(1-VLOOKUP($A15,[1]Hugst!$R$5:$W$9,MATCH(ROUNDUP((G$1)/10,0)*10,[1]Hugst!$R$4:$W$4,0))))</f>
        <v>0</v>
      </c>
      <c r="H15">
        <f ca="1">IF($C15-H$1&lt;År1,0,G14*(1-VLOOKUP($A15,[1]Hugst!$R$5:$W$9,MATCH(ROUNDUP((H$1)/10,0)*10,[1]Hugst!$R$4:$W$4,0))))</f>
        <v>0</v>
      </c>
      <c r="I15">
        <f ca="1">IF($C15-I$1&lt;År1,0,H14*(1-VLOOKUP($A15,[1]Hugst!$R$5:$W$9,MATCH(ROUNDUP((I$1)/10,0)*10,[1]Hugst!$R$4:$W$4,0))))</f>
        <v>0</v>
      </c>
      <c r="J15">
        <f ca="1">IF($C15-J$1&lt;År1,0,I14*(1-VLOOKUP($A15,[1]Hugst!$R$5:$W$9,MATCH(ROUNDUP((J$1)/10,0)*10,[1]Hugst!$R$4:$W$4,0))))</f>
        <v>0</v>
      </c>
      <c r="K15">
        <f ca="1">IF($C15-K$1&lt;År1,0,J14*(1-VLOOKUP($A15,[1]Hugst!$R$5:$W$9,MATCH(ROUNDUP((K$1)/10,0)*10,[1]Hugst!$R$4:$W$4,0))))</f>
        <v>0</v>
      </c>
      <c r="L15">
        <f ca="1">IF($C15-L$1&lt;År1,0,K14*(1-VLOOKUP($A15,[1]Hugst!$R$5:$W$9,MATCH(ROUNDUP((L$1)/10,0)*10,[1]Hugst!$R$4:$W$4,0))))</f>
        <v>0</v>
      </c>
      <c r="M15">
        <f ca="1">IF($C15-M$1&lt;År1,0,L14*(1-VLOOKUP($A15,[1]Hugst!$R$5:$W$9,MATCH(ROUNDUP((M$1)/10,0)*10,[1]Hugst!$R$4:$W$4,0))))</f>
        <v>0</v>
      </c>
      <c r="N15">
        <f ca="1">IF($C15-N$1&lt;År1,0,M14*(1-VLOOKUP($A15,[1]Hugst!$R$5:$W$9,MATCH(ROUNDUP((N$1)/10,0)*10,[1]Hugst!$R$4:$W$4,0))))</f>
        <v>0</v>
      </c>
      <c r="O15">
        <f ca="1">IF($C15-O$1&lt;År1,0,N14*(1-VLOOKUP($A15,[1]Hugst!$R$5:$W$9,MATCH(ROUNDUP((O$1)/10,0)*10,[1]Hugst!$R$4:$W$4,0))))</f>
        <v>0</v>
      </c>
      <c r="P15">
        <f ca="1">IF($C15-P$1&lt;År1,0,O14*(1-VLOOKUP($A15,[1]Hugst!$R$5:$W$9,MATCH(ROUNDUP((P$1)/10,0)*10,[1]Hugst!$R$4:$W$4,0))))</f>
        <v>0</v>
      </c>
      <c r="Q15">
        <f ca="1">IF($C15-Q$1&lt;År1,0,P14*(1-VLOOKUP($A15,[1]Hugst!$R$5:$W$9,MATCH(ROUNDUP((Q$1)/10,0)*10,[1]Hugst!$R$4:$W$4,0))))</f>
        <v>0</v>
      </c>
      <c r="R15">
        <f ca="1">IF($C15-R$1&lt;År1,0,Q14*(1-VLOOKUP($A15,[1]Hugst!$R$5:$W$9,MATCH(ROUNDUP((R$1)/10,0)*10,[1]Hugst!$R$4:$W$4,0))))</f>
        <v>0</v>
      </c>
      <c r="S15">
        <f ca="1">IF($C15-S$1&lt;År1,0,R14*(1-VLOOKUP($A15,[1]Hugst!$R$5:$W$9,MATCH(ROUNDUP((S$1)/10,0)*10,[1]Hugst!$R$4:$W$4,0))))</f>
        <v>0</v>
      </c>
      <c r="T15">
        <f>IF($C15-T$1&lt;År1,0,S14*(1-VLOOKUP($A15,[1]Hugst!$R$5:$W$9,MATCH(ROUNDUP((T$1)/10,0)*10,[1]Hugst!$R$4:$W$4,0))))</f>
        <v>0</v>
      </c>
      <c r="U15">
        <f>IF($C15-U$1&lt;År1,0,T14*(1-VLOOKUP($A15,[1]Hugst!$R$5:$W$9,MATCH(ROUNDUP((U$1)/10,0)*10,[1]Hugst!$R$4:$W$4,0))))</f>
        <v>0</v>
      </c>
      <c r="V15">
        <f>IF($C15-V$1&lt;År1,0,U14*(1-VLOOKUP($A15,[1]Hugst!$R$5:$W$9,MATCH(ROUNDUP((V$1)/10,0)*10,[1]Hugst!$R$4:$W$4,0))))</f>
        <v>0</v>
      </c>
      <c r="W15">
        <f>IF($C15-W$1&lt;År1,0,V14*(1-VLOOKUP($A15,[1]Hugst!$R$5:$W$9,MATCH(ROUNDUP((W$1)/10,0)*10,[1]Hugst!$R$4:$W$4,0))))</f>
        <v>0</v>
      </c>
      <c r="X15">
        <f>IF($C15-X$1&lt;År1,0,W14*(1-VLOOKUP($A15,[1]Hugst!$R$5:$W$9,MATCH(ROUNDUP((X$1)/10,0)*10,[1]Hugst!$R$4:$W$4,0))))</f>
        <v>0</v>
      </c>
      <c r="Y15">
        <f>IF($C15-Y$1&lt;År1,0,X14*(1-VLOOKUP($A15,[1]Hugst!$R$5:$W$9,MATCH(ROUNDUP((Y$1)/10,0)*10,[1]Hugst!$R$4:$W$4,0))))</f>
        <v>0</v>
      </c>
      <c r="Z15">
        <f>IF($C15-Z$1&lt;År1,0,Y14*(1-VLOOKUP($A15,[1]Hugst!$R$5:$W$9,MATCH(ROUNDUP((Z$1)/10,0)*10,[1]Hugst!$R$4:$W$4,0))))</f>
        <v>0</v>
      </c>
      <c r="AA15">
        <f>IF($C15-AA$1&lt;År1,0,Z14*(1-VLOOKUP($A15,[1]Hugst!$R$5:$W$9,MATCH(ROUNDUP((AA$1)/10,0)*10,[1]Hugst!$R$4:$W$4,0))))</f>
        <v>0</v>
      </c>
      <c r="AB15">
        <f>IF($C15-AB$1&lt;År1,0,AA14*(1-VLOOKUP($A15,[1]Hugst!$R$5:$W$9,MATCH(ROUNDUP((AB$1)/10,0)*10,[1]Hugst!$R$4:$W$4,0))))</f>
        <v>0</v>
      </c>
      <c r="AC15">
        <f>IF($C15-AC$1&lt;År1,0,AB14*(1-VLOOKUP($A15,[1]Hugst!$R$5:$W$9,MATCH(ROUNDUP((AC$1)/10,0)*10,[1]Hugst!$R$4:$W$4,0))))</f>
        <v>0</v>
      </c>
      <c r="AD15">
        <f>IF($C15-AD$1&lt;År1,0,AC14*(1-VLOOKUP($A15,[1]Hugst!$R$5:$W$9,MATCH(ROUNDUP((AD$1)/10,0)*10,[1]Hugst!$R$4:$W$4,0))))</f>
        <v>0</v>
      </c>
      <c r="AE15">
        <f>IF($C15-AE$1&lt;År1,0,AD14*(1-VLOOKUP($A15,[1]Hugst!$R$5:$W$9,MATCH(ROUNDUP((AE$1)/10,0)*10,[1]Hugst!$R$4:$W$4,0))))</f>
        <v>0</v>
      </c>
      <c r="AF15">
        <f>IF($C15-AF$1&lt;År1,0,AE14*(1-VLOOKUP($A15,[1]Hugst!$R$5:$W$9,MATCH(ROUNDUP((AF$1)/10,0)*10,[1]Hugst!$R$4:$W$4,0))))</f>
        <v>0</v>
      </c>
      <c r="AG15">
        <f>IF($C15-AG$1&lt;År1,0,AF14*(1-VLOOKUP($A15,[1]Hugst!$R$5:$W$9,MATCH(ROUNDUP((AG$1)/10,0)*10,[1]Hugst!$R$4:$W$4,0))))</f>
        <v>0</v>
      </c>
      <c r="AH15">
        <f>IF($C15-AH$1&lt;År1,0,AG14*(1-VLOOKUP($A15,[1]Hugst!$R$5:$W$9,MATCH(ROUNDUP((AH$1)/10,0)*10,[1]Hugst!$R$4:$W$4,0))))</f>
        <v>0</v>
      </c>
      <c r="AI15">
        <f>IF($C15-AI$1&lt;År1,0,AH14*(1-VLOOKUP($A15,[1]Hugst!$R$5:$W$9,MATCH(ROUNDUP((AI$1)/10,0)*10,[1]Hugst!$R$4:$W$4,0))))</f>
        <v>0</v>
      </c>
      <c r="AJ15">
        <f>IF($C15-AJ$1&lt;År1,0,AI14*(1-VLOOKUP($A15,[1]Hugst!$R$5:$W$9,MATCH(ROUNDUP((AJ$1)/10,0)*10,[1]Hugst!$R$4:$W$4,0))))</f>
        <v>0</v>
      </c>
    </row>
    <row r="16" spans="1:36" x14ac:dyDescent="0.25">
      <c r="A16" t="s">
        <v>176</v>
      </c>
      <c r="B16" t="s">
        <v>23</v>
      </c>
      <c r="C16">
        <v>2034</v>
      </c>
      <c r="D16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0</v>
      </c>
      <c r="E16">
        <f t="shared" ca="1" si="0"/>
        <v>0</v>
      </c>
      <c r="F16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>
        <f ca="1">IF($C16-G$1&lt;År1,0,F15*(1-VLOOKUP($A16,[1]Hugst!$R$5:$W$9,MATCH(ROUNDUP((G$1)/10,0)*10,[1]Hugst!$R$4:$W$4,0))))</f>
        <v>0</v>
      </c>
      <c r="H16">
        <f ca="1">IF($C16-H$1&lt;År1,0,G15*(1-VLOOKUP($A16,[1]Hugst!$R$5:$W$9,MATCH(ROUNDUP((H$1)/10,0)*10,[1]Hugst!$R$4:$W$4,0))))</f>
        <v>0</v>
      </c>
      <c r="I16">
        <f ca="1">IF($C16-I$1&lt;År1,0,H15*(1-VLOOKUP($A16,[1]Hugst!$R$5:$W$9,MATCH(ROUNDUP((I$1)/10,0)*10,[1]Hugst!$R$4:$W$4,0))))</f>
        <v>0</v>
      </c>
      <c r="J16">
        <f ca="1">IF($C16-J$1&lt;År1,0,I15*(1-VLOOKUP($A16,[1]Hugst!$R$5:$W$9,MATCH(ROUNDUP((J$1)/10,0)*10,[1]Hugst!$R$4:$W$4,0))))</f>
        <v>0</v>
      </c>
      <c r="K16">
        <f ca="1">IF($C16-K$1&lt;År1,0,J15*(1-VLOOKUP($A16,[1]Hugst!$R$5:$W$9,MATCH(ROUNDUP((K$1)/10,0)*10,[1]Hugst!$R$4:$W$4,0))))</f>
        <v>0</v>
      </c>
      <c r="L16">
        <f ca="1">IF($C16-L$1&lt;År1,0,K15*(1-VLOOKUP($A16,[1]Hugst!$R$5:$W$9,MATCH(ROUNDUP((L$1)/10,0)*10,[1]Hugst!$R$4:$W$4,0))))</f>
        <v>0</v>
      </c>
      <c r="M16">
        <f ca="1">IF($C16-M$1&lt;År1,0,L15*(1-VLOOKUP($A16,[1]Hugst!$R$5:$W$9,MATCH(ROUNDUP((M$1)/10,0)*10,[1]Hugst!$R$4:$W$4,0))))</f>
        <v>0</v>
      </c>
      <c r="N16">
        <f ca="1">IF($C16-N$1&lt;År1,0,M15*(1-VLOOKUP($A16,[1]Hugst!$R$5:$W$9,MATCH(ROUNDUP((N$1)/10,0)*10,[1]Hugst!$R$4:$W$4,0))))</f>
        <v>0</v>
      </c>
      <c r="O16">
        <f ca="1">IF($C16-O$1&lt;År1,0,N15*(1-VLOOKUP($A16,[1]Hugst!$R$5:$W$9,MATCH(ROUNDUP((O$1)/10,0)*10,[1]Hugst!$R$4:$W$4,0))))</f>
        <v>0</v>
      </c>
      <c r="P16">
        <f ca="1">IF($C16-P$1&lt;År1,0,O15*(1-VLOOKUP($A16,[1]Hugst!$R$5:$W$9,MATCH(ROUNDUP((P$1)/10,0)*10,[1]Hugst!$R$4:$W$4,0))))</f>
        <v>0</v>
      </c>
      <c r="Q16">
        <f ca="1">IF($C16-Q$1&lt;År1,0,P15*(1-VLOOKUP($A16,[1]Hugst!$R$5:$W$9,MATCH(ROUNDUP((Q$1)/10,0)*10,[1]Hugst!$R$4:$W$4,0))))</f>
        <v>0</v>
      </c>
      <c r="R16">
        <f ca="1">IF($C16-R$1&lt;År1,0,Q15*(1-VLOOKUP($A16,[1]Hugst!$R$5:$W$9,MATCH(ROUNDUP((R$1)/10,0)*10,[1]Hugst!$R$4:$W$4,0))))</f>
        <v>0</v>
      </c>
      <c r="S16">
        <f ca="1">IF($C16-S$1&lt;År1,0,R15*(1-VLOOKUP($A16,[1]Hugst!$R$5:$W$9,MATCH(ROUNDUP((S$1)/10,0)*10,[1]Hugst!$R$4:$W$4,0))))</f>
        <v>0</v>
      </c>
      <c r="T16">
        <f ca="1">IF($C16-T$1&lt;År1,0,S15*(1-VLOOKUP($A16,[1]Hugst!$R$5:$W$9,MATCH(ROUNDUP((T$1)/10,0)*10,[1]Hugst!$R$4:$W$4,0))))</f>
        <v>0</v>
      </c>
      <c r="U16">
        <f>IF($C16-U$1&lt;År1,0,T15*(1-VLOOKUP($A16,[1]Hugst!$R$5:$W$9,MATCH(ROUNDUP((U$1)/10,0)*10,[1]Hugst!$R$4:$W$4,0))))</f>
        <v>0</v>
      </c>
      <c r="V16">
        <f>IF($C16-V$1&lt;År1,0,U15*(1-VLOOKUP($A16,[1]Hugst!$R$5:$W$9,MATCH(ROUNDUP((V$1)/10,0)*10,[1]Hugst!$R$4:$W$4,0))))</f>
        <v>0</v>
      </c>
      <c r="W16">
        <f>IF($C16-W$1&lt;År1,0,V15*(1-VLOOKUP($A16,[1]Hugst!$R$5:$W$9,MATCH(ROUNDUP((W$1)/10,0)*10,[1]Hugst!$R$4:$W$4,0))))</f>
        <v>0</v>
      </c>
      <c r="X16">
        <f>IF($C16-X$1&lt;År1,0,W15*(1-VLOOKUP($A16,[1]Hugst!$R$5:$W$9,MATCH(ROUNDUP((X$1)/10,0)*10,[1]Hugst!$R$4:$W$4,0))))</f>
        <v>0</v>
      </c>
      <c r="Y16">
        <f>IF($C16-Y$1&lt;År1,0,X15*(1-VLOOKUP($A16,[1]Hugst!$R$5:$W$9,MATCH(ROUNDUP((Y$1)/10,0)*10,[1]Hugst!$R$4:$W$4,0))))</f>
        <v>0</v>
      </c>
      <c r="Z16">
        <f>IF($C16-Z$1&lt;År1,0,Y15*(1-VLOOKUP($A16,[1]Hugst!$R$5:$W$9,MATCH(ROUNDUP((Z$1)/10,0)*10,[1]Hugst!$R$4:$W$4,0))))</f>
        <v>0</v>
      </c>
      <c r="AA16">
        <f>IF($C16-AA$1&lt;År1,0,Z15*(1-VLOOKUP($A16,[1]Hugst!$R$5:$W$9,MATCH(ROUNDUP((AA$1)/10,0)*10,[1]Hugst!$R$4:$W$4,0))))</f>
        <v>0</v>
      </c>
      <c r="AB16">
        <f>IF($C16-AB$1&lt;År1,0,AA15*(1-VLOOKUP($A16,[1]Hugst!$R$5:$W$9,MATCH(ROUNDUP((AB$1)/10,0)*10,[1]Hugst!$R$4:$W$4,0))))</f>
        <v>0</v>
      </c>
      <c r="AC16">
        <f>IF($C16-AC$1&lt;År1,0,AB15*(1-VLOOKUP($A16,[1]Hugst!$R$5:$W$9,MATCH(ROUNDUP((AC$1)/10,0)*10,[1]Hugst!$R$4:$W$4,0))))</f>
        <v>0</v>
      </c>
      <c r="AD16">
        <f>IF($C16-AD$1&lt;År1,0,AC15*(1-VLOOKUP($A16,[1]Hugst!$R$5:$W$9,MATCH(ROUNDUP((AD$1)/10,0)*10,[1]Hugst!$R$4:$W$4,0))))</f>
        <v>0</v>
      </c>
      <c r="AE16">
        <f>IF($C16-AE$1&lt;År1,0,AD15*(1-VLOOKUP($A16,[1]Hugst!$R$5:$W$9,MATCH(ROUNDUP((AE$1)/10,0)*10,[1]Hugst!$R$4:$W$4,0))))</f>
        <v>0</v>
      </c>
      <c r="AF16">
        <f>IF($C16-AF$1&lt;År1,0,AE15*(1-VLOOKUP($A16,[1]Hugst!$R$5:$W$9,MATCH(ROUNDUP((AF$1)/10,0)*10,[1]Hugst!$R$4:$W$4,0))))</f>
        <v>0</v>
      </c>
      <c r="AG16">
        <f>IF($C16-AG$1&lt;År1,0,AF15*(1-VLOOKUP($A16,[1]Hugst!$R$5:$W$9,MATCH(ROUNDUP((AG$1)/10,0)*10,[1]Hugst!$R$4:$W$4,0))))</f>
        <v>0</v>
      </c>
      <c r="AH16">
        <f>IF($C16-AH$1&lt;År1,0,AG15*(1-VLOOKUP($A16,[1]Hugst!$R$5:$W$9,MATCH(ROUNDUP((AH$1)/10,0)*10,[1]Hugst!$R$4:$W$4,0))))</f>
        <v>0</v>
      </c>
      <c r="AI16">
        <f>IF($C16-AI$1&lt;År1,0,AH15*(1-VLOOKUP($A16,[1]Hugst!$R$5:$W$9,MATCH(ROUNDUP((AI$1)/10,0)*10,[1]Hugst!$R$4:$W$4,0))))</f>
        <v>0</v>
      </c>
      <c r="AJ16">
        <f>IF($C16-AJ$1&lt;År1,0,AI15*(1-VLOOKUP($A16,[1]Hugst!$R$5:$W$9,MATCH(ROUNDUP((AJ$1)/10,0)*10,[1]Hugst!$R$4:$W$4,0))))</f>
        <v>0</v>
      </c>
    </row>
    <row r="17" spans="1:38" x14ac:dyDescent="0.25">
      <c r="A17" t="s">
        <v>176</v>
      </c>
      <c r="B17" t="s">
        <v>23</v>
      </c>
      <c r="C17">
        <v>2035</v>
      </c>
      <c r="D17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0</v>
      </c>
      <c r="E17">
        <f t="shared" ca="1" si="0"/>
        <v>0</v>
      </c>
      <c r="F17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>
        <f ca="1">IF($C17-G$1&lt;År1,0,F16*(1-VLOOKUP($A17,[1]Hugst!$R$5:$W$9,MATCH(ROUNDUP((G$1)/10,0)*10,[1]Hugst!$R$4:$W$4,0))))</f>
        <v>0</v>
      </c>
      <c r="H17">
        <f ca="1">IF($C17-H$1&lt;År1,0,G16*(1-VLOOKUP($A17,[1]Hugst!$R$5:$W$9,MATCH(ROUNDUP((H$1)/10,0)*10,[1]Hugst!$R$4:$W$4,0))))</f>
        <v>0</v>
      </c>
      <c r="I17">
        <f ca="1">IF($C17-I$1&lt;År1,0,H16*(1-VLOOKUP($A17,[1]Hugst!$R$5:$W$9,MATCH(ROUNDUP((I$1)/10,0)*10,[1]Hugst!$R$4:$W$4,0))))</f>
        <v>0</v>
      </c>
      <c r="J17">
        <f ca="1">IF($C17-J$1&lt;År1,0,I16*(1-VLOOKUP($A17,[1]Hugst!$R$5:$W$9,MATCH(ROUNDUP((J$1)/10,0)*10,[1]Hugst!$R$4:$W$4,0))))</f>
        <v>0</v>
      </c>
      <c r="K17">
        <f ca="1">IF($C17-K$1&lt;År1,0,J16*(1-VLOOKUP($A17,[1]Hugst!$R$5:$W$9,MATCH(ROUNDUP((K$1)/10,0)*10,[1]Hugst!$R$4:$W$4,0))))</f>
        <v>0</v>
      </c>
      <c r="L17">
        <f ca="1">IF($C17-L$1&lt;År1,0,K16*(1-VLOOKUP($A17,[1]Hugst!$R$5:$W$9,MATCH(ROUNDUP((L$1)/10,0)*10,[1]Hugst!$R$4:$W$4,0))))</f>
        <v>0</v>
      </c>
      <c r="M17">
        <f ca="1">IF($C17-M$1&lt;År1,0,L16*(1-VLOOKUP($A17,[1]Hugst!$R$5:$W$9,MATCH(ROUNDUP((M$1)/10,0)*10,[1]Hugst!$R$4:$W$4,0))))</f>
        <v>0</v>
      </c>
      <c r="N17">
        <f ca="1">IF($C17-N$1&lt;År1,0,M16*(1-VLOOKUP($A17,[1]Hugst!$R$5:$W$9,MATCH(ROUNDUP((N$1)/10,0)*10,[1]Hugst!$R$4:$W$4,0))))</f>
        <v>0</v>
      </c>
      <c r="O17">
        <f ca="1">IF($C17-O$1&lt;År1,0,N16*(1-VLOOKUP($A17,[1]Hugst!$R$5:$W$9,MATCH(ROUNDUP((O$1)/10,0)*10,[1]Hugst!$R$4:$W$4,0))))</f>
        <v>0</v>
      </c>
      <c r="P17">
        <f ca="1">IF($C17-P$1&lt;År1,0,O16*(1-VLOOKUP($A17,[1]Hugst!$R$5:$W$9,MATCH(ROUNDUP((P$1)/10,0)*10,[1]Hugst!$R$4:$W$4,0))))</f>
        <v>0</v>
      </c>
      <c r="Q17">
        <f ca="1">IF($C17-Q$1&lt;År1,0,P16*(1-VLOOKUP($A17,[1]Hugst!$R$5:$W$9,MATCH(ROUNDUP((Q$1)/10,0)*10,[1]Hugst!$R$4:$W$4,0))))</f>
        <v>0</v>
      </c>
      <c r="R17">
        <f ca="1">IF($C17-R$1&lt;År1,0,Q16*(1-VLOOKUP($A17,[1]Hugst!$R$5:$W$9,MATCH(ROUNDUP((R$1)/10,0)*10,[1]Hugst!$R$4:$W$4,0))))</f>
        <v>0</v>
      </c>
      <c r="S17">
        <f ca="1">IF($C17-S$1&lt;År1,0,R16*(1-VLOOKUP($A17,[1]Hugst!$R$5:$W$9,MATCH(ROUNDUP((S$1)/10,0)*10,[1]Hugst!$R$4:$W$4,0))))</f>
        <v>0</v>
      </c>
      <c r="T17">
        <f ca="1">IF($C17-T$1&lt;År1,0,S16*(1-VLOOKUP($A17,[1]Hugst!$R$5:$W$9,MATCH(ROUNDUP((T$1)/10,0)*10,[1]Hugst!$R$4:$W$4,0))))</f>
        <v>0</v>
      </c>
      <c r="U17">
        <f ca="1">IF($C17-U$1&lt;År1,0,T16*(1-VLOOKUP($A17,[1]Hugst!$R$5:$W$9,MATCH(ROUNDUP((U$1)/10,0)*10,[1]Hugst!$R$4:$W$4,0))))</f>
        <v>0</v>
      </c>
      <c r="V17">
        <f>IF($C17-V$1&lt;År1,0,U16*(1-VLOOKUP($A17,[1]Hugst!$R$5:$W$9,MATCH(ROUNDUP((V$1)/10,0)*10,[1]Hugst!$R$4:$W$4,0))))</f>
        <v>0</v>
      </c>
      <c r="W17">
        <f>IF($C17-W$1&lt;År1,0,V16*(1-VLOOKUP($A17,[1]Hugst!$R$5:$W$9,MATCH(ROUNDUP((W$1)/10,0)*10,[1]Hugst!$R$4:$W$4,0))))</f>
        <v>0</v>
      </c>
      <c r="X17">
        <f>IF($C17-X$1&lt;År1,0,W16*(1-VLOOKUP($A17,[1]Hugst!$R$5:$W$9,MATCH(ROUNDUP((X$1)/10,0)*10,[1]Hugst!$R$4:$W$4,0))))</f>
        <v>0</v>
      </c>
      <c r="Y17">
        <f>IF($C17-Y$1&lt;År1,0,X16*(1-VLOOKUP($A17,[1]Hugst!$R$5:$W$9,MATCH(ROUNDUP((Y$1)/10,0)*10,[1]Hugst!$R$4:$W$4,0))))</f>
        <v>0</v>
      </c>
      <c r="Z17">
        <f>IF($C17-Z$1&lt;År1,0,Y16*(1-VLOOKUP($A17,[1]Hugst!$R$5:$W$9,MATCH(ROUNDUP((Z$1)/10,0)*10,[1]Hugst!$R$4:$W$4,0))))</f>
        <v>0</v>
      </c>
      <c r="AA17">
        <f>IF($C17-AA$1&lt;År1,0,Z16*(1-VLOOKUP($A17,[1]Hugst!$R$5:$W$9,MATCH(ROUNDUP((AA$1)/10,0)*10,[1]Hugst!$R$4:$W$4,0))))</f>
        <v>0</v>
      </c>
      <c r="AB17">
        <f>IF($C17-AB$1&lt;År1,0,AA16*(1-VLOOKUP($A17,[1]Hugst!$R$5:$W$9,MATCH(ROUNDUP((AB$1)/10,0)*10,[1]Hugst!$R$4:$W$4,0))))</f>
        <v>0</v>
      </c>
      <c r="AC17">
        <f>IF($C17-AC$1&lt;År1,0,AB16*(1-VLOOKUP($A17,[1]Hugst!$R$5:$W$9,MATCH(ROUNDUP((AC$1)/10,0)*10,[1]Hugst!$R$4:$W$4,0))))</f>
        <v>0</v>
      </c>
      <c r="AD17">
        <f>IF($C17-AD$1&lt;År1,0,AC16*(1-VLOOKUP($A17,[1]Hugst!$R$5:$W$9,MATCH(ROUNDUP((AD$1)/10,0)*10,[1]Hugst!$R$4:$W$4,0))))</f>
        <v>0</v>
      </c>
      <c r="AE17">
        <f>IF($C17-AE$1&lt;År1,0,AD16*(1-VLOOKUP($A17,[1]Hugst!$R$5:$W$9,MATCH(ROUNDUP((AE$1)/10,0)*10,[1]Hugst!$R$4:$W$4,0))))</f>
        <v>0</v>
      </c>
      <c r="AF17">
        <f>IF($C17-AF$1&lt;År1,0,AE16*(1-VLOOKUP($A17,[1]Hugst!$R$5:$W$9,MATCH(ROUNDUP((AF$1)/10,0)*10,[1]Hugst!$R$4:$W$4,0))))</f>
        <v>0</v>
      </c>
      <c r="AG17">
        <f>IF($C17-AG$1&lt;År1,0,AF16*(1-VLOOKUP($A17,[1]Hugst!$R$5:$W$9,MATCH(ROUNDUP((AG$1)/10,0)*10,[1]Hugst!$R$4:$W$4,0))))</f>
        <v>0</v>
      </c>
      <c r="AH17">
        <f>IF($C17-AH$1&lt;År1,0,AG16*(1-VLOOKUP($A17,[1]Hugst!$R$5:$W$9,MATCH(ROUNDUP((AH$1)/10,0)*10,[1]Hugst!$R$4:$W$4,0))))</f>
        <v>0</v>
      </c>
      <c r="AI17">
        <f>IF($C17-AI$1&lt;År1,0,AH16*(1-VLOOKUP($A17,[1]Hugst!$R$5:$W$9,MATCH(ROUNDUP((AI$1)/10,0)*10,[1]Hugst!$R$4:$W$4,0))))</f>
        <v>0</v>
      </c>
      <c r="AJ17">
        <f>IF($C17-AJ$1&lt;År1,0,AI16*(1-VLOOKUP($A17,[1]Hugst!$R$5:$W$9,MATCH(ROUNDUP((AJ$1)/10,0)*10,[1]Hugst!$R$4:$W$4,0))))</f>
        <v>0</v>
      </c>
    </row>
    <row r="18" spans="1:38" x14ac:dyDescent="0.25">
      <c r="A18" t="s">
        <v>176</v>
      </c>
      <c r="B18" t="s">
        <v>23</v>
      </c>
      <c r="C18">
        <v>2036</v>
      </c>
      <c r="D1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0</v>
      </c>
      <c r="E18">
        <f t="shared" ca="1" si="0"/>
        <v>0</v>
      </c>
      <c r="F1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>
        <f ca="1">IF($C18-G$1&lt;År1,0,F17*(1-VLOOKUP($A18,[1]Hugst!$R$5:$W$9,MATCH(ROUNDUP((G$1)/10,0)*10,[1]Hugst!$R$4:$W$4,0))))</f>
        <v>0</v>
      </c>
      <c r="H18">
        <f ca="1">IF($C18-H$1&lt;År1,0,G17*(1-VLOOKUP($A18,[1]Hugst!$R$5:$W$9,MATCH(ROUNDUP((H$1)/10,0)*10,[1]Hugst!$R$4:$W$4,0))))</f>
        <v>0</v>
      </c>
      <c r="I18">
        <f ca="1">IF($C18-I$1&lt;År1,0,H17*(1-VLOOKUP($A18,[1]Hugst!$R$5:$W$9,MATCH(ROUNDUP((I$1)/10,0)*10,[1]Hugst!$R$4:$W$4,0))))</f>
        <v>0</v>
      </c>
      <c r="J18">
        <f ca="1">IF($C18-J$1&lt;År1,0,I17*(1-VLOOKUP($A18,[1]Hugst!$R$5:$W$9,MATCH(ROUNDUP((J$1)/10,0)*10,[1]Hugst!$R$4:$W$4,0))))</f>
        <v>0</v>
      </c>
      <c r="K18">
        <f ca="1">IF($C18-K$1&lt;År1,0,J17*(1-VLOOKUP($A18,[1]Hugst!$R$5:$W$9,MATCH(ROUNDUP((K$1)/10,0)*10,[1]Hugst!$R$4:$W$4,0))))</f>
        <v>0</v>
      </c>
      <c r="L18">
        <f ca="1">IF($C18-L$1&lt;År1,0,K17*(1-VLOOKUP($A18,[1]Hugst!$R$5:$W$9,MATCH(ROUNDUP((L$1)/10,0)*10,[1]Hugst!$R$4:$W$4,0))))</f>
        <v>0</v>
      </c>
      <c r="M18">
        <f ca="1">IF($C18-M$1&lt;År1,0,L17*(1-VLOOKUP($A18,[1]Hugst!$R$5:$W$9,MATCH(ROUNDUP((M$1)/10,0)*10,[1]Hugst!$R$4:$W$4,0))))</f>
        <v>0</v>
      </c>
      <c r="N18">
        <f ca="1">IF($C18-N$1&lt;År1,0,M17*(1-VLOOKUP($A18,[1]Hugst!$R$5:$W$9,MATCH(ROUNDUP((N$1)/10,0)*10,[1]Hugst!$R$4:$W$4,0))))</f>
        <v>0</v>
      </c>
      <c r="O18">
        <f ca="1">IF($C18-O$1&lt;År1,0,N17*(1-VLOOKUP($A18,[1]Hugst!$R$5:$W$9,MATCH(ROUNDUP((O$1)/10,0)*10,[1]Hugst!$R$4:$W$4,0))))</f>
        <v>0</v>
      </c>
      <c r="P18">
        <f ca="1">IF($C18-P$1&lt;År1,0,O17*(1-VLOOKUP($A18,[1]Hugst!$R$5:$W$9,MATCH(ROUNDUP((P$1)/10,0)*10,[1]Hugst!$R$4:$W$4,0))))</f>
        <v>0</v>
      </c>
      <c r="Q18">
        <f ca="1">IF($C18-Q$1&lt;År1,0,P17*(1-VLOOKUP($A18,[1]Hugst!$R$5:$W$9,MATCH(ROUNDUP((Q$1)/10,0)*10,[1]Hugst!$R$4:$W$4,0))))</f>
        <v>0</v>
      </c>
      <c r="R18">
        <f ca="1">IF($C18-R$1&lt;År1,0,Q17*(1-VLOOKUP($A18,[1]Hugst!$R$5:$W$9,MATCH(ROUNDUP((R$1)/10,0)*10,[1]Hugst!$R$4:$W$4,0))))</f>
        <v>0</v>
      </c>
      <c r="S18">
        <f ca="1">IF($C18-S$1&lt;År1,0,R17*(1-VLOOKUP($A18,[1]Hugst!$R$5:$W$9,MATCH(ROUNDUP((S$1)/10,0)*10,[1]Hugst!$R$4:$W$4,0))))</f>
        <v>0</v>
      </c>
      <c r="T18">
        <f ca="1">IF($C18-T$1&lt;År1,0,S17*(1-VLOOKUP($A18,[1]Hugst!$R$5:$W$9,MATCH(ROUNDUP((T$1)/10,0)*10,[1]Hugst!$R$4:$W$4,0))))</f>
        <v>0</v>
      </c>
      <c r="U18">
        <f ca="1">IF($C18-U$1&lt;År1,0,T17*(1-VLOOKUP($A18,[1]Hugst!$R$5:$W$9,MATCH(ROUNDUP((U$1)/10,0)*10,[1]Hugst!$R$4:$W$4,0))))</f>
        <v>0</v>
      </c>
      <c r="V18">
        <f ca="1">IF($C18-V$1&lt;År1,0,U17*(1-VLOOKUP($A18,[1]Hugst!$R$5:$W$9,MATCH(ROUNDUP((V$1)/10,0)*10,[1]Hugst!$R$4:$W$4,0))))</f>
        <v>0</v>
      </c>
      <c r="W18">
        <f>IF($C18-W$1&lt;År1,0,V17*(1-VLOOKUP($A18,[1]Hugst!$R$5:$W$9,MATCH(ROUNDUP((W$1)/10,0)*10,[1]Hugst!$R$4:$W$4,0))))</f>
        <v>0</v>
      </c>
      <c r="X18">
        <f>IF($C18-X$1&lt;År1,0,W17*(1-VLOOKUP($A18,[1]Hugst!$R$5:$W$9,MATCH(ROUNDUP((X$1)/10,0)*10,[1]Hugst!$R$4:$W$4,0))))</f>
        <v>0</v>
      </c>
      <c r="Y18">
        <f>IF($C18-Y$1&lt;År1,0,X17*(1-VLOOKUP($A18,[1]Hugst!$R$5:$W$9,MATCH(ROUNDUP((Y$1)/10,0)*10,[1]Hugst!$R$4:$W$4,0))))</f>
        <v>0</v>
      </c>
      <c r="Z18">
        <f>IF($C18-Z$1&lt;År1,0,Y17*(1-VLOOKUP($A18,[1]Hugst!$R$5:$W$9,MATCH(ROUNDUP((Z$1)/10,0)*10,[1]Hugst!$R$4:$W$4,0))))</f>
        <v>0</v>
      </c>
      <c r="AA18">
        <f>IF($C18-AA$1&lt;År1,0,Z17*(1-VLOOKUP($A18,[1]Hugst!$R$5:$W$9,MATCH(ROUNDUP((AA$1)/10,0)*10,[1]Hugst!$R$4:$W$4,0))))</f>
        <v>0</v>
      </c>
      <c r="AB18">
        <f>IF($C18-AB$1&lt;År1,0,AA17*(1-VLOOKUP($A18,[1]Hugst!$R$5:$W$9,MATCH(ROUNDUP((AB$1)/10,0)*10,[1]Hugst!$R$4:$W$4,0))))</f>
        <v>0</v>
      </c>
      <c r="AC18">
        <f>IF($C18-AC$1&lt;År1,0,AB17*(1-VLOOKUP($A18,[1]Hugst!$R$5:$W$9,MATCH(ROUNDUP((AC$1)/10,0)*10,[1]Hugst!$R$4:$W$4,0))))</f>
        <v>0</v>
      </c>
      <c r="AD18">
        <f>IF($C18-AD$1&lt;År1,0,AC17*(1-VLOOKUP($A18,[1]Hugst!$R$5:$W$9,MATCH(ROUNDUP((AD$1)/10,0)*10,[1]Hugst!$R$4:$W$4,0))))</f>
        <v>0</v>
      </c>
      <c r="AE18">
        <f>IF($C18-AE$1&lt;År1,0,AD17*(1-VLOOKUP($A18,[1]Hugst!$R$5:$W$9,MATCH(ROUNDUP((AE$1)/10,0)*10,[1]Hugst!$R$4:$W$4,0))))</f>
        <v>0</v>
      </c>
      <c r="AF18">
        <f>IF($C18-AF$1&lt;År1,0,AE17*(1-VLOOKUP($A18,[1]Hugst!$R$5:$W$9,MATCH(ROUNDUP((AF$1)/10,0)*10,[1]Hugst!$R$4:$W$4,0))))</f>
        <v>0</v>
      </c>
      <c r="AG18">
        <f>IF($C18-AG$1&lt;År1,0,AF17*(1-VLOOKUP($A18,[1]Hugst!$R$5:$W$9,MATCH(ROUNDUP((AG$1)/10,0)*10,[1]Hugst!$R$4:$W$4,0))))</f>
        <v>0</v>
      </c>
      <c r="AH18">
        <f>IF($C18-AH$1&lt;År1,0,AG17*(1-VLOOKUP($A18,[1]Hugst!$R$5:$W$9,MATCH(ROUNDUP((AH$1)/10,0)*10,[1]Hugst!$R$4:$W$4,0))))</f>
        <v>0</v>
      </c>
      <c r="AI18">
        <f>IF($C18-AI$1&lt;År1,0,AH17*(1-VLOOKUP($A18,[1]Hugst!$R$5:$W$9,MATCH(ROUNDUP((AI$1)/10,0)*10,[1]Hugst!$R$4:$W$4,0))))</f>
        <v>0</v>
      </c>
      <c r="AJ18">
        <f>IF($C18-AJ$1&lt;År1,0,AI17*(1-VLOOKUP($A18,[1]Hugst!$R$5:$W$9,MATCH(ROUNDUP((AJ$1)/10,0)*10,[1]Hugst!$R$4:$W$4,0))))</f>
        <v>0</v>
      </c>
    </row>
    <row r="19" spans="1:38" x14ac:dyDescent="0.25">
      <c r="A19" t="s">
        <v>176</v>
      </c>
      <c r="B19" t="s">
        <v>23</v>
      </c>
      <c r="C19">
        <v>2037</v>
      </c>
      <c r="D19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0</v>
      </c>
      <c r="E19">
        <f t="shared" ca="1" si="0"/>
        <v>0</v>
      </c>
      <c r="F1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>
        <f ca="1">IF($C19-G$1&lt;År1,0,F18*(1-VLOOKUP($A19,[1]Hugst!$R$5:$W$9,MATCH(ROUNDUP((G$1)/10,0)*10,[1]Hugst!$R$4:$W$4,0))))</f>
        <v>0</v>
      </c>
      <c r="H19">
        <f ca="1">IF($C19-H$1&lt;År1,0,G18*(1-VLOOKUP($A19,[1]Hugst!$R$5:$W$9,MATCH(ROUNDUP((H$1)/10,0)*10,[1]Hugst!$R$4:$W$4,0))))</f>
        <v>0</v>
      </c>
      <c r="I19">
        <f ca="1">IF($C19-I$1&lt;År1,0,H18*(1-VLOOKUP($A19,[1]Hugst!$R$5:$W$9,MATCH(ROUNDUP((I$1)/10,0)*10,[1]Hugst!$R$4:$W$4,0))))</f>
        <v>0</v>
      </c>
      <c r="J19">
        <f ca="1">IF($C19-J$1&lt;År1,0,I18*(1-VLOOKUP($A19,[1]Hugst!$R$5:$W$9,MATCH(ROUNDUP((J$1)/10,0)*10,[1]Hugst!$R$4:$W$4,0))))</f>
        <v>0</v>
      </c>
      <c r="K19">
        <f ca="1">IF($C19-K$1&lt;År1,0,J18*(1-VLOOKUP($A19,[1]Hugst!$R$5:$W$9,MATCH(ROUNDUP((K$1)/10,0)*10,[1]Hugst!$R$4:$W$4,0))))</f>
        <v>0</v>
      </c>
      <c r="L19">
        <f ca="1">IF($C19-L$1&lt;År1,0,K18*(1-VLOOKUP($A19,[1]Hugst!$R$5:$W$9,MATCH(ROUNDUP((L$1)/10,0)*10,[1]Hugst!$R$4:$W$4,0))))</f>
        <v>0</v>
      </c>
      <c r="M19">
        <f ca="1">IF($C19-M$1&lt;År1,0,L18*(1-VLOOKUP($A19,[1]Hugst!$R$5:$W$9,MATCH(ROUNDUP((M$1)/10,0)*10,[1]Hugst!$R$4:$W$4,0))))</f>
        <v>0</v>
      </c>
      <c r="N19">
        <f ca="1">IF($C19-N$1&lt;År1,0,M18*(1-VLOOKUP($A19,[1]Hugst!$R$5:$W$9,MATCH(ROUNDUP((N$1)/10,0)*10,[1]Hugst!$R$4:$W$4,0))))</f>
        <v>0</v>
      </c>
      <c r="O19">
        <f ca="1">IF($C19-O$1&lt;År1,0,N18*(1-VLOOKUP($A19,[1]Hugst!$R$5:$W$9,MATCH(ROUNDUP((O$1)/10,0)*10,[1]Hugst!$R$4:$W$4,0))))</f>
        <v>0</v>
      </c>
      <c r="P19">
        <f ca="1">IF($C19-P$1&lt;År1,0,O18*(1-VLOOKUP($A19,[1]Hugst!$R$5:$W$9,MATCH(ROUNDUP((P$1)/10,0)*10,[1]Hugst!$R$4:$W$4,0))))</f>
        <v>0</v>
      </c>
      <c r="Q19">
        <f ca="1">IF($C19-Q$1&lt;År1,0,P18*(1-VLOOKUP($A19,[1]Hugst!$R$5:$W$9,MATCH(ROUNDUP((Q$1)/10,0)*10,[1]Hugst!$R$4:$W$4,0))))</f>
        <v>0</v>
      </c>
      <c r="R19">
        <f ca="1">IF($C19-R$1&lt;År1,0,Q18*(1-VLOOKUP($A19,[1]Hugst!$R$5:$W$9,MATCH(ROUNDUP((R$1)/10,0)*10,[1]Hugst!$R$4:$W$4,0))))</f>
        <v>0</v>
      </c>
      <c r="S19">
        <f ca="1">IF($C19-S$1&lt;År1,0,R18*(1-VLOOKUP($A19,[1]Hugst!$R$5:$W$9,MATCH(ROUNDUP((S$1)/10,0)*10,[1]Hugst!$R$4:$W$4,0))))</f>
        <v>0</v>
      </c>
      <c r="T19">
        <f ca="1">IF($C19-T$1&lt;År1,0,S18*(1-VLOOKUP($A19,[1]Hugst!$R$5:$W$9,MATCH(ROUNDUP((T$1)/10,0)*10,[1]Hugst!$R$4:$W$4,0))))</f>
        <v>0</v>
      </c>
      <c r="U19">
        <f ca="1">IF($C19-U$1&lt;År1,0,T18*(1-VLOOKUP($A19,[1]Hugst!$R$5:$W$9,MATCH(ROUNDUP((U$1)/10,0)*10,[1]Hugst!$R$4:$W$4,0))))</f>
        <v>0</v>
      </c>
      <c r="V19">
        <f ca="1">IF($C19-V$1&lt;År1,0,U18*(1-VLOOKUP($A19,[1]Hugst!$R$5:$W$9,MATCH(ROUNDUP((V$1)/10,0)*10,[1]Hugst!$R$4:$W$4,0))))</f>
        <v>0</v>
      </c>
      <c r="W19">
        <f ca="1">IF($C19-W$1&lt;År1,0,V18*(1-VLOOKUP($A19,[1]Hugst!$R$5:$W$9,MATCH(ROUNDUP((W$1)/10,0)*10,[1]Hugst!$R$4:$W$4,0))))</f>
        <v>0</v>
      </c>
      <c r="X19">
        <f>IF($C19-X$1&lt;År1,0,W18*(1-VLOOKUP($A19,[1]Hugst!$R$5:$W$9,MATCH(ROUNDUP((X$1)/10,0)*10,[1]Hugst!$R$4:$W$4,0))))</f>
        <v>0</v>
      </c>
      <c r="Y19">
        <f>IF($C19-Y$1&lt;År1,0,X18*(1-VLOOKUP($A19,[1]Hugst!$R$5:$W$9,MATCH(ROUNDUP((Y$1)/10,0)*10,[1]Hugst!$R$4:$W$4,0))))</f>
        <v>0</v>
      </c>
      <c r="Z19">
        <f>IF($C19-Z$1&lt;År1,0,Y18*(1-VLOOKUP($A19,[1]Hugst!$R$5:$W$9,MATCH(ROUNDUP((Z$1)/10,0)*10,[1]Hugst!$R$4:$W$4,0))))</f>
        <v>0</v>
      </c>
      <c r="AA19">
        <f>IF($C19-AA$1&lt;År1,0,Z18*(1-VLOOKUP($A19,[1]Hugst!$R$5:$W$9,MATCH(ROUNDUP((AA$1)/10,0)*10,[1]Hugst!$R$4:$W$4,0))))</f>
        <v>0</v>
      </c>
      <c r="AB19">
        <f>IF($C19-AB$1&lt;År1,0,AA18*(1-VLOOKUP($A19,[1]Hugst!$R$5:$W$9,MATCH(ROUNDUP((AB$1)/10,0)*10,[1]Hugst!$R$4:$W$4,0))))</f>
        <v>0</v>
      </c>
      <c r="AC19">
        <f>IF($C19-AC$1&lt;År1,0,AB18*(1-VLOOKUP($A19,[1]Hugst!$R$5:$W$9,MATCH(ROUNDUP((AC$1)/10,0)*10,[1]Hugst!$R$4:$W$4,0))))</f>
        <v>0</v>
      </c>
      <c r="AD19">
        <f>IF($C19-AD$1&lt;År1,0,AC18*(1-VLOOKUP($A19,[1]Hugst!$R$5:$W$9,MATCH(ROUNDUP((AD$1)/10,0)*10,[1]Hugst!$R$4:$W$4,0))))</f>
        <v>0</v>
      </c>
      <c r="AE19">
        <f>IF($C19-AE$1&lt;År1,0,AD18*(1-VLOOKUP($A19,[1]Hugst!$R$5:$W$9,MATCH(ROUNDUP((AE$1)/10,0)*10,[1]Hugst!$R$4:$W$4,0))))</f>
        <v>0</v>
      </c>
      <c r="AF19">
        <f>IF($C19-AF$1&lt;År1,0,AE18*(1-VLOOKUP($A19,[1]Hugst!$R$5:$W$9,MATCH(ROUNDUP((AF$1)/10,0)*10,[1]Hugst!$R$4:$W$4,0))))</f>
        <v>0</v>
      </c>
      <c r="AG19">
        <f>IF($C19-AG$1&lt;År1,0,AF18*(1-VLOOKUP($A19,[1]Hugst!$R$5:$W$9,MATCH(ROUNDUP((AG$1)/10,0)*10,[1]Hugst!$R$4:$W$4,0))))</f>
        <v>0</v>
      </c>
      <c r="AH19">
        <f>IF($C19-AH$1&lt;År1,0,AG18*(1-VLOOKUP($A19,[1]Hugst!$R$5:$W$9,MATCH(ROUNDUP((AH$1)/10,0)*10,[1]Hugst!$R$4:$W$4,0))))</f>
        <v>0</v>
      </c>
      <c r="AI19">
        <f>IF($C19-AI$1&lt;År1,0,AH18*(1-VLOOKUP($A19,[1]Hugst!$R$5:$W$9,MATCH(ROUNDUP((AI$1)/10,0)*10,[1]Hugst!$R$4:$W$4,0))))</f>
        <v>0</v>
      </c>
      <c r="AJ19">
        <f>IF($C19-AJ$1&lt;År1,0,AI18*(1-VLOOKUP($A19,[1]Hugst!$R$5:$W$9,MATCH(ROUNDUP((AJ$1)/10,0)*10,[1]Hugst!$R$4:$W$4,0))))</f>
        <v>0</v>
      </c>
    </row>
    <row r="20" spans="1:38" x14ac:dyDescent="0.25">
      <c r="A20" t="s">
        <v>176</v>
      </c>
      <c r="B20" t="s">
        <v>23</v>
      </c>
      <c r="C20">
        <v>2038</v>
      </c>
      <c r="D20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0</v>
      </c>
      <c r="E20">
        <f t="shared" ca="1" si="0"/>
        <v>0</v>
      </c>
      <c r="F20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>
        <f ca="1">IF($C20-G$1&lt;År1,0,F19*(1-VLOOKUP($A20,[1]Hugst!$R$5:$W$9,MATCH(ROUNDUP((G$1)/10,0)*10,[1]Hugst!$R$4:$W$4,0))))</f>
        <v>0</v>
      </c>
      <c r="H20">
        <f ca="1">IF($C20-H$1&lt;År1,0,G19*(1-VLOOKUP($A20,[1]Hugst!$R$5:$W$9,MATCH(ROUNDUP((H$1)/10,0)*10,[1]Hugst!$R$4:$W$4,0))))</f>
        <v>0</v>
      </c>
      <c r="I20">
        <f ca="1">IF($C20-I$1&lt;År1,0,H19*(1-VLOOKUP($A20,[1]Hugst!$R$5:$W$9,MATCH(ROUNDUP((I$1)/10,0)*10,[1]Hugst!$R$4:$W$4,0))))</f>
        <v>0</v>
      </c>
      <c r="J20">
        <f ca="1">IF($C20-J$1&lt;År1,0,I19*(1-VLOOKUP($A20,[1]Hugst!$R$5:$W$9,MATCH(ROUNDUP((J$1)/10,0)*10,[1]Hugst!$R$4:$W$4,0))))</f>
        <v>0</v>
      </c>
      <c r="K20">
        <f ca="1">IF($C20-K$1&lt;År1,0,J19*(1-VLOOKUP($A20,[1]Hugst!$R$5:$W$9,MATCH(ROUNDUP((K$1)/10,0)*10,[1]Hugst!$R$4:$W$4,0))))</f>
        <v>0</v>
      </c>
      <c r="L20">
        <f ca="1">IF($C20-L$1&lt;År1,0,K19*(1-VLOOKUP($A20,[1]Hugst!$R$5:$W$9,MATCH(ROUNDUP((L$1)/10,0)*10,[1]Hugst!$R$4:$W$4,0))))</f>
        <v>0</v>
      </c>
      <c r="M20">
        <f ca="1">IF($C20-M$1&lt;År1,0,L19*(1-VLOOKUP($A20,[1]Hugst!$R$5:$W$9,MATCH(ROUNDUP((M$1)/10,0)*10,[1]Hugst!$R$4:$W$4,0))))</f>
        <v>0</v>
      </c>
      <c r="N20">
        <f ca="1">IF($C20-N$1&lt;År1,0,M19*(1-VLOOKUP($A20,[1]Hugst!$R$5:$W$9,MATCH(ROUNDUP((N$1)/10,0)*10,[1]Hugst!$R$4:$W$4,0))))</f>
        <v>0</v>
      </c>
      <c r="O20">
        <f ca="1">IF($C20-O$1&lt;År1,0,N19*(1-VLOOKUP($A20,[1]Hugst!$R$5:$W$9,MATCH(ROUNDUP((O$1)/10,0)*10,[1]Hugst!$R$4:$W$4,0))))</f>
        <v>0</v>
      </c>
      <c r="P20">
        <f ca="1">IF($C20-P$1&lt;År1,0,O19*(1-VLOOKUP($A20,[1]Hugst!$R$5:$W$9,MATCH(ROUNDUP((P$1)/10,0)*10,[1]Hugst!$R$4:$W$4,0))))</f>
        <v>0</v>
      </c>
      <c r="Q20">
        <f ca="1">IF($C20-Q$1&lt;År1,0,P19*(1-VLOOKUP($A20,[1]Hugst!$R$5:$W$9,MATCH(ROUNDUP((Q$1)/10,0)*10,[1]Hugst!$R$4:$W$4,0))))</f>
        <v>0</v>
      </c>
      <c r="R20">
        <f ca="1">IF($C20-R$1&lt;År1,0,Q19*(1-VLOOKUP($A20,[1]Hugst!$R$5:$W$9,MATCH(ROUNDUP((R$1)/10,0)*10,[1]Hugst!$R$4:$W$4,0))))</f>
        <v>0</v>
      </c>
      <c r="S20">
        <f ca="1">IF($C20-S$1&lt;År1,0,R19*(1-VLOOKUP($A20,[1]Hugst!$R$5:$W$9,MATCH(ROUNDUP((S$1)/10,0)*10,[1]Hugst!$R$4:$W$4,0))))</f>
        <v>0</v>
      </c>
      <c r="T20">
        <f ca="1">IF($C20-T$1&lt;År1,0,S19*(1-VLOOKUP($A20,[1]Hugst!$R$5:$W$9,MATCH(ROUNDUP((T$1)/10,0)*10,[1]Hugst!$R$4:$W$4,0))))</f>
        <v>0</v>
      </c>
      <c r="U20">
        <f ca="1">IF($C20-U$1&lt;År1,0,T19*(1-VLOOKUP($A20,[1]Hugst!$R$5:$W$9,MATCH(ROUNDUP((U$1)/10,0)*10,[1]Hugst!$R$4:$W$4,0))))</f>
        <v>0</v>
      </c>
      <c r="V20">
        <f ca="1">IF($C20-V$1&lt;År1,0,U19*(1-VLOOKUP($A20,[1]Hugst!$R$5:$W$9,MATCH(ROUNDUP((V$1)/10,0)*10,[1]Hugst!$R$4:$W$4,0))))</f>
        <v>0</v>
      </c>
      <c r="W20">
        <f ca="1">IF($C20-W$1&lt;År1,0,V19*(1-VLOOKUP($A20,[1]Hugst!$R$5:$W$9,MATCH(ROUNDUP((W$1)/10,0)*10,[1]Hugst!$R$4:$W$4,0))))</f>
        <v>0</v>
      </c>
      <c r="X20">
        <f ca="1">IF($C20-X$1&lt;År1,0,W19*(1-VLOOKUP($A20,[1]Hugst!$R$5:$W$9,MATCH(ROUNDUP((X$1)/10,0)*10,[1]Hugst!$R$4:$W$4,0))))</f>
        <v>0</v>
      </c>
      <c r="Y20">
        <f>IF($C20-Y$1&lt;År1,0,X19*(1-VLOOKUP($A20,[1]Hugst!$R$5:$W$9,MATCH(ROUNDUP((Y$1)/10,0)*10,[1]Hugst!$R$4:$W$4,0))))</f>
        <v>0</v>
      </c>
      <c r="Z20">
        <f>IF($C20-Z$1&lt;År1,0,Y19*(1-VLOOKUP($A20,[1]Hugst!$R$5:$W$9,MATCH(ROUNDUP((Z$1)/10,0)*10,[1]Hugst!$R$4:$W$4,0))))</f>
        <v>0</v>
      </c>
      <c r="AA20">
        <f>IF($C20-AA$1&lt;År1,0,Z19*(1-VLOOKUP($A20,[1]Hugst!$R$5:$W$9,MATCH(ROUNDUP((AA$1)/10,0)*10,[1]Hugst!$R$4:$W$4,0))))</f>
        <v>0</v>
      </c>
      <c r="AB20">
        <f>IF($C20-AB$1&lt;År1,0,AA19*(1-VLOOKUP($A20,[1]Hugst!$R$5:$W$9,MATCH(ROUNDUP((AB$1)/10,0)*10,[1]Hugst!$R$4:$W$4,0))))</f>
        <v>0</v>
      </c>
      <c r="AC20">
        <f>IF($C20-AC$1&lt;År1,0,AB19*(1-VLOOKUP($A20,[1]Hugst!$R$5:$W$9,MATCH(ROUNDUP((AC$1)/10,0)*10,[1]Hugst!$R$4:$W$4,0))))</f>
        <v>0</v>
      </c>
      <c r="AD20">
        <f>IF($C20-AD$1&lt;År1,0,AC19*(1-VLOOKUP($A20,[1]Hugst!$R$5:$W$9,MATCH(ROUNDUP((AD$1)/10,0)*10,[1]Hugst!$R$4:$W$4,0))))</f>
        <v>0</v>
      </c>
      <c r="AE20">
        <f>IF($C20-AE$1&lt;År1,0,AD19*(1-VLOOKUP($A20,[1]Hugst!$R$5:$W$9,MATCH(ROUNDUP((AE$1)/10,0)*10,[1]Hugst!$R$4:$W$4,0))))</f>
        <v>0</v>
      </c>
      <c r="AF20">
        <f>IF($C20-AF$1&lt;År1,0,AE19*(1-VLOOKUP($A20,[1]Hugst!$R$5:$W$9,MATCH(ROUNDUP((AF$1)/10,0)*10,[1]Hugst!$R$4:$W$4,0))))</f>
        <v>0</v>
      </c>
      <c r="AG20">
        <f>IF($C20-AG$1&lt;År1,0,AF19*(1-VLOOKUP($A20,[1]Hugst!$R$5:$W$9,MATCH(ROUNDUP((AG$1)/10,0)*10,[1]Hugst!$R$4:$W$4,0))))</f>
        <v>0</v>
      </c>
      <c r="AH20">
        <f>IF($C20-AH$1&lt;År1,0,AG19*(1-VLOOKUP($A20,[1]Hugst!$R$5:$W$9,MATCH(ROUNDUP((AH$1)/10,0)*10,[1]Hugst!$R$4:$W$4,0))))</f>
        <v>0</v>
      </c>
      <c r="AI20">
        <f>IF($C20-AI$1&lt;År1,0,AH19*(1-VLOOKUP($A20,[1]Hugst!$R$5:$W$9,MATCH(ROUNDUP((AI$1)/10,0)*10,[1]Hugst!$R$4:$W$4,0))))</f>
        <v>0</v>
      </c>
      <c r="AJ20">
        <f>IF($C20-AJ$1&lt;År1,0,AI19*(1-VLOOKUP($A20,[1]Hugst!$R$5:$W$9,MATCH(ROUNDUP((AJ$1)/10,0)*10,[1]Hugst!$R$4:$W$4,0))))</f>
        <v>0</v>
      </c>
    </row>
    <row r="21" spans="1:38" x14ac:dyDescent="0.25">
      <c r="A21" t="s">
        <v>176</v>
      </c>
      <c r="B21" t="s">
        <v>23</v>
      </c>
      <c r="C21">
        <v>2039</v>
      </c>
      <c r="D21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0</v>
      </c>
      <c r="E21">
        <f t="shared" ca="1" si="0"/>
        <v>0</v>
      </c>
      <c r="F21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>
        <f ca="1">IF($C21-G$1&lt;År1,0,F20*(1-VLOOKUP($A21,[1]Hugst!$R$5:$W$9,MATCH(ROUNDUP((G$1)/10,0)*10,[1]Hugst!$R$4:$W$4,0))))</f>
        <v>0</v>
      </c>
      <c r="H21">
        <f ca="1">IF($C21-H$1&lt;År1,0,G20*(1-VLOOKUP($A21,[1]Hugst!$R$5:$W$9,MATCH(ROUNDUP((H$1)/10,0)*10,[1]Hugst!$R$4:$W$4,0))))</f>
        <v>0</v>
      </c>
      <c r="I21">
        <f ca="1">IF($C21-I$1&lt;År1,0,H20*(1-VLOOKUP($A21,[1]Hugst!$R$5:$W$9,MATCH(ROUNDUP((I$1)/10,0)*10,[1]Hugst!$R$4:$W$4,0))))</f>
        <v>0</v>
      </c>
      <c r="J21">
        <f ca="1">IF($C21-J$1&lt;År1,0,I20*(1-VLOOKUP($A21,[1]Hugst!$R$5:$W$9,MATCH(ROUNDUP((J$1)/10,0)*10,[1]Hugst!$R$4:$W$4,0))))</f>
        <v>0</v>
      </c>
      <c r="K21">
        <f ca="1">IF($C21-K$1&lt;År1,0,J20*(1-VLOOKUP($A21,[1]Hugst!$R$5:$W$9,MATCH(ROUNDUP((K$1)/10,0)*10,[1]Hugst!$R$4:$W$4,0))))</f>
        <v>0</v>
      </c>
      <c r="L21">
        <f ca="1">IF($C21-L$1&lt;År1,0,K20*(1-VLOOKUP($A21,[1]Hugst!$R$5:$W$9,MATCH(ROUNDUP((L$1)/10,0)*10,[1]Hugst!$R$4:$W$4,0))))</f>
        <v>0</v>
      </c>
      <c r="M21">
        <f ca="1">IF($C21-M$1&lt;År1,0,L20*(1-VLOOKUP($A21,[1]Hugst!$R$5:$W$9,MATCH(ROUNDUP((M$1)/10,0)*10,[1]Hugst!$R$4:$W$4,0))))</f>
        <v>0</v>
      </c>
      <c r="N21">
        <f ca="1">IF($C21-N$1&lt;År1,0,M20*(1-VLOOKUP($A21,[1]Hugst!$R$5:$W$9,MATCH(ROUNDUP((N$1)/10,0)*10,[1]Hugst!$R$4:$W$4,0))))</f>
        <v>0</v>
      </c>
      <c r="O21">
        <f ca="1">IF($C21-O$1&lt;År1,0,N20*(1-VLOOKUP($A21,[1]Hugst!$R$5:$W$9,MATCH(ROUNDUP((O$1)/10,0)*10,[1]Hugst!$R$4:$W$4,0))))</f>
        <v>0</v>
      </c>
      <c r="P21">
        <f ca="1">IF($C21-P$1&lt;År1,0,O20*(1-VLOOKUP($A21,[1]Hugst!$R$5:$W$9,MATCH(ROUNDUP((P$1)/10,0)*10,[1]Hugst!$R$4:$W$4,0))))</f>
        <v>0</v>
      </c>
      <c r="Q21">
        <f ca="1">IF($C21-Q$1&lt;År1,0,P20*(1-VLOOKUP($A21,[1]Hugst!$R$5:$W$9,MATCH(ROUNDUP((Q$1)/10,0)*10,[1]Hugst!$R$4:$W$4,0))))</f>
        <v>0</v>
      </c>
      <c r="R21">
        <f ca="1">IF($C21-R$1&lt;År1,0,Q20*(1-VLOOKUP($A21,[1]Hugst!$R$5:$W$9,MATCH(ROUNDUP((R$1)/10,0)*10,[1]Hugst!$R$4:$W$4,0))))</f>
        <v>0</v>
      </c>
      <c r="S21">
        <f ca="1">IF($C21-S$1&lt;År1,0,R20*(1-VLOOKUP($A21,[1]Hugst!$R$5:$W$9,MATCH(ROUNDUP((S$1)/10,0)*10,[1]Hugst!$R$4:$W$4,0))))</f>
        <v>0</v>
      </c>
      <c r="T21">
        <f ca="1">IF($C21-T$1&lt;År1,0,S20*(1-VLOOKUP($A21,[1]Hugst!$R$5:$W$9,MATCH(ROUNDUP((T$1)/10,0)*10,[1]Hugst!$R$4:$W$4,0))))</f>
        <v>0</v>
      </c>
      <c r="U21">
        <f ca="1">IF($C21-U$1&lt;År1,0,T20*(1-VLOOKUP($A21,[1]Hugst!$R$5:$W$9,MATCH(ROUNDUP((U$1)/10,0)*10,[1]Hugst!$R$4:$W$4,0))))</f>
        <v>0</v>
      </c>
      <c r="V21">
        <f ca="1">IF($C21-V$1&lt;År1,0,U20*(1-VLOOKUP($A21,[1]Hugst!$R$5:$W$9,MATCH(ROUNDUP((V$1)/10,0)*10,[1]Hugst!$R$4:$W$4,0))))</f>
        <v>0</v>
      </c>
      <c r="W21">
        <f ca="1">IF($C21-W$1&lt;År1,0,V20*(1-VLOOKUP($A21,[1]Hugst!$R$5:$W$9,MATCH(ROUNDUP((W$1)/10,0)*10,[1]Hugst!$R$4:$W$4,0))))</f>
        <v>0</v>
      </c>
      <c r="X21">
        <f ca="1">IF($C21-X$1&lt;År1,0,W20*(1-VLOOKUP($A21,[1]Hugst!$R$5:$W$9,MATCH(ROUNDUP((X$1)/10,0)*10,[1]Hugst!$R$4:$W$4,0))))</f>
        <v>0</v>
      </c>
      <c r="Y21">
        <f ca="1">IF($C21-Y$1&lt;År1,0,X20*(1-VLOOKUP($A21,[1]Hugst!$R$5:$W$9,MATCH(ROUNDUP((Y$1)/10,0)*10,[1]Hugst!$R$4:$W$4,0))))</f>
        <v>0</v>
      </c>
      <c r="Z21">
        <f>IF($C21-Z$1&lt;År1,0,Y20*(1-VLOOKUP($A21,[1]Hugst!$R$5:$W$9,MATCH(ROUNDUP((Z$1)/10,0)*10,[1]Hugst!$R$4:$W$4,0))))</f>
        <v>0</v>
      </c>
      <c r="AA21">
        <f>IF($C21-AA$1&lt;År1,0,Z20*(1-VLOOKUP($A21,[1]Hugst!$R$5:$W$9,MATCH(ROUNDUP((AA$1)/10,0)*10,[1]Hugst!$R$4:$W$4,0))))</f>
        <v>0</v>
      </c>
      <c r="AB21">
        <f>IF($C21-AB$1&lt;År1,0,AA20*(1-VLOOKUP($A21,[1]Hugst!$R$5:$W$9,MATCH(ROUNDUP((AB$1)/10,0)*10,[1]Hugst!$R$4:$W$4,0))))</f>
        <v>0</v>
      </c>
      <c r="AC21">
        <f>IF($C21-AC$1&lt;År1,0,AB20*(1-VLOOKUP($A21,[1]Hugst!$R$5:$W$9,MATCH(ROUNDUP((AC$1)/10,0)*10,[1]Hugst!$R$4:$W$4,0))))</f>
        <v>0</v>
      </c>
      <c r="AD21">
        <f>IF($C21-AD$1&lt;År1,0,AC20*(1-VLOOKUP($A21,[1]Hugst!$R$5:$W$9,MATCH(ROUNDUP((AD$1)/10,0)*10,[1]Hugst!$R$4:$W$4,0))))</f>
        <v>0</v>
      </c>
      <c r="AE21">
        <f>IF($C21-AE$1&lt;År1,0,AD20*(1-VLOOKUP($A21,[1]Hugst!$R$5:$W$9,MATCH(ROUNDUP((AE$1)/10,0)*10,[1]Hugst!$R$4:$W$4,0))))</f>
        <v>0</v>
      </c>
      <c r="AF21">
        <f>IF($C21-AF$1&lt;År1,0,AE20*(1-VLOOKUP($A21,[1]Hugst!$R$5:$W$9,MATCH(ROUNDUP((AF$1)/10,0)*10,[1]Hugst!$R$4:$W$4,0))))</f>
        <v>0</v>
      </c>
      <c r="AG21">
        <f>IF($C21-AG$1&lt;År1,0,AF20*(1-VLOOKUP($A21,[1]Hugst!$R$5:$W$9,MATCH(ROUNDUP((AG$1)/10,0)*10,[1]Hugst!$R$4:$W$4,0))))</f>
        <v>0</v>
      </c>
      <c r="AH21">
        <f>IF($C21-AH$1&lt;År1,0,AG20*(1-VLOOKUP($A21,[1]Hugst!$R$5:$W$9,MATCH(ROUNDUP((AH$1)/10,0)*10,[1]Hugst!$R$4:$W$4,0))))</f>
        <v>0</v>
      </c>
      <c r="AI21">
        <f>IF($C21-AI$1&lt;År1,0,AH20*(1-VLOOKUP($A21,[1]Hugst!$R$5:$W$9,MATCH(ROUNDUP((AI$1)/10,0)*10,[1]Hugst!$R$4:$W$4,0))))</f>
        <v>0</v>
      </c>
      <c r="AJ21">
        <f>IF($C21-AJ$1&lt;År1,0,AI20*(1-VLOOKUP($A21,[1]Hugst!$R$5:$W$9,MATCH(ROUNDUP((AJ$1)/10,0)*10,[1]Hugst!$R$4:$W$4,0))))</f>
        <v>0</v>
      </c>
    </row>
    <row r="22" spans="1:38" x14ac:dyDescent="0.25">
      <c r="A22" t="s">
        <v>176</v>
      </c>
      <c r="B22" t="s">
        <v>23</v>
      </c>
      <c r="C22">
        <v>2040</v>
      </c>
      <c r="D22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0</v>
      </c>
      <c r="E22">
        <f t="shared" ca="1" si="0"/>
        <v>0</v>
      </c>
      <c r="F22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>
        <f ca="1">IF($C22-G$1&lt;År1,0,F21*(1-VLOOKUP($A22,[1]Hugst!$R$5:$W$9,MATCH(ROUNDUP((G$1)/10,0)*10,[1]Hugst!$R$4:$W$4,0))))</f>
        <v>0</v>
      </c>
      <c r="H22">
        <f ca="1">IF($C22-H$1&lt;År1,0,G21*(1-VLOOKUP($A22,[1]Hugst!$R$5:$W$9,MATCH(ROUNDUP((H$1)/10,0)*10,[1]Hugst!$R$4:$W$4,0))))</f>
        <v>0</v>
      </c>
      <c r="I22">
        <f ca="1">IF($C22-I$1&lt;År1,0,H21*(1-VLOOKUP($A22,[1]Hugst!$R$5:$W$9,MATCH(ROUNDUP((I$1)/10,0)*10,[1]Hugst!$R$4:$W$4,0))))</f>
        <v>0</v>
      </c>
      <c r="J22">
        <f ca="1">IF($C22-J$1&lt;År1,0,I21*(1-VLOOKUP($A22,[1]Hugst!$R$5:$W$9,MATCH(ROUNDUP((J$1)/10,0)*10,[1]Hugst!$R$4:$W$4,0))))</f>
        <v>0</v>
      </c>
      <c r="K22">
        <f ca="1">IF($C22-K$1&lt;År1,0,J21*(1-VLOOKUP($A22,[1]Hugst!$R$5:$W$9,MATCH(ROUNDUP((K$1)/10,0)*10,[1]Hugst!$R$4:$W$4,0))))</f>
        <v>0</v>
      </c>
      <c r="L22">
        <f ca="1">IF($C22-L$1&lt;År1,0,K21*(1-VLOOKUP($A22,[1]Hugst!$R$5:$W$9,MATCH(ROUNDUP((L$1)/10,0)*10,[1]Hugst!$R$4:$W$4,0))))</f>
        <v>0</v>
      </c>
      <c r="M22">
        <f ca="1">IF($C22-M$1&lt;År1,0,L21*(1-VLOOKUP($A22,[1]Hugst!$R$5:$W$9,MATCH(ROUNDUP((M$1)/10,0)*10,[1]Hugst!$R$4:$W$4,0))))</f>
        <v>0</v>
      </c>
      <c r="N22">
        <f ca="1">IF($C22-N$1&lt;År1,0,M21*(1-VLOOKUP($A22,[1]Hugst!$R$5:$W$9,MATCH(ROUNDUP((N$1)/10,0)*10,[1]Hugst!$R$4:$W$4,0))))</f>
        <v>0</v>
      </c>
      <c r="O22">
        <f ca="1">IF($C22-O$1&lt;År1,0,N21*(1-VLOOKUP($A22,[1]Hugst!$R$5:$W$9,MATCH(ROUNDUP((O$1)/10,0)*10,[1]Hugst!$R$4:$W$4,0))))</f>
        <v>0</v>
      </c>
      <c r="P22">
        <f ca="1">IF($C22-P$1&lt;År1,0,O21*(1-VLOOKUP($A22,[1]Hugst!$R$5:$W$9,MATCH(ROUNDUP((P$1)/10,0)*10,[1]Hugst!$R$4:$W$4,0))))</f>
        <v>0</v>
      </c>
      <c r="Q22">
        <f ca="1">IF($C22-Q$1&lt;År1,0,P21*(1-VLOOKUP($A22,[1]Hugst!$R$5:$W$9,MATCH(ROUNDUP((Q$1)/10,0)*10,[1]Hugst!$R$4:$W$4,0))))</f>
        <v>0</v>
      </c>
      <c r="R22">
        <f ca="1">IF($C22-R$1&lt;År1,0,Q21*(1-VLOOKUP($A22,[1]Hugst!$R$5:$W$9,MATCH(ROUNDUP((R$1)/10,0)*10,[1]Hugst!$R$4:$W$4,0))))</f>
        <v>0</v>
      </c>
      <c r="S22">
        <f ca="1">IF($C22-S$1&lt;År1,0,R21*(1-VLOOKUP($A22,[1]Hugst!$R$5:$W$9,MATCH(ROUNDUP((S$1)/10,0)*10,[1]Hugst!$R$4:$W$4,0))))</f>
        <v>0</v>
      </c>
      <c r="T22">
        <f ca="1">IF($C22-T$1&lt;År1,0,S21*(1-VLOOKUP($A22,[1]Hugst!$R$5:$W$9,MATCH(ROUNDUP((T$1)/10,0)*10,[1]Hugst!$R$4:$W$4,0))))</f>
        <v>0</v>
      </c>
      <c r="U22">
        <f ca="1">IF($C22-U$1&lt;År1,0,T21*(1-VLOOKUP($A22,[1]Hugst!$R$5:$W$9,MATCH(ROUNDUP((U$1)/10,0)*10,[1]Hugst!$R$4:$W$4,0))))</f>
        <v>0</v>
      </c>
      <c r="V22">
        <f ca="1">IF($C22-V$1&lt;År1,0,U21*(1-VLOOKUP($A22,[1]Hugst!$R$5:$W$9,MATCH(ROUNDUP((V$1)/10,0)*10,[1]Hugst!$R$4:$W$4,0))))</f>
        <v>0</v>
      </c>
      <c r="W22">
        <f ca="1">IF($C22-W$1&lt;År1,0,V21*(1-VLOOKUP($A22,[1]Hugst!$R$5:$W$9,MATCH(ROUNDUP((W$1)/10,0)*10,[1]Hugst!$R$4:$W$4,0))))</f>
        <v>0</v>
      </c>
      <c r="X22">
        <f ca="1">IF($C22-X$1&lt;År1,0,W21*(1-VLOOKUP($A22,[1]Hugst!$R$5:$W$9,MATCH(ROUNDUP((X$1)/10,0)*10,[1]Hugst!$R$4:$W$4,0))))</f>
        <v>0</v>
      </c>
      <c r="Y22">
        <f ca="1">IF($C22-Y$1&lt;År1,0,X21*(1-VLOOKUP($A22,[1]Hugst!$R$5:$W$9,MATCH(ROUNDUP((Y$1)/10,0)*10,[1]Hugst!$R$4:$W$4,0))))</f>
        <v>0</v>
      </c>
      <c r="Z22">
        <f ca="1">IF($C22-Z$1&lt;År1,0,Y21*(1-VLOOKUP($A22,[1]Hugst!$R$5:$W$9,MATCH(ROUNDUP((Z$1)/10,0)*10,[1]Hugst!$R$4:$W$4,0))))</f>
        <v>0</v>
      </c>
      <c r="AA22">
        <f>IF($C22-AA$1&lt;År1,0,Z21*(1-VLOOKUP($A22,[1]Hugst!$R$5:$W$9,MATCH(ROUNDUP((AA$1)/10,0)*10,[1]Hugst!$R$4:$W$4,0))))</f>
        <v>0</v>
      </c>
      <c r="AB22">
        <f>IF($C22-AB$1&lt;År1,0,AA21*(1-VLOOKUP($A22,[1]Hugst!$R$5:$W$9,MATCH(ROUNDUP((AB$1)/10,0)*10,[1]Hugst!$R$4:$W$4,0))))</f>
        <v>0</v>
      </c>
      <c r="AC22">
        <f>IF($C22-AC$1&lt;År1,0,AB21*(1-VLOOKUP($A22,[1]Hugst!$R$5:$W$9,MATCH(ROUNDUP((AC$1)/10,0)*10,[1]Hugst!$R$4:$W$4,0))))</f>
        <v>0</v>
      </c>
      <c r="AD22">
        <f>IF($C22-AD$1&lt;År1,0,AC21*(1-VLOOKUP($A22,[1]Hugst!$R$5:$W$9,MATCH(ROUNDUP((AD$1)/10,0)*10,[1]Hugst!$R$4:$W$4,0))))</f>
        <v>0</v>
      </c>
      <c r="AE22">
        <f>IF($C22-AE$1&lt;År1,0,AD21*(1-VLOOKUP($A22,[1]Hugst!$R$5:$W$9,MATCH(ROUNDUP((AE$1)/10,0)*10,[1]Hugst!$R$4:$W$4,0))))</f>
        <v>0</v>
      </c>
      <c r="AF22">
        <f>IF($C22-AF$1&lt;År1,0,AE21*(1-VLOOKUP($A22,[1]Hugst!$R$5:$W$9,MATCH(ROUNDUP((AF$1)/10,0)*10,[1]Hugst!$R$4:$W$4,0))))</f>
        <v>0</v>
      </c>
      <c r="AG22">
        <f>IF($C22-AG$1&lt;År1,0,AF21*(1-VLOOKUP($A22,[1]Hugst!$R$5:$W$9,MATCH(ROUNDUP((AG$1)/10,0)*10,[1]Hugst!$R$4:$W$4,0))))</f>
        <v>0</v>
      </c>
      <c r="AH22">
        <f>IF($C22-AH$1&lt;År1,0,AG21*(1-VLOOKUP($A22,[1]Hugst!$R$5:$W$9,MATCH(ROUNDUP((AH$1)/10,0)*10,[1]Hugst!$R$4:$W$4,0))))</f>
        <v>0</v>
      </c>
      <c r="AI22">
        <f>IF($C22-AI$1&lt;År1,0,AH21*(1-VLOOKUP($A22,[1]Hugst!$R$5:$W$9,MATCH(ROUNDUP((AI$1)/10,0)*10,[1]Hugst!$R$4:$W$4,0))))</f>
        <v>0</v>
      </c>
      <c r="AJ22">
        <f>IF($C22-AJ$1&lt;År1,0,AI21*(1-VLOOKUP($A22,[1]Hugst!$R$5:$W$9,MATCH(ROUNDUP((AJ$1)/10,0)*10,[1]Hugst!$R$4:$W$4,0))))</f>
        <v>0</v>
      </c>
    </row>
    <row r="23" spans="1:38" x14ac:dyDescent="0.25">
      <c r="A23" t="s">
        <v>176</v>
      </c>
      <c r="B23" t="s">
        <v>23</v>
      </c>
      <c r="C23">
        <v>2041</v>
      </c>
      <c r="D23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0</v>
      </c>
      <c r="E23">
        <f t="shared" ca="1" si="0"/>
        <v>0</v>
      </c>
      <c r="F23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>
        <f ca="1">IF($C23-G$1&lt;År1,0,F22*(1-VLOOKUP($A23,[1]Hugst!$R$5:$W$9,MATCH(ROUNDUP((G$1)/10,0)*10,[1]Hugst!$R$4:$W$4,0))))</f>
        <v>0</v>
      </c>
      <c r="H23">
        <f ca="1">IF($C23-H$1&lt;År1,0,G22*(1-VLOOKUP($A23,[1]Hugst!$R$5:$W$9,MATCH(ROUNDUP((H$1)/10,0)*10,[1]Hugst!$R$4:$W$4,0))))</f>
        <v>0</v>
      </c>
      <c r="I23">
        <f ca="1">IF($C23-I$1&lt;År1,0,H22*(1-VLOOKUP($A23,[1]Hugst!$R$5:$W$9,MATCH(ROUNDUP((I$1)/10,0)*10,[1]Hugst!$R$4:$W$4,0))))</f>
        <v>0</v>
      </c>
      <c r="J23">
        <f ca="1">IF($C23-J$1&lt;År1,0,I22*(1-VLOOKUP($A23,[1]Hugst!$R$5:$W$9,MATCH(ROUNDUP((J$1)/10,0)*10,[1]Hugst!$R$4:$W$4,0))))</f>
        <v>0</v>
      </c>
      <c r="K23">
        <f ca="1">IF($C23-K$1&lt;År1,0,J22*(1-VLOOKUP($A23,[1]Hugst!$R$5:$W$9,MATCH(ROUNDUP((K$1)/10,0)*10,[1]Hugst!$R$4:$W$4,0))))</f>
        <v>0</v>
      </c>
      <c r="L23">
        <f ca="1">IF($C23-L$1&lt;År1,0,K22*(1-VLOOKUP($A23,[1]Hugst!$R$5:$W$9,MATCH(ROUNDUP((L$1)/10,0)*10,[1]Hugst!$R$4:$W$4,0))))</f>
        <v>0</v>
      </c>
      <c r="M23">
        <f ca="1">IF($C23-M$1&lt;År1,0,L22*(1-VLOOKUP($A23,[1]Hugst!$R$5:$W$9,MATCH(ROUNDUP((M$1)/10,0)*10,[1]Hugst!$R$4:$W$4,0))))</f>
        <v>0</v>
      </c>
      <c r="N23">
        <f ca="1">IF($C23-N$1&lt;År1,0,M22*(1-VLOOKUP($A23,[1]Hugst!$R$5:$W$9,MATCH(ROUNDUP((N$1)/10,0)*10,[1]Hugst!$R$4:$W$4,0))))</f>
        <v>0</v>
      </c>
      <c r="O23">
        <f ca="1">IF($C23-O$1&lt;År1,0,N22*(1-VLOOKUP($A23,[1]Hugst!$R$5:$W$9,MATCH(ROUNDUP((O$1)/10,0)*10,[1]Hugst!$R$4:$W$4,0))))</f>
        <v>0</v>
      </c>
      <c r="P23">
        <f ca="1">IF($C23-P$1&lt;År1,0,O22*(1-VLOOKUP($A23,[1]Hugst!$R$5:$W$9,MATCH(ROUNDUP((P$1)/10,0)*10,[1]Hugst!$R$4:$W$4,0))))</f>
        <v>0</v>
      </c>
      <c r="Q23">
        <f ca="1">IF($C23-Q$1&lt;År1,0,P22*(1-VLOOKUP($A23,[1]Hugst!$R$5:$W$9,MATCH(ROUNDUP((Q$1)/10,0)*10,[1]Hugst!$R$4:$W$4,0))))</f>
        <v>0</v>
      </c>
      <c r="R23">
        <f ca="1">IF($C23-R$1&lt;År1,0,Q22*(1-VLOOKUP($A23,[1]Hugst!$R$5:$W$9,MATCH(ROUNDUP((R$1)/10,0)*10,[1]Hugst!$R$4:$W$4,0))))</f>
        <v>0</v>
      </c>
      <c r="S23">
        <f ca="1">IF($C23-S$1&lt;År1,0,R22*(1-VLOOKUP($A23,[1]Hugst!$R$5:$W$9,MATCH(ROUNDUP((S$1)/10,0)*10,[1]Hugst!$R$4:$W$4,0))))</f>
        <v>0</v>
      </c>
      <c r="T23">
        <f ca="1">IF($C23-T$1&lt;År1,0,S22*(1-VLOOKUP($A23,[1]Hugst!$R$5:$W$9,MATCH(ROUNDUP((T$1)/10,0)*10,[1]Hugst!$R$4:$W$4,0))))</f>
        <v>0</v>
      </c>
      <c r="U23">
        <f ca="1">IF($C23-U$1&lt;År1,0,T22*(1-VLOOKUP($A23,[1]Hugst!$R$5:$W$9,MATCH(ROUNDUP((U$1)/10,0)*10,[1]Hugst!$R$4:$W$4,0))))</f>
        <v>0</v>
      </c>
      <c r="V23">
        <f ca="1">IF($C23-V$1&lt;År1,0,U22*(1-VLOOKUP($A23,[1]Hugst!$R$5:$W$9,MATCH(ROUNDUP((V$1)/10,0)*10,[1]Hugst!$R$4:$W$4,0))))</f>
        <v>0</v>
      </c>
      <c r="W23">
        <f ca="1">IF($C23-W$1&lt;År1,0,V22*(1-VLOOKUP($A23,[1]Hugst!$R$5:$W$9,MATCH(ROUNDUP((W$1)/10,0)*10,[1]Hugst!$R$4:$W$4,0))))</f>
        <v>0</v>
      </c>
      <c r="X23">
        <f ca="1">IF($C23-X$1&lt;År1,0,W22*(1-VLOOKUP($A23,[1]Hugst!$R$5:$W$9,MATCH(ROUNDUP((X$1)/10,0)*10,[1]Hugst!$R$4:$W$4,0))))</f>
        <v>0</v>
      </c>
      <c r="Y23">
        <f ca="1">IF($C23-Y$1&lt;År1,0,X22*(1-VLOOKUP($A23,[1]Hugst!$R$5:$W$9,MATCH(ROUNDUP((Y$1)/10,0)*10,[1]Hugst!$R$4:$W$4,0))))</f>
        <v>0</v>
      </c>
      <c r="Z23">
        <f ca="1">IF($C23-Z$1&lt;År1,0,Y22*(1-VLOOKUP($A23,[1]Hugst!$R$5:$W$9,MATCH(ROUNDUP((Z$1)/10,0)*10,[1]Hugst!$R$4:$W$4,0))))</f>
        <v>0</v>
      </c>
      <c r="AA23">
        <f ca="1">IF($C23-AA$1&lt;År1,0,Z22*(1-VLOOKUP($A23,[1]Hugst!$R$5:$W$9,MATCH(ROUNDUP((AA$1)/10,0)*10,[1]Hugst!$R$4:$W$4,0))))</f>
        <v>0</v>
      </c>
      <c r="AB23">
        <f>IF($C23-AB$1&lt;År1,0,AA22*(1-VLOOKUP($A23,[1]Hugst!$R$5:$W$9,MATCH(ROUNDUP((AB$1)/10,0)*10,[1]Hugst!$R$4:$W$4,0))))</f>
        <v>0</v>
      </c>
      <c r="AC23">
        <f>IF($C23-AC$1&lt;År1,0,AB22*(1-VLOOKUP($A23,[1]Hugst!$R$5:$W$9,MATCH(ROUNDUP((AC$1)/10,0)*10,[1]Hugst!$R$4:$W$4,0))))</f>
        <v>0</v>
      </c>
      <c r="AD23">
        <f>IF($C23-AD$1&lt;År1,0,AC22*(1-VLOOKUP($A23,[1]Hugst!$R$5:$W$9,MATCH(ROUNDUP((AD$1)/10,0)*10,[1]Hugst!$R$4:$W$4,0))))</f>
        <v>0</v>
      </c>
      <c r="AE23">
        <f>IF($C23-AE$1&lt;År1,0,AD22*(1-VLOOKUP($A23,[1]Hugst!$R$5:$W$9,MATCH(ROUNDUP((AE$1)/10,0)*10,[1]Hugst!$R$4:$W$4,0))))</f>
        <v>0</v>
      </c>
      <c r="AF23">
        <f>IF($C23-AF$1&lt;År1,0,AE22*(1-VLOOKUP($A23,[1]Hugst!$R$5:$W$9,MATCH(ROUNDUP((AF$1)/10,0)*10,[1]Hugst!$R$4:$W$4,0))))</f>
        <v>0</v>
      </c>
      <c r="AG23">
        <f>IF($C23-AG$1&lt;År1,0,AF22*(1-VLOOKUP($A23,[1]Hugst!$R$5:$W$9,MATCH(ROUNDUP((AG$1)/10,0)*10,[1]Hugst!$R$4:$W$4,0))))</f>
        <v>0</v>
      </c>
      <c r="AH23">
        <f>IF($C23-AH$1&lt;År1,0,AG22*(1-VLOOKUP($A23,[1]Hugst!$R$5:$W$9,MATCH(ROUNDUP((AH$1)/10,0)*10,[1]Hugst!$R$4:$W$4,0))))</f>
        <v>0</v>
      </c>
      <c r="AI23">
        <f>IF($C23-AI$1&lt;År1,0,AH22*(1-VLOOKUP($A23,[1]Hugst!$R$5:$W$9,MATCH(ROUNDUP((AI$1)/10,0)*10,[1]Hugst!$R$4:$W$4,0))))</f>
        <v>0</v>
      </c>
      <c r="AJ23">
        <f>IF($C23-AJ$1&lt;År1,0,AI22*(1-VLOOKUP($A23,[1]Hugst!$R$5:$W$9,MATCH(ROUNDUP((AJ$1)/10,0)*10,[1]Hugst!$R$4:$W$4,0))))</f>
        <v>0</v>
      </c>
    </row>
    <row r="24" spans="1:38" x14ac:dyDescent="0.25">
      <c r="A24" t="s">
        <v>176</v>
      </c>
      <c r="B24" t="s">
        <v>23</v>
      </c>
      <c r="C24">
        <v>2042</v>
      </c>
      <c r="D24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0</v>
      </c>
      <c r="E24">
        <f t="shared" ca="1" si="0"/>
        <v>0</v>
      </c>
      <c r="F24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>
        <f ca="1">IF($C24-G$1&lt;År1,0,F23*(1-VLOOKUP($A24,[1]Hugst!$R$5:$W$9,MATCH(ROUNDUP((G$1)/10,0)*10,[1]Hugst!$R$4:$W$4,0))))</f>
        <v>0</v>
      </c>
      <c r="H24">
        <f ca="1">IF($C24-H$1&lt;År1,0,G23*(1-VLOOKUP($A24,[1]Hugst!$R$5:$W$9,MATCH(ROUNDUP((H$1)/10,0)*10,[1]Hugst!$R$4:$W$4,0))))</f>
        <v>0</v>
      </c>
      <c r="I24">
        <f ca="1">IF($C24-I$1&lt;År1,0,H23*(1-VLOOKUP($A24,[1]Hugst!$R$5:$W$9,MATCH(ROUNDUP((I$1)/10,0)*10,[1]Hugst!$R$4:$W$4,0))))</f>
        <v>0</v>
      </c>
      <c r="J24">
        <f ca="1">IF($C24-J$1&lt;År1,0,I23*(1-VLOOKUP($A24,[1]Hugst!$R$5:$W$9,MATCH(ROUNDUP((J$1)/10,0)*10,[1]Hugst!$R$4:$W$4,0))))</f>
        <v>0</v>
      </c>
      <c r="K24">
        <f ca="1">IF($C24-K$1&lt;År1,0,J23*(1-VLOOKUP($A24,[1]Hugst!$R$5:$W$9,MATCH(ROUNDUP((K$1)/10,0)*10,[1]Hugst!$R$4:$W$4,0))))</f>
        <v>0</v>
      </c>
      <c r="L24">
        <f ca="1">IF($C24-L$1&lt;År1,0,K23*(1-VLOOKUP($A24,[1]Hugst!$R$5:$W$9,MATCH(ROUNDUP((L$1)/10,0)*10,[1]Hugst!$R$4:$W$4,0))))</f>
        <v>0</v>
      </c>
      <c r="M24">
        <f ca="1">IF($C24-M$1&lt;År1,0,L23*(1-VLOOKUP($A24,[1]Hugst!$R$5:$W$9,MATCH(ROUNDUP((M$1)/10,0)*10,[1]Hugst!$R$4:$W$4,0))))</f>
        <v>0</v>
      </c>
      <c r="N24">
        <f ca="1">IF($C24-N$1&lt;År1,0,M23*(1-VLOOKUP($A24,[1]Hugst!$R$5:$W$9,MATCH(ROUNDUP((N$1)/10,0)*10,[1]Hugst!$R$4:$W$4,0))))</f>
        <v>0</v>
      </c>
      <c r="O24">
        <f ca="1">IF($C24-O$1&lt;År1,0,N23*(1-VLOOKUP($A24,[1]Hugst!$R$5:$W$9,MATCH(ROUNDUP((O$1)/10,0)*10,[1]Hugst!$R$4:$W$4,0))))</f>
        <v>0</v>
      </c>
      <c r="P24">
        <f ca="1">IF($C24-P$1&lt;År1,0,O23*(1-VLOOKUP($A24,[1]Hugst!$R$5:$W$9,MATCH(ROUNDUP((P$1)/10,0)*10,[1]Hugst!$R$4:$W$4,0))))</f>
        <v>0</v>
      </c>
      <c r="Q24">
        <f ca="1">IF($C24-Q$1&lt;År1,0,P23*(1-VLOOKUP($A24,[1]Hugst!$R$5:$W$9,MATCH(ROUNDUP((Q$1)/10,0)*10,[1]Hugst!$R$4:$W$4,0))))</f>
        <v>0</v>
      </c>
      <c r="R24">
        <f ca="1">IF($C24-R$1&lt;År1,0,Q23*(1-VLOOKUP($A24,[1]Hugst!$R$5:$W$9,MATCH(ROUNDUP((R$1)/10,0)*10,[1]Hugst!$R$4:$W$4,0))))</f>
        <v>0</v>
      </c>
      <c r="S24">
        <f ca="1">IF($C24-S$1&lt;År1,0,R23*(1-VLOOKUP($A24,[1]Hugst!$R$5:$W$9,MATCH(ROUNDUP((S$1)/10,0)*10,[1]Hugst!$R$4:$W$4,0))))</f>
        <v>0</v>
      </c>
      <c r="T24">
        <f ca="1">IF($C24-T$1&lt;År1,0,S23*(1-VLOOKUP($A24,[1]Hugst!$R$5:$W$9,MATCH(ROUNDUP((T$1)/10,0)*10,[1]Hugst!$R$4:$W$4,0))))</f>
        <v>0</v>
      </c>
      <c r="U24">
        <f ca="1">IF($C24-U$1&lt;År1,0,T23*(1-VLOOKUP($A24,[1]Hugst!$R$5:$W$9,MATCH(ROUNDUP((U$1)/10,0)*10,[1]Hugst!$R$4:$W$4,0))))</f>
        <v>0</v>
      </c>
      <c r="V24">
        <f ca="1">IF($C24-V$1&lt;År1,0,U23*(1-VLOOKUP($A24,[1]Hugst!$R$5:$W$9,MATCH(ROUNDUP((V$1)/10,0)*10,[1]Hugst!$R$4:$W$4,0))))</f>
        <v>0</v>
      </c>
      <c r="W24">
        <f ca="1">IF($C24-W$1&lt;År1,0,V23*(1-VLOOKUP($A24,[1]Hugst!$R$5:$W$9,MATCH(ROUNDUP((W$1)/10,0)*10,[1]Hugst!$R$4:$W$4,0))))</f>
        <v>0</v>
      </c>
      <c r="X24">
        <f ca="1">IF($C24-X$1&lt;År1,0,W23*(1-VLOOKUP($A24,[1]Hugst!$R$5:$W$9,MATCH(ROUNDUP((X$1)/10,0)*10,[1]Hugst!$R$4:$W$4,0))))</f>
        <v>0</v>
      </c>
      <c r="Y24">
        <f ca="1">IF($C24-Y$1&lt;År1,0,X23*(1-VLOOKUP($A24,[1]Hugst!$R$5:$W$9,MATCH(ROUNDUP((Y$1)/10,0)*10,[1]Hugst!$R$4:$W$4,0))))</f>
        <v>0</v>
      </c>
      <c r="Z24">
        <f ca="1">IF($C24-Z$1&lt;År1,0,Y23*(1-VLOOKUP($A24,[1]Hugst!$R$5:$W$9,MATCH(ROUNDUP((Z$1)/10,0)*10,[1]Hugst!$R$4:$W$4,0))))</f>
        <v>0</v>
      </c>
      <c r="AA24">
        <f ca="1">IF($C24-AA$1&lt;År1,0,Z23*(1-VLOOKUP($A24,[1]Hugst!$R$5:$W$9,MATCH(ROUNDUP((AA$1)/10,0)*10,[1]Hugst!$R$4:$W$4,0))))</f>
        <v>0</v>
      </c>
      <c r="AB24">
        <f ca="1">IF($C24-AB$1&lt;År1,0,AA23*(1-VLOOKUP($A24,[1]Hugst!$R$5:$W$9,MATCH(ROUNDUP((AB$1)/10,0)*10,[1]Hugst!$R$4:$W$4,0))))</f>
        <v>0</v>
      </c>
      <c r="AC24">
        <f>IF($C24-AC$1&lt;År1,0,AB23*(1-VLOOKUP($A24,[1]Hugst!$R$5:$W$9,MATCH(ROUNDUP((AC$1)/10,0)*10,[1]Hugst!$R$4:$W$4,0))))</f>
        <v>0</v>
      </c>
      <c r="AD24">
        <f>IF($C24-AD$1&lt;År1,0,AC23*(1-VLOOKUP($A24,[1]Hugst!$R$5:$W$9,MATCH(ROUNDUP((AD$1)/10,0)*10,[1]Hugst!$R$4:$W$4,0))))</f>
        <v>0</v>
      </c>
      <c r="AE24">
        <f>IF($C24-AE$1&lt;År1,0,AD23*(1-VLOOKUP($A24,[1]Hugst!$R$5:$W$9,MATCH(ROUNDUP((AE$1)/10,0)*10,[1]Hugst!$R$4:$W$4,0))))</f>
        <v>0</v>
      </c>
      <c r="AF24">
        <f>IF($C24-AF$1&lt;År1,0,AE23*(1-VLOOKUP($A24,[1]Hugst!$R$5:$W$9,MATCH(ROUNDUP((AF$1)/10,0)*10,[1]Hugst!$R$4:$W$4,0))))</f>
        <v>0</v>
      </c>
      <c r="AG24">
        <f>IF($C24-AG$1&lt;År1,0,AF23*(1-VLOOKUP($A24,[1]Hugst!$R$5:$W$9,MATCH(ROUNDUP((AG$1)/10,0)*10,[1]Hugst!$R$4:$W$4,0))))</f>
        <v>0</v>
      </c>
      <c r="AH24">
        <f>IF($C24-AH$1&lt;År1,0,AG23*(1-VLOOKUP($A24,[1]Hugst!$R$5:$W$9,MATCH(ROUNDUP((AH$1)/10,0)*10,[1]Hugst!$R$4:$W$4,0))))</f>
        <v>0</v>
      </c>
      <c r="AI24">
        <f>IF($C24-AI$1&lt;År1,0,AH23*(1-VLOOKUP($A24,[1]Hugst!$R$5:$W$9,MATCH(ROUNDUP((AI$1)/10,0)*10,[1]Hugst!$R$4:$W$4,0))))</f>
        <v>0</v>
      </c>
      <c r="AJ24">
        <f>IF($C24-AJ$1&lt;År1,0,AI23*(1-VLOOKUP($A24,[1]Hugst!$R$5:$W$9,MATCH(ROUNDUP((AJ$1)/10,0)*10,[1]Hugst!$R$4:$W$4,0))))</f>
        <v>0</v>
      </c>
    </row>
    <row r="25" spans="1:38" x14ac:dyDescent="0.25">
      <c r="A25" t="s">
        <v>176</v>
      </c>
      <c r="B25" t="s">
        <v>23</v>
      </c>
      <c r="C25">
        <v>2043</v>
      </c>
      <c r="D25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0</v>
      </c>
      <c r="E25">
        <f t="shared" ca="1" si="0"/>
        <v>0</v>
      </c>
      <c r="F25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>
        <f ca="1">IF($C25-G$1&lt;År1,0,F24*(1-VLOOKUP($A25,[1]Hugst!$R$5:$W$9,MATCH(ROUNDUP((G$1)/10,0)*10,[1]Hugst!$R$4:$W$4,0))))</f>
        <v>0</v>
      </c>
      <c r="H25">
        <f ca="1">IF($C25-H$1&lt;År1,0,G24*(1-VLOOKUP($A25,[1]Hugst!$R$5:$W$9,MATCH(ROUNDUP((H$1)/10,0)*10,[1]Hugst!$R$4:$W$4,0))))</f>
        <v>0</v>
      </c>
      <c r="I25">
        <f ca="1">IF($C25-I$1&lt;År1,0,H24*(1-VLOOKUP($A25,[1]Hugst!$R$5:$W$9,MATCH(ROUNDUP((I$1)/10,0)*10,[1]Hugst!$R$4:$W$4,0))))</f>
        <v>0</v>
      </c>
      <c r="J25">
        <f ca="1">IF($C25-J$1&lt;År1,0,I24*(1-VLOOKUP($A25,[1]Hugst!$R$5:$W$9,MATCH(ROUNDUP((J$1)/10,0)*10,[1]Hugst!$R$4:$W$4,0))))</f>
        <v>0</v>
      </c>
      <c r="K25">
        <f ca="1">IF($C25-K$1&lt;År1,0,J24*(1-VLOOKUP($A25,[1]Hugst!$R$5:$W$9,MATCH(ROUNDUP((K$1)/10,0)*10,[1]Hugst!$R$4:$W$4,0))))</f>
        <v>0</v>
      </c>
      <c r="L25">
        <f ca="1">IF($C25-L$1&lt;År1,0,K24*(1-VLOOKUP($A25,[1]Hugst!$R$5:$W$9,MATCH(ROUNDUP((L$1)/10,0)*10,[1]Hugst!$R$4:$W$4,0))))</f>
        <v>0</v>
      </c>
      <c r="M25">
        <f ca="1">IF($C25-M$1&lt;År1,0,L24*(1-VLOOKUP($A25,[1]Hugst!$R$5:$W$9,MATCH(ROUNDUP((M$1)/10,0)*10,[1]Hugst!$R$4:$W$4,0))))</f>
        <v>0</v>
      </c>
      <c r="N25">
        <f ca="1">IF($C25-N$1&lt;År1,0,M24*(1-VLOOKUP($A25,[1]Hugst!$R$5:$W$9,MATCH(ROUNDUP((N$1)/10,0)*10,[1]Hugst!$R$4:$W$4,0))))</f>
        <v>0</v>
      </c>
      <c r="O25">
        <f ca="1">IF($C25-O$1&lt;År1,0,N24*(1-VLOOKUP($A25,[1]Hugst!$R$5:$W$9,MATCH(ROUNDUP((O$1)/10,0)*10,[1]Hugst!$R$4:$W$4,0))))</f>
        <v>0</v>
      </c>
      <c r="P25">
        <f ca="1">IF($C25-P$1&lt;År1,0,O24*(1-VLOOKUP($A25,[1]Hugst!$R$5:$W$9,MATCH(ROUNDUP((P$1)/10,0)*10,[1]Hugst!$R$4:$W$4,0))))</f>
        <v>0</v>
      </c>
      <c r="Q25">
        <f ca="1">IF($C25-Q$1&lt;År1,0,P24*(1-VLOOKUP($A25,[1]Hugst!$R$5:$W$9,MATCH(ROUNDUP((Q$1)/10,0)*10,[1]Hugst!$R$4:$W$4,0))))</f>
        <v>0</v>
      </c>
      <c r="R25">
        <f ca="1">IF($C25-R$1&lt;År1,0,Q24*(1-VLOOKUP($A25,[1]Hugst!$R$5:$W$9,MATCH(ROUNDUP((R$1)/10,0)*10,[1]Hugst!$R$4:$W$4,0))))</f>
        <v>0</v>
      </c>
      <c r="S25">
        <f ca="1">IF($C25-S$1&lt;År1,0,R24*(1-VLOOKUP($A25,[1]Hugst!$R$5:$W$9,MATCH(ROUNDUP((S$1)/10,0)*10,[1]Hugst!$R$4:$W$4,0))))</f>
        <v>0</v>
      </c>
      <c r="T25">
        <f ca="1">IF($C25-T$1&lt;År1,0,S24*(1-VLOOKUP($A25,[1]Hugst!$R$5:$W$9,MATCH(ROUNDUP((T$1)/10,0)*10,[1]Hugst!$R$4:$W$4,0))))</f>
        <v>0</v>
      </c>
      <c r="U25">
        <f ca="1">IF($C25-U$1&lt;År1,0,T24*(1-VLOOKUP($A25,[1]Hugst!$R$5:$W$9,MATCH(ROUNDUP((U$1)/10,0)*10,[1]Hugst!$R$4:$W$4,0))))</f>
        <v>0</v>
      </c>
      <c r="V25">
        <f ca="1">IF($C25-V$1&lt;År1,0,U24*(1-VLOOKUP($A25,[1]Hugst!$R$5:$W$9,MATCH(ROUNDUP((V$1)/10,0)*10,[1]Hugst!$R$4:$W$4,0))))</f>
        <v>0</v>
      </c>
      <c r="W25">
        <f ca="1">IF($C25-W$1&lt;År1,0,V24*(1-VLOOKUP($A25,[1]Hugst!$R$5:$W$9,MATCH(ROUNDUP((W$1)/10,0)*10,[1]Hugst!$R$4:$W$4,0))))</f>
        <v>0</v>
      </c>
      <c r="X25">
        <f ca="1">IF($C25-X$1&lt;År1,0,W24*(1-VLOOKUP($A25,[1]Hugst!$R$5:$W$9,MATCH(ROUNDUP((X$1)/10,0)*10,[1]Hugst!$R$4:$W$4,0))))</f>
        <v>0</v>
      </c>
      <c r="Y25">
        <f ca="1">IF($C25-Y$1&lt;År1,0,X24*(1-VLOOKUP($A25,[1]Hugst!$R$5:$W$9,MATCH(ROUNDUP((Y$1)/10,0)*10,[1]Hugst!$R$4:$W$4,0))))</f>
        <v>0</v>
      </c>
      <c r="Z25">
        <f ca="1">IF($C25-Z$1&lt;År1,0,Y24*(1-VLOOKUP($A25,[1]Hugst!$R$5:$W$9,MATCH(ROUNDUP((Z$1)/10,0)*10,[1]Hugst!$R$4:$W$4,0))))</f>
        <v>0</v>
      </c>
      <c r="AA25">
        <f ca="1">IF($C25-AA$1&lt;År1,0,Z24*(1-VLOOKUP($A25,[1]Hugst!$R$5:$W$9,MATCH(ROUNDUP((AA$1)/10,0)*10,[1]Hugst!$R$4:$W$4,0))))</f>
        <v>0</v>
      </c>
      <c r="AB25">
        <f ca="1">IF($C25-AB$1&lt;År1,0,AA24*(1-VLOOKUP($A25,[1]Hugst!$R$5:$W$9,MATCH(ROUNDUP((AB$1)/10,0)*10,[1]Hugst!$R$4:$W$4,0))))</f>
        <v>0</v>
      </c>
      <c r="AC25">
        <f ca="1">IF($C25-AC$1&lt;År1,0,AB24*(1-VLOOKUP($A25,[1]Hugst!$R$5:$W$9,MATCH(ROUNDUP((AC$1)/10,0)*10,[1]Hugst!$R$4:$W$4,0))))</f>
        <v>0</v>
      </c>
      <c r="AD25">
        <f>IF($C25-AD$1&lt;År1,0,AC24*(1-VLOOKUP($A25,[1]Hugst!$R$5:$W$9,MATCH(ROUNDUP((AD$1)/10,0)*10,[1]Hugst!$R$4:$W$4,0))))</f>
        <v>0</v>
      </c>
      <c r="AE25">
        <f>IF($C25-AE$1&lt;År1,0,AD24*(1-VLOOKUP($A25,[1]Hugst!$R$5:$W$9,MATCH(ROUNDUP((AE$1)/10,0)*10,[1]Hugst!$R$4:$W$4,0))))</f>
        <v>0</v>
      </c>
      <c r="AF25">
        <f>IF($C25-AF$1&lt;År1,0,AE24*(1-VLOOKUP($A25,[1]Hugst!$R$5:$W$9,MATCH(ROUNDUP((AF$1)/10,0)*10,[1]Hugst!$R$4:$W$4,0))))</f>
        <v>0</v>
      </c>
      <c r="AG25">
        <f>IF($C25-AG$1&lt;År1,0,AF24*(1-VLOOKUP($A25,[1]Hugst!$R$5:$W$9,MATCH(ROUNDUP((AG$1)/10,0)*10,[1]Hugst!$R$4:$W$4,0))))</f>
        <v>0</v>
      </c>
      <c r="AH25">
        <f>IF($C25-AH$1&lt;År1,0,AG24*(1-VLOOKUP($A25,[1]Hugst!$R$5:$W$9,MATCH(ROUNDUP((AH$1)/10,0)*10,[1]Hugst!$R$4:$W$4,0))))</f>
        <v>0</v>
      </c>
      <c r="AI25">
        <f>IF($C25-AI$1&lt;År1,0,AH24*(1-VLOOKUP($A25,[1]Hugst!$R$5:$W$9,MATCH(ROUNDUP((AI$1)/10,0)*10,[1]Hugst!$R$4:$W$4,0))))</f>
        <v>0</v>
      </c>
      <c r="AJ25">
        <f>IF($C25-AJ$1&lt;År1,0,AI24*(1-VLOOKUP($A25,[1]Hugst!$R$5:$W$9,MATCH(ROUNDUP((AJ$1)/10,0)*10,[1]Hugst!$R$4:$W$4,0))))</f>
        <v>0</v>
      </c>
    </row>
    <row r="26" spans="1:38" x14ac:dyDescent="0.25">
      <c r="A26" t="s">
        <v>176</v>
      </c>
      <c r="B26" t="s">
        <v>23</v>
      </c>
      <c r="C26">
        <v>2044</v>
      </c>
      <c r="D26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0</v>
      </c>
      <c r="E26">
        <f t="shared" ca="1" si="0"/>
        <v>0</v>
      </c>
      <c r="F26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>
        <f ca="1">IF($C26-G$1&lt;År1,0,F25*(1-VLOOKUP($A26,[1]Hugst!$R$5:$W$9,MATCH(ROUNDUP((G$1)/10,0)*10,[1]Hugst!$R$4:$W$4,0))))</f>
        <v>0</v>
      </c>
      <c r="H26">
        <f ca="1">IF($C26-H$1&lt;År1,0,G25*(1-VLOOKUP($A26,[1]Hugst!$R$5:$W$9,MATCH(ROUNDUP((H$1)/10,0)*10,[1]Hugst!$R$4:$W$4,0))))</f>
        <v>0</v>
      </c>
      <c r="I26">
        <f ca="1">IF($C26-I$1&lt;År1,0,H25*(1-VLOOKUP($A26,[1]Hugst!$R$5:$W$9,MATCH(ROUNDUP((I$1)/10,0)*10,[1]Hugst!$R$4:$W$4,0))))</f>
        <v>0</v>
      </c>
      <c r="J26">
        <f ca="1">IF($C26-J$1&lt;År1,0,I25*(1-VLOOKUP($A26,[1]Hugst!$R$5:$W$9,MATCH(ROUNDUP((J$1)/10,0)*10,[1]Hugst!$R$4:$W$4,0))))</f>
        <v>0</v>
      </c>
      <c r="K26">
        <f ca="1">IF($C26-K$1&lt;År1,0,J25*(1-VLOOKUP($A26,[1]Hugst!$R$5:$W$9,MATCH(ROUNDUP((K$1)/10,0)*10,[1]Hugst!$R$4:$W$4,0))))</f>
        <v>0</v>
      </c>
      <c r="L26">
        <f ca="1">IF($C26-L$1&lt;År1,0,K25*(1-VLOOKUP($A26,[1]Hugst!$R$5:$W$9,MATCH(ROUNDUP((L$1)/10,0)*10,[1]Hugst!$R$4:$W$4,0))))</f>
        <v>0</v>
      </c>
      <c r="M26">
        <f ca="1">IF($C26-M$1&lt;År1,0,L25*(1-VLOOKUP($A26,[1]Hugst!$R$5:$W$9,MATCH(ROUNDUP((M$1)/10,0)*10,[1]Hugst!$R$4:$W$4,0))))</f>
        <v>0</v>
      </c>
      <c r="N26">
        <f ca="1">IF($C26-N$1&lt;År1,0,M25*(1-VLOOKUP($A26,[1]Hugst!$R$5:$W$9,MATCH(ROUNDUP((N$1)/10,0)*10,[1]Hugst!$R$4:$W$4,0))))</f>
        <v>0</v>
      </c>
      <c r="O26">
        <f ca="1">IF($C26-O$1&lt;År1,0,N25*(1-VLOOKUP($A26,[1]Hugst!$R$5:$W$9,MATCH(ROUNDUP((O$1)/10,0)*10,[1]Hugst!$R$4:$W$4,0))))</f>
        <v>0</v>
      </c>
      <c r="P26">
        <f ca="1">IF($C26-P$1&lt;År1,0,O25*(1-VLOOKUP($A26,[1]Hugst!$R$5:$W$9,MATCH(ROUNDUP((P$1)/10,0)*10,[1]Hugst!$R$4:$W$4,0))))</f>
        <v>0</v>
      </c>
      <c r="Q26">
        <f ca="1">IF($C26-Q$1&lt;År1,0,P25*(1-VLOOKUP($A26,[1]Hugst!$R$5:$W$9,MATCH(ROUNDUP((Q$1)/10,0)*10,[1]Hugst!$R$4:$W$4,0))))</f>
        <v>0</v>
      </c>
      <c r="R26">
        <f ca="1">IF($C26-R$1&lt;År1,0,Q25*(1-VLOOKUP($A26,[1]Hugst!$R$5:$W$9,MATCH(ROUNDUP((R$1)/10,0)*10,[1]Hugst!$R$4:$W$4,0))))</f>
        <v>0</v>
      </c>
      <c r="S26">
        <f ca="1">IF($C26-S$1&lt;År1,0,R25*(1-VLOOKUP($A26,[1]Hugst!$R$5:$W$9,MATCH(ROUNDUP((S$1)/10,0)*10,[1]Hugst!$R$4:$W$4,0))))</f>
        <v>0</v>
      </c>
      <c r="T26">
        <f ca="1">IF($C26-T$1&lt;År1,0,S25*(1-VLOOKUP($A26,[1]Hugst!$R$5:$W$9,MATCH(ROUNDUP((T$1)/10,0)*10,[1]Hugst!$R$4:$W$4,0))))</f>
        <v>0</v>
      </c>
      <c r="U26">
        <f ca="1">IF($C26-U$1&lt;År1,0,T25*(1-VLOOKUP($A26,[1]Hugst!$R$5:$W$9,MATCH(ROUNDUP((U$1)/10,0)*10,[1]Hugst!$R$4:$W$4,0))))</f>
        <v>0</v>
      </c>
      <c r="V26">
        <f ca="1">IF($C26-V$1&lt;År1,0,U25*(1-VLOOKUP($A26,[1]Hugst!$R$5:$W$9,MATCH(ROUNDUP((V$1)/10,0)*10,[1]Hugst!$R$4:$W$4,0))))</f>
        <v>0</v>
      </c>
      <c r="W26">
        <f ca="1">IF($C26-W$1&lt;År1,0,V25*(1-VLOOKUP($A26,[1]Hugst!$R$5:$W$9,MATCH(ROUNDUP((W$1)/10,0)*10,[1]Hugst!$R$4:$W$4,0))))</f>
        <v>0</v>
      </c>
      <c r="X26">
        <f ca="1">IF($C26-X$1&lt;År1,0,W25*(1-VLOOKUP($A26,[1]Hugst!$R$5:$W$9,MATCH(ROUNDUP((X$1)/10,0)*10,[1]Hugst!$R$4:$W$4,0))))</f>
        <v>0</v>
      </c>
      <c r="Y26">
        <f ca="1">IF($C26-Y$1&lt;År1,0,X25*(1-VLOOKUP($A26,[1]Hugst!$R$5:$W$9,MATCH(ROUNDUP((Y$1)/10,0)*10,[1]Hugst!$R$4:$W$4,0))))</f>
        <v>0</v>
      </c>
      <c r="Z26">
        <f ca="1">IF($C26-Z$1&lt;År1,0,Y25*(1-VLOOKUP($A26,[1]Hugst!$R$5:$W$9,MATCH(ROUNDUP((Z$1)/10,0)*10,[1]Hugst!$R$4:$W$4,0))))</f>
        <v>0</v>
      </c>
      <c r="AA26">
        <f ca="1">IF($C26-AA$1&lt;År1,0,Z25*(1-VLOOKUP($A26,[1]Hugst!$R$5:$W$9,MATCH(ROUNDUP((AA$1)/10,0)*10,[1]Hugst!$R$4:$W$4,0))))</f>
        <v>0</v>
      </c>
      <c r="AB26">
        <f ca="1">IF($C26-AB$1&lt;År1,0,AA25*(1-VLOOKUP($A26,[1]Hugst!$R$5:$W$9,MATCH(ROUNDUP((AB$1)/10,0)*10,[1]Hugst!$R$4:$W$4,0))))</f>
        <v>0</v>
      </c>
      <c r="AC26">
        <f ca="1">IF($C26-AC$1&lt;År1,0,AB25*(1-VLOOKUP($A26,[1]Hugst!$R$5:$W$9,MATCH(ROUNDUP((AC$1)/10,0)*10,[1]Hugst!$R$4:$W$4,0))))</f>
        <v>0</v>
      </c>
      <c r="AD26">
        <f ca="1">IF($C26-AD$1&lt;År1,0,AC25*(1-VLOOKUP($A26,[1]Hugst!$R$5:$W$9,MATCH(ROUNDUP((AD$1)/10,0)*10,[1]Hugst!$R$4:$W$4,0))))</f>
        <v>0</v>
      </c>
      <c r="AE26">
        <f>IF($C26-AE$1&lt;År1,0,AD25*(1-VLOOKUP($A26,[1]Hugst!$R$5:$W$9,MATCH(ROUNDUP((AE$1)/10,0)*10,[1]Hugst!$R$4:$W$4,0))))</f>
        <v>0</v>
      </c>
      <c r="AF26">
        <f>IF($C26-AF$1&lt;År1,0,AE25*(1-VLOOKUP($A26,[1]Hugst!$R$5:$W$9,MATCH(ROUNDUP((AF$1)/10,0)*10,[1]Hugst!$R$4:$W$4,0))))</f>
        <v>0</v>
      </c>
      <c r="AG26">
        <f>IF($C26-AG$1&lt;År1,0,AF25*(1-VLOOKUP($A26,[1]Hugst!$R$5:$W$9,MATCH(ROUNDUP((AG$1)/10,0)*10,[1]Hugst!$R$4:$W$4,0))))</f>
        <v>0</v>
      </c>
      <c r="AH26">
        <f>IF($C26-AH$1&lt;År1,0,AG25*(1-VLOOKUP($A26,[1]Hugst!$R$5:$W$9,MATCH(ROUNDUP((AH$1)/10,0)*10,[1]Hugst!$R$4:$W$4,0))))</f>
        <v>0</v>
      </c>
      <c r="AI26">
        <f>IF($C26-AI$1&lt;År1,0,AH25*(1-VLOOKUP($A26,[1]Hugst!$R$5:$W$9,MATCH(ROUNDUP((AI$1)/10,0)*10,[1]Hugst!$R$4:$W$4,0))))</f>
        <v>0</v>
      </c>
      <c r="AJ26">
        <f>IF($C26-AJ$1&lt;År1,0,AI25*(1-VLOOKUP($A26,[1]Hugst!$R$5:$W$9,MATCH(ROUNDUP((AJ$1)/10,0)*10,[1]Hugst!$R$4:$W$4,0))))</f>
        <v>0</v>
      </c>
    </row>
    <row r="27" spans="1:38" x14ac:dyDescent="0.25">
      <c r="A27" t="s">
        <v>176</v>
      </c>
      <c r="B27" t="s">
        <v>23</v>
      </c>
      <c r="C27">
        <v>2045</v>
      </c>
      <c r="D27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0</v>
      </c>
      <c r="E27">
        <f t="shared" ca="1" si="0"/>
        <v>0</v>
      </c>
      <c r="F27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>
        <f ca="1">IF($C27-G$1&lt;År1,0,F26*(1-VLOOKUP($A27,[1]Hugst!$R$5:$W$9,MATCH(ROUNDUP((G$1)/10,0)*10,[1]Hugst!$R$4:$W$4,0))))</f>
        <v>0</v>
      </c>
      <c r="H27">
        <f ca="1">IF($C27-H$1&lt;År1,0,G26*(1-VLOOKUP($A27,[1]Hugst!$R$5:$W$9,MATCH(ROUNDUP((H$1)/10,0)*10,[1]Hugst!$R$4:$W$4,0))))</f>
        <v>0</v>
      </c>
      <c r="I27">
        <f ca="1">IF($C27-I$1&lt;År1,0,H26*(1-VLOOKUP($A27,[1]Hugst!$R$5:$W$9,MATCH(ROUNDUP((I$1)/10,0)*10,[1]Hugst!$R$4:$W$4,0))))</f>
        <v>0</v>
      </c>
      <c r="J27">
        <f ca="1">IF($C27-J$1&lt;År1,0,I26*(1-VLOOKUP($A27,[1]Hugst!$R$5:$W$9,MATCH(ROUNDUP((J$1)/10,0)*10,[1]Hugst!$R$4:$W$4,0))))</f>
        <v>0</v>
      </c>
      <c r="K27">
        <f ca="1">IF($C27-K$1&lt;År1,0,J26*(1-VLOOKUP($A27,[1]Hugst!$R$5:$W$9,MATCH(ROUNDUP((K$1)/10,0)*10,[1]Hugst!$R$4:$W$4,0))))</f>
        <v>0</v>
      </c>
      <c r="L27">
        <f ca="1">IF($C27-L$1&lt;År1,0,K26*(1-VLOOKUP($A27,[1]Hugst!$R$5:$W$9,MATCH(ROUNDUP((L$1)/10,0)*10,[1]Hugst!$R$4:$W$4,0))))</f>
        <v>0</v>
      </c>
      <c r="M27">
        <f ca="1">IF($C27-M$1&lt;År1,0,L26*(1-VLOOKUP($A27,[1]Hugst!$R$5:$W$9,MATCH(ROUNDUP((M$1)/10,0)*10,[1]Hugst!$R$4:$W$4,0))))</f>
        <v>0</v>
      </c>
      <c r="N27">
        <f ca="1">IF($C27-N$1&lt;År1,0,M26*(1-VLOOKUP($A27,[1]Hugst!$R$5:$W$9,MATCH(ROUNDUP((N$1)/10,0)*10,[1]Hugst!$R$4:$W$4,0))))</f>
        <v>0</v>
      </c>
      <c r="O27">
        <f ca="1">IF($C27-O$1&lt;År1,0,N26*(1-VLOOKUP($A27,[1]Hugst!$R$5:$W$9,MATCH(ROUNDUP((O$1)/10,0)*10,[1]Hugst!$R$4:$W$4,0))))</f>
        <v>0</v>
      </c>
      <c r="P27">
        <f ca="1">IF($C27-P$1&lt;År1,0,O26*(1-VLOOKUP($A27,[1]Hugst!$R$5:$W$9,MATCH(ROUNDUP((P$1)/10,0)*10,[1]Hugst!$R$4:$W$4,0))))</f>
        <v>0</v>
      </c>
      <c r="Q27">
        <f ca="1">IF($C27-Q$1&lt;År1,0,P26*(1-VLOOKUP($A27,[1]Hugst!$R$5:$W$9,MATCH(ROUNDUP((Q$1)/10,0)*10,[1]Hugst!$R$4:$W$4,0))))</f>
        <v>0</v>
      </c>
      <c r="R27">
        <f ca="1">IF($C27-R$1&lt;År1,0,Q26*(1-VLOOKUP($A27,[1]Hugst!$R$5:$W$9,MATCH(ROUNDUP((R$1)/10,0)*10,[1]Hugst!$R$4:$W$4,0))))</f>
        <v>0</v>
      </c>
      <c r="S27">
        <f ca="1">IF($C27-S$1&lt;År1,0,R26*(1-VLOOKUP($A27,[1]Hugst!$R$5:$W$9,MATCH(ROUNDUP((S$1)/10,0)*10,[1]Hugst!$R$4:$W$4,0))))</f>
        <v>0</v>
      </c>
      <c r="T27">
        <f ca="1">IF($C27-T$1&lt;År1,0,S26*(1-VLOOKUP($A27,[1]Hugst!$R$5:$W$9,MATCH(ROUNDUP((T$1)/10,0)*10,[1]Hugst!$R$4:$W$4,0))))</f>
        <v>0</v>
      </c>
      <c r="U27">
        <f ca="1">IF($C27-U$1&lt;År1,0,T26*(1-VLOOKUP($A27,[1]Hugst!$R$5:$W$9,MATCH(ROUNDUP((U$1)/10,0)*10,[1]Hugst!$R$4:$W$4,0))))</f>
        <v>0</v>
      </c>
      <c r="V27">
        <f ca="1">IF($C27-V$1&lt;År1,0,U26*(1-VLOOKUP($A27,[1]Hugst!$R$5:$W$9,MATCH(ROUNDUP((V$1)/10,0)*10,[1]Hugst!$R$4:$W$4,0))))</f>
        <v>0</v>
      </c>
      <c r="W27">
        <f ca="1">IF($C27-W$1&lt;År1,0,V26*(1-VLOOKUP($A27,[1]Hugst!$R$5:$W$9,MATCH(ROUNDUP((W$1)/10,0)*10,[1]Hugst!$R$4:$W$4,0))))</f>
        <v>0</v>
      </c>
      <c r="X27">
        <f ca="1">IF($C27-X$1&lt;År1,0,W26*(1-VLOOKUP($A27,[1]Hugst!$R$5:$W$9,MATCH(ROUNDUP((X$1)/10,0)*10,[1]Hugst!$R$4:$W$4,0))))</f>
        <v>0</v>
      </c>
      <c r="Y27">
        <f ca="1">IF($C27-Y$1&lt;År1,0,X26*(1-VLOOKUP($A27,[1]Hugst!$R$5:$W$9,MATCH(ROUNDUP((Y$1)/10,0)*10,[1]Hugst!$R$4:$W$4,0))))</f>
        <v>0</v>
      </c>
      <c r="Z27">
        <f ca="1">IF($C27-Z$1&lt;År1,0,Y26*(1-VLOOKUP($A27,[1]Hugst!$R$5:$W$9,MATCH(ROUNDUP((Z$1)/10,0)*10,[1]Hugst!$R$4:$W$4,0))))</f>
        <v>0</v>
      </c>
      <c r="AA27">
        <f ca="1">IF($C27-AA$1&lt;År1,0,Z26*(1-VLOOKUP($A27,[1]Hugst!$R$5:$W$9,MATCH(ROUNDUP((AA$1)/10,0)*10,[1]Hugst!$R$4:$W$4,0))))</f>
        <v>0</v>
      </c>
      <c r="AB27">
        <f ca="1">IF($C27-AB$1&lt;År1,0,AA26*(1-VLOOKUP($A27,[1]Hugst!$R$5:$W$9,MATCH(ROUNDUP((AB$1)/10,0)*10,[1]Hugst!$R$4:$W$4,0))))</f>
        <v>0</v>
      </c>
      <c r="AC27">
        <f ca="1">IF($C27-AC$1&lt;År1,0,AB26*(1-VLOOKUP($A27,[1]Hugst!$R$5:$W$9,MATCH(ROUNDUP((AC$1)/10,0)*10,[1]Hugst!$R$4:$W$4,0))))</f>
        <v>0</v>
      </c>
      <c r="AD27">
        <f ca="1">IF($C27-AD$1&lt;År1,0,AC26*(1-VLOOKUP($A27,[1]Hugst!$R$5:$W$9,MATCH(ROUNDUP((AD$1)/10,0)*10,[1]Hugst!$R$4:$W$4,0))))</f>
        <v>0</v>
      </c>
      <c r="AE27">
        <f ca="1">IF($C27-AE$1&lt;År1,0,AD26*(1-VLOOKUP($A27,[1]Hugst!$R$5:$W$9,MATCH(ROUNDUP((AE$1)/10,0)*10,[1]Hugst!$R$4:$W$4,0))))</f>
        <v>0</v>
      </c>
      <c r="AF27">
        <f>IF($C27-AF$1&lt;År1,0,AE26*(1-VLOOKUP($A27,[1]Hugst!$R$5:$W$9,MATCH(ROUNDUP((AF$1)/10,0)*10,[1]Hugst!$R$4:$W$4,0))))</f>
        <v>0</v>
      </c>
      <c r="AG27">
        <f>IF($C27-AG$1&lt;År1,0,AF26*(1-VLOOKUP($A27,[1]Hugst!$R$5:$W$9,MATCH(ROUNDUP((AG$1)/10,0)*10,[1]Hugst!$R$4:$W$4,0))))</f>
        <v>0</v>
      </c>
      <c r="AH27">
        <f>IF($C27-AH$1&lt;År1,0,AG26*(1-VLOOKUP($A27,[1]Hugst!$R$5:$W$9,MATCH(ROUNDUP((AH$1)/10,0)*10,[1]Hugst!$R$4:$W$4,0))))</f>
        <v>0</v>
      </c>
      <c r="AI27">
        <f>IF($C27-AI$1&lt;År1,0,AH26*(1-VLOOKUP($A27,[1]Hugst!$R$5:$W$9,MATCH(ROUNDUP((AI$1)/10,0)*10,[1]Hugst!$R$4:$W$4,0))))</f>
        <v>0</v>
      </c>
      <c r="AJ27">
        <f>IF($C27-AJ$1&lt;År1,0,AI26*(1-VLOOKUP($A27,[1]Hugst!$R$5:$W$9,MATCH(ROUNDUP((AJ$1)/10,0)*10,[1]Hugst!$R$4:$W$4,0))))</f>
        <v>0</v>
      </c>
    </row>
    <row r="28" spans="1:38" x14ac:dyDescent="0.25">
      <c r="A28" t="s">
        <v>176</v>
      </c>
      <c r="B28" t="s">
        <v>23</v>
      </c>
      <c r="C28">
        <v>2046</v>
      </c>
      <c r="D2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0</v>
      </c>
      <c r="E28">
        <f t="shared" ca="1" si="0"/>
        <v>0</v>
      </c>
      <c r="F2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>
        <f ca="1">IF($C28-G$1&lt;År1,0,F27*(1-VLOOKUP($A28,[1]Hugst!$R$5:$W$9,MATCH(ROUNDUP((G$1)/10,0)*10,[1]Hugst!$R$4:$W$4,0))))</f>
        <v>0</v>
      </c>
      <c r="H28">
        <f ca="1">IF($C28-H$1&lt;År1,0,G27*(1-VLOOKUP($A28,[1]Hugst!$R$5:$W$9,MATCH(ROUNDUP((H$1)/10,0)*10,[1]Hugst!$R$4:$W$4,0))))</f>
        <v>0</v>
      </c>
      <c r="I28">
        <f ca="1">IF($C28-I$1&lt;År1,0,H27*(1-VLOOKUP($A28,[1]Hugst!$R$5:$W$9,MATCH(ROUNDUP((I$1)/10,0)*10,[1]Hugst!$R$4:$W$4,0))))</f>
        <v>0</v>
      </c>
      <c r="J28">
        <f ca="1">IF($C28-J$1&lt;År1,0,I27*(1-VLOOKUP($A28,[1]Hugst!$R$5:$W$9,MATCH(ROUNDUP((J$1)/10,0)*10,[1]Hugst!$R$4:$W$4,0))))</f>
        <v>0</v>
      </c>
      <c r="K28">
        <f ca="1">IF($C28-K$1&lt;År1,0,J27*(1-VLOOKUP($A28,[1]Hugst!$R$5:$W$9,MATCH(ROUNDUP((K$1)/10,0)*10,[1]Hugst!$R$4:$W$4,0))))</f>
        <v>0</v>
      </c>
      <c r="L28">
        <f ca="1">IF($C28-L$1&lt;År1,0,K27*(1-VLOOKUP($A28,[1]Hugst!$R$5:$W$9,MATCH(ROUNDUP((L$1)/10,0)*10,[1]Hugst!$R$4:$W$4,0))))</f>
        <v>0</v>
      </c>
      <c r="M28">
        <f ca="1">IF($C28-M$1&lt;År1,0,L27*(1-VLOOKUP($A28,[1]Hugst!$R$5:$W$9,MATCH(ROUNDUP((M$1)/10,0)*10,[1]Hugst!$R$4:$W$4,0))))</f>
        <v>0</v>
      </c>
      <c r="N28">
        <f ca="1">IF($C28-N$1&lt;År1,0,M27*(1-VLOOKUP($A28,[1]Hugst!$R$5:$W$9,MATCH(ROUNDUP((N$1)/10,0)*10,[1]Hugst!$R$4:$W$4,0))))</f>
        <v>0</v>
      </c>
      <c r="O28">
        <f ca="1">IF($C28-O$1&lt;År1,0,N27*(1-VLOOKUP($A28,[1]Hugst!$R$5:$W$9,MATCH(ROUNDUP((O$1)/10,0)*10,[1]Hugst!$R$4:$W$4,0))))</f>
        <v>0</v>
      </c>
      <c r="P28">
        <f ca="1">IF($C28-P$1&lt;År1,0,O27*(1-VLOOKUP($A28,[1]Hugst!$R$5:$W$9,MATCH(ROUNDUP((P$1)/10,0)*10,[1]Hugst!$R$4:$W$4,0))))</f>
        <v>0</v>
      </c>
      <c r="Q28">
        <f ca="1">IF($C28-Q$1&lt;År1,0,P27*(1-VLOOKUP($A28,[1]Hugst!$R$5:$W$9,MATCH(ROUNDUP((Q$1)/10,0)*10,[1]Hugst!$R$4:$W$4,0))))</f>
        <v>0</v>
      </c>
      <c r="R28">
        <f ca="1">IF($C28-R$1&lt;År1,0,Q27*(1-VLOOKUP($A28,[1]Hugst!$R$5:$W$9,MATCH(ROUNDUP((R$1)/10,0)*10,[1]Hugst!$R$4:$W$4,0))))</f>
        <v>0</v>
      </c>
      <c r="S28">
        <f ca="1">IF($C28-S$1&lt;År1,0,R27*(1-VLOOKUP($A28,[1]Hugst!$R$5:$W$9,MATCH(ROUNDUP((S$1)/10,0)*10,[1]Hugst!$R$4:$W$4,0))))</f>
        <v>0</v>
      </c>
      <c r="T28">
        <f ca="1">IF($C28-T$1&lt;År1,0,S27*(1-VLOOKUP($A28,[1]Hugst!$R$5:$W$9,MATCH(ROUNDUP((T$1)/10,0)*10,[1]Hugst!$R$4:$W$4,0))))</f>
        <v>0</v>
      </c>
      <c r="U28">
        <f ca="1">IF($C28-U$1&lt;År1,0,T27*(1-VLOOKUP($A28,[1]Hugst!$R$5:$W$9,MATCH(ROUNDUP((U$1)/10,0)*10,[1]Hugst!$R$4:$W$4,0))))</f>
        <v>0</v>
      </c>
      <c r="V28">
        <f ca="1">IF($C28-V$1&lt;År1,0,U27*(1-VLOOKUP($A28,[1]Hugst!$R$5:$W$9,MATCH(ROUNDUP((V$1)/10,0)*10,[1]Hugst!$R$4:$W$4,0))))</f>
        <v>0</v>
      </c>
      <c r="W28">
        <f ca="1">IF($C28-W$1&lt;År1,0,V27*(1-VLOOKUP($A28,[1]Hugst!$R$5:$W$9,MATCH(ROUNDUP((W$1)/10,0)*10,[1]Hugst!$R$4:$W$4,0))))</f>
        <v>0</v>
      </c>
      <c r="X28">
        <f ca="1">IF($C28-X$1&lt;År1,0,W27*(1-VLOOKUP($A28,[1]Hugst!$R$5:$W$9,MATCH(ROUNDUP((X$1)/10,0)*10,[1]Hugst!$R$4:$W$4,0))))</f>
        <v>0</v>
      </c>
      <c r="Y28">
        <f ca="1">IF($C28-Y$1&lt;År1,0,X27*(1-VLOOKUP($A28,[1]Hugst!$R$5:$W$9,MATCH(ROUNDUP((Y$1)/10,0)*10,[1]Hugst!$R$4:$W$4,0))))</f>
        <v>0</v>
      </c>
      <c r="Z28">
        <f ca="1">IF($C28-Z$1&lt;År1,0,Y27*(1-VLOOKUP($A28,[1]Hugst!$R$5:$W$9,MATCH(ROUNDUP((Z$1)/10,0)*10,[1]Hugst!$R$4:$W$4,0))))</f>
        <v>0</v>
      </c>
      <c r="AA28">
        <f ca="1">IF($C28-AA$1&lt;År1,0,Z27*(1-VLOOKUP($A28,[1]Hugst!$R$5:$W$9,MATCH(ROUNDUP((AA$1)/10,0)*10,[1]Hugst!$R$4:$W$4,0))))</f>
        <v>0</v>
      </c>
      <c r="AB28">
        <f ca="1">IF($C28-AB$1&lt;År1,0,AA27*(1-VLOOKUP($A28,[1]Hugst!$R$5:$W$9,MATCH(ROUNDUP((AB$1)/10,0)*10,[1]Hugst!$R$4:$W$4,0))))</f>
        <v>0</v>
      </c>
      <c r="AC28">
        <f ca="1">IF($C28-AC$1&lt;År1,0,AB27*(1-VLOOKUP($A28,[1]Hugst!$R$5:$W$9,MATCH(ROUNDUP((AC$1)/10,0)*10,[1]Hugst!$R$4:$W$4,0))))</f>
        <v>0</v>
      </c>
      <c r="AD28">
        <f ca="1">IF($C28-AD$1&lt;År1,0,AC27*(1-VLOOKUP($A28,[1]Hugst!$R$5:$W$9,MATCH(ROUNDUP((AD$1)/10,0)*10,[1]Hugst!$R$4:$W$4,0))))</f>
        <v>0</v>
      </c>
      <c r="AE28">
        <f ca="1">IF($C28-AE$1&lt;År1,0,AD27*(1-VLOOKUP($A28,[1]Hugst!$R$5:$W$9,MATCH(ROUNDUP((AE$1)/10,0)*10,[1]Hugst!$R$4:$W$4,0))))</f>
        <v>0</v>
      </c>
      <c r="AF28">
        <f ca="1">IF($C28-AF$1&lt;År1,0,AE27*(1-VLOOKUP($A28,[1]Hugst!$R$5:$W$9,MATCH(ROUNDUP((AF$1)/10,0)*10,[1]Hugst!$R$4:$W$4,0))))</f>
        <v>0</v>
      </c>
      <c r="AG28">
        <f>IF($C28-AG$1&lt;År1,0,AF27*(1-VLOOKUP($A28,[1]Hugst!$R$5:$W$9,MATCH(ROUNDUP((AG$1)/10,0)*10,[1]Hugst!$R$4:$W$4,0))))</f>
        <v>0</v>
      </c>
      <c r="AH28">
        <f>IF($C28-AH$1&lt;År1,0,AG27*(1-VLOOKUP($A28,[1]Hugst!$R$5:$W$9,MATCH(ROUNDUP((AH$1)/10,0)*10,[1]Hugst!$R$4:$W$4,0))))</f>
        <v>0</v>
      </c>
      <c r="AI28">
        <f>IF($C28-AI$1&lt;År1,0,AH27*(1-VLOOKUP($A28,[1]Hugst!$R$5:$W$9,MATCH(ROUNDUP((AI$1)/10,0)*10,[1]Hugst!$R$4:$W$4,0))))</f>
        <v>0</v>
      </c>
      <c r="AJ28">
        <f>IF($C28-AJ$1&lt;År1,0,AI27*(1-VLOOKUP($A28,[1]Hugst!$R$5:$W$9,MATCH(ROUNDUP((AJ$1)/10,0)*10,[1]Hugst!$R$4:$W$4,0))))</f>
        <v>0</v>
      </c>
    </row>
    <row r="29" spans="1:38" x14ac:dyDescent="0.25">
      <c r="A29" t="s">
        <v>176</v>
      </c>
      <c r="B29" t="s">
        <v>23</v>
      </c>
      <c r="C29">
        <v>2047</v>
      </c>
      <c r="D29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0</v>
      </c>
      <c r="E29">
        <f t="shared" ca="1" si="0"/>
        <v>0</v>
      </c>
      <c r="F2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>
        <f ca="1">IF($C29-G$1&lt;År1,0,F28*(1-VLOOKUP($A29,[1]Hugst!$R$5:$W$9,MATCH(ROUNDUP((G$1)/10,0)*10,[1]Hugst!$R$4:$W$4,0))))</f>
        <v>0</v>
      </c>
      <c r="H29">
        <f ca="1">IF($C29-H$1&lt;År1,0,G28*(1-VLOOKUP($A29,[1]Hugst!$R$5:$W$9,MATCH(ROUNDUP((H$1)/10,0)*10,[1]Hugst!$R$4:$W$4,0))))</f>
        <v>0</v>
      </c>
      <c r="I29">
        <f ca="1">IF($C29-I$1&lt;År1,0,H28*(1-VLOOKUP($A29,[1]Hugst!$R$5:$W$9,MATCH(ROUNDUP((I$1)/10,0)*10,[1]Hugst!$R$4:$W$4,0))))</f>
        <v>0</v>
      </c>
      <c r="J29">
        <f ca="1">IF($C29-J$1&lt;År1,0,I28*(1-VLOOKUP($A29,[1]Hugst!$R$5:$W$9,MATCH(ROUNDUP((J$1)/10,0)*10,[1]Hugst!$R$4:$W$4,0))))</f>
        <v>0</v>
      </c>
      <c r="K29">
        <f ca="1">IF($C29-K$1&lt;År1,0,J28*(1-VLOOKUP($A29,[1]Hugst!$R$5:$W$9,MATCH(ROUNDUP((K$1)/10,0)*10,[1]Hugst!$R$4:$W$4,0))))</f>
        <v>0</v>
      </c>
      <c r="L29">
        <f ca="1">IF($C29-L$1&lt;År1,0,K28*(1-VLOOKUP($A29,[1]Hugst!$R$5:$W$9,MATCH(ROUNDUP((L$1)/10,0)*10,[1]Hugst!$R$4:$W$4,0))))</f>
        <v>0</v>
      </c>
      <c r="M29">
        <f ca="1">IF($C29-M$1&lt;År1,0,L28*(1-VLOOKUP($A29,[1]Hugst!$R$5:$W$9,MATCH(ROUNDUP((M$1)/10,0)*10,[1]Hugst!$R$4:$W$4,0))))</f>
        <v>0</v>
      </c>
      <c r="N29">
        <f ca="1">IF($C29-N$1&lt;År1,0,M28*(1-VLOOKUP($A29,[1]Hugst!$R$5:$W$9,MATCH(ROUNDUP((N$1)/10,0)*10,[1]Hugst!$R$4:$W$4,0))))</f>
        <v>0</v>
      </c>
      <c r="O29">
        <f ca="1">IF($C29-O$1&lt;År1,0,N28*(1-VLOOKUP($A29,[1]Hugst!$R$5:$W$9,MATCH(ROUNDUP((O$1)/10,0)*10,[1]Hugst!$R$4:$W$4,0))))</f>
        <v>0</v>
      </c>
      <c r="P29">
        <f ca="1">IF($C29-P$1&lt;År1,0,O28*(1-VLOOKUP($A29,[1]Hugst!$R$5:$W$9,MATCH(ROUNDUP((P$1)/10,0)*10,[1]Hugst!$R$4:$W$4,0))))</f>
        <v>0</v>
      </c>
      <c r="Q29">
        <f ca="1">IF($C29-Q$1&lt;År1,0,P28*(1-VLOOKUP($A29,[1]Hugst!$R$5:$W$9,MATCH(ROUNDUP((Q$1)/10,0)*10,[1]Hugst!$R$4:$W$4,0))))</f>
        <v>0</v>
      </c>
      <c r="R29">
        <f ca="1">IF($C29-R$1&lt;År1,0,Q28*(1-VLOOKUP($A29,[1]Hugst!$R$5:$W$9,MATCH(ROUNDUP((R$1)/10,0)*10,[1]Hugst!$R$4:$W$4,0))))</f>
        <v>0</v>
      </c>
      <c r="S29">
        <f ca="1">IF($C29-S$1&lt;År1,0,R28*(1-VLOOKUP($A29,[1]Hugst!$R$5:$W$9,MATCH(ROUNDUP((S$1)/10,0)*10,[1]Hugst!$R$4:$W$4,0))))</f>
        <v>0</v>
      </c>
      <c r="T29">
        <f ca="1">IF($C29-T$1&lt;År1,0,S28*(1-VLOOKUP($A29,[1]Hugst!$R$5:$W$9,MATCH(ROUNDUP((T$1)/10,0)*10,[1]Hugst!$R$4:$W$4,0))))</f>
        <v>0</v>
      </c>
      <c r="U29">
        <f ca="1">IF($C29-U$1&lt;År1,0,T28*(1-VLOOKUP($A29,[1]Hugst!$R$5:$W$9,MATCH(ROUNDUP((U$1)/10,0)*10,[1]Hugst!$R$4:$W$4,0))))</f>
        <v>0</v>
      </c>
      <c r="V29">
        <f ca="1">IF($C29-V$1&lt;År1,0,U28*(1-VLOOKUP($A29,[1]Hugst!$R$5:$W$9,MATCH(ROUNDUP((V$1)/10,0)*10,[1]Hugst!$R$4:$W$4,0))))</f>
        <v>0</v>
      </c>
      <c r="W29">
        <f ca="1">IF($C29-W$1&lt;År1,0,V28*(1-VLOOKUP($A29,[1]Hugst!$R$5:$W$9,MATCH(ROUNDUP((W$1)/10,0)*10,[1]Hugst!$R$4:$W$4,0))))</f>
        <v>0</v>
      </c>
      <c r="X29">
        <f ca="1">IF($C29-X$1&lt;År1,0,W28*(1-VLOOKUP($A29,[1]Hugst!$R$5:$W$9,MATCH(ROUNDUP((X$1)/10,0)*10,[1]Hugst!$R$4:$W$4,0))))</f>
        <v>0</v>
      </c>
      <c r="Y29">
        <f ca="1">IF($C29-Y$1&lt;År1,0,X28*(1-VLOOKUP($A29,[1]Hugst!$R$5:$W$9,MATCH(ROUNDUP((Y$1)/10,0)*10,[1]Hugst!$R$4:$W$4,0))))</f>
        <v>0</v>
      </c>
      <c r="Z29">
        <f ca="1">IF($C29-Z$1&lt;År1,0,Y28*(1-VLOOKUP($A29,[1]Hugst!$R$5:$W$9,MATCH(ROUNDUP((Z$1)/10,0)*10,[1]Hugst!$R$4:$W$4,0))))</f>
        <v>0</v>
      </c>
      <c r="AA29">
        <f ca="1">IF($C29-AA$1&lt;År1,0,Z28*(1-VLOOKUP($A29,[1]Hugst!$R$5:$W$9,MATCH(ROUNDUP((AA$1)/10,0)*10,[1]Hugst!$R$4:$W$4,0))))</f>
        <v>0</v>
      </c>
      <c r="AB29">
        <f ca="1">IF($C29-AB$1&lt;År1,0,AA28*(1-VLOOKUP($A29,[1]Hugst!$R$5:$W$9,MATCH(ROUNDUP((AB$1)/10,0)*10,[1]Hugst!$R$4:$W$4,0))))</f>
        <v>0</v>
      </c>
      <c r="AC29">
        <f ca="1">IF($C29-AC$1&lt;År1,0,AB28*(1-VLOOKUP($A29,[1]Hugst!$R$5:$W$9,MATCH(ROUNDUP((AC$1)/10,0)*10,[1]Hugst!$R$4:$W$4,0))))</f>
        <v>0</v>
      </c>
      <c r="AD29">
        <f ca="1">IF($C29-AD$1&lt;År1,0,AC28*(1-VLOOKUP($A29,[1]Hugst!$R$5:$W$9,MATCH(ROUNDUP((AD$1)/10,0)*10,[1]Hugst!$R$4:$W$4,0))))</f>
        <v>0</v>
      </c>
      <c r="AE29">
        <f ca="1">IF($C29-AE$1&lt;År1,0,AD28*(1-VLOOKUP($A29,[1]Hugst!$R$5:$W$9,MATCH(ROUNDUP((AE$1)/10,0)*10,[1]Hugst!$R$4:$W$4,0))))</f>
        <v>0</v>
      </c>
      <c r="AF29">
        <f ca="1">IF($C29-AF$1&lt;År1,0,AE28*(1-VLOOKUP($A29,[1]Hugst!$R$5:$W$9,MATCH(ROUNDUP((AF$1)/10,0)*10,[1]Hugst!$R$4:$W$4,0))))</f>
        <v>0</v>
      </c>
      <c r="AG29">
        <f ca="1">IF($C29-AG$1&lt;År1,0,AF28*(1-VLOOKUP($A29,[1]Hugst!$R$5:$W$9,MATCH(ROUNDUP((AG$1)/10,0)*10,[1]Hugst!$R$4:$W$4,0))))</f>
        <v>0</v>
      </c>
      <c r="AH29">
        <f>IF($C29-AH$1&lt;År1,0,AG28*(1-VLOOKUP($A29,[1]Hugst!$R$5:$W$9,MATCH(ROUNDUP((AH$1)/10,0)*10,[1]Hugst!$R$4:$W$4,0))))</f>
        <v>0</v>
      </c>
      <c r="AI29">
        <f>IF($C29-AI$1&lt;År1,0,AH28*(1-VLOOKUP($A29,[1]Hugst!$R$5:$W$9,MATCH(ROUNDUP((AI$1)/10,0)*10,[1]Hugst!$R$4:$W$4,0))))</f>
        <v>0</v>
      </c>
      <c r="AJ29">
        <f>IF($C29-AJ$1&lt;År1,0,AI28*(1-VLOOKUP($A29,[1]Hugst!$R$5:$W$9,MATCH(ROUNDUP((AJ$1)/10,0)*10,[1]Hugst!$R$4:$W$4,0))))</f>
        <v>0</v>
      </c>
    </row>
    <row r="30" spans="1:38" x14ac:dyDescent="0.25">
      <c r="A30" t="s">
        <v>176</v>
      </c>
      <c r="B30" t="s">
        <v>23</v>
      </c>
      <c r="C30">
        <v>2048</v>
      </c>
      <c r="D30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0</v>
      </c>
      <c r="E30">
        <f t="shared" ca="1" si="0"/>
        <v>0</v>
      </c>
      <c r="F30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>
        <f ca="1">IF($C30-G$1&lt;År1,0,F29*(1-VLOOKUP($A30,[1]Hugst!$R$5:$W$9,MATCH(ROUNDUP((G$1)/10,0)*10,[1]Hugst!$R$4:$W$4,0))))</f>
        <v>0</v>
      </c>
      <c r="H30">
        <f ca="1">IF($C30-H$1&lt;År1,0,G29*(1-VLOOKUP($A30,[1]Hugst!$R$5:$W$9,MATCH(ROUNDUP((H$1)/10,0)*10,[1]Hugst!$R$4:$W$4,0))))</f>
        <v>0</v>
      </c>
      <c r="I30">
        <f ca="1">IF($C30-I$1&lt;År1,0,H29*(1-VLOOKUP($A30,[1]Hugst!$R$5:$W$9,MATCH(ROUNDUP((I$1)/10,0)*10,[1]Hugst!$R$4:$W$4,0))))</f>
        <v>0</v>
      </c>
      <c r="J30">
        <f ca="1">IF($C30-J$1&lt;År1,0,I29*(1-VLOOKUP($A30,[1]Hugst!$R$5:$W$9,MATCH(ROUNDUP((J$1)/10,0)*10,[1]Hugst!$R$4:$W$4,0))))</f>
        <v>0</v>
      </c>
      <c r="K30">
        <f ca="1">IF($C30-K$1&lt;År1,0,J29*(1-VLOOKUP($A30,[1]Hugst!$R$5:$W$9,MATCH(ROUNDUP((K$1)/10,0)*10,[1]Hugst!$R$4:$W$4,0))))</f>
        <v>0</v>
      </c>
      <c r="L30">
        <f ca="1">IF($C30-L$1&lt;År1,0,K29*(1-VLOOKUP($A30,[1]Hugst!$R$5:$W$9,MATCH(ROUNDUP((L$1)/10,0)*10,[1]Hugst!$R$4:$W$4,0))))</f>
        <v>0</v>
      </c>
      <c r="M30">
        <f ca="1">IF($C30-M$1&lt;År1,0,L29*(1-VLOOKUP($A30,[1]Hugst!$R$5:$W$9,MATCH(ROUNDUP((M$1)/10,0)*10,[1]Hugst!$R$4:$W$4,0))))</f>
        <v>0</v>
      </c>
      <c r="N30">
        <f ca="1">IF($C30-N$1&lt;År1,0,M29*(1-VLOOKUP($A30,[1]Hugst!$R$5:$W$9,MATCH(ROUNDUP((N$1)/10,0)*10,[1]Hugst!$R$4:$W$4,0))))</f>
        <v>0</v>
      </c>
      <c r="O30">
        <f ca="1">IF($C30-O$1&lt;År1,0,N29*(1-VLOOKUP($A30,[1]Hugst!$R$5:$W$9,MATCH(ROUNDUP((O$1)/10,0)*10,[1]Hugst!$R$4:$W$4,0))))</f>
        <v>0</v>
      </c>
      <c r="P30">
        <f ca="1">IF($C30-P$1&lt;År1,0,O29*(1-VLOOKUP($A30,[1]Hugst!$R$5:$W$9,MATCH(ROUNDUP((P$1)/10,0)*10,[1]Hugst!$R$4:$W$4,0))))</f>
        <v>0</v>
      </c>
      <c r="Q30">
        <f ca="1">IF($C30-Q$1&lt;År1,0,P29*(1-VLOOKUP($A30,[1]Hugst!$R$5:$W$9,MATCH(ROUNDUP((Q$1)/10,0)*10,[1]Hugst!$R$4:$W$4,0))))</f>
        <v>0</v>
      </c>
      <c r="R30">
        <f ca="1">IF($C30-R$1&lt;År1,0,Q29*(1-VLOOKUP($A30,[1]Hugst!$R$5:$W$9,MATCH(ROUNDUP((R$1)/10,0)*10,[1]Hugst!$R$4:$W$4,0))))</f>
        <v>0</v>
      </c>
      <c r="S30">
        <f ca="1">IF($C30-S$1&lt;År1,0,R29*(1-VLOOKUP($A30,[1]Hugst!$R$5:$W$9,MATCH(ROUNDUP((S$1)/10,0)*10,[1]Hugst!$R$4:$W$4,0))))</f>
        <v>0</v>
      </c>
      <c r="T30">
        <f ca="1">IF($C30-T$1&lt;År1,0,S29*(1-VLOOKUP($A30,[1]Hugst!$R$5:$W$9,MATCH(ROUNDUP((T$1)/10,0)*10,[1]Hugst!$R$4:$W$4,0))))</f>
        <v>0</v>
      </c>
      <c r="U30">
        <f ca="1">IF($C30-U$1&lt;År1,0,T29*(1-VLOOKUP($A30,[1]Hugst!$R$5:$W$9,MATCH(ROUNDUP((U$1)/10,0)*10,[1]Hugst!$R$4:$W$4,0))))</f>
        <v>0</v>
      </c>
      <c r="V30">
        <f ca="1">IF($C30-V$1&lt;År1,0,U29*(1-VLOOKUP($A30,[1]Hugst!$R$5:$W$9,MATCH(ROUNDUP((V$1)/10,0)*10,[1]Hugst!$R$4:$W$4,0))))</f>
        <v>0</v>
      </c>
      <c r="W30">
        <f ca="1">IF($C30-W$1&lt;År1,0,V29*(1-VLOOKUP($A30,[1]Hugst!$R$5:$W$9,MATCH(ROUNDUP((W$1)/10,0)*10,[1]Hugst!$R$4:$W$4,0))))</f>
        <v>0</v>
      </c>
      <c r="X30">
        <f ca="1">IF($C30-X$1&lt;År1,0,W29*(1-VLOOKUP($A30,[1]Hugst!$R$5:$W$9,MATCH(ROUNDUP((X$1)/10,0)*10,[1]Hugst!$R$4:$W$4,0))))</f>
        <v>0</v>
      </c>
      <c r="Y30">
        <f ca="1">IF($C30-Y$1&lt;År1,0,X29*(1-VLOOKUP($A30,[1]Hugst!$R$5:$W$9,MATCH(ROUNDUP((Y$1)/10,0)*10,[1]Hugst!$R$4:$W$4,0))))</f>
        <v>0</v>
      </c>
      <c r="Z30">
        <f ca="1">IF($C30-Z$1&lt;År1,0,Y29*(1-VLOOKUP($A30,[1]Hugst!$R$5:$W$9,MATCH(ROUNDUP((Z$1)/10,0)*10,[1]Hugst!$R$4:$W$4,0))))</f>
        <v>0</v>
      </c>
      <c r="AA30">
        <f ca="1">IF($C30-AA$1&lt;År1,0,Z29*(1-VLOOKUP($A30,[1]Hugst!$R$5:$W$9,MATCH(ROUNDUP((AA$1)/10,0)*10,[1]Hugst!$R$4:$W$4,0))))</f>
        <v>0</v>
      </c>
      <c r="AB30">
        <f ca="1">IF($C30-AB$1&lt;År1,0,AA29*(1-VLOOKUP($A30,[1]Hugst!$R$5:$W$9,MATCH(ROUNDUP((AB$1)/10,0)*10,[1]Hugst!$R$4:$W$4,0))))</f>
        <v>0</v>
      </c>
      <c r="AC30">
        <f ca="1">IF($C30-AC$1&lt;År1,0,AB29*(1-VLOOKUP($A30,[1]Hugst!$R$5:$W$9,MATCH(ROUNDUP((AC$1)/10,0)*10,[1]Hugst!$R$4:$W$4,0))))</f>
        <v>0</v>
      </c>
      <c r="AD30">
        <f ca="1">IF($C30-AD$1&lt;År1,0,AC29*(1-VLOOKUP($A30,[1]Hugst!$R$5:$W$9,MATCH(ROUNDUP((AD$1)/10,0)*10,[1]Hugst!$R$4:$W$4,0))))</f>
        <v>0</v>
      </c>
      <c r="AE30">
        <f ca="1">IF($C30-AE$1&lt;År1,0,AD29*(1-VLOOKUP($A30,[1]Hugst!$R$5:$W$9,MATCH(ROUNDUP((AE$1)/10,0)*10,[1]Hugst!$R$4:$W$4,0))))</f>
        <v>0</v>
      </c>
      <c r="AF30">
        <f ca="1">IF($C30-AF$1&lt;År1,0,AE29*(1-VLOOKUP($A30,[1]Hugst!$R$5:$W$9,MATCH(ROUNDUP((AF$1)/10,0)*10,[1]Hugst!$R$4:$W$4,0))))</f>
        <v>0</v>
      </c>
      <c r="AG30">
        <f ca="1">IF($C30-AG$1&lt;År1,0,AF29*(1-VLOOKUP($A30,[1]Hugst!$R$5:$W$9,MATCH(ROUNDUP((AG$1)/10,0)*10,[1]Hugst!$R$4:$W$4,0))))</f>
        <v>0</v>
      </c>
      <c r="AH30">
        <f ca="1">IF($C30-AH$1&lt;År1,0,AG29*(1-VLOOKUP($A30,[1]Hugst!$R$5:$W$9,MATCH(ROUNDUP((AH$1)/10,0)*10,[1]Hugst!$R$4:$W$4,0))))</f>
        <v>0</v>
      </c>
      <c r="AI30">
        <f>IF($C30-AI$1&lt;År1,0,AH29*(1-VLOOKUP($A30,[1]Hugst!$R$5:$W$9,MATCH(ROUNDUP((AI$1)/10,0)*10,[1]Hugst!$R$4:$W$4,0))))</f>
        <v>0</v>
      </c>
      <c r="AJ30">
        <f>IF($C30-AJ$1&lt;År1,0,AI29*(1-VLOOKUP($A30,[1]Hugst!$R$5:$W$9,MATCH(ROUNDUP((AJ$1)/10,0)*10,[1]Hugst!$R$4:$W$4,0))))</f>
        <v>0</v>
      </c>
    </row>
    <row r="31" spans="1:38" x14ac:dyDescent="0.25">
      <c r="A31" t="s">
        <v>176</v>
      </c>
      <c r="B31" t="s">
        <v>23</v>
      </c>
      <c r="C31">
        <v>2049</v>
      </c>
      <c r="D31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0</v>
      </c>
      <c r="E31">
        <f t="shared" ca="1" si="0"/>
        <v>0</v>
      </c>
      <c r="F31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>
        <f ca="1">IF($C31-G$1&lt;År1,0,F30*(1-VLOOKUP($A31,[1]Hugst!$R$5:$W$9,MATCH(ROUNDUP((G$1)/10,0)*10,[1]Hugst!$R$4:$W$4,0))))</f>
        <v>0</v>
      </c>
      <c r="H31">
        <f ca="1">IF($C31-H$1&lt;År1,0,G30*(1-VLOOKUP($A31,[1]Hugst!$R$5:$W$9,MATCH(ROUNDUP((H$1)/10,0)*10,[1]Hugst!$R$4:$W$4,0))))</f>
        <v>0</v>
      </c>
      <c r="I31">
        <f ca="1">IF($C31-I$1&lt;År1,0,H30*(1-VLOOKUP($A31,[1]Hugst!$R$5:$W$9,MATCH(ROUNDUP((I$1)/10,0)*10,[1]Hugst!$R$4:$W$4,0))))</f>
        <v>0</v>
      </c>
      <c r="J31">
        <f ca="1">IF($C31-J$1&lt;År1,0,I30*(1-VLOOKUP($A31,[1]Hugst!$R$5:$W$9,MATCH(ROUNDUP((J$1)/10,0)*10,[1]Hugst!$R$4:$W$4,0))))</f>
        <v>0</v>
      </c>
      <c r="K31">
        <f ca="1">IF($C31-K$1&lt;År1,0,J30*(1-VLOOKUP($A31,[1]Hugst!$R$5:$W$9,MATCH(ROUNDUP((K$1)/10,0)*10,[1]Hugst!$R$4:$W$4,0))))</f>
        <v>0</v>
      </c>
      <c r="L31">
        <f ca="1">IF($C31-L$1&lt;År1,0,K30*(1-VLOOKUP($A31,[1]Hugst!$R$5:$W$9,MATCH(ROUNDUP((L$1)/10,0)*10,[1]Hugst!$R$4:$W$4,0))))</f>
        <v>0</v>
      </c>
      <c r="M31">
        <f ca="1">IF($C31-M$1&lt;År1,0,L30*(1-VLOOKUP($A31,[1]Hugst!$R$5:$W$9,MATCH(ROUNDUP((M$1)/10,0)*10,[1]Hugst!$R$4:$W$4,0))))</f>
        <v>0</v>
      </c>
      <c r="N31">
        <f ca="1">IF($C31-N$1&lt;År1,0,M30*(1-VLOOKUP($A31,[1]Hugst!$R$5:$W$9,MATCH(ROUNDUP((N$1)/10,0)*10,[1]Hugst!$R$4:$W$4,0))))</f>
        <v>0</v>
      </c>
      <c r="O31">
        <f ca="1">IF($C31-O$1&lt;År1,0,N30*(1-VLOOKUP($A31,[1]Hugst!$R$5:$W$9,MATCH(ROUNDUP((O$1)/10,0)*10,[1]Hugst!$R$4:$W$4,0))))</f>
        <v>0</v>
      </c>
      <c r="P31">
        <f ca="1">IF($C31-P$1&lt;År1,0,O30*(1-VLOOKUP($A31,[1]Hugst!$R$5:$W$9,MATCH(ROUNDUP((P$1)/10,0)*10,[1]Hugst!$R$4:$W$4,0))))</f>
        <v>0</v>
      </c>
      <c r="Q31">
        <f ca="1">IF($C31-Q$1&lt;År1,0,P30*(1-VLOOKUP($A31,[1]Hugst!$R$5:$W$9,MATCH(ROUNDUP((Q$1)/10,0)*10,[1]Hugst!$R$4:$W$4,0))))</f>
        <v>0</v>
      </c>
      <c r="R31">
        <f ca="1">IF($C31-R$1&lt;År1,0,Q30*(1-VLOOKUP($A31,[1]Hugst!$R$5:$W$9,MATCH(ROUNDUP((R$1)/10,0)*10,[1]Hugst!$R$4:$W$4,0))))</f>
        <v>0</v>
      </c>
      <c r="S31">
        <f ca="1">IF($C31-S$1&lt;År1,0,R30*(1-VLOOKUP($A31,[1]Hugst!$R$5:$W$9,MATCH(ROUNDUP((S$1)/10,0)*10,[1]Hugst!$R$4:$W$4,0))))</f>
        <v>0</v>
      </c>
      <c r="T31">
        <f ca="1">IF($C31-T$1&lt;År1,0,S30*(1-VLOOKUP($A31,[1]Hugst!$R$5:$W$9,MATCH(ROUNDUP((T$1)/10,0)*10,[1]Hugst!$R$4:$W$4,0))))</f>
        <v>0</v>
      </c>
      <c r="U31">
        <f ca="1">IF($C31-U$1&lt;År1,0,T30*(1-VLOOKUP($A31,[1]Hugst!$R$5:$W$9,MATCH(ROUNDUP((U$1)/10,0)*10,[1]Hugst!$R$4:$W$4,0))))</f>
        <v>0</v>
      </c>
      <c r="V31">
        <f ca="1">IF($C31-V$1&lt;År1,0,U30*(1-VLOOKUP($A31,[1]Hugst!$R$5:$W$9,MATCH(ROUNDUP((V$1)/10,0)*10,[1]Hugst!$R$4:$W$4,0))))</f>
        <v>0</v>
      </c>
      <c r="W31">
        <f ca="1">IF($C31-W$1&lt;År1,0,V30*(1-VLOOKUP($A31,[1]Hugst!$R$5:$W$9,MATCH(ROUNDUP((W$1)/10,0)*10,[1]Hugst!$R$4:$W$4,0))))</f>
        <v>0</v>
      </c>
      <c r="X31">
        <f ca="1">IF($C31-X$1&lt;År1,0,W30*(1-VLOOKUP($A31,[1]Hugst!$R$5:$W$9,MATCH(ROUNDUP((X$1)/10,0)*10,[1]Hugst!$R$4:$W$4,0))))</f>
        <v>0</v>
      </c>
      <c r="Y31">
        <f ca="1">IF($C31-Y$1&lt;År1,0,X30*(1-VLOOKUP($A31,[1]Hugst!$R$5:$W$9,MATCH(ROUNDUP((Y$1)/10,0)*10,[1]Hugst!$R$4:$W$4,0))))</f>
        <v>0</v>
      </c>
      <c r="Z31">
        <f ca="1">IF($C31-Z$1&lt;År1,0,Y30*(1-VLOOKUP($A31,[1]Hugst!$R$5:$W$9,MATCH(ROUNDUP((Z$1)/10,0)*10,[1]Hugst!$R$4:$W$4,0))))</f>
        <v>0</v>
      </c>
      <c r="AA31">
        <f ca="1">IF($C31-AA$1&lt;År1,0,Z30*(1-VLOOKUP($A31,[1]Hugst!$R$5:$W$9,MATCH(ROUNDUP((AA$1)/10,0)*10,[1]Hugst!$R$4:$W$4,0))))</f>
        <v>0</v>
      </c>
      <c r="AB31">
        <f ca="1">IF($C31-AB$1&lt;År1,0,AA30*(1-VLOOKUP($A31,[1]Hugst!$R$5:$W$9,MATCH(ROUNDUP((AB$1)/10,0)*10,[1]Hugst!$R$4:$W$4,0))))</f>
        <v>0</v>
      </c>
      <c r="AC31">
        <f ca="1">IF($C31-AC$1&lt;År1,0,AB30*(1-VLOOKUP($A31,[1]Hugst!$R$5:$W$9,MATCH(ROUNDUP((AC$1)/10,0)*10,[1]Hugst!$R$4:$W$4,0))))</f>
        <v>0</v>
      </c>
      <c r="AD31">
        <f ca="1">IF($C31-AD$1&lt;År1,0,AC30*(1-VLOOKUP($A31,[1]Hugst!$R$5:$W$9,MATCH(ROUNDUP((AD$1)/10,0)*10,[1]Hugst!$R$4:$W$4,0))))</f>
        <v>0</v>
      </c>
      <c r="AE31">
        <f ca="1">IF($C31-AE$1&lt;År1,0,AD30*(1-VLOOKUP($A31,[1]Hugst!$R$5:$W$9,MATCH(ROUNDUP((AE$1)/10,0)*10,[1]Hugst!$R$4:$W$4,0))))</f>
        <v>0</v>
      </c>
      <c r="AF31">
        <f ca="1">IF($C31-AF$1&lt;År1,0,AE30*(1-VLOOKUP($A31,[1]Hugst!$R$5:$W$9,MATCH(ROUNDUP((AF$1)/10,0)*10,[1]Hugst!$R$4:$W$4,0))))</f>
        <v>0</v>
      </c>
      <c r="AG31">
        <f ca="1">IF($C31-AG$1&lt;År1,0,AF30*(1-VLOOKUP($A31,[1]Hugst!$R$5:$W$9,MATCH(ROUNDUP((AG$1)/10,0)*10,[1]Hugst!$R$4:$W$4,0))))</f>
        <v>0</v>
      </c>
      <c r="AH31">
        <f ca="1">IF($C31-AH$1&lt;År1,0,AG30*(1-VLOOKUP($A31,[1]Hugst!$R$5:$W$9,MATCH(ROUNDUP((AH$1)/10,0)*10,[1]Hugst!$R$4:$W$4,0))))</f>
        <v>0</v>
      </c>
      <c r="AI31">
        <f ca="1">IF($C31-AI$1&lt;År1,0,AH30*(1-VLOOKUP($A31,[1]Hugst!$R$5:$W$9,MATCH(ROUNDUP((AI$1)/10,0)*10,[1]Hugst!$R$4:$W$4,0))))</f>
        <v>0</v>
      </c>
      <c r="AJ31">
        <f>IF($C31-AJ$1&lt;År1,0,AI30*(1-VLOOKUP($A31,[1]Hugst!$R$5:$W$9,MATCH(ROUNDUP((AJ$1)/10,0)*10,[1]Hugst!$R$4:$W$4,0))))</f>
        <v>0</v>
      </c>
    </row>
    <row r="32" spans="1:38" x14ac:dyDescent="0.25">
      <c r="A32" t="s">
        <v>176</v>
      </c>
      <c r="B32" t="s">
        <v>23</v>
      </c>
      <c r="C32">
        <v>2050</v>
      </c>
      <c r="D32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0</v>
      </c>
      <c r="E32">
        <f t="shared" ca="1" si="0"/>
        <v>0</v>
      </c>
      <c r="F32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>
        <f ca="1">IF($C32-G$1&lt;År1,0,F31*(1-VLOOKUP($A32,[1]Hugst!$R$5:$W$9,MATCH(ROUNDUP((G$1)/10,0)*10,[1]Hugst!$R$4:$W$4,0))))</f>
        <v>0</v>
      </c>
      <c r="H32">
        <f ca="1">IF($C32-H$1&lt;År1,0,G31*(1-VLOOKUP($A32,[1]Hugst!$R$5:$W$9,MATCH(ROUNDUP((H$1)/10,0)*10,[1]Hugst!$R$4:$W$4,0))))</f>
        <v>0</v>
      </c>
      <c r="I32">
        <f ca="1">IF($C32-I$1&lt;År1,0,H31*(1-VLOOKUP($A32,[1]Hugst!$R$5:$W$9,MATCH(ROUNDUP((I$1)/10,0)*10,[1]Hugst!$R$4:$W$4,0))))</f>
        <v>0</v>
      </c>
      <c r="J32">
        <f ca="1">IF($C32-J$1&lt;År1,0,I31*(1-VLOOKUP($A32,[1]Hugst!$R$5:$W$9,MATCH(ROUNDUP((J$1)/10,0)*10,[1]Hugst!$R$4:$W$4,0))))</f>
        <v>0</v>
      </c>
      <c r="K32">
        <f ca="1">IF($C32-K$1&lt;År1,0,J31*(1-VLOOKUP($A32,[1]Hugst!$R$5:$W$9,MATCH(ROUNDUP((K$1)/10,0)*10,[1]Hugst!$R$4:$W$4,0))))</f>
        <v>0</v>
      </c>
      <c r="L32">
        <f ca="1">IF($C32-L$1&lt;År1,0,K31*(1-VLOOKUP($A32,[1]Hugst!$R$5:$W$9,MATCH(ROUNDUP((L$1)/10,0)*10,[1]Hugst!$R$4:$W$4,0))))</f>
        <v>0</v>
      </c>
      <c r="M32">
        <f ca="1">IF($C32-M$1&lt;År1,0,L31*(1-VLOOKUP($A32,[1]Hugst!$R$5:$W$9,MATCH(ROUNDUP((M$1)/10,0)*10,[1]Hugst!$R$4:$W$4,0))))</f>
        <v>0</v>
      </c>
      <c r="N32">
        <f ca="1">IF($C32-N$1&lt;År1,0,M31*(1-VLOOKUP($A32,[1]Hugst!$R$5:$W$9,MATCH(ROUNDUP((N$1)/10,0)*10,[1]Hugst!$R$4:$W$4,0))))</f>
        <v>0</v>
      </c>
      <c r="O32">
        <f ca="1">IF($C32-O$1&lt;År1,0,N31*(1-VLOOKUP($A32,[1]Hugst!$R$5:$W$9,MATCH(ROUNDUP((O$1)/10,0)*10,[1]Hugst!$R$4:$W$4,0))))</f>
        <v>0</v>
      </c>
      <c r="P32">
        <f ca="1">IF($C32-P$1&lt;År1,0,O31*(1-VLOOKUP($A32,[1]Hugst!$R$5:$W$9,MATCH(ROUNDUP((P$1)/10,0)*10,[1]Hugst!$R$4:$W$4,0))))</f>
        <v>0</v>
      </c>
      <c r="Q32">
        <f ca="1">IF($C32-Q$1&lt;År1,0,P31*(1-VLOOKUP($A32,[1]Hugst!$R$5:$W$9,MATCH(ROUNDUP((Q$1)/10,0)*10,[1]Hugst!$R$4:$W$4,0))))</f>
        <v>0</v>
      </c>
      <c r="R32">
        <f ca="1">IF($C32-R$1&lt;År1,0,Q31*(1-VLOOKUP($A32,[1]Hugst!$R$5:$W$9,MATCH(ROUNDUP((R$1)/10,0)*10,[1]Hugst!$R$4:$W$4,0))))</f>
        <v>0</v>
      </c>
      <c r="S32">
        <f ca="1">IF($C32-S$1&lt;År1,0,R31*(1-VLOOKUP($A32,[1]Hugst!$R$5:$W$9,MATCH(ROUNDUP((S$1)/10,0)*10,[1]Hugst!$R$4:$W$4,0))))</f>
        <v>0</v>
      </c>
      <c r="T32">
        <f ca="1">IF($C32-T$1&lt;År1,0,S31*(1-VLOOKUP($A32,[1]Hugst!$R$5:$W$9,MATCH(ROUNDUP((T$1)/10,0)*10,[1]Hugst!$R$4:$W$4,0))))</f>
        <v>0</v>
      </c>
      <c r="U32">
        <f ca="1">IF($C32-U$1&lt;År1,0,T31*(1-VLOOKUP($A32,[1]Hugst!$R$5:$W$9,MATCH(ROUNDUP((U$1)/10,0)*10,[1]Hugst!$R$4:$W$4,0))))</f>
        <v>0</v>
      </c>
      <c r="V32">
        <f ca="1">IF($C32-V$1&lt;År1,0,U31*(1-VLOOKUP($A32,[1]Hugst!$R$5:$W$9,MATCH(ROUNDUP((V$1)/10,0)*10,[1]Hugst!$R$4:$W$4,0))))</f>
        <v>0</v>
      </c>
      <c r="W32">
        <f ca="1">IF($C32-W$1&lt;År1,0,V31*(1-VLOOKUP($A32,[1]Hugst!$R$5:$W$9,MATCH(ROUNDUP((W$1)/10,0)*10,[1]Hugst!$R$4:$W$4,0))))</f>
        <v>0</v>
      </c>
      <c r="X32">
        <f ca="1">IF($C32-X$1&lt;År1,0,W31*(1-VLOOKUP($A32,[1]Hugst!$R$5:$W$9,MATCH(ROUNDUP((X$1)/10,0)*10,[1]Hugst!$R$4:$W$4,0))))</f>
        <v>0</v>
      </c>
      <c r="Y32">
        <f ca="1">IF($C32-Y$1&lt;År1,0,X31*(1-VLOOKUP($A32,[1]Hugst!$R$5:$W$9,MATCH(ROUNDUP((Y$1)/10,0)*10,[1]Hugst!$R$4:$W$4,0))))</f>
        <v>0</v>
      </c>
      <c r="Z32">
        <f ca="1">IF($C32-Z$1&lt;År1,0,Y31*(1-VLOOKUP($A32,[1]Hugst!$R$5:$W$9,MATCH(ROUNDUP((Z$1)/10,0)*10,[1]Hugst!$R$4:$W$4,0))))</f>
        <v>0</v>
      </c>
      <c r="AA32">
        <f ca="1">IF($C32-AA$1&lt;År1,0,Z31*(1-VLOOKUP($A32,[1]Hugst!$R$5:$W$9,MATCH(ROUNDUP((AA$1)/10,0)*10,[1]Hugst!$R$4:$W$4,0))))</f>
        <v>0</v>
      </c>
      <c r="AB32">
        <f ca="1">IF($C32-AB$1&lt;År1,0,AA31*(1-VLOOKUP($A32,[1]Hugst!$R$5:$W$9,MATCH(ROUNDUP((AB$1)/10,0)*10,[1]Hugst!$R$4:$W$4,0))))</f>
        <v>0</v>
      </c>
      <c r="AC32">
        <f ca="1">IF($C32-AC$1&lt;År1,0,AB31*(1-VLOOKUP($A32,[1]Hugst!$R$5:$W$9,MATCH(ROUNDUP((AC$1)/10,0)*10,[1]Hugst!$R$4:$W$4,0))))</f>
        <v>0</v>
      </c>
      <c r="AD32">
        <f ca="1">IF($C32-AD$1&lt;År1,0,AC31*(1-VLOOKUP($A32,[1]Hugst!$R$5:$W$9,MATCH(ROUNDUP((AD$1)/10,0)*10,[1]Hugst!$R$4:$W$4,0))))</f>
        <v>0</v>
      </c>
      <c r="AE32">
        <f ca="1">IF($C32-AE$1&lt;År1,0,AD31*(1-VLOOKUP($A32,[1]Hugst!$R$5:$W$9,MATCH(ROUNDUP((AE$1)/10,0)*10,[1]Hugst!$R$4:$W$4,0))))</f>
        <v>0</v>
      </c>
      <c r="AF32">
        <f ca="1">IF($C32-AF$1&lt;År1,0,AE31*(1-VLOOKUP($A32,[1]Hugst!$R$5:$W$9,MATCH(ROUNDUP((AF$1)/10,0)*10,[1]Hugst!$R$4:$W$4,0))))</f>
        <v>0</v>
      </c>
      <c r="AG32">
        <f ca="1">IF($C32-AG$1&lt;År1,0,AF31*(1-VLOOKUP($A32,[1]Hugst!$R$5:$W$9,MATCH(ROUNDUP((AG$1)/10,0)*10,[1]Hugst!$R$4:$W$4,0))))</f>
        <v>0</v>
      </c>
      <c r="AH32">
        <f ca="1">IF($C32-AH$1&lt;År1,0,AG31*(1-VLOOKUP($A32,[1]Hugst!$R$5:$W$9,MATCH(ROUNDUP((AH$1)/10,0)*10,[1]Hugst!$R$4:$W$4,0))))</f>
        <v>0</v>
      </c>
      <c r="AI32">
        <f ca="1">IF($C32-AI$1&lt;År1,0,AH31*(1-VLOOKUP($A32,[1]Hugst!$R$5:$W$9,MATCH(ROUNDUP((AI$1)/10,0)*10,[1]Hugst!$R$4:$W$4,0))))</f>
        <v>0</v>
      </c>
      <c r="AJ32">
        <f ca="1">IF($C32-AJ$1&lt;År1,0,AI31*(1-VLOOKUP($A32,[1]Hugst!$R$5:$W$9,MATCH(ROUNDUP((AJ$1)/10,0)*10,[1]Hugst!$R$4:$W$4,0))))</f>
        <v>0</v>
      </c>
      <c r="AL32">
        <f ca="1">SUM(F32:AJ32)</f>
        <v>0</v>
      </c>
    </row>
    <row r="33" spans="1:36" x14ac:dyDescent="0.25">
      <c r="A33" t="s">
        <v>176</v>
      </c>
      <c r="B33" t="s">
        <v>24</v>
      </c>
      <c r="C33">
        <v>2020</v>
      </c>
      <c r="D33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0</v>
      </c>
      <c r="E33">
        <f t="shared" si="0"/>
        <v>0</v>
      </c>
      <c r="F33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>
        <f>IF($C33-G$1&lt;År1,0,F32*(1-VLOOKUP($A33,[1]Hugst!$R$5:$W$9,MATCH(ROUNDUP((G$1)/10,0)*10,[1]Hugst!$R$4:$W$4,0))))</f>
        <v>0</v>
      </c>
      <c r="H33">
        <f>IF($C33-H$1&lt;År1,0,G32*(1-VLOOKUP($A33,[1]Hugst!$R$5:$W$9,MATCH(ROUNDUP((H$1)/10,0)*10,[1]Hugst!$R$4:$W$4,0))))</f>
        <v>0</v>
      </c>
      <c r="I33">
        <f>IF($C33-I$1&lt;År1,0,H32*(1-VLOOKUP($A33,[1]Hugst!$R$5:$W$9,MATCH(ROUNDUP((I$1)/10,0)*10,[1]Hugst!$R$4:$W$4,0))))</f>
        <v>0</v>
      </c>
      <c r="J33">
        <f>IF($C33-J$1&lt;År1,0,I32*(1-VLOOKUP($A33,[1]Hugst!$R$5:$W$9,MATCH(ROUNDUP((J$1)/10,0)*10,[1]Hugst!$R$4:$W$4,0))))</f>
        <v>0</v>
      </c>
      <c r="K33">
        <f>IF($C33-K$1&lt;År1,0,J32*(1-VLOOKUP($A33,[1]Hugst!$R$5:$W$9,MATCH(ROUNDUP((K$1)/10,0)*10,[1]Hugst!$R$4:$W$4,0))))</f>
        <v>0</v>
      </c>
      <c r="L33">
        <f>IF($C33-L$1&lt;År1,0,K32*(1-VLOOKUP($A33,[1]Hugst!$R$5:$W$9,MATCH(ROUNDUP((L$1)/10,0)*10,[1]Hugst!$R$4:$W$4,0))))</f>
        <v>0</v>
      </c>
      <c r="M33">
        <f>IF($C33-M$1&lt;År1,0,L32*(1-VLOOKUP($A33,[1]Hugst!$R$5:$W$9,MATCH(ROUNDUP((M$1)/10,0)*10,[1]Hugst!$R$4:$W$4,0))))</f>
        <v>0</v>
      </c>
      <c r="N33">
        <f>IF($C33-N$1&lt;År1,0,M32*(1-VLOOKUP($A33,[1]Hugst!$R$5:$W$9,MATCH(ROUNDUP((N$1)/10,0)*10,[1]Hugst!$R$4:$W$4,0))))</f>
        <v>0</v>
      </c>
      <c r="O33">
        <f>IF($C33-O$1&lt;År1,0,N32*(1-VLOOKUP($A33,[1]Hugst!$R$5:$W$9,MATCH(ROUNDUP((O$1)/10,0)*10,[1]Hugst!$R$4:$W$4,0))))</f>
        <v>0</v>
      </c>
      <c r="P33">
        <f>IF($C33-P$1&lt;År1,0,O32*(1-VLOOKUP($A33,[1]Hugst!$R$5:$W$9,MATCH(ROUNDUP((P$1)/10,0)*10,[1]Hugst!$R$4:$W$4,0))))</f>
        <v>0</v>
      </c>
      <c r="Q33">
        <f>IF($C33-Q$1&lt;År1,0,P32*(1-VLOOKUP($A33,[1]Hugst!$R$5:$W$9,MATCH(ROUNDUP((Q$1)/10,0)*10,[1]Hugst!$R$4:$W$4,0))))</f>
        <v>0</v>
      </c>
      <c r="R33">
        <f>IF($C33-R$1&lt;År1,0,Q32*(1-VLOOKUP($A33,[1]Hugst!$R$5:$W$9,MATCH(ROUNDUP((R$1)/10,0)*10,[1]Hugst!$R$4:$W$4,0))))</f>
        <v>0</v>
      </c>
      <c r="S33">
        <f>IF($C33-S$1&lt;År1,0,R32*(1-VLOOKUP($A33,[1]Hugst!$R$5:$W$9,MATCH(ROUNDUP((S$1)/10,0)*10,[1]Hugst!$R$4:$W$4,0))))</f>
        <v>0</v>
      </c>
      <c r="T33">
        <f>IF($C33-T$1&lt;År1,0,S32*(1-VLOOKUP($A33,[1]Hugst!$R$5:$W$9,MATCH(ROUNDUP((T$1)/10,0)*10,[1]Hugst!$R$4:$W$4,0))))</f>
        <v>0</v>
      </c>
      <c r="U33">
        <f>IF($C33-U$1&lt;År1,0,T32*(1-VLOOKUP($A33,[1]Hugst!$R$5:$W$9,MATCH(ROUNDUP((U$1)/10,0)*10,[1]Hugst!$R$4:$W$4,0))))</f>
        <v>0</v>
      </c>
      <c r="V33">
        <f>IF($C33-V$1&lt;År1,0,U32*(1-VLOOKUP($A33,[1]Hugst!$R$5:$W$9,MATCH(ROUNDUP((V$1)/10,0)*10,[1]Hugst!$R$4:$W$4,0))))</f>
        <v>0</v>
      </c>
      <c r="W33">
        <f>IF($C33-W$1&lt;År1,0,V32*(1-VLOOKUP($A33,[1]Hugst!$R$5:$W$9,MATCH(ROUNDUP((W$1)/10,0)*10,[1]Hugst!$R$4:$W$4,0))))</f>
        <v>0</v>
      </c>
      <c r="X33">
        <f>IF($C33-X$1&lt;År1,0,W32*(1-VLOOKUP($A33,[1]Hugst!$R$5:$W$9,MATCH(ROUNDUP((X$1)/10,0)*10,[1]Hugst!$R$4:$W$4,0))))</f>
        <v>0</v>
      </c>
      <c r="Y33">
        <f>IF($C33-Y$1&lt;År1,0,X32*(1-VLOOKUP($A33,[1]Hugst!$R$5:$W$9,MATCH(ROUNDUP((Y$1)/10,0)*10,[1]Hugst!$R$4:$W$4,0))))</f>
        <v>0</v>
      </c>
      <c r="Z33">
        <f>IF($C33-Z$1&lt;År1,0,Y32*(1-VLOOKUP($A33,[1]Hugst!$R$5:$W$9,MATCH(ROUNDUP((Z$1)/10,0)*10,[1]Hugst!$R$4:$W$4,0))))</f>
        <v>0</v>
      </c>
      <c r="AA33">
        <f>IF($C33-AA$1&lt;År1,0,Z32*(1-VLOOKUP($A33,[1]Hugst!$R$5:$W$9,MATCH(ROUNDUP((AA$1)/10,0)*10,[1]Hugst!$R$4:$W$4,0))))</f>
        <v>0</v>
      </c>
      <c r="AB33">
        <f>IF($C33-AB$1&lt;År1,0,AA32*(1-VLOOKUP($A33,[1]Hugst!$R$5:$W$9,MATCH(ROUNDUP((AB$1)/10,0)*10,[1]Hugst!$R$4:$W$4,0))))</f>
        <v>0</v>
      </c>
      <c r="AC33">
        <f>IF($C33-AC$1&lt;År1,0,AB32*(1-VLOOKUP($A33,[1]Hugst!$R$5:$W$9,MATCH(ROUNDUP((AC$1)/10,0)*10,[1]Hugst!$R$4:$W$4,0))))</f>
        <v>0</v>
      </c>
      <c r="AD33">
        <f>IF($C33-AD$1&lt;År1,0,AC32*(1-VLOOKUP($A33,[1]Hugst!$R$5:$W$9,MATCH(ROUNDUP((AD$1)/10,0)*10,[1]Hugst!$R$4:$W$4,0))))</f>
        <v>0</v>
      </c>
      <c r="AE33">
        <f>IF($C33-AE$1&lt;År1,0,AD32*(1-VLOOKUP($A33,[1]Hugst!$R$5:$W$9,MATCH(ROUNDUP((AE$1)/10,0)*10,[1]Hugst!$R$4:$W$4,0))))</f>
        <v>0</v>
      </c>
      <c r="AF33">
        <f>IF($C33-AF$1&lt;År1,0,AE32*(1-VLOOKUP($A33,[1]Hugst!$R$5:$W$9,MATCH(ROUNDUP((AF$1)/10,0)*10,[1]Hugst!$R$4:$W$4,0))))</f>
        <v>0</v>
      </c>
      <c r="AG33">
        <f>IF($C33-AG$1&lt;År1,0,AF32*(1-VLOOKUP($A33,[1]Hugst!$R$5:$W$9,MATCH(ROUNDUP((AG$1)/10,0)*10,[1]Hugst!$R$4:$W$4,0))))</f>
        <v>0</v>
      </c>
      <c r="AH33">
        <f>IF($C33-AH$1&lt;År1,0,AG32*(1-VLOOKUP($A33,[1]Hugst!$R$5:$W$9,MATCH(ROUNDUP((AH$1)/10,0)*10,[1]Hugst!$R$4:$W$4,0))))</f>
        <v>0</v>
      </c>
      <c r="AI33">
        <f>IF($C33-AI$1&lt;År1,0,AH32*(1-VLOOKUP($A33,[1]Hugst!$R$5:$W$9,MATCH(ROUNDUP((AI$1)/10,0)*10,[1]Hugst!$R$4:$W$4,0))))</f>
        <v>0</v>
      </c>
      <c r="AJ33">
        <f>IF($C33-AJ$1&lt;År1,0,AI32*(1-VLOOKUP($A33,[1]Hugst!$R$5:$W$9,MATCH(ROUNDUP((AJ$1)/10,0)*10,[1]Hugst!$R$4:$W$4,0))))</f>
        <v>0</v>
      </c>
    </row>
    <row r="34" spans="1:36" x14ac:dyDescent="0.25">
      <c r="A34" t="s">
        <v>176</v>
      </c>
      <c r="B34" t="s">
        <v>24</v>
      </c>
      <c r="C34">
        <v>2021</v>
      </c>
      <c r="D34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0</v>
      </c>
      <c r="E34">
        <f t="shared" ca="1" si="0"/>
        <v>0</v>
      </c>
      <c r="F34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>
        <f ca="1">IF($C34-G$1&lt;År1,0,F33*(1-VLOOKUP($A34,[1]Hugst!$R$5:$W$9,MATCH(ROUNDUP((G$1)/10,0)*10,[1]Hugst!$R$4:$W$4,0))))</f>
        <v>0</v>
      </c>
      <c r="H34">
        <f>IF($C34-H$1&lt;År1,0,G33*(1-VLOOKUP($A34,[1]Hugst!$R$5:$W$9,MATCH(ROUNDUP((H$1)/10,0)*10,[1]Hugst!$R$4:$W$4,0))))</f>
        <v>0</v>
      </c>
      <c r="I34">
        <f>IF($C34-I$1&lt;År1,0,H33*(1-VLOOKUP($A34,[1]Hugst!$R$5:$W$9,MATCH(ROUNDUP((I$1)/10,0)*10,[1]Hugst!$R$4:$W$4,0))))</f>
        <v>0</v>
      </c>
      <c r="J34">
        <f>IF($C34-J$1&lt;År1,0,I33*(1-VLOOKUP($A34,[1]Hugst!$R$5:$W$9,MATCH(ROUNDUP((J$1)/10,0)*10,[1]Hugst!$R$4:$W$4,0))))</f>
        <v>0</v>
      </c>
      <c r="K34">
        <f>IF($C34-K$1&lt;År1,0,J33*(1-VLOOKUP($A34,[1]Hugst!$R$5:$W$9,MATCH(ROUNDUP((K$1)/10,0)*10,[1]Hugst!$R$4:$W$4,0))))</f>
        <v>0</v>
      </c>
      <c r="L34">
        <f>IF($C34-L$1&lt;År1,0,K33*(1-VLOOKUP($A34,[1]Hugst!$R$5:$W$9,MATCH(ROUNDUP((L$1)/10,0)*10,[1]Hugst!$R$4:$W$4,0))))</f>
        <v>0</v>
      </c>
      <c r="M34">
        <f>IF($C34-M$1&lt;År1,0,L33*(1-VLOOKUP($A34,[1]Hugst!$R$5:$W$9,MATCH(ROUNDUP((M$1)/10,0)*10,[1]Hugst!$R$4:$W$4,0))))</f>
        <v>0</v>
      </c>
      <c r="N34">
        <f>IF($C34-N$1&lt;År1,0,M33*(1-VLOOKUP($A34,[1]Hugst!$R$5:$W$9,MATCH(ROUNDUP((N$1)/10,0)*10,[1]Hugst!$R$4:$W$4,0))))</f>
        <v>0</v>
      </c>
      <c r="O34">
        <f>IF($C34-O$1&lt;År1,0,N33*(1-VLOOKUP($A34,[1]Hugst!$R$5:$W$9,MATCH(ROUNDUP((O$1)/10,0)*10,[1]Hugst!$R$4:$W$4,0))))</f>
        <v>0</v>
      </c>
      <c r="P34">
        <f>IF($C34-P$1&lt;År1,0,O33*(1-VLOOKUP($A34,[1]Hugst!$R$5:$W$9,MATCH(ROUNDUP((P$1)/10,0)*10,[1]Hugst!$R$4:$W$4,0))))</f>
        <v>0</v>
      </c>
      <c r="Q34">
        <f>IF($C34-Q$1&lt;År1,0,P33*(1-VLOOKUP($A34,[1]Hugst!$R$5:$W$9,MATCH(ROUNDUP((Q$1)/10,0)*10,[1]Hugst!$R$4:$W$4,0))))</f>
        <v>0</v>
      </c>
      <c r="R34">
        <f>IF($C34-R$1&lt;År1,0,Q33*(1-VLOOKUP($A34,[1]Hugst!$R$5:$W$9,MATCH(ROUNDUP((R$1)/10,0)*10,[1]Hugst!$R$4:$W$4,0))))</f>
        <v>0</v>
      </c>
      <c r="S34">
        <f>IF($C34-S$1&lt;År1,0,R33*(1-VLOOKUP($A34,[1]Hugst!$R$5:$W$9,MATCH(ROUNDUP((S$1)/10,0)*10,[1]Hugst!$R$4:$W$4,0))))</f>
        <v>0</v>
      </c>
      <c r="T34">
        <f>IF($C34-T$1&lt;År1,0,S33*(1-VLOOKUP($A34,[1]Hugst!$R$5:$W$9,MATCH(ROUNDUP((T$1)/10,0)*10,[1]Hugst!$R$4:$W$4,0))))</f>
        <v>0</v>
      </c>
      <c r="U34">
        <f>IF($C34-U$1&lt;År1,0,T33*(1-VLOOKUP($A34,[1]Hugst!$R$5:$W$9,MATCH(ROUNDUP((U$1)/10,0)*10,[1]Hugst!$R$4:$W$4,0))))</f>
        <v>0</v>
      </c>
      <c r="V34">
        <f>IF($C34-V$1&lt;År1,0,U33*(1-VLOOKUP($A34,[1]Hugst!$R$5:$W$9,MATCH(ROUNDUP((V$1)/10,0)*10,[1]Hugst!$R$4:$W$4,0))))</f>
        <v>0</v>
      </c>
      <c r="W34">
        <f>IF($C34-W$1&lt;År1,0,V33*(1-VLOOKUP($A34,[1]Hugst!$R$5:$W$9,MATCH(ROUNDUP((W$1)/10,0)*10,[1]Hugst!$R$4:$W$4,0))))</f>
        <v>0</v>
      </c>
      <c r="X34">
        <f>IF($C34-X$1&lt;År1,0,W33*(1-VLOOKUP($A34,[1]Hugst!$R$5:$W$9,MATCH(ROUNDUP((X$1)/10,0)*10,[1]Hugst!$R$4:$W$4,0))))</f>
        <v>0</v>
      </c>
      <c r="Y34">
        <f>IF($C34-Y$1&lt;År1,0,X33*(1-VLOOKUP($A34,[1]Hugst!$R$5:$W$9,MATCH(ROUNDUP((Y$1)/10,0)*10,[1]Hugst!$R$4:$W$4,0))))</f>
        <v>0</v>
      </c>
      <c r="Z34">
        <f>IF($C34-Z$1&lt;År1,0,Y33*(1-VLOOKUP($A34,[1]Hugst!$R$5:$W$9,MATCH(ROUNDUP((Z$1)/10,0)*10,[1]Hugst!$R$4:$W$4,0))))</f>
        <v>0</v>
      </c>
      <c r="AA34">
        <f>IF($C34-AA$1&lt;År1,0,Z33*(1-VLOOKUP($A34,[1]Hugst!$R$5:$W$9,MATCH(ROUNDUP((AA$1)/10,0)*10,[1]Hugst!$R$4:$W$4,0))))</f>
        <v>0</v>
      </c>
      <c r="AB34">
        <f>IF($C34-AB$1&lt;År1,0,AA33*(1-VLOOKUP($A34,[1]Hugst!$R$5:$W$9,MATCH(ROUNDUP((AB$1)/10,0)*10,[1]Hugst!$R$4:$W$4,0))))</f>
        <v>0</v>
      </c>
      <c r="AC34">
        <f>IF($C34-AC$1&lt;År1,0,AB33*(1-VLOOKUP($A34,[1]Hugst!$R$5:$W$9,MATCH(ROUNDUP((AC$1)/10,0)*10,[1]Hugst!$R$4:$W$4,0))))</f>
        <v>0</v>
      </c>
      <c r="AD34">
        <f>IF($C34-AD$1&lt;År1,0,AC33*(1-VLOOKUP($A34,[1]Hugst!$R$5:$W$9,MATCH(ROUNDUP((AD$1)/10,0)*10,[1]Hugst!$R$4:$W$4,0))))</f>
        <v>0</v>
      </c>
      <c r="AE34">
        <f>IF($C34-AE$1&lt;År1,0,AD33*(1-VLOOKUP($A34,[1]Hugst!$R$5:$W$9,MATCH(ROUNDUP((AE$1)/10,0)*10,[1]Hugst!$R$4:$W$4,0))))</f>
        <v>0</v>
      </c>
      <c r="AF34">
        <f>IF($C34-AF$1&lt;År1,0,AE33*(1-VLOOKUP($A34,[1]Hugst!$R$5:$W$9,MATCH(ROUNDUP((AF$1)/10,0)*10,[1]Hugst!$R$4:$W$4,0))))</f>
        <v>0</v>
      </c>
      <c r="AG34">
        <f>IF($C34-AG$1&lt;År1,0,AF33*(1-VLOOKUP($A34,[1]Hugst!$R$5:$W$9,MATCH(ROUNDUP((AG$1)/10,0)*10,[1]Hugst!$R$4:$W$4,0))))</f>
        <v>0</v>
      </c>
      <c r="AH34">
        <f>IF($C34-AH$1&lt;År1,0,AG33*(1-VLOOKUP($A34,[1]Hugst!$R$5:$W$9,MATCH(ROUNDUP((AH$1)/10,0)*10,[1]Hugst!$R$4:$W$4,0))))</f>
        <v>0</v>
      </c>
      <c r="AI34">
        <f>IF($C34-AI$1&lt;År1,0,AH33*(1-VLOOKUP($A34,[1]Hugst!$R$5:$W$9,MATCH(ROUNDUP((AI$1)/10,0)*10,[1]Hugst!$R$4:$W$4,0))))</f>
        <v>0</v>
      </c>
      <c r="AJ34">
        <f>IF($C34-AJ$1&lt;År1,0,AI33*(1-VLOOKUP($A34,[1]Hugst!$R$5:$W$9,MATCH(ROUNDUP((AJ$1)/10,0)*10,[1]Hugst!$R$4:$W$4,0))))</f>
        <v>0</v>
      </c>
    </row>
    <row r="35" spans="1:36" x14ac:dyDescent="0.25">
      <c r="A35" t="s">
        <v>176</v>
      </c>
      <c r="B35" t="s">
        <v>24</v>
      </c>
      <c r="C35">
        <v>2022</v>
      </c>
      <c r="D35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0</v>
      </c>
      <c r="E35">
        <f t="shared" ca="1" si="0"/>
        <v>0</v>
      </c>
      <c r="F35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>
        <f ca="1">IF($C35-G$1&lt;År1,0,F34*(1-VLOOKUP($A35,[1]Hugst!$R$5:$W$9,MATCH(ROUNDUP((G$1)/10,0)*10,[1]Hugst!$R$4:$W$4,0))))</f>
        <v>0</v>
      </c>
      <c r="H35">
        <f ca="1">IF($C35-H$1&lt;År1,0,G34*(1-VLOOKUP($A35,[1]Hugst!$R$5:$W$9,MATCH(ROUNDUP((H$1)/10,0)*10,[1]Hugst!$R$4:$W$4,0))))</f>
        <v>0</v>
      </c>
      <c r="I35">
        <f>IF($C35-I$1&lt;År1,0,H34*(1-VLOOKUP($A35,[1]Hugst!$R$5:$W$9,MATCH(ROUNDUP((I$1)/10,0)*10,[1]Hugst!$R$4:$W$4,0))))</f>
        <v>0</v>
      </c>
      <c r="J35">
        <f>IF($C35-J$1&lt;År1,0,I34*(1-VLOOKUP($A35,[1]Hugst!$R$5:$W$9,MATCH(ROUNDUP((J$1)/10,0)*10,[1]Hugst!$R$4:$W$4,0))))</f>
        <v>0</v>
      </c>
      <c r="K35">
        <f>IF($C35-K$1&lt;År1,0,J34*(1-VLOOKUP($A35,[1]Hugst!$R$5:$W$9,MATCH(ROUNDUP((K$1)/10,0)*10,[1]Hugst!$R$4:$W$4,0))))</f>
        <v>0</v>
      </c>
      <c r="L35">
        <f>IF($C35-L$1&lt;År1,0,K34*(1-VLOOKUP($A35,[1]Hugst!$R$5:$W$9,MATCH(ROUNDUP((L$1)/10,0)*10,[1]Hugst!$R$4:$W$4,0))))</f>
        <v>0</v>
      </c>
      <c r="M35">
        <f>IF($C35-M$1&lt;År1,0,L34*(1-VLOOKUP($A35,[1]Hugst!$R$5:$W$9,MATCH(ROUNDUP((M$1)/10,0)*10,[1]Hugst!$R$4:$W$4,0))))</f>
        <v>0</v>
      </c>
      <c r="N35">
        <f>IF($C35-N$1&lt;År1,0,M34*(1-VLOOKUP($A35,[1]Hugst!$R$5:$W$9,MATCH(ROUNDUP((N$1)/10,0)*10,[1]Hugst!$R$4:$W$4,0))))</f>
        <v>0</v>
      </c>
      <c r="O35">
        <f>IF($C35-O$1&lt;År1,0,N34*(1-VLOOKUP($A35,[1]Hugst!$R$5:$W$9,MATCH(ROUNDUP((O$1)/10,0)*10,[1]Hugst!$R$4:$W$4,0))))</f>
        <v>0</v>
      </c>
      <c r="P35">
        <f>IF($C35-P$1&lt;År1,0,O34*(1-VLOOKUP($A35,[1]Hugst!$R$5:$W$9,MATCH(ROUNDUP((P$1)/10,0)*10,[1]Hugst!$R$4:$W$4,0))))</f>
        <v>0</v>
      </c>
      <c r="Q35">
        <f>IF($C35-Q$1&lt;År1,0,P34*(1-VLOOKUP($A35,[1]Hugst!$R$5:$W$9,MATCH(ROUNDUP((Q$1)/10,0)*10,[1]Hugst!$R$4:$W$4,0))))</f>
        <v>0</v>
      </c>
      <c r="R35">
        <f>IF($C35-R$1&lt;År1,0,Q34*(1-VLOOKUP($A35,[1]Hugst!$R$5:$W$9,MATCH(ROUNDUP((R$1)/10,0)*10,[1]Hugst!$R$4:$W$4,0))))</f>
        <v>0</v>
      </c>
      <c r="S35">
        <f>IF($C35-S$1&lt;År1,0,R34*(1-VLOOKUP($A35,[1]Hugst!$R$5:$W$9,MATCH(ROUNDUP((S$1)/10,0)*10,[1]Hugst!$R$4:$W$4,0))))</f>
        <v>0</v>
      </c>
      <c r="T35">
        <f>IF($C35-T$1&lt;År1,0,S34*(1-VLOOKUP($A35,[1]Hugst!$R$5:$W$9,MATCH(ROUNDUP((T$1)/10,0)*10,[1]Hugst!$R$4:$W$4,0))))</f>
        <v>0</v>
      </c>
      <c r="U35">
        <f>IF($C35-U$1&lt;År1,0,T34*(1-VLOOKUP($A35,[1]Hugst!$R$5:$W$9,MATCH(ROUNDUP((U$1)/10,0)*10,[1]Hugst!$R$4:$W$4,0))))</f>
        <v>0</v>
      </c>
      <c r="V35">
        <f>IF($C35-V$1&lt;År1,0,U34*(1-VLOOKUP($A35,[1]Hugst!$R$5:$W$9,MATCH(ROUNDUP((V$1)/10,0)*10,[1]Hugst!$R$4:$W$4,0))))</f>
        <v>0</v>
      </c>
      <c r="W35">
        <f>IF($C35-W$1&lt;År1,0,V34*(1-VLOOKUP($A35,[1]Hugst!$R$5:$W$9,MATCH(ROUNDUP((W$1)/10,0)*10,[1]Hugst!$R$4:$W$4,0))))</f>
        <v>0</v>
      </c>
      <c r="X35">
        <f>IF($C35-X$1&lt;År1,0,W34*(1-VLOOKUP($A35,[1]Hugst!$R$5:$W$9,MATCH(ROUNDUP((X$1)/10,0)*10,[1]Hugst!$R$4:$W$4,0))))</f>
        <v>0</v>
      </c>
      <c r="Y35">
        <f>IF($C35-Y$1&lt;År1,0,X34*(1-VLOOKUP($A35,[1]Hugst!$R$5:$W$9,MATCH(ROUNDUP((Y$1)/10,0)*10,[1]Hugst!$R$4:$W$4,0))))</f>
        <v>0</v>
      </c>
      <c r="Z35">
        <f>IF($C35-Z$1&lt;År1,0,Y34*(1-VLOOKUP($A35,[1]Hugst!$R$5:$W$9,MATCH(ROUNDUP((Z$1)/10,0)*10,[1]Hugst!$R$4:$W$4,0))))</f>
        <v>0</v>
      </c>
      <c r="AA35">
        <f>IF($C35-AA$1&lt;År1,0,Z34*(1-VLOOKUP($A35,[1]Hugst!$R$5:$W$9,MATCH(ROUNDUP((AA$1)/10,0)*10,[1]Hugst!$R$4:$W$4,0))))</f>
        <v>0</v>
      </c>
      <c r="AB35">
        <f>IF($C35-AB$1&lt;År1,0,AA34*(1-VLOOKUP($A35,[1]Hugst!$R$5:$W$9,MATCH(ROUNDUP((AB$1)/10,0)*10,[1]Hugst!$R$4:$W$4,0))))</f>
        <v>0</v>
      </c>
      <c r="AC35">
        <f>IF($C35-AC$1&lt;År1,0,AB34*(1-VLOOKUP($A35,[1]Hugst!$R$5:$W$9,MATCH(ROUNDUP((AC$1)/10,0)*10,[1]Hugst!$R$4:$W$4,0))))</f>
        <v>0</v>
      </c>
      <c r="AD35">
        <f>IF($C35-AD$1&lt;År1,0,AC34*(1-VLOOKUP($A35,[1]Hugst!$R$5:$W$9,MATCH(ROUNDUP((AD$1)/10,0)*10,[1]Hugst!$R$4:$W$4,0))))</f>
        <v>0</v>
      </c>
      <c r="AE35">
        <f>IF($C35-AE$1&lt;År1,0,AD34*(1-VLOOKUP($A35,[1]Hugst!$R$5:$W$9,MATCH(ROUNDUP((AE$1)/10,0)*10,[1]Hugst!$R$4:$W$4,0))))</f>
        <v>0</v>
      </c>
      <c r="AF35">
        <f>IF($C35-AF$1&lt;År1,0,AE34*(1-VLOOKUP($A35,[1]Hugst!$R$5:$W$9,MATCH(ROUNDUP((AF$1)/10,0)*10,[1]Hugst!$R$4:$W$4,0))))</f>
        <v>0</v>
      </c>
      <c r="AG35">
        <f>IF($C35-AG$1&lt;År1,0,AF34*(1-VLOOKUP($A35,[1]Hugst!$R$5:$W$9,MATCH(ROUNDUP((AG$1)/10,0)*10,[1]Hugst!$R$4:$W$4,0))))</f>
        <v>0</v>
      </c>
      <c r="AH35">
        <f>IF($C35-AH$1&lt;År1,0,AG34*(1-VLOOKUP($A35,[1]Hugst!$R$5:$W$9,MATCH(ROUNDUP((AH$1)/10,0)*10,[1]Hugst!$R$4:$W$4,0))))</f>
        <v>0</v>
      </c>
      <c r="AI35">
        <f>IF($C35-AI$1&lt;År1,0,AH34*(1-VLOOKUP($A35,[1]Hugst!$R$5:$W$9,MATCH(ROUNDUP((AI$1)/10,0)*10,[1]Hugst!$R$4:$W$4,0))))</f>
        <v>0</v>
      </c>
      <c r="AJ35">
        <f>IF($C35-AJ$1&lt;År1,0,AI34*(1-VLOOKUP($A35,[1]Hugst!$R$5:$W$9,MATCH(ROUNDUP((AJ$1)/10,0)*10,[1]Hugst!$R$4:$W$4,0))))</f>
        <v>0</v>
      </c>
    </row>
    <row r="36" spans="1:36" x14ac:dyDescent="0.25">
      <c r="A36" t="s">
        <v>176</v>
      </c>
      <c r="B36" t="s">
        <v>24</v>
      </c>
      <c r="C36">
        <v>2023</v>
      </c>
      <c r="D36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0</v>
      </c>
      <c r="E36">
        <f t="shared" ca="1" si="0"/>
        <v>0</v>
      </c>
      <c r="F36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>
        <f ca="1">IF($C36-G$1&lt;År1,0,F35*(1-VLOOKUP($A36,[1]Hugst!$R$5:$W$9,MATCH(ROUNDUP((G$1)/10,0)*10,[1]Hugst!$R$4:$W$4,0))))</f>
        <v>0</v>
      </c>
      <c r="H36">
        <f ca="1">IF($C36-H$1&lt;År1,0,G35*(1-VLOOKUP($A36,[1]Hugst!$R$5:$W$9,MATCH(ROUNDUP((H$1)/10,0)*10,[1]Hugst!$R$4:$W$4,0))))</f>
        <v>0</v>
      </c>
      <c r="I36">
        <f ca="1">IF($C36-I$1&lt;År1,0,H35*(1-VLOOKUP($A36,[1]Hugst!$R$5:$W$9,MATCH(ROUNDUP((I$1)/10,0)*10,[1]Hugst!$R$4:$W$4,0))))</f>
        <v>0</v>
      </c>
      <c r="J36">
        <f>IF($C36-J$1&lt;År1,0,I35*(1-VLOOKUP($A36,[1]Hugst!$R$5:$W$9,MATCH(ROUNDUP((J$1)/10,0)*10,[1]Hugst!$R$4:$W$4,0))))</f>
        <v>0</v>
      </c>
      <c r="K36">
        <f>IF($C36-K$1&lt;År1,0,J35*(1-VLOOKUP($A36,[1]Hugst!$R$5:$W$9,MATCH(ROUNDUP((K$1)/10,0)*10,[1]Hugst!$R$4:$W$4,0))))</f>
        <v>0</v>
      </c>
      <c r="L36">
        <f>IF($C36-L$1&lt;År1,0,K35*(1-VLOOKUP($A36,[1]Hugst!$R$5:$W$9,MATCH(ROUNDUP((L$1)/10,0)*10,[1]Hugst!$R$4:$W$4,0))))</f>
        <v>0</v>
      </c>
      <c r="M36">
        <f>IF($C36-M$1&lt;År1,0,L35*(1-VLOOKUP($A36,[1]Hugst!$R$5:$W$9,MATCH(ROUNDUP((M$1)/10,0)*10,[1]Hugst!$R$4:$W$4,0))))</f>
        <v>0</v>
      </c>
      <c r="N36">
        <f>IF($C36-N$1&lt;År1,0,M35*(1-VLOOKUP($A36,[1]Hugst!$R$5:$W$9,MATCH(ROUNDUP((N$1)/10,0)*10,[1]Hugst!$R$4:$W$4,0))))</f>
        <v>0</v>
      </c>
      <c r="O36">
        <f>IF($C36-O$1&lt;År1,0,N35*(1-VLOOKUP($A36,[1]Hugst!$R$5:$W$9,MATCH(ROUNDUP((O$1)/10,0)*10,[1]Hugst!$R$4:$W$4,0))))</f>
        <v>0</v>
      </c>
      <c r="P36">
        <f>IF($C36-P$1&lt;År1,0,O35*(1-VLOOKUP($A36,[1]Hugst!$R$5:$W$9,MATCH(ROUNDUP((P$1)/10,0)*10,[1]Hugst!$R$4:$W$4,0))))</f>
        <v>0</v>
      </c>
      <c r="Q36">
        <f>IF($C36-Q$1&lt;År1,0,P35*(1-VLOOKUP($A36,[1]Hugst!$R$5:$W$9,MATCH(ROUNDUP((Q$1)/10,0)*10,[1]Hugst!$R$4:$W$4,0))))</f>
        <v>0</v>
      </c>
      <c r="R36">
        <f>IF($C36-R$1&lt;År1,0,Q35*(1-VLOOKUP($A36,[1]Hugst!$R$5:$W$9,MATCH(ROUNDUP((R$1)/10,0)*10,[1]Hugst!$R$4:$W$4,0))))</f>
        <v>0</v>
      </c>
      <c r="S36">
        <f>IF($C36-S$1&lt;År1,0,R35*(1-VLOOKUP($A36,[1]Hugst!$R$5:$W$9,MATCH(ROUNDUP((S$1)/10,0)*10,[1]Hugst!$R$4:$W$4,0))))</f>
        <v>0</v>
      </c>
      <c r="T36">
        <f>IF($C36-T$1&lt;År1,0,S35*(1-VLOOKUP($A36,[1]Hugst!$R$5:$W$9,MATCH(ROUNDUP((T$1)/10,0)*10,[1]Hugst!$R$4:$W$4,0))))</f>
        <v>0</v>
      </c>
      <c r="U36">
        <f>IF($C36-U$1&lt;År1,0,T35*(1-VLOOKUP($A36,[1]Hugst!$R$5:$W$9,MATCH(ROUNDUP((U$1)/10,0)*10,[1]Hugst!$R$4:$W$4,0))))</f>
        <v>0</v>
      </c>
      <c r="V36">
        <f>IF($C36-V$1&lt;År1,0,U35*(1-VLOOKUP($A36,[1]Hugst!$R$5:$W$9,MATCH(ROUNDUP((V$1)/10,0)*10,[1]Hugst!$R$4:$W$4,0))))</f>
        <v>0</v>
      </c>
      <c r="W36">
        <f>IF($C36-W$1&lt;År1,0,V35*(1-VLOOKUP($A36,[1]Hugst!$R$5:$W$9,MATCH(ROUNDUP((W$1)/10,0)*10,[1]Hugst!$R$4:$W$4,0))))</f>
        <v>0</v>
      </c>
      <c r="X36">
        <f>IF($C36-X$1&lt;År1,0,W35*(1-VLOOKUP($A36,[1]Hugst!$R$5:$W$9,MATCH(ROUNDUP((X$1)/10,0)*10,[1]Hugst!$R$4:$W$4,0))))</f>
        <v>0</v>
      </c>
      <c r="Y36">
        <f>IF($C36-Y$1&lt;År1,0,X35*(1-VLOOKUP($A36,[1]Hugst!$R$5:$W$9,MATCH(ROUNDUP((Y$1)/10,0)*10,[1]Hugst!$R$4:$W$4,0))))</f>
        <v>0</v>
      </c>
      <c r="Z36">
        <f>IF($C36-Z$1&lt;År1,0,Y35*(1-VLOOKUP($A36,[1]Hugst!$R$5:$W$9,MATCH(ROUNDUP((Z$1)/10,0)*10,[1]Hugst!$R$4:$W$4,0))))</f>
        <v>0</v>
      </c>
      <c r="AA36">
        <f>IF($C36-AA$1&lt;År1,0,Z35*(1-VLOOKUP($A36,[1]Hugst!$R$5:$W$9,MATCH(ROUNDUP((AA$1)/10,0)*10,[1]Hugst!$R$4:$W$4,0))))</f>
        <v>0</v>
      </c>
      <c r="AB36">
        <f>IF($C36-AB$1&lt;År1,0,AA35*(1-VLOOKUP($A36,[1]Hugst!$R$5:$W$9,MATCH(ROUNDUP((AB$1)/10,0)*10,[1]Hugst!$R$4:$W$4,0))))</f>
        <v>0</v>
      </c>
      <c r="AC36">
        <f>IF($C36-AC$1&lt;År1,0,AB35*(1-VLOOKUP($A36,[1]Hugst!$R$5:$W$9,MATCH(ROUNDUP((AC$1)/10,0)*10,[1]Hugst!$R$4:$W$4,0))))</f>
        <v>0</v>
      </c>
      <c r="AD36">
        <f>IF($C36-AD$1&lt;År1,0,AC35*(1-VLOOKUP($A36,[1]Hugst!$R$5:$W$9,MATCH(ROUNDUP((AD$1)/10,0)*10,[1]Hugst!$R$4:$W$4,0))))</f>
        <v>0</v>
      </c>
      <c r="AE36">
        <f>IF($C36-AE$1&lt;År1,0,AD35*(1-VLOOKUP($A36,[1]Hugst!$R$5:$W$9,MATCH(ROUNDUP((AE$1)/10,0)*10,[1]Hugst!$R$4:$W$4,0))))</f>
        <v>0</v>
      </c>
      <c r="AF36">
        <f>IF($C36-AF$1&lt;År1,0,AE35*(1-VLOOKUP($A36,[1]Hugst!$R$5:$W$9,MATCH(ROUNDUP((AF$1)/10,0)*10,[1]Hugst!$R$4:$W$4,0))))</f>
        <v>0</v>
      </c>
      <c r="AG36">
        <f>IF($C36-AG$1&lt;År1,0,AF35*(1-VLOOKUP($A36,[1]Hugst!$R$5:$W$9,MATCH(ROUNDUP((AG$1)/10,0)*10,[1]Hugst!$R$4:$W$4,0))))</f>
        <v>0</v>
      </c>
      <c r="AH36">
        <f>IF($C36-AH$1&lt;År1,0,AG35*(1-VLOOKUP($A36,[1]Hugst!$R$5:$W$9,MATCH(ROUNDUP((AH$1)/10,0)*10,[1]Hugst!$R$4:$W$4,0))))</f>
        <v>0</v>
      </c>
      <c r="AI36">
        <f>IF($C36-AI$1&lt;År1,0,AH35*(1-VLOOKUP($A36,[1]Hugst!$R$5:$W$9,MATCH(ROUNDUP((AI$1)/10,0)*10,[1]Hugst!$R$4:$W$4,0))))</f>
        <v>0</v>
      </c>
      <c r="AJ36">
        <f>IF($C36-AJ$1&lt;År1,0,AI35*(1-VLOOKUP($A36,[1]Hugst!$R$5:$W$9,MATCH(ROUNDUP((AJ$1)/10,0)*10,[1]Hugst!$R$4:$W$4,0))))</f>
        <v>0</v>
      </c>
    </row>
    <row r="37" spans="1:36" x14ac:dyDescent="0.25">
      <c r="A37" t="s">
        <v>176</v>
      </c>
      <c r="B37" t="s">
        <v>24</v>
      </c>
      <c r="C37">
        <v>2024</v>
      </c>
      <c r="D37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0</v>
      </c>
      <c r="E37">
        <f t="shared" ca="1" si="0"/>
        <v>0</v>
      </c>
      <c r="F37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>
        <f ca="1">IF($C37-G$1&lt;År1,0,F36*(1-VLOOKUP($A37,[1]Hugst!$R$5:$W$9,MATCH(ROUNDUP((G$1)/10,0)*10,[1]Hugst!$R$4:$W$4,0))))</f>
        <v>0</v>
      </c>
      <c r="H37">
        <f ca="1">IF($C37-H$1&lt;År1,0,G36*(1-VLOOKUP($A37,[1]Hugst!$R$5:$W$9,MATCH(ROUNDUP((H$1)/10,0)*10,[1]Hugst!$R$4:$W$4,0))))</f>
        <v>0</v>
      </c>
      <c r="I37">
        <f ca="1">IF($C37-I$1&lt;År1,0,H36*(1-VLOOKUP($A37,[1]Hugst!$R$5:$W$9,MATCH(ROUNDUP((I$1)/10,0)*10,[1]Hugst!$R$4:$W$4,0))))</f>
        <v>0</v>
      </c>
      <c r="J37">
        <f ca="1">IF($C37-J$1&lt;År1,0,I36*(1-VLOOKUP($A37,[1]Hugst!$R$5:$W$9,MATCH(ROUNDUP((J$1)/10,0)*10,[1]Hugst!$R$4:$W$4,0))))</f>
        <v>0</v>
      </c>
      <c r="K37">
        <f>IF($C37-K$1&lt;År1,0,J36*(1-VLOOKUP($A37,[1]Hugst!$R$5:$W$9,MATCH(ROUNDUP((K$1)/10,0)*10,[1]Hugst!$R$4:$W$4,0))))</f>
        <v>0</v>
      </c>
      <c r="L37">
        <f>IF($C37-L$1&lt;År1,0,K36*(1-VLOOKUP($A37,[1]Hugst!$R$5:$W$9,MATCH(ROUNDUP((L$1)/10,0)*10,[1]Hugst!$R$4:$W$4,0))))</f>
        <v>0</v>
      </c>
      <c r="M37">
        <f>IF($C37-M$1&lt;År1,0,L36*(1-VLOOKUP($A37,[1]Hugst!$R$5:$W$9,MATCH(ROUNDUP((M$1)/10,0)*10,[1]Hugst!$R$4:$W$4,0))))</f>
        <v>0</v>
      </c>
      <c r="N37">
        <f>IF($C37-N$1&lt;År1,0,M36*(1-VLOOKUP($A37,[1]Hugst!$R$5:$W$9,MATCH(ROUNDUP((N$1)/10,0)*10,[1]Hugst!$R$4:$W$4,0))))</f>
        <v>0</v>
      </c>
      <c r="O37">
        <f>IF($C37-O$1&lt;År1,0,N36*(1-VLOOKUP($A37,[1]Hugst!$R$5:$W$9,MATCH(ROUNDUP((O$1)/10,0)*10,[1]Hugst!$R$4:$W$4,0))))</f>
        <v>0</v>
      </c>
      <c r="P37">
        <f>IF($C37-P$1&lt;År1,0,O36*(1-VLOOKUP($A37,[1]Hugst!$R$5:$W$9,MATCH(ROUNDUP((P$1)/10,0)*10,[1]Hugst!$R$4:$W$4,0))))</f>
        <v>0</v>
      </c>
      <c r="Q37">
        <f>IF($C37-Q$1&lt;År1,0,P36*(1-VLOOKUP($A37,[1]Hugst!$R$5:$W$9,MATCH(ROUNDUP((Q$1)/10,0)*10,[1]Hugst!$R$4:$W$4,0))))</f>
        <v>0</v>
      </c>
      <c r="R37">
        <f>IF($C37-R$1&lt;År1,0,Q36*(1-VLOOKUP($A37,[1]Hugst!$R$5:$W$9,MATCH(ROUNDUP((R$1)/10,0)*10,[1]Hugst!$R$4:$W$4,0))))</f>
        <v>0</v>
      </c>
      <c r="S37">
        <f>IF($C37-S$1&lt;År1,0,R36*(1-VLOOKUP($A37,[1]Hugst!$R$5:$W$9,MATCH(ROUNDUP((S$1)/10,0)*10,[1]Hugst!$R$4:$W$4,0))))</f>
        <v>0</v>
      </c>
      <c r="T37">
        <f>IF($C37-T$1&lt;År1,0,S36*(1-VLOOKUP($A37,[1]Hugst!$R$5:$W$9,MATCH(ROUNDUP((T$1)/10,0)*10,[1]Hugst!$R$4:$W$4,0))))</f>
        <v>0</v>
      </c>
      <c r="U37">
        <f>IF($C37-U$1&lt;År1,0,T36*(1-VLOOKUP($A37,[1]Hugst!$R$5:$W$9,MATCH(ROUNDUP((U$1)/10,0)*10,[1]Hugst!$R$4:$W$4,0))))</f>
        <v>0</v>
      </c>
      <c r="V37">
        <f>IF($C37-V$1&lt;År1,0,U36*(1-VLOOKUP($A37,[1]Hugst!$R$5:$W$9,MATCH(ROUNDUP((V$1)/10,0)*10,[1]Hugst!$R$4:$W$4,0))))</f>
        <v>0</v>
      </c>
      <c r="W37">
        <f>IF($C37-W$1&lt;År1,0,V36*(1-VLOOKUP($A37,[1]Hugst!$R$5:$W$9,MATCH(ROUNDUP((W$1)/10,0)*10,[1]Hugst!$R$4:$W$4,0))))</f>
        <v>0</v>
      </c>
      <c r="X37">
        <f>IF($C37-X$1&lt;År1,0,W36*(1-VLOOKUP($A37,[1]Hugst!$R$5:$W$9,MATCH(ROUNDUP((X$1)/10,0)*10,[1]Hugst!$R$4:$W$4,0))))</f>
        <v>0</v>
      </c>
      <c r="Y37">
        <f>IF($C37-Y$1&lt;År1,0,X36*(1-VLOOKUP($A37,[1]Hugst!$R$5:$W$9,MATCH(ROUNDUP((Y$1)/10,0)*10,[1]Hugst!$R$4:$W$4,0))))</f>
        <v>0</v>
      </c>
      <c r="Z37">
        <f>IF($C37-Z$1&lt;År1,0,Y36*(1-VLOOKUP($A37,[1]Hugst!$R$5:$W$9,MATCH(ROUNDUP((Z$1)/10,0)*10,[1]Hugst!$R$4:$W$4,0))))</f>
        <v>0</v>
      </c>
      <c r="AA37">
        <f>IF($C37-AA$1&lt;År1,0,Z36*(1-VLOOKUP($A37,[1]Hugst!$R$5:$W$9,MATCH(ROUNDUP((AA$1)/10,0)*10,[1]Hugst!$R$4:$W$4,0))))</f>
        <v>0</v>
      </c>
      <c r="AB37">
        <f>IF($C37-AB$1&lt;År1,0,AA36*(1-VLOOKUP($A37,[1]Hugst!$R$5:$W$9,MATCH(ROUNDUP((AB$1)/10,0)*10,[1]Hugst!$R$4:$W$4,0))))</f>
        <v>0</v>
      </c>
      <c r="AC37">
        <f>IF($C37-AC$1&lt;År1,0,AB36*(1-VLOOKUP($A37,[1]Hugst!$R$5:$W$9,MATCH(ROUNDUP((AC$1)/10,0)*10,[1]Hugst!$R$4:$W$4,0))))</f>
        <v>0</v>
      </c>
      <c r="AD37">
        <f>IF($C37-AD$1&lt;År1,0,AC36*(1-VLOOKUP($A37,[1]Hugst!$R$5:$W$9,MATCH(ROUNDUP((AD$1)/10,0)*10,[1]Hugst!$R$4:$W$4,0))))</f>
        <v>0</v>
      </c>
      <c r="AE37">
        <f>IF($C37-AE$1&lt;År1,0,AD36*(1-VLOOKUP($A37,[1]Hugst!$R$5:$W$9,MATCH(ROUNDUP((AE$1)/10,0)*10,[1]Hugst!$R$4:$W$4,0))))</f>
        <v>0</v>
      </c>
      <c r="AF37">
        <f>IF($C37-AF$1&lt;År1,0,AE36*(1-VLOOKUP($A37,[1]Hugst!$R$5:$W$9,MATCH(ROUNDUP((AF$1)/10,0)*10,[1]Hugst!$R$4:$W$4,0))))</f>
        <v>0</v>
      </c>
      <c r="AG37">
        <f>IF($C37-AG$1&lt;År1,0,AF36*(1-VLOOKUP($A37,[1]Hugst!$R$5:$W$9,MATCH(ROUNDUP((AG$1)/10,0)*10,[1]Hugst!$R$4:$W$4,0))))</f>
        <v>0</v>
      </c>
      <c r="AH37">
        <f>IF($C37-AH$1&lt;År1,0,AG36*(1-VLOOKUP($A37,[1]Hugst!$R$5:$W$9,MATCH(ROUNDUP((AH$1)/10,0)*10,[1]Hugst!$R$4:$W$4,0))))</f>
        <v>0</v>
      </c>
      <c r="AI37">
        <f>IF($C37-AI$1&lt;År1,0,AH36*(1-VLOOKUP($A37,[1]Hugst!$R$5:$W$9,MATCH(ROUNDUP((AI$1)/10,0)*10,[1]Hugst!$R$4:$W$4,0))))</f>
        <v>0</v>
      </c>
      <c r="AJ37">
        <f>IF($C37-AJ$1&lt;År1,0,AI36*(1-VLOOKUP($A37,[1]Hugst!$R$5:$W$9,MATCH(ROUNDUP((AJ$1)/10,0)*10,[1]Hugst!$R$4:$W$4,0))))</f>
        <v>0</v>
      </c>
    </row>
    <row r="38" spans="1:36" x14ac:dyDescent="0.25">
      <c r="A38" t="s">
        <v>176</v>
      </c>
      <c r="B38" t="s">
        <v>24</v>
      </c>
      <c r="C38">
        <v>2025</v>
      </c>
      <c r="D3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0</v>
      </c>
      <c r="E38">
        <f t="shared" ca="1" si="0"/>
        <v>0</v>
      </c>
      <c r="F3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>
        <f ca="1">IF($C38-G$1&lt;År1,0,F37*(1-VLOOKUP($A38,[1]Hugst!$R$5:$W$9,MATCH(ROUNDUP((G$1)/10,0)*10,[1]Hugst!$R$4:$W$4,0))))</f>
        <v>0</v>
      </c>
      <c r="H38">
        <f ca="1">IF($C38-H$1&lt;År1,0,G37*(1-VLOOKUP($A38,[1]Hugst!$R$5:$W$9,MATCH(ROUNDUP((H$1)/10,0)*10,[1]Hugst!$R$4:$W$4,0))))</f>
        <v>0</v>
      </c>
      <c r="I38">
        <f ca="1">IF($C38-I$1&lt;År1,0,H37*(1-VLOOKUP($A38,[1]Hugst!$R$5:$W$9,MATCH(ROUNDUP((I$1)/10,0)*10,[1]Hugst!$R$4:$W$4,0))))</f>
        <v>0</v>
      </c>
      <c r="J38">
        <f ca="1">IF($C38-J$1&lt;År1,0,I37*(1-VLOOKUP($A38,[1]Hugst!$R$5:$W$9,MATCH(ROUNDUP((J$1)/10,0)*10,[1]Hugst!$R$4:$W$4,0))))</f>
        <v>0</v>
      </c>
      <c r="K38">
        <f ca="1">IF($C38-K$1&lt;År1,0,J37*(1-VLOOKUP($A38,[1]Hugst!$R$5:$W$9,MATCH(ROUNDUP((K$1)/10,0)*10,[1]Hugst!$R$4:$W$4,0))))</f>
        <v>0</v>
      </c>
      <c r="L38">
        <f>IF($C38-L$1&lt;År1,0,K37*(1-VLOOKUP($A38,[1]Hugst!$R$5:$W$9,MATCH(ROUNDUP((L$1)/10,0)*10,[1]Hugst!$R$4:$W$4,0))))</f>
        <v>0</v>
      </c>
      <c r="M38">
        <f>IF($C38-M$1&lt;År1,0,L37*(1-VLOOKUP($A38,[1]Hugst!$R$5:$W$9,MATCH(ROUNDUP((M$1)/10,0)*10,[1]Hugst!$R$4:$W$4,0))))</f>
        <v>0</v>
      </c>
      <c r="N38">
        <f>IF($C38-N$1&lt;År1,0,M37*(1-VLOOKUP($A38,[1]Hugst!$R$5:$W$9,MATCH(ROUNDUP((N$1)/10,0)*10,[1]Hugst!$R$4:$W$4,0))))</f>
        <v>0</v>
      </c>
      <c r="O38">
        <f>IF($C38-O$1&lt;År1,0,N37*(1-VLOOKUP($A38,[1]Hugst!$R$5:$W$9,MATCH(ROUNDUP((O$1)/10,0)*10,[1]Hugst!$R$4:$W$4,0))))</f>
        <v>0</v>
      </c>
      <c r="P38">
        <f>IF($C38-P$1&lt;År1,0,O37*(1-VLOOKUP($A38,[1]Hugst!$R$5:$W$9,MATCH(ROUNDUP((P$1)/10,0)*10,[1]Hugst!$R$4:$W$4,0))))</f>
        <v>0</v>
      </c>
      <c r="Q38">
        <f>IF($C38-Q$1&lt;År1,0,P37*(1-VLOOKUP($A38,[1]Hugst!$R$5:$W$9,MATCH(ROUNDUP((Q$1)/10,0)*10,[1]Hugst!$R$4:$W$4,0))))</f>
        <v>0</v>
      </c>
      <c r="R38">
        <f>IF($C38-R$1&lt;År1,0,Q37*(1-VLOOKUP($A38,[1]Hugst!$R$5:$W$9,MATCH(ROUNDUP((R$1)/10,0)*10,[1]Hugst!$R$4:$W$4,0))))</f>
        <v>0</v>
      </c>
      <c r="S38">
        <f>IF($C38-S$1&lt;År1,0,R37*(1-VLOOKUP($A38,[1]Hugst!$R$5:$W$9,MATCH(ROUNDUP((S$1)/10,0)*10,[1]Hugst!$R$4:$W$4,0))))</f>
        <v>0</v>
      </c>
      <c r="T38">
        <f>IF($C38-T$1&lt;År1,0,S37*(1-VLOOKUP($A38,[1]Hugst!$R$5:$W$9,MATCH(ROUNDUP((T$1)/10,0)*10,[1]Hugst!$R$4:$W$4,0))))</f>
        <v>0</v>
      </c>
      <c r="U38">
        <f>IF($C38-U$1&lt;År1,0,T37*(1-VLOOKUP($A38,[1]Hugst!$R$5:$W$9,MATCH(ROUNDUP((U$1)/10,0)*10,[1]Hugst!$R$4:$W$4,0))))</f>
        <v>0</v>
      </c>
      <c r="V38">
        <f>IF($C38-V$1&lt;År1,0,U37*(1-VLOOKUP($A38,[1]Hugst!$R$5:$W$9,MATCH(ROUNDUP((V$1)/10,0)*10,[1]Hugst!$R$4:$W$4,0))))</f>
        <v>0</v>
      </c>
      <c r="W38">
        <f>IF($C38-W$1&lt;År1,0,V37*(1-VLOOKUP($A38,[1]Hugst!$R$5:$W$9,MATCH(ROUNDUP((W$1)/10,0)*10,[1]Hugst!$R$4:$W$4,0))))</f>
        <v>0</v>
      </c>
      <c r="X38">
        <f>IF($C38-X$1&lt;År1,0,W37*(1-VLOOKUP($A38,[1]Hugst!$R$5:$W$9,MATCH(ROUNDUP((X$1)/10,0)*10,[1]Hugst!$R$4:$W$4,0))))</f>
        <v>0</v>
      </c>
      <c r="Y38">
        <f>IF($C38-Y$1&lt;År1,0,X37*(1-VLOOKUP($A38,[1]Hugst!$R$5:$W$9,MATCH(ROUNDUP((Y$1)/10,0)*10,[1]Hugst!$R$4:$W$4,0))))</f>
        <v>0</v>
      </c>
      <c r="Z38">
        <f>IF($C38-Z$1&lt;År1,0,Y37*(1-VLOOKUP($A38,[1]Hugst!$R$5:$W$9,MATCH(ROUNDUP((Z$1)/10,0)*10,[1]Hugst!$R$4:$W$4,0))))</f>
        <v>0</v>
      </c>
      <c r="AA38">
        <f>IF($C38-AA$1&lt;År1,0,Z37*(1-VLOOKUP($A38,[1]Hugst!$R$5:$W$9,MATCH(ROUNDUP((AA$1)/10,0)*10,[1]Hugst!$R$4:$W$4,0))))</f>
        <v>0</v>
      </c>
      <c r="AB38">
        <f>IF($C38-AB$1&lt;År1,0,AA37*(1-VLOOKUP($A38,[1]Hugst!$R$5:$W$9,MATCH(ROUNDUP((AB$1)/10,0)*10,[1]Hugst!$R$4:$W$4,0))))</f>
        <v>0</v>
      </c>
      <c r="AC38">
        <f>IF($C38-AC$1&lt;År1,0,AB37*(1-VLOOKUP($A38,[1]Hugst!$R$5:$W$9,MATCH(ROUNDUP((AC$1)/10,0)*10,[1]Hugst!$R$4:$W$4,0))))</f>
        <v>0</v>
      </c>
      <c r="AD38">
        <f>IF($C38-AD$1&lt;År1,0,AC37*(1-VLOOKUP($A38,[1]Hugst!$R$5:$W$9,MATCH(ROUNDUP((AD$1)/10,0)*10,[1]Hugst!$R$4:$W$4,0))))</f>
        <v>0</v>
      </c>
      <c r="AE38">
        <f>IF($C38-AE$1&lt;År1,0,AD37*(1-VLOOKUP($A38,[1]Hugst!$R$5:$W$9,MATCH(ROUNDUP((AE$1)/10,0)*10,[1]Hugst!$R$4:$W$4,0))))</f>
        <v>0</v>
      </c>
      <c r="AF38">
        <f>IF($C38-AF$1&lt;År1,0,AE37*(1-VLOOKUP($A38,[1]Hugst!$R$5:$W$9,MATCH(ROUNDUP((AF$1)/10,0)*10,[1]Hugst!$R$4:$W$4,0))))</f>
        <v>0</v>
      </c>
      <c r="AG38">
        <f>IF($C38-AG$1&lt;År1,0,AF37*(1-VLOOKUP($A38,[1]Hugst!$R$5:$W$9,MATCH(ROUNDUP((AG$1)/10,0)*10,[1]Hugst!$R$4:$W$4,0))))</f>
        <v>0</v>
      </c>
      <c r="AH38">
        <f>IF($C38-AH$1&lt;År1,0,AG37*(1-VLOOKUP($A38,[1]Hugst!$R$5:$W$9,MATCH(ROUNDUP((AH$1)/10,0)*10,[1]Hugst!$R$4:$W$4,0))))</f>
        <v>0</v>
      </c>
      <c r="AI38">
        <f>IF($C38-AI$1&lt;År1,0,AH37*(1-VLOOKUP($A38,[1]Hugst!$R$5:$W$9,MATCH(ROUNDUP((AI$1)/10,0)*10,[1]Hugst!$R$4:$W$4,0))))</f>
        <v>0</v>
      </c>
      <c r="AJ38">
        <f>IF($C38-AJ$1&lt;År1,0,AI37*(1-VLOOKUP($A38,[1]Hugst!$R$5:$W$9,MATCH(ROUNDUP((AJ$1)/10,0)*10,[1]Hugst!$R$4:$W$4,0))))</f>
        <v>0</v>
      </c>
    </row>
    <row r="39" spans="1:36" x14ac:dyDescent="0.25">
      <c r="A39" t="s">
        <v>176</v>
      </c>
      <c r="B39" t="s">
        <v>24</v>
      </c>
      <c r="C39">
        <v>2026</v>
      </c>
      <c r="D39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0</v>
      </c>
      <c r="E39">
        <f t="shared" ca="1" si="0"/>
        <v>0</v>
      </c>
      <c r="F3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>
        <f ca="1">IF($C39-G$1&lt;År1,0,F38*(1-VLOOKUP($A39,[1]Hugst!$R$5:$W$9,MATCH(ROUNDUP((G$1)/10,0)*10,[1]Hugst!$R$4:$W$4,0))))</f>
        <v>0</v>
      </c>
      <c r="H39">
        <f ca="1">IF($C39-H$1&lt;År1,0,G38*(1-VLOOKUP($A39,[1]Hugst!$R$5:$W$9,MATCH(ROUNDUP((H$1)/10,0)*10,[1]Hugst!$R$4:$W$4,0))))</f>
        <v>0</v>
      </c>
      <c r="I39">
        <f ca="1">IF($C39-I$1&lt;År1,0,H38*(1-VLOOKUP($A39,[1]Hugst!$R$5:$W$9,MATCH(ROUNDUP((I$1)/10,0)*10,[1]Hugst!$R$4:$W$4,0))))</f>
        <v>0</v>
      </c>
      <c r="J39">
        <f ca="1">IF($C39-J$1&lt;År1,0,I38*(1-VLOOKUP($A39,[1]Hugst!$R$5:$W$9,MATCH(ROUNDUP((J$1)/10,0)*10,[1]Hugst!$R$4:$W$4,0))))</f>
        <v>0</v>
      </c>
      <c r="K39">
        <f ca="1">IF($C39-K$1&lt;År1,0,J38*(1-VLOOKUP($A39,[1]Hugst!$R$5:$W$9,MATCH(ROUNDUP((K$1)/10,0)*10,[1]Hugst!$R$4:$W$4,0))))</f>
        <v>0</v>
      </c>
      <c r="L39">
        <f ca="1">IF($C39-L$1&lt;År1,0,K38*(1-VLOOKUP($A39,[1]Hugst!$R$5:$W$9,MATCH(ROUNDUP((L$1)/10,0)*10,[1]Hugst!$R$4:$W$4,0))))</f>
        <v>0</v>
      </c>
      <c r="M39">
        <f>IF($C39-M$1&lt;År1,0,L38*(1-VLOOKUP($A39,[1]Hugst!$R$5:$W$9,MATCH(ROUNDUP((M$1)/10,0)*10,[1]Hugst!$R$4:$W$4,0))))</f>
        <v>0</v>
      </c>
      <c r="N39">
        <f>IF($C39-N$1&lt;År1,0,M38*(1-VLOOKUP($A39,[1]Hugst!$R$5:$W$9,MATCH(ROUNDUP((N$1)/10,0)*10,[1]Hugst!$R$4:$W$4,0))))</f>
        <v>0</v>
      </c>
      <c r="O39">
        <f>IF($C39-O$1&lt;År1,0,N38*(1-VLOOKUP($A39,[1]Hugst!$R$5:$W$9,MATCH(ROUNDUP((O$1)/10,0)*10,[1]Hugst!$R$4:$W$4,0))))</f>
        <v>0</v>
      </c>
      <c r="P39">
        <f>IF($C39-P$1&lt;År1,0,O38*(1-VLOOKUP($A39,[1]Hugst!$R$5:$W$9,MATCH(ROUNDUP((P$1)/10,0)*10,[1]Hugst!$R$4:$W$4,0))))</f>
        <v>0</v>
      </c>
      <c r="Q39">
        <f>IF($C39-Q$1&lt;År1,0,P38*(1-VLOOKUP($A39,[1]Hugst!$R$5:$W$9,MATCH(ROUNDUP((Q$1)/10,0)*10,[1]Hugst!$R$4:$W$4,0))))</f>
        <v>0</v>
      </c>
      <c r="R39">
        <f>IF($C39-R$1&lt;År1,0,Q38*(1-VLOOKUP($A39,[1]Hugst!$R$5:$W$9,MATCH(ROUNDUP((R$1)/10,0)*10,[1]Hugst!$R$4:$W$4,0))))</f>
        <v>0</v>
      </c>
      <c r="S39">
        <f>IF($C39-S$1&lt;År1,0,R38*(1-VLOOKUP($A39,[1]Hugst!$R$5:$W$9,MATCH(ROUNDUP((S$1)/10,0)*10,[1]Hugst!$R$4:$W$4,0))))</f>
        <v>0</v>
      </c>
      <c r="T39">
        <f>IF($C39-T$1&lt;År1,0,S38*(1-VLOOKUP($A39,[1]Hugst!$R$5:$W$9,MATCH(ROUNDUP((T$1)/10,0)*10,[1]Hugst!$R$4:$W$4,0))))</f>
        <v>0</v>
      </c>
      <c r="U39">
        <f>IF($C39-U$1&lt;År1,0,T38*(1-VLOOKUP($A39,[1]Hugst!$R$5:$W$9,MATCH(ROUNDUP((U$1)/10,0)*10,[1]Hugst!$R$4:$W$4,0))))</f>
        <v>0</v>
      </c>
      <c r="V39">
        <f>IF($C39-V$1&lt;År1,0,U38*(1-VLOOKUP($A39,[1]Hugst!$R$5:$W$9,MATCH(ROUNDUP((V$1)/10,0)*10,[1]Hugst!$R$4:$W$4,0))))</f>
        <v>0</v>
      </c>
      <c r="W39">
        <f>IF($C39-W$1&lt;År1,0,V38*(1-VLOOKUP($A39,[1]Hugst!$R$5:$W$9,MATCH(ROUNDUP((W$1)/10,0)*10,[1]Hugst!$R$4:$W$4,0))))</f>
        <v>0</v>
      </c>
      <c r="X39">
        <f>IF($C39-X$1&lt;År1,0,W38*(1-VLOOKUP($A39,[1]Hugst!$R$5:$W$9,MATCH(ROUNDUP((X$1)/10,0)*10,[1]Hugst!$R$4:$W$4,0))))</f>
        <v>0</v>
      </c>
      <c r="Y39">
        <f>IF($C39-Y$1&lt;År1,0,X38*(1-VLOOKUP($A39,[1]Hugst!$R$5:$W$9,MATCH(ROUNDUP((Y$1)/10,0)*10,[1]Hugst!$R$4:$W$4,0))))</f>
        <v>0</v>
      </c>
      <c r="Z39">
        <f>IF($C39-Z$1&lt;År1,0,Y38*(1-VLOOKUP($A39,[1]Hugst!$R$5:$W$9,MATCH(ROUNDUP((Z$1)/10,0)*10,[1]Hugst!$R$4:$W$4,0))))</f>
        <v>0</v>
      </c>
      <c r="AA39">
        <f>IF($C39-AA$1&lt;År1,0,Z38*(1-VLOOKUP($A39,[1]Hugst!$R$5:$W$9,MATCH(ROUNDUP((AA$1)/10,0)*10,[1]Hugst!$R$4:$W$4,0))))</f>
        <v>0</v>
      </c>
      <c r="AB39">
        <f>IF($C39-AB$1&lt;År1,0,AA38*(1-VLOOKUP($A39,[1]Hugst!$R$5:$W$9,MATCH(ROUNDUP((AB$1)/10,0)*10,[1]Hugst!$R$4:$W$4,0))))</f>
        <v>0</v>
      </c>
      <c r="AC39">
        <f>IF($C39-AC$1&lt;År1,0,AB38*(1-VLOOKUP($A39,[1]Hugst!$R$5:$W$9,MATCH(ROUNDUP((AC$1)/10,0)*10,[1]Hugst!$R$4:$W$4,0))))</f>
        <v>0</v>
      </c>
      <c r="AD39">
        <f>IF($C39-AD$1&lt;År1,0,AC38*(1-VLOOKUP($A39,[1]Hugst!$R$5:$W$9,MATCH(ROUNDUP((AD$1)/10,0)*10,[1]Hugst!$R$4:$W$4,0))))</f>
        <v>0</v>
      </c>
      <c r="AE39">
        <f>IF($C39-AE$1&lt;År1,0,AD38*(1-VLOOKUP($A39,[1]Hugst!$R$5:$W$9,MATCH(ROUNDUP((AE$1)/10,0)*10,[1]Hugst!$R$4:$W$4,0))))</f>
        <v>0</v>
      </c>
      <c r="AF39">
        <f>IF($C39-AF$1&lt;År1,0,AE38*(1-VLOOKUP($A39,[1]Hugst!$R$5:$W$9,MATCH(ROUNDUP((AF$1)/10,0)*10,[1]Hugst!$R$4:$W$4,0))))</f>
        <v>0</v>
      </c>
      <c r="AG39">
        <f>IF($C39-AG$1&lt;År1,0,AF38*(1-VLOOKUP($A39,[1]Hugst!$R$5:$W$9,MATCH(ROUNDUP((AG$1)/10,0)*10,[1]Hugst!$R$4:$W$4,0))))</f>
        <v>0</v>
      </c>
      <c r="AH39">
        <f>IF($C39-AH$1&lt;År1,0,AG38*(1-VLOOKUP($A39,[1]Hugst!$R$5:$W$9,MATCH(ROUNDUP((AH$1)/10,0)*10,[1]Hugst!$R$4:$W$4,0))))</f>
        <v>0</v>
      </c>
      <c r="AI39">
        <f>IF($C39-AI$1&lt;År1,0,AH38*(1-VLOOKUP($A39,[1]Hugst!$R$5:$W$9,MATCH(ROUNDUP((AI$1)/10,0)*10,[1]Hugst!$R$4:$W$4,0))))</f>
        <v>0</v>
      </c>
      <c r="AJ39">
        <f>IF($C39-AJ$1&lt;År1,0,AI38*(1-VLOOKUP($A39,[1]Hugst!$R$5:$W$9,MATCH(ROUNDUP((AJ$1)/10,0)*10,[1]Hugst!$R$4:$W$4,0))))</f>
        <v>0</v>
      </c>
    </row>
    <row r="40" spans="1:36" x14ac:dyDescent="0.25">
      <c r="A40" t="s">
        <v>176</v>
      </c>
      <c r="B40" t="s">
        <v>24</v>
      </c>
      <c r="C40">
        <v>2027</v>
      </c>
      <c r="D40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0</v>
      </c>
      <c r="E40">
        <f t="shared" ca="1" si="0"/>
        <v>0</v>
      </c>
      <c r="F40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>
        <f ca="1">IF($C40-G$1&lt;År1,0,F39*(1-VLOOKUP($A40,[1]Hugst!$R$5:$W$9,MATCH(ROUNDUP((G$1)/10,0)*10,[1]Hugst!$R$4:$W$4,0))))</f>
        <v>0</v>
      </c>
      <c r="H40">
        <f ca="1">IF($C40-H$1&lt;År1,0,G39*(1-VLOOKUP($A40,[1]Hugst!$R$5:$W$9,MATCH(ROUNDUP((H$1)/10,0)*10,[1]Hugst!$R$4:$W$4,0))))</f>
        <v>0</v>
      </c>
      <c r="I40">
        <f ca="1">IF($C40-I$1&lt;År1,0,H39*(1-VLOOKUP($A40,[1]Hugst!$R$5:$W$9,MATCH(ROUNDUP((I$1)/10,0)*10,[1]Hugst!$R$4:$W$4,0))))</f>
        <v>0</v>
      </c>
      <c r="J40">
        <f ca="1">IF($C40-J$1&lt;År1,0,I39*(1-VLOOKUP($A40,[1]Hugst!$R$5:$W$9,MATCH(ROUNDUP((J$1)/10,0)*10,[1]Hugst!$R$4:$W$4,0))))</f>
        <v>0</v>
      </c>
      <c r="K40">
        <f ca="1">IF($C40-K$1&lt;År1,0,J39*(1-VLOOKUP($A40,[1]Hugst!$R$5:$W$9,MATCH(ROUNDUP((K$1)/10,0)*10,[1]Hugst!$R$4:$W$4,0))))</f>
        <v>0</v>
      </c>
      <c r="L40">
        <f ca="1">IF($C40-L$1&lt;År1,0,K39*(1-VLOOKUP($A40,[1]Hugst!$R$5:$W$9,MATCH(ROUNDUP((L$1)/10,0)*10,[1]Hugst!$R$4:$W$4,0))))</f>
        <v>0</v>
      </c>
      <c r="M40">
        <f ca="1">IF($C40-M$1&lt;År1,0,L39*(1-VLOOKUP($A40,[1]Hugst!$R$5:$W$9,MATCH(ROUNDUP((M$1)/10,0)*10,[1]Hugst!$R$4:$W$4,0))))</f>
        <v>0</v>
      </c>
      <c r="N40">
        <f>IF($C40-N$1&lt;År1,0,M39*(1-VLOOKUP($A40,[1]Hugst!$R$5:$W$9,MATCH(ROUNDUP((N$1)/10,0)*10,[1]Hugst!$R$4:$W$4,0))))</f>
        <v>0</v>
      </c>
      <c r="O40">
        <f>IF($C40-O$1&lt;År1,0,N39*(1-VLOOKUP($A40,[1]Hugst!$R$5:$W$9,MATCH(ROUNDUP((O$1)/10,0)*10,[1]Hugst!$R$4:$W$4,0))))</f>
        <v>0</v>
      </c>
      <c r="P40">
        <f>IF($C40-P$1&lt;År1,0,O39*(1-VLOOKUP($A40,[1]Hugst!$R$5:$W$9,MATCH(ROUNDUP((P$1)/10,0)*10,[1]Hugst!$R$4:$W$4,0))))</f>
        <v>0</v>
      </c>
      <c r="Q40">
        <f>IF($C40-Q$1&lt;År1,0,P39*(1-VLOOKUP($A40,[1]Hugst!$R$5:$W$9,MATCH(ROUNDUP((Q$1)/10,0)*10,[1]Hugst!$R$4:$W$4,0))))</f>
        <v>0</v>
      </c>
      <c r="R40">
        <f>IF($C40-R$1&lt;År1,0,Q39*(1-VLOOKUP($A40,[1]Hugst!$R$5:$W$9,MATCH(ROUNDUP((R$1)/10,0)*10,[1]Hugst!$R$4:$W$4,0))))</f>
        <v>0</v>
      </c>
      <c r="S40">
        <f>IF($C40-S$1&lt;År1,0,R39*(1-VLOOKUP($A40,[1]Hugst!$R$5:$W$9,MATCH(ROUNDUP((S$1)/10,0)*10,[1]Hugst!$R$4:$W$4,0))))</f>
        <v>0</v>
      </c>
      <c r="T40">
        <f>IF($C40-T$1&lt;År1,0,S39*(1-VLOOKUP($A40,[1]Hugst!$R$5:$W$9,MATCH(ROUNDUP((T$1)/10,0)*10,[1]Hugst!$R$4:$W$4,0))))</f>
        <v>0</v>
      </c>
      <c r="U40">
        <f>IF($C40-U$1&lt;År1,0,T39*(1-VLOOKUP($A40,[1]Hugst!$R$5:$W$9,MATCH(ROUNDUP((U$1)/10,0)*10,[1]Hugst!$R$4:$W$4,0))))</f>
        <v>0</v>
      </c>
      <c r="V40">
        <f>IF($C40-V$1&lt;År1,0,U39*(1-VLOOKUP($A40,[1]Hugst!$R$5:$W$9,MATCH(ROUNDUP((V$1)/10,0)*10,[1]Hugst!$R$4:$W$4,0))))</f>
        <v>0</v>
      </c>
      <c r="W40">
        <f>IF($C40-W$1&lt;År1,0,V39*(1-VLOOKUP($A40,[1]Hugst!$R$5:$W$9,MATCH(ROUNDUP((W$1)/10,0)*10,[1]Hugst!$R$4:$W$4,0))))</f>
        <v>0</v>
      </c>
      <c r="X40">
        <f>IF($C40-X$1&lt;År1,0,W39*(1-VLOOKUP($A40,[1]Hugst!$R$5:$W$9,MATCH(ROUNDUP((X$1)/10,0)*10,[1]Hugst!$R$4:$W$4,0))))</f>
        <v>0</v>
      </c>
      <c r="Y40">
        <f>IF($C40-Y$1&lt;År1,0,X39*(1-VLOOKUP($A40,[1]Hugst!$R$5:$W$9,MATCH(ROUNDUP((Y$1)/10,0)*10,[1]Hugst!$R$4:$W$4,0))))</f>
        <v>0</v>
      </c>
      <c r="Z40">
        <f>IF($C40-Z$1&lt;År1,0,Y39*(1-VLOOKUP($A40,[1]Hugst!$R$5:$W$9,MATCH(ROUNDUP((Z$1)/10,0)*10,[1]Hugst!$R$4:$W$4,0))))</f>
        <v>0</v>
      </c>
      <c r="AA40">
        <f>IF($C40-AA$1&lt;År1,0,Z39*(1-VLOOKUP($A40,[1]Hugst!$R$5:$W$9,MATCH(ROUNDUP((AA$1)/10,0)*10,[1]Hugst!$R$4:$W$4,0))))</f>
        <v>0</v>
      </c>
      <c r="AB40">
        <f>IF($C40-AB$1&lt;År1,0,AA39*(1-VLOOKUP($A40,[1]Hugst!$R$5:$W$9,MATCH(ROUNDUP((AB$1)/10,0)*10,[1]Hugst!$R$4:$W$4,0))))</f>
        <v>0</v>
      </c>
      <c r="AC40">
        <f>IF($C40-AC$1&lt;År1,0,AB39*(1-VLOOKUP($A40,[1]Hugst!$R$5:$W$9,MATCH(ROUNDUP((AC$1)/10,0)*10,[1]Hugst!$R$4:$W$4,0))))</f>
        <v>0</v>
      </c>
      <c r="AD40">
        <f>IF($C40-AD$1&lt;År1,0,AC39*(1-VLOOKUP($A40,[1]Hugst!$R$5:$W$9,MATCH(ROUNDUP((AD$1)/10,0)*10,[1]Hugst!$R$4:$W$4,0))))</f>
        <v>0</v>
      </c>
      <c r="AE40">
        <f>IF($C40-AE$1&lt;År1,0,AD39*(1-VLOOKUP($A40,[1]Hugst!$R$5:$W$9,MATCH(ROUNDUP((AE$1)/10,0)*10,[1]Hugst!$R$4:$W$4,0))))</f>
        <v>0</v>
      </c>
      <c r="AF40">
        <f>IF($C40-AF$1&lt;År1,0,AE39*(1-VLOOKUP($A40,[1]Hugst!$R$5:$W$9,MATCH(ROUNDUP((AF$1)/10,0)*10,[1]Hugst!$R$4:$W$4,0))))</f>
        <v>0</v>
      </c>
      <c r="AG40">
        <f>IF($C40-AG$1&lt;År1,0,AF39*(1-VLOOKUP($A40,[1]Hugst!$R$5:$W$9,MATCH(ROUNDUP((AG$1)/10,0)*10,[1]Hugst!$R$4:$W$4,0))))</f>
        <v>0</v>
      </c>
      <c r="AH40">
        <f>IF($C40-AH$1&lt;År1,0,AG39*(1-VLOOKUP($A40,[1]Hugst!$R$5:$W$9,MATCH(ROUNDUP((AH$1)/10,0)*10,[1]Hugst!$R$4:$W$4,0))))</f>
        <v>0</v>
      </c>
      <c r="AI40">
        <f>IF($C40-AI$1&lt;År1,0,AH39*(1-VLOOKUP($A40,[1]Hugst!$R$5:$W$9,MATCH(ROUNDUP((AI$1)/10,0)*10,[1]Hugst!$R$4:$W$4,0))))</f>
        <v>0</v>
      </c>
      <c r="AJ40">
        <f>IF($C40-AJ$1&lt;År1,0,AI39*(1-VLOOKUP($A40,[1]Hugst!$R$5:$W$9,MATCH(ROUNDUP((AJ$1)/10,0)*10,[1]Hugst!$R$4:$W$4,0))))</f>
        <v>0</v>
      </c>
    </row>
    <row r="41" spans="1:36" x14ac:dyDescent="0.25">
      <c r="A41" t="s">
        <v>176</v>
      </c>
      <c r="B41" t="s">
        <v>24</v>
      </c>
      <c r="C41">
        <v>2028</v>
      </c>
      <c r="D41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0</v>
      </c>
      <c r="E41">
        <f t="shared" ca="1" si="0"/>
        <v>0</v>
      </c>
      <c r="F41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>
        <f ca="1">IF($C41-G$1&lt;År1,0,F40*(1-VLOOKUP($A41,[1]Hugst!$R$5:$W$9,MATCH(ROUNDUP((G$1)/10,0)*10,[1]Hugst!$R$4:$W$4,0))))</f>
        <v>0</v>
      </c>
      <c r="H41">
        <f ca="1">IF($C41-H$1&lt;År1,0,G40*(1-VLOOKUP($A41,[1]Hugst!$R$5:$W$9,MATCH(ROUNDUP((H$1)/10,0)*10,[1]Hugst!$R$4:$W$4,0))))</f>
        <v>0</v>
      </c>
      <c r="I41">
        <f ca="1">IF($C41-I$1&lt;År1,0,H40*(1-VLOOKUP($A41,[1]Hugst!$R$5:$W$9,MATCH(ROUNDUP((I$1)/10,0)*10,[1]Hugst!$R$4:$W$4,0))))</f>
        <v>0</v>
      </c>
      <c r="J41">
        <f ca="1">IF($C41-J$1&lt;År1,0,I40*(1-VLOOKUP($A41,[1]Hugst!$R$5:$W$9,MATCH(ROUNDUP((J$1)/10,0)*10,[1]Hugst!$R$4:$W$4,0))))</f>
        <v>0</v>
      </c>
      <c r="K41">
        <f ca="1">IF($C41-K$1&lt;År1,0,J40*(1-VLOOKUP($A41,[1]Hugst!$R$5:$W$9,MATCH(ROUNDUP((K$1)/10,0)*10,[1]Hugst!$R$4:$W$4,0))))</f>
        <v>0</v>
      </c>
      <c r="L41">
        <f ca="1">IF($C41-L$1&lt;År1,0,K40*(1-VLOOKUP($A41,[1]Hugst!$R$5:$W$9,MATCH(ROUNDUP((L$1)/10,0)*10,[1]Hugst!$R$4:$W$4,0))))</f>
        <v>0</v>
      </c>
      <c r="M41">
        <f ca="1">IF($C41-M$1&lt;År1,0,L40*(1-VLOOKUP($A41,[1]Hugst!$R$5:$W$9,MATCH(ROUNDUP((M$1)/10,0)*10,[1]Hugst!$R$4:$W$4,0))))</f>
        <v>0</v>
      </c>
      <c r="N41">
        <f ca="1">IF($C41-N$1&lt;År1,0,M40*(1-VLOOKUP($A41,[1]Hugst!$R$5:$W$9,MATCH(ROUNDUP((N$1)/10,0)*10,[1]Hugst!$R$4:$W$4,0))))</f>
        <v>0</v>
      </c>
      <c r="O41">
        <f>IF($C41-O$1&lt;År1,0,N40*(1-VLOOKUP($A41,[1]Hugst!$R$5:$W$9,MATCH(ROUNDUP((O$1)/10,0)*10,[1]Hugst!$R$4:$W$4,0))))</f>
        <v>0</v>
      </c>
      <c r="P41">
        <f>IF($C41-P$1&lt;År1,0,O40*(1-VLOOKUP($A41,[1]Hugst!$R$5:$W$9,MATCH(ROUNDUP((P$1)/10,0)*10,[1]Hugst!$R$4:$W$4,0))))</f>
        <v>0</v>
      </c>
      <c r="Q41">
        <f>IF($C41-Q$1&lt;År1,0,P40*(1-VLOOKUP($A41,[1]Hugst!$R$5:$W$9,MATCH(ROUNDUP((Q$1)/10,0)*10,[1]Hugst!$R$4:$W$4,0))))</f>
        <v>0</v>
      </c>
      <c r="R41">
        <f>IF($C41-R$1&lt;År1,0,Q40*(1-VLOOKUP($A41,[1]Hugst!$R$5:$W$9,MATCH(ROUNDUP((R$1)/10,0)*10,[1]Hugst!$R$4:$W$4,0))))</f>
        <v>0</v>
      </c>
      <c r="S41">
        <f>IF($C41-S$1&lt;År1,0,R40*(1-VLOOKUP($A41,[1]Hugst!$R$5:$W$9,MATCH(ROUNDUP((S$1)/10,0)*10,[1]Hugst!$R$4:$W$4,0))))</f>
        <v>0</v>
      </c>
      <c r="T41">
        <f>IF($C41-T$1&lt;År1,0,S40*(1-VLOOKUP($A41,[1]Hugst!$R$5:$W$9,MATCH(ROUNDUP((T$1)/10,0)*10,[1]Hugst!$R$4:$W$4,0))))</f>
        <v>0</v>
      </c>
      <c r="U41">
        <f>IF($C41-U$1&lt;År1,0,T40*(1-VLOOKUP($A41,[1]Hugst!$R$5:$W$9,MATCH(ROUNDUP((U$1)/10,0)*10,[1]Hugst!$R$4:$W$4,0))))</f>
        <v>0</v>
      </c>
      <c r="V41">
        <f>IF($C41-V$1&lt;År1,0,U40*(1-VLOOKUP($A41,[1]Hugst!$R$5:$W$9,MATCH(ROUNDUP((V$1)/10,0)*10,[1]Hugst!$R$4:$W$4,0))))</f>
        <v>0</v>
      </c>
      <c r="W41">
        <f>IF($C41-W$1&lt;År1,0,V40*(1-VLOOKUP($A41,[1]Hugst!$R$5:$W$9,MATCH(ROUNDUP((W$1)/10,0)*10,[1]Hugst!$R$4:$W$4,0))))</f>
        <v>0</v>
      </c>
      <c r="X41">
        <f>IF($C41-X$1&lt;År1,0,W40*(1-VLOOKUP($A41,[1]Hugst!$R$5:$W$9,MATCH(ROUNDUP((X$1)/10,0)*10,[1]Hugst!$R$4:$W$4,0))))</f>
        <v>0</v>
      </c>
      <c r="Y41">
        <f>IF($C41-Y$1&lt;År1,0,X40*(1-VLOOKUP($A41,[1]Hugst!$R$5:$W$9,MATCH(ROUNDUP((Y$1)/10,0)*10,[1]Hugst!$R$4:$W$4,0))))</f>
        <v>0</v>
      </c>
      <c r="Z41">
        <f>IF($C41-Z$1&lt;År1,0,Y40*(1-VLOOKUP($A41,[1]Hugst!$R$5:$W$9,MATCH(ROUNDUP((Z$1)/10,0)*10,[1]Hugst!$R$4:$W$4,0))))</f>
        <v>0</v>
      </c>
      <c r="AA41">
        <f>IF($C41-AA$1&lt;År1,0,Z40*(1-VLOOKUP($A41,[1]Hugst!$R$5:$W$9,MATCH(ROUNDUP((AA$1)/10,0)*10,[1]Hugst!$R$4:$W$4,0))))</f>
        <v>0</v>
      </c>
      <c r="AB41">
        <f>IF($C41-AB$1&lt;År1,0,AA40*(1-VLOOKUP($A41,[1]Hugst!$R$5:$W$9,MATCH(ROUNDUP((AB$1)/10,0)*10,[1]Hugst!$R$4:$W$4,0))))</f>
        <v>0</v>
      </c>
      <c r="AC41">
        <f>IF($C41-AC$1&lt;År1,0,AB40*(1-VLOOKUP($A41,[1]Hugst!$R$5:$W$9,MATCH(ROUNDUP((AC$1)/10,0)*10,[1]Hugst!$R$4:$W$4,0))))</f>
        <v>0</v>
      </c>
      <c r="AD41">
        <f>IF($C41-AD$1&lt;År1,0,AC40*(1-VLOOKUP($A41,[1]Hugst!$R$5:$W$9,MATCH(ROUNDUP((AD$1)/10,0)*10,[1]Hugst!$R$4:$W$4,0))))</f>
        <v>0</v>
      </c>
      <c r="AE41">
        <f>IF($C41-AE$1&lt;År1,0,AD40*(1-VLOOKUP($A41,[1]Hugst!$R$5:$W$9,MATCH(ROUNDUP((AE$1)/10,0)*10,[1]Hugst!$R$4:$W$4,0))))</f>
        <v>0</v>
      </c>
      <c r="AF41">
        <f>IF($C41-AF$1&lt;År1,0,AE40*(1-VLOOKUP($A41,[1]Hugst!$R$5:$W$9,MATCH(ROUNDUP((AF$1)/10,0)*10,[1]Hugst!$R$4:$W$4,0))))</f>
        <v>0</v>
      </c>
      <c r="AG41">
        <f>IF($C41-AG$1&lt;År1,0,AF40*(1-VLOOKUP($A41,[1]Hugst!$R$5:$W$9,MATCH(ROUNDUP((AG$1)/10,0)*10,[1]Hugst!$R$4:$W$4,0))))</f>
        <v>0</v>
      </c>
      <c r="AH41">
        <f>IF($C41-AH$1&lt;År1,0,AG40*(1-VLOOKUP($A41,[1]Hugst!$R$5:$W$9,MATCH(ROUNDUP((AH$1)/10,0)*10,[1]Hugst!$R$4:$W$4,0))))</f>
        <v>0</v>
      </c>
      <c r="AI41">
        <f>IF($C41-AI$1&lt;År1,0,AH40*(1-VLOOKUP($A41,[1]Hugst!$R$5:$W$9,MATCH(ROUNDUP((AI$1)/10,0)*10,[1]Hugst!$R$4:$W$4,0))))</f>
        <v>0</v>
      </c>
      <c r="AJ41">
        <f>IF($C41-AJ$1&lt;År1,0,AI40*(1-VLOOKUP($A41,[1]Hugst!$R$5:$W$9,MATCH(ROUNDUP((AJ$1)/10,0)*10,[1]Hugst!$R$4:$W$4,0))))</f>
        <v>0</v>
      </c>
    </row>
    <row r="42" spans="1:36" x14ac:dyDescent="0.25">
      <c r="A42" t="s">
        <v>176</v>
      </c>
      <c r="B42" t="s">
        <v>24</v>
      </c>
      <c r="C42">
        <v>2029</v>
      </c>
      <c r="D42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0</v>
      </c>
      <c r="E42">
        <f t="shared" ca="1" si="0"/>
        <v>0</v>
      </c>
      <c r="F42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>
        <f ca="1">IF($C42-G$1&lt;År1,0,F41*(1-VLOOKUP($A42,[1]Hugst!$R$5:$W$9,MATCH(ROUNDUP((G$1)/10,0)*10,[1]Hugst!$R$4:$W$4,0))))</f>
        <v>0</v>
      </c>
      <c r="H42">
        <f ca="1">IF($C42-H$1&lt;År1,0,G41*(1-VLOOKUP($A42,[1]Hugst!$R$5:$W$9,MATCH(ROUNDUP((H$1)/10,0)*10,[1]Hugst!$R$4:$W$4,0))))</f>
        <v>0</v>
      </c>
      <c r="I42">
        <f ca="1">IF($C42-I$1&lt;År1,0,H41*(1-VLOOKUP($A42,[1]Hugst!$R$5:$W$9,MATCH(ROUNDUP((I$1)/10,0)*10,[1]Hugst!$R$4:$W$4,0))))</f>
        <v>0</v>
      </c>
      <c r="J42">
        <f ca="1">IF($C42-J$1&lt;År1,0,I41*(1-VLOOKUP($A42,[1]Hugst!$R$5:$W$9,MATCH(ROUNDUP((J$1)/10,0)*10,[1]Hugst!$R$4:$W$4,0))))</f>
        <v>0</v>
      </c>
      <c r="K42">
        <f ca="1">IF($C42-K$1&lt;År1,0,J41*(1-VLOOKUP($A42,[1]Hugst!$R$5:$W$9,MATCH(ROUNDUP((K$1)/10,0)*10,[1]Hugst!$R$4:$W$4,0))))</f>
        <v>0</v>
      </c>
      <c r="L42">
        <f ca="1">IF($C42-L$1&lt;År1,0,K41*(1-VLOOKUP($A42,[1]Hugst!$R$5:$W$9,MATCH(ROUNDUP((L$1)/10,0)*10,[1]Hugst!$R$4:$W$4,0))))</f>
        <v>0</v>
      </c>
      <c r="M42">
        <f ca="1">IF($C42-M$1&lt;År1,0,L41*(1-VLOOKUP($A42,[1]Hugst!$R$5:$W$9,MATCH(ROUNDUP((M$1)/10,0)*10,[1]Hugst!$R$4:$W$4,0))))</f>
        <v>0</v>
      </c>
      <c r="N42">
        <f ca="1">IF($C42-N$1&lt;År1,0,M41*(1-VLOOKUP($A42,[1]Hugst!$R$5:$W$9,MATCH(ROUNDUP((N$1)/10,0)*10,[1]Hugst!$R$4:$W$4,0))))</f>
        <v>0</v>
      </c>
      <c r="O42">
        <f ca="1">IF($C42-O$1&lt;År1,0,N41*(1-VLOOKUP($A42,[1]Hugst!$R$5:$W$9,MATCH(ROUNDUP((O$1)/10,0)*10,[1]Hugst!$R$4:$W$4,0))))</f>
        <v>0</v>
      </c>
      <c r="P42">
        <f>IF($C42-P$1&lt;År1,0,O41*(1-VLOOKUP($A42,[1]Hugst!$R$5:$W$9,MATCH(ROUNDUP((P$1)/10,0)*10,[1]Hugst!$R$4:$W$4,0))))</f>
        <v>0</v>
      </c>
      <c r="Q42">
        <f>IF($C42-Q$1&lt;År1,0,P41*(1-VLOOKUP($A42,[1]Hugst!$R$5:$W$9,MATCH(ROUNDUP((Q$1)/10,0)*10,[1]Hugst!$R$4:$W$4,0))))</f>
        <v>0</v>
      </c>
      <c r="R42">
        <f>IF($C42-R$1&lt;År1,0,Q41*(1-VLOOKUP($A42,[1]Hugst!$R$5:$W$9,MATCH(ROUNDUP((R$1)/10,0)*10,[1]Hugst!$R$4:$W$4,0))))</f>
        <v>0</v>
      </c>
      <c r="S42">
        <f>IF($C42-S$1&lt;År1,0,R41*(1-VLOOKUP($A42,[1]Hugst!$R$5:$W$9,MATCH(ROUNDUP((S$1)/10,0)*10,[1]Hugst!$R$4:$W$4,0))))</f>
        <v>0</v>
      </c>
      <c r="T42">
        <f>IF($C42-T$1&lt;År1,0,S41*(1-VLOOKUP($A42,[1]Hugst!$R$5:$W$9,MATCH(ROUNDUP((T$1)/10,0)*10,[1]Hugst!$R$4:$W$4,0))))</f>
        <v>0</v>
      </c>
      <c r="U42">
        <f>IF($C42-U$1&lt;År1,0,T41*(1-VLOOKUP($A42,[1]Hugst!$R$5:$W$9,MATCH(ROUNDUP((U$1)/10,0)*10,[1]Hugst!$R$4:$W$4,0))))</f>
        <v>0</v>
      </c>
      <c r="V42">
        <f>IF($C42-V$1&lt;År1,0,U41*(1-VLOOKUP($A42,[1]Hugst!$R$5:$W$9,MATCH(ROUNDUP((V$1)/10,0)*10,[1]Hugst!$R$4:$W$4,0))))</f>
        <v>0</v>
      </c>
      <c r="W42">
        <f>IF($C42-W$1&lt;År1,0,V41*(1-VLOOKUP($A42,[1]Hugst!$R$5:$W$9,MATCH(ROUNDUP((W$1)/10,0)*10,[1]Hugst!$R$4:$W$4,0))))</f>
        <v>0</v>
      </c>
      <c r="X42">
        <f>IF($C42-X$1&lt;År1,0,W41*(1-VLOOKUP($A42,[1]Hugst!$R$5:$W$9,MATCH(ROUNDUP((X$1)/10,0)*10,[1]Hugst!$R$4:$W$4,0))))</f>
        <v>0</v>
      </c>
      <c r="Y42">
        <f>IF($C42-Y$1&lt;År1,0,X41*(1-VLOOKUP($A42,[1]Hugst!$R$5:$W$9,MATCH(ROUNDUP((Y$1)/10,0)*10,[1]Hugst!$R$4:$W$4,0))))</f>
        <v>0</v>
      </c>
      <c r="Z42">
        <f>IF($C42-Z$1&lt;År1,0,Y41*(1-VLOOKUP($A42,[1]Hugst!$R$5:$W$9,MATCH(ROUNDUP((Z$1)/10,0)*10,[1]Hugst!$R$4:$W$4,0))))</f>
        <v>0</v>
      </c>
      <c r="AA42">
        <f>IF($C42-AA$1&lt;År1,0,Z41*(1-VLOOKUP($A42,[1]Hugst!$R$5:$W$9,MATCH(ROUNDUP((AA$1)/10,0)*10,[1]Hugst!$R$4:$W$4,0))))</f>
        <v>0</v>
      </c>
      <c r="AB42">
        <f>IF($C42-AB$1&lt;År1,0,AA41*(1-VLOOKUP($A42,[1]Hugst!$R$5:$W$9,MATCH(ROUNDUP((AB$1)/10,0)*10,[1]Hugst!$R$4:$W$4,0))))</f>
        <v>0</v>
      </c>
      <c r="AC42">
        <f>IF($C42-AC$1&lt;År1,0,AB41*(1-VLOOKUP($A42,[1]Hugst!$R$5:$W$9,MATCH(ROUNDUP((AC$1)/10,0)*10,[1]Hugst!$R$4:$W$4,0))))</f>
        <v>0</v>
      </c>
      <c r="AD42">
        <f>IF($C42-AD$1&lt;År1,0,AC41*(1-VLOOKUP($A42,[1]Hugst!$R$5:$W$9,MATCH(ROUNDUP((AD$1)/10,0)*10,[1]Hugst!$R$4:$W$4,0))))</f>
        <v>0</v>
      </c>
      <c r="AE42">
        <f>IF($C42-AE$1&lt;År1,0,AD41*(1-VLOOKUP($A42,[1]Hugst!$R$5:$W$9,MATCH(ROUNDUP((AE$1)/10,0)*10,[1]Hugst!$R$4:$W$4,0))))</f>
        <v>0</v>
      </c>
      <c r="AF42">
        <f>IF($C42-AF$1&lt;År1,0,AE41*(1-VLOOKUP($A42,[1]Hugst!$R$5:$W$9,MATCH(ROUNDUP((AF$1)/10,0)*10,[1]Hugst!$R$4:$W$4,0))))</f>
        <v>0</v>
      </c>
      <c r="AG42">
        <f>IF($C42-AG$1&lt;År1,0,AF41*(1-VLOOKUP($A42,[1]Hugst!$R$5:$W$9,MATCH(ROUNDUP((AG$1)/10,0)*10,[1]Hugst!$R$4:$W$4,0))))</f>
        <v>0</v>
      </c>
      <c r="AH42">
        <f>IF($C42-AH$1&lt;År1,0,AG41*(1-VLOOKUP($A42,[1]Hugst!$R$5:$W$9,MATCH(ROUNDUP((AH$1)/10,0)*10,[1]Hugst!$R$4:$W$4,0))))</f>
        <v>0</v>
      </c>
      <c r="AI42">
        <f>IF($C42-AI$1&lt;År1,0,AH41*(1-VLOOKUP($A42,[1]Hugst!$R$5:$W$9,MATCH(ROUNDUP((AI$1)/10,0)*10,[1]Hugst!$R$4:$W$4,0))))</f>
        <v>0</v>
      </c>
      <c r="AJ42">
        <f>IF($C42-AJ$1&lt;År1,0,AI41*(1-VLOOKUP($A42,[1]Hugst!$R$5:$W$9,MATCH(ROUNDUP((AJ$1)/10,0)*10,[1]Hugst!$R$4:$W$4,0))))</f>
        <v>0</v>
      </c>
    </row>
    <row r="43" spans="1:36" x14ac:dyDescent="0.25">
      <c r="A43" t="s">
        <v>176</v>
      </c>
      <c r="B43" t="s">
        <v>24</v>
      </c>
      <c r="C43">
        <v>2030</v>
      </c>
      <c r="D43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0</v>
      </c>
      <c r="E43">
        <f t="shared" ca="1" si="0"/>
        <v>0</v>
      </c>
      <c r="F43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>
        <f ca="1">IF($C43-G$1&lt;År1,0,F42*(1-VLOOKUP($A43,[1]Hugst!$R$5:$W$9,MATCH(ROUNDUP((G$1)/10,0)*10,[1]Hugst!$R$4:$W$4,0))))</f>
        <v>0</v>
      </c>
      <c r="H43">
        <f ca="1">IF($C43-H$1&lt;År1,0,G42*(1-VLOOKUP($A43,[1]Hugst!$R$5:$W$9,MATCH(ROUNDUP((H$1)/10,0)*10,[1]Hugst!$R$4:$W$4,0))))</f>
        <v>0</v>
      </c>
      <c r="I43">
        <f ca="1">IF($C43-I$1&lt;År1,0,H42*(1-VLOOKUP($A43,[1]Hugst!$R$5:$W$9,MATCH(ROUNDUP((I$1)/10,0)*10,[1]Hugst!$R$4:$W$4,0))))</f>
        <v>0</v>
      </c>
      <c r="J43">
        <f ca="1">IF($C43-J$1&lt;År1,0,I42*(1-VLOOKUP($A43,[1]Hugst!$R$5:$W$9,MATCH(ROUNDUP((J$1)/10,0)*10,[1]Hugst!$R$4:$W$4,0))))</f>
        <v>0</v>
      </c>
      <c r="K43">
        <f ca="1">IF($C43-K$1&lt;År1,0,J42*(1-VLOOKUP($A43,[1]Hugst!$R$5:$W$9,MATCH(ROUNDUP((K$1)/10,0)*10,[1]Hugst!$R$4:$W$4,0))))</f>
        <v>0</v>
      </c>
      <c r="L43">
        <f ca="1">IF($C43-L$1&lt;År1,0,K42*(1-VLOOKUP($A43,[1]Hugst!$R$5:$W$9,MATCH(ROUNDUP((L$1)/10,0)*10,[1]Hugst!$R$4:$W$4,0))))</f>
        <v>0</v>
      </c>
      <c r="M43">
        <f ca="1">IF($C43-M$1&lt;År1,0,L42*(1-VLOOKUP($A43,[1]Hugst!$R$5:$W$9,MATCH(ROUNDUP((M$1)/10,0)*10,[1]Hugst!$R$4:$W$4,0))))</f>
        <v>0</v>
      </c>
      <c r="N43">
        <f ca="1">IF($C43-N$1&lt;År1,0,M42*(1-VLOOKUP($A43,[1]Hugst!$R$5:$W$9,MATCH(ROUNDUP((N$1)/10,0)*10,[1]Hugst!$R$4:$W$4,0))))</f>
        <v>0</v>
      </c>
      <c r="O43">
        <f ca="1">IF($C43-O$1&lt;År1,0,N42*(1-VLOOKUP($A43,[1]Hugst!$R$5:$W$9,MATCH(ROUNDUP((O$1)/10,0)*10,[1]Hugst!$R$4:$W$4,0))))</f>
        <v>0</v>
      </c>
      <c r="P43">
        <f ca="1">IF($C43-P$1&lt;År1,0,O42*(1-VLOOKUP($A43,[1]Hugst!$R$5:$W$9,MATCH(ROUNDUP((P$1)/10,0)*10,[1]Hugst!$R$4:$W$4,0))))</f>
        <v>0</v>
      </c>
      <c r="Q43">
        <f>IF($C43-Q$1&lt;År1,0,P42*(1-VLOOKUP($A43,[1]Hugst!$R$5:$W$9,MATCH(ROUNDUP((Q$1)/10,0)*10,[1]Hugst!$R$4:$W$4,0))))</f>
        <v>0</v>
      </c>
      <c r="R43">
        <f>IF($C43-R$1&lt;År1,0,Q42*(1-VLOOKUP($A43,[1]Hugst!$R$5:$W$9,MATCH(ROUNDUP((R$1)/10,0)*10,[1]Hugst!$R$4:$W$4,0))))</f>
        <v>0</v>
      </c>
      <c r="S43">
        <f>IF($C43-S$1&lt;År1,0,R42*(1-VLOOKUP($A43,[1]Hugst!$R$5:$W$9,MATCH(ROUNDUP((S$1)/10,0)*10,[1]Hugst!$R$4:$W$4,0))))</f>
        <v>0</v>
      </c>
      <c r="T43">
        <f>IF($C43-T$1&lt;År1,0,S42*(1-VLOOKUP($A43,[1]Hugst!$R$5:$W$9,MATCH(ROUNDUP((T$1)/10,0)*10,[1]Hugst!$R$4:$W$4,0))))</f>
        <v>0</v>
      </c>
      <c r="U43">
        <f>IF($C43-U$1&lt;År1,0,T42*(1-VLOOKUP($A43,[1]Hugst!$R$5:$W$9,MATCH(ROUNDUP((U$1)/10,0)*10,[1]Hugst!$R$4:$W$4,0))))</f>
        <v>0</v>
      </c>
      <c r="V43">
        <f>IF($C43-V$1&lt;År1,0,U42*(1-VLOOKUP($A43,[1]Hugst!$R$5:$W$9,MATCH(ROUNDUP((V$1)/10,0)*10,[1]Hugst!$R$4:$W$4,0))))</f>
        <v>0</v>
      </c>
      <c r="W43">
        <f>IF($C43-W$1&lt;År1,0,V42*(1-VLOOKUP($A43,[1]Hugst!$R$5:$W$9,MATCH(ROUNDUP((W$1)/10,0)*10,[1]Hugst!$R$4:$W$4,0))))</f>
        <v>0</v>
      </c>
      <c r="X43">
        <f>IF($C43-X$1&lt;År1,0,W42*(1-VLOOKUP($A43,[1]Hugst!$R$5:$W$9,MATCH(ROUNDUP((X$1)/10,0)*10,[1]Hugst!$R$4:$W$4,0))))</f>
        <v>0</v>
      </c>
      <c r="Y43">
        <f>IF($C43-Y$1&lt;År1,0,X42*(1-VLOOKUP($A43,[1]Hugst!$R$5:$W$9,MATCH(ROUNDUP((Y$1)/10,0)*10,[1]Hugst!$R$4:$W$4,0))))</f>
        <v>0</v>
      </c>
      <c r="Z43">
        <f>IF($C43-Z$1&lt;År1,0,Y42*(1-VLOOKUP($A43,[1]Hugst!$R$5:$W$9,MATCH(ROUNDUP((Z$1)/10,0)*10,[1]Hugst!$R$4:$W$4,0))))</f>
        <v>0</v>
      </c>
      <c r="AA43">
        <f>IF($C43-AA$1&lt;År1,0,Z42*(1-VLOOKUP($A43,[1]Hugst!$R$5:$W$9,MATCH(ROUNDUP((AA$1)/10,0)*10,[1]Hugst!$R$4:$W$4,0))))</f>
        <v>0</v>
      </c>
      <c r="AB43">
        <f>IF($C43-AB$1&lt;År1,0,AA42*(1-VLOOKUP($A43,[1]Hugst!$R$5:$W$9,MATCH(ROUNDUP((AB$1)/10,0)*10,[1]Hugst!$R$4:$W$4,0))))</f>
        <v>0</v>
      </c>
      <c r="AC43">
        <f>IF($C43-AC$1&lt;År1,0,AB42*(1-VLOOKUP($A43,[1]Hugst!$R$5:$W$9,MATCH(ROUNDUP((AC$1)/10,0)*10,[1]Hugst!$R$4:$W$4,0))))</f>
        <v>0</v>
      </c>
      <c r="AD43">
        <f>IF($C43-AD$1&lt;År1,0,AC42*(1-VLOOKUP($A43,[1]Hugst!$R$5:$W$9,MATCH(ROUNDUP((AD$1)/10,0)*10,[1]Hugst!$R$4:$W$4,0))))</f>
        <v>0</v>
      </c>
      <c r="AE43">
        <f>IF($C43-AE$1&lt;År1,0,AD42*(1-VLOOKUP($A43,[1]Hugst!$R$5:$W$9,MATCH(ROUNDUP((AE$1)/10,0)*10,[1]Hugst!$R$4:$W$4,0))))</f>
        <v>0</v>
      </c>
      <c r="AF43">
        <f>IF($C43-AF$1&lt;År1,0,AE42*(1-VLOOKUP($A43,[1]Hugst!$R$5:$W$9,MATCH(ROUNDUP((AF$1)/10,0)*10,[1]Hugst!$R$4:$W$4,0))))</f>
        <v>0</v>
      </c>
      <c r="AG43">
        <f>IF($C43-AG$1&lt;År1,0,AF42*(1-VLOOKUP($A43,[1]Hugst!$R$5:$W$9,MATCH(ROUNDUP((AG$1)/10,0)*10,[1]Hugst!$R$4:$W$4,0))))</f>
        <v>0</v>
      </c>
      <c r="AH43">
        <f>IF($C43-AH$1&lt;År1,0,AG42*(1-VLOOKUP($A43,[1]Hugst!$R$5:$W$9,MATCH(ROUNDUP((AH$1)/10,0)*10,[1]Hugst!$R$4:$W$4,0))))</f>
        <v>0</v>
      </c>
      <c r="AI43">
        <f>IF($C43-AI$1&lt;År1,0,AH42*(1-VLOOKUP($A43,[1]Hugst!$R$5:$W$9,MATCH(ROUNDUP((AI$1)/10,0)*10,[1]Hugst!$R$4:$W$4,0))))</f>
        <v>0</v>
      </c>
      <c r="AJ43">
        <f>IF($C43-AJ$1&lt;År1,0,AI42*(1-VLOOKUP($A43,[1]Hugst!$R$5:$W$9,MATCH(ROUNDUP((AJ$1)/10,0)*10,[1]Hugst!$R$4:$W$4,0))))</f>
        <v>0</v>
      </c>
    </row>
    <row r="44" spans="1:36" x14ac:dyDescent="0.25">
      <c r="A44" t="s">
        <v>176</v>
      </c>
      <c r="B44" t="s">
        <v>24</v>
      </c>
      <c r="C44">
        <v>2031</v>
      </c>
      <c r="D44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0</v>
      </c>
      <c r="E44">
        <f t="shared" ca="1" si="0"/>
        <v>0</v>
      </c>
      <c r="F44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>
        <f ca="1">IF($C44-G$1&lt;År1,0,F43*(1-VLOOKUP($A44,[1]Hugst!$R$5:$W$9,MATCH(ROUNDUP((G$1)/10,0)*10,[1]Hugst!$R$4:$W$4,0))))</f>
        <v>0</v>
      </c>
      <c r="H44">
        <f ca="1">IF($C44-H$1&lt;År1,0,G43*(1-VLOOKUP($A44,[1]Hugst!$R$5:$W$9,MATCH(ROUNDUP((H$1)/10,0)*10,[1]Hugst!$R$4:$W$4,0))))</f>
        <v>0</v>
      </c>
      <c r="I44">
        <f ca="1">IF($C44-I$1&lt;År1,0,H43*(1-VLOOKUP($A44,[1]Hugst!$R$5:$W$9,MATCH(ROUNDUP((I$1)/10,0)*10,[1]Hugst!$R$4:$W$4,0))))</f>
        <v>0</v>
      </c>
      <c r="J44">
        <f ca="1">IF($C44-J$1&lt;År1,0,I43*(1-VLOOKUP($A44,[1]Hugst!$R$5:$W$9,MATCH(ROUNDUP((J$1)/10,0)*10,[1]Hugst!$R$4:$W$4,0))))</f>
        <v>0</v>
      </c>
      <c r="K44">
        <f ca="1">IF($C44-K$1&lt;År1,0,J43*(1-VLOOKUP($A44,[1]Hugst!$R$5:$W$9,MATCH(ROUNDUP((K$1)/10,0)*10,[1]Hugst!$R$4:$W$4,0))))</f>
        <v>0</v>
      </c>
      <c r="L44">
        <f ca="1">IF($C44-L$1&lt;År1,0,K43*(1-VLOOKUP($A44,[1]Hugst!$R$5:$W$9,MATCH(ROUNDUP((L$1)/10,0)*10,[1]Hugst!$R$4:$W$4,0))))</f>
        <v>0</v>
      </c>
      <c r="M44">
        <f ca="1">IF($C44-M$1&lt;År1,0,L43*(1-VLOOKUP($A44,[1]Hugst!$R$5:$W$9,MATCH(ROUNDUP((M$1)/10,0)*10,[1]Hugst!$R$4:$W$4,0))))</f>
        <v>0</v>
      </c>
      <c r="N44">
        <f ca="1">IF($C44-N$1&lt;År1,0,M43*(1-VLOOKUP($A44,[1]Hugst!$R$5:$W$9,MATCH(ROUNDUP((N$1)/10,0)*10,[1]Hugst!$R$4:$W$4,0))))</f>
        <v>0</v>
      </c>
      <c r="O44">
        <f ca="1">IF($C44-O$1&lt;År1,0,N43*(1-VLOOKUP($A44,[1]Hugst!$R$5:$W$9,MATCH(ROUNDUP((O$1)/10,0)*10,[1]Hugst!$R$4:$W$4,0))))</f>
        <v>0</v>
      </c>
      <c r="P44">
        <f ca="1">IF($C44-P$1&lt;År1,0,O43*(1-VLOOKUP($A44,[1]Hugst!$R$5:$W$9,MATCH(ROUNDUP((P$1)/10,0)*10,[1]Hugst!$R$4:$W$4,0))))</f>
        <v>0</v>
      </c>
      <c r="Q44">
        <f ca="1">IF($C44-Q$1&lt;År1,0,P43*(1-VLOOKUP($A44,[1]Hugst!$R$5:$W$9,MATCH(ROUNDUP((Q$1)/10,0)*10,[1]Hugst!$R$4:$W$4,0))))</f>
        <v>0</v>
      </c>
      <c r="R44">
        <f>IF($C44-R$1&lt;År1,0,Q43*(1-VLOOKUP($A44,[1]Hugst!$R$5:$W$9,MATCH(ROUNDUP((R$1)/10,0)*10,[1]Hugst!$R$4:$W$4,0))))</f>
        <v>0</v>
      </c>
      <c r="S44">
        <f>IF($C44-S$1&lt;År1,0,R43*(1-VLOOKUP($A44,[1]Hugst!$R$5:$W$9,MATCH(ROUNDUP((S$1)/10,0)*10,[1]Hugst!$R$4:$W$4,0))))</f>
        <v>0</v>
      </c>
      <c r="T44">
        <f>IF($C44-T$1&lt;År1,0,S43*(1-VLOOKUP($A44,[1]Hugst!$R$5:$W$9,MATCH(ROUNDUP((T$1)/10,0)*10,[1]Hugst!$R$4:$W$4,0))))</f>
        <v>0</v>
      </c>
      <c r="U44">
        <f>IF($C44-U$1&lt;År1,0,T43*(1-VLOOKUP($A44,[1]Hugst!$R$5:$W$9,MATCH(ROUNDUP((U$1)/10,0)*10,[1]Hugst!$R$4:$W$4,0))))</f>
        <v>0</v>
      </c>
      <c r="V44">
        <f>IF($C44-V$1&lt;År1,0,U43*(1-VLOOKUP($A44,[1]Hugst!$R$5:$W$9,MATCH(ROUNDUP((V$1)/10,0)*10,[1]Hugst!$R$4:$W$4,0))))</f>
        <v>0</v>
      </c>
      <c r="W44">
        <f>IF($C44-W$1&lt;År1,0,V43*(1-VLOOKUP($A44,[1]Hugst!$R$5:$W$9,MATCH(ROUNDUP((W$1)/10,0)*10,[1]Hugst!$R$4:$W$4,0))))</f>
        <v>0</v>
      </c>
      <c r="X44">
        <f>IF($C44-X$1&lt;År1,0,W43*(1-VLOOKUP($A44,[1]Hugst!$R$5:$W$9,MATCH(ROUNDUP((X$1)/10,0)*10,[1]Hugst!$R$4:$W$4,0))))</f>
        <v>0</v>
      </c>
      <c r="Y44">
        <f>IF($C44-Y$1&lt;År1,0,X43*(1-VLOOKUP($A44,[1]Hugst!$R$5:$W$9,MATCH(ROUNDUP((Y$1)/10,0)*10,[1]Hugst!$R$4:$W$4,0))))</f>
        <v>0</v>
      </c>
      <c r="Z44">
        <f>IF($C44-Z$1&lt;År1,0,Y43*(1-VLOOKUP($A44,[1]Hugst!$R$5:$W$9,MATCH(ROUNDUP((Z$1)/10,0)*10,[1]Hugst!$R$4:$W$4,0))))</f>
        <v>0</v>
      </c>
      <c r="AA44">
        <f>IF($C44-AA$1&lt;År1,0,Z43*(1-VLOOKUP($A44,[1]Hugst!$R$5:$W$9,MATCH(ROUNDUP((AA$1)/10,0)*10,[1]Hugst!$R$4:$W$4,0))))</f>
        <v>0</v>
      </c>
      <c r="AB44">
        <f>IF($C44-AB$1&lt;År1,0,AA43*(1-VLOOKUP($A44,[1]Hugst!$R$5:$W$9,MATCH(ROUNDUP((AB$1)/10,0)*10,[1]Hugst!$R$4:$W$4,0))))</f>
        <v>0</v>
      </c>
      <c r="AC44">
        <f>IF($C44-AC$1&lt;År1,0,AB43*(1-VLOOKUP($A44,[1]Hugst!$R$5:$W$9,MATCH(ROUNDUP((AC$1)/10,0)*10,[1]Hugst!$R$4:$W$4,0))))</f>
        <v>0</v>
      </c>
      <c r="AD44">
        <f>IF($C44-AD$1&lt;År1,0,AC43*(1-VLOOKUP($A44,[1]Hugst!$R$5:$W$9,MATCH(ROUNDUP((AD$1)/10,0)*10,[1]Hugst!$R$4:$W$4,0))))</f>
        <v>0</v>
      </c>
      <c r="AE44">
        <f>IF($C44-AE$1&lt;År1,0,AD43*(1-VLOOKUP($A44,[1]Hugst!$R$5:$W$9,MATCH(ROUNDUP((AE$1)/10,0)*10,[1]Hugst!$R$4:$W$4,0))))</f>
        <v>0</v>
      </c>
      <c r="AF44">
        <f>IF($C44-AF$1&lt;År1,0,AE43*(1-VLOOKUP($A44,[1]Hugst!$R$5:$W$9,MATCH(ROUNDUP((AF$1)/10,0)*10,[1]Hugst!$R$4:$W$4,0))))</f>
        <v>0</v>
      </c>
      <c r="AG44">
        <f>IF($C44-AG$1&lt;År1,0,AF43*(1-VLOOKUP($A44,[1]Hugst!$R$5:$W$9,MATCH(ROUNDUP((AG$1)/10,0)*10,[1]Hugst!$R$4:$W$4,0))))</f>
        <v>0</v>
      </c>
      <c r="AH44">
        <f>IF($C44-AH$1&lt;År1,0,AG43*(1-VLOOKUP($A44,[1]Hugst!$R$5:$W$9,MATCH(ROUNDUP((AH$1)/10,0)*10,[1]Hugst!$R$4:$W$4,0))))</f>
        <v>0</v>
      </c>
      <c r="AI44">
        <f>IF($C44-AI$1&lt;År1,0,AH43*(1-VLOOKUP($A44,[1]Hugst!$R$5:$W$9,MATCH(ROUNDUP((AI$1)/10,0)*10,[1]Hugst!$R$4:$W$4,0))))</f>
        <v>0</v>
      </c>
      <c r="AJ44">
        <f>IF($C44-AJ$1&lt;År1,0,AI43*(1-VLOOKUP($A44,[1]Hugst!$R$5:$W$9,MATCH(ROUNDUP((AJ$1)/10,0)*10,[1]Hugst!$R$4:$W$4,0))))</f>
        <v>0</v>
      </c>
    </row>
    <row r="45" spans="1:36" x14ac:dyDescent="0.25">
      <c r="A45" t="s">
        <v>176</v>
      </c>
      <c r="B45" t="s">
        <v>24</v>
      </c>
      <c r="C45">
        <v>2032</v>
      </c>
      <c r="D45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0</v>
      </c>
      <c r="E45">
        <f t="shared" ca="1" si="0"/>
        <v>0</v>
      </c>
      <c r="F45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>
        <f ca="1">IF($C45-G$1&lt;År1,0,F44*(1-VLOOKUP($A45,[1]Hugst!$R$5:$W$9,MATCH(ROUNDUP((G$1)/10,0)*10,[1]Hugst!$R$4:$W$4,0))))</f>
        <v>0</v>
      </c>
      <c r="H45">
        <f ca="1">IF($C45-H$1&lt;År1,0,G44*(1-VLOOKUP($A45,[1]Hugst!$R$5:$W$9,MATCH(ROUNDUP((H$1)/10,0)*10,[1]Hugst!$R$4:$W$4,0))))</f>
        <v>0</v>
      </c>
      <c r="I45">
        <f ca="1">IF($C45-I$1&lt;År1,0,H44*(1-VLOOKUP($A45,[1]Hugst!$R$5:$W$9,MATCH(ROUNDUP((I$1)/10,0)*10,[1]Hugst!$R$4:$W$4,0))))</f>
        <v>0</v>
      </c>
      <c r="J45">
        <f ca="1">IF($C45-J$1&lt;År1,0,I44*(1-VLOOKUP($A45,[1]Hugst!$R$5:$W$9,MATCH(ROUNDUP((J$1)/10,0)*10,[1]Hugst!$R$4:$W$4,0))))</f>
        <v>0</v>
      </c>
      <c r="K45">
        <f ca="1">IF($C45-K$1&lt;År1,0,J44*(1-VLOOKUP($A45,[1]Hugst!$R$5:$W$9,MATCH(ROUNDUP((K$1)/10,0)*10,[1]Hugst!$R$4:$W$4,0))))</f>
        <v>0</v>
      </c>
      <c r="L45">
        <f ca="1">IF($C45-L$1&lt;År1,0,K44*(1-VLOOKUP($A45,[1]Hugst!$R$5:$W$9,MATCH(ROUNDUP((L$1)/10,0)*10,[1]Hugst!$R$4:$W$4,0))))</f>
        <v>0</v>
      </c>
      <c r="M45">
        <f ca="1">IF($C45-M$1&lt;År1,0,L44*(1-VLOOKUP($A45,[1]Hugst!$R$5:$W$9,MATCH(ROUNDUP((M$1)/10,0)*10,[1]Hugst!$R$4:$W$4,0))))</f>
        <v>0</v>
      </c>
      <c r="N45">
        <f ca="1">IF($C45-N$1&lt;År1,0,M44*(1-VLOOKUP($A45,[1]Hugst!$R$5:$W$9,MATCH(ROUNDUP((N$1)/10,0)*10,[1]Hugst!$R$4:$W$4,0))))</f>
        <v>0</v>
      </c>
      <c r="O45">
        <f ca="1">IF($C45-O$1&lt;År1,0,N44*(1-VLOOKUP($A45,[1]Hugst!$R$5:$W$9,MATCH(ROUNDUP((O$1)/10,0)*10,[1]Hugst!$R$4:$W$4,0))))</f>
        <v>0</v>
      </c>
      <c r="P45">
        <f ca="1">IF($C45-P$1&lt;År1,0,O44*(1-VLOOKUP($A45,[1]Hugst!$R$5:$W$9,MATCH(ROUNDUP((P$1)/10,0)*10,[1]Hugst!$R$4:$W$4,0))))</f>
        <v>0</v>
      </c>
      <c r="Q45">
        <f ca="1">IF($C45-Q$1&lt;År1,0,P44*(1-VLOOKUP($A45,[1]Hugst!$R$5:$W$9,MATCH(ROUNDUP((Q$1)/10,0)*10,[1]Hugst!$R$4:$W$4,0))))</f>
        <v>0</v>
      </c>
      <c r="R45">
        <f ca="1">IF($C45-R$1&lt;År1,0,Q44*(1-VLOOKUP($A45,[1]Hugst!$R$5:$W$9,MATCH(ROUNDUP((R$1)/10,0)*10,[1]Hugst!$R$4:$W$4,0))))</f>
        <v>0</v>
      </c>
      <c r="S45">
        <f>IF($C45-S$1&lt;År1,0,R44*(1-VLOOKUP($A45,[1]Hugst!$R$5:$W$9,MATCH(ROUNDUP((S$1)/10,0)*10,[1]Hugst!$R$4:$W$4,0))))</f>
        <v>0</v>
      </c>
      <c r="T45">
        <f>IF($C45-T$1&lt;År1,0,S44*(1-VLOOKUP($A45,[1]Hugst!$R$5:$W$9,MATCH(ROUNDUP((T$1)/10,0)*10,[1]Hugst!$R$4:$W$4,0))))</f>
        <v>0</v>
      </c>
      <c r="U45">
        <f>IF($C45-U$1&lt;År1,0,T44*(1-VLOOKUP($A45,[1]Hugst!$R$5:$W$9,MATCH(ROUNDUP((U$1)/10,0)*10,[1]Hugst!$R$4:$W$4,0))))</f>
        <v>0</v>
      </c>
      <c r="V45">
        <f>IF($C45-V$1&lt;År1,0,U44*(1-VLOOKUP($A45,[1]Hugst!$R$5:$W$9,MATCH(ROUNDUP((V$1)/10,0)*10,[1]Hugst!$R$4:$W$4,0))))</f>
        <v>0</v>
      </c>
      <c r="W45">
        <f>IF($C45-W$1&lt;År1,0,V44*(1-VLOOKUP($A45,[1]Hugst!$R$5:$W$9,MATCH(ROUNDUP((W$1)/10,0)*10,[1]Hugst!$R$4:$W$4,0))))</f>
        <v>0</v>
      </c>
      <c r="X45">
        <f>IF($C45-X$1&lt;År1,0,W44*(1-VLOOKUP($A45,[1]Hugst!$R$5:$W$9,MATCH(ROUNDUP((X$1)/10,0)*10,[1]Hugst!$R$4:$W$4,0))))</f>
        <v>0</v>
      </c>
      <c r="Y45">
        <f>IF($C45-Y$1&lt;År1,0,X44*(1-VLOOKUP($A45,[1]Hugst!$R$5:$W$9,MATCH(ROUNDUP((Y$1)/10,0)*10,[1]Hugst!$R$4:$W$4,0))))</f>
        <v>0</v>
      </c>
      <c r="Z45">
        <f>IF($C45-Z$1&lt;År1,0,Y44*(1-VLOOKUP($A45,[1]Hugst!$R$5:$W$9,MATCH(ROUNDUP((Z$1)/10,0)*10,[1]Hugst!$R$4:$W$4,0))))</f>
        <v>0</v>
      </c>
      <c r="AA45">
        <f>IF($C45-AA$1&lt;År1,0,Z44*(1-VLOOKUP($A45,[1]Hugst!$R$5:$W$9,MATCH(ROUNDUP((AA$1)/10,0)*10,[1]Hugst!$R$4:$W$4,0))))</f>
        <v>0</v>
      </c>
      <c r="AB45">
        <f>IF($C45-AB$1&lt;År1,0,AA44*(1-VLOOKUP($A45,[1]Hugst!$R$5:$W$9,MATCH(ROUNDUP((AB$1)/10,0)*10,[1]Hugst!$R$4:$W$4,0))))</f>
        <v>0</v>
      </c>
      <c r="AC45">
        <f>IF($C45-AC$1&lt;År1,0,AB44*(1-VLOOKUP($A45,[1]Hugst!$R$5:$W$9,MATCH(ROUNDUP((AC$1)/10,0)*10,[1]Hugst!$R$4:$W$4,0))))</f>
        <v>0</v>
      </c>
      <c r="AD45">
        <f>IF($C45-AD$1&lt;År1,0,AC44*(1-VLOOKUP($A45,[1]Hugst!$R$5:$W$9,MATCH(ROUNDUP((AD$1)/10,0)*10,[1]Hugst!$R$4:$W$4,0))))</f>
        <v>0</v>
      </c>
      <c r="AE45">
        <f>IF($C45-AE$1&lt;År1,0,AD44*(1-VLOOKUP($A45,[1]Hugst!$R$5:$W$9,MATCH(ROUNDUP((AE$1)/10,0)*10,[1]Hugst!$R$4:$W$4,0))))</f>
        <v>0</v>
      </c>
      <c r="AF45">
        <f>IF($C45-AF$1&lt;År1,0,AE44*(1-VLOOKUP($A45,[1]Hugst!$R$5:$W$9,MATCH(ROUNDUP((AF$1)/10,0)*10,[1]Hugst!$R$4:$W$4,0))))</f>
        <v>0</v>
      </c>
      <c r="AG45">
        <f>IF($C45-AG$1&lt;År1,0,AF44*(1-VLOOKUP($A45,[1]Hugst!$R$5:$W$9,MATCH(ROUNDUP((AG$1)/10,0)*10,[1]Hugst!$R$4:$W$4,0))))</f>
        <v>0</v>
      </c>
      <c r="AH45">
        <f>IF($C45-AH$1&lt;År1,0,AG44*(1-VLOOKUP($A45,[1]Hugst!$R$5:$W$9,MATCH(ROUNDUP((AH$1)/10,0)*10,[1]Hugst!$R$4:$W$4,0))))</f>
        <v>0</v>
      </c>
      <c r="AI45">
        <f>IF($C45-AI$1&lt;År1,0,AH44*(1-VLOOKUP($A45,[1]Hugst!$R$5:$W$9,MATCH(ROUNDUP((AI$1)/10,0)*10,[1]Hugst!$R$4:$W$4,0))))</f>
        <v>0</v>
      </c>
      <c r="AJ45">
        <f>IF($C45-AJ$1&lt;År1,0,AI44*(1-VLOOKUP($A45,[1]Hugst!$R$5:$W$9,MATCH(ROUNDUP((AJ$1)/10,0)*10,[1]Hugst!$R$4:$W$4,0))))</f>
        <v>0</v>
      </c>
    </row>
    <row r="46" spans="1:36" x14ac:dyDescent="0.25">
      <c r="A46" t="s">
        <v>176</v>
      </c>
      <c r="B46" t="s">
        <v>24</v>
      </c>
      <c r="C46">
        <v>2033</v>
      </c>
      <c r="D46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0</v>
      </c>
      <c r="E46">
        <f t="shared" ca="1" si="0"/>
        <v>0</v>
      </c>
      <c r="F46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>
        <f ca="1">IF($C46-G$1&lt;År1,0,F45*(1-VLOOKUP($A46,[1]Hugst!$R$5:$W$9,MATCH(ROUNDUP((G$1)/10,0)*10,[1]Hugst!$R$4:$W$4,0))))</f>
        <v>0</v>
      </c>
      <c r="H46">
        <f ca="1">IF($C46-H$1&lt;År1,0,G45*(1-VLOOKUP($A46,[1]Hugst!$R$5:$W$9,MATCH(ROUNDUP((H$1)/10,0)*10,[1]Hugst!$R$4:$W$4,0))))</f>
        <v>0</v>
      </c>
      <c r="I46">
        <f ca="1">IF($C46-I$1&lt;År1,0,H45*(1-VLOOKUP($A46,[1]Hugst!$R$5:$W$9,MATCH(ROUNDUP((I$1)/10,0)*10,[1]Hugst!$R$4:$W$4,0))))</f>
        <v>0</v>
      </c>
      <c r="J46">
        <f ca="1">IF($C46-J$1&lt;År1,0,I45*(1-VLOOKUP($A46,[1]Hugst!$R$5:$W$9,MATCH(ROUNDUP((J$1)/10,0)*10,[1]Hugst!$R$4:$W$4,0))))</f>
        <v>0</v>
      </c>
      <c r="K46">
        <f ca="1">IF($C46-K$1&lt;År1,0,J45*(1-VLOOKUP($A46,[1]Hugst!$R$5:$W$9,MATCH(ROUNDUP((K$1)/10,0)*10,[1]Hugst!$R$4:$W$4,0))))</f>
        <v>0</v>
      </c>
      <c r="L46">
        <f ca="1">IF($C46-L$1&lt;År1,0,K45*(1-VLOOKUP($A46,[1]Hugst!$R$5:$W$9,MATCH(ROUNDUP((L$1)/10,0)*10,[1]Hugst!$R$4:$W$4,0))))</f>
        <v>0</v>
      </c>
      <c r="M46">
        <f ca="1">IF($C46-M$1&lt;År1,0,L45*(1-VLOOKUP($A46,[1]Hugst!$R$5:$W$9,MATCH(ROUNDUP((M$1)/10,0)*10,[1]Hugst!$R$4:$W$4,0))))</f>
        <v>0</v>
      </c>
      <c r="N46">
        <f ca="1">IF($C46-N$1&lt;År1,0,M45*(1-VLOOKUP($A46,[1]Hugst!$R$5:$W$9,MATCH(ROUNDUP((N$1)/10,0)*10,[1]Hugst!$R$4:$W$4,0))))</f>
        <v>0</v>
      </c>
      <c r="O46">
        <f ca="1">IF($C46-O$1&lt;År1,0,N45*(1-VLOOKUP($A46,[1]Hugst!$R$5:$W$9,MATCH(ROUNDUP((O$1)/10,0)*10,[1]Hugst!$R$4:$W$4,0))))</f>
        <v>0</v>
      </c>
      <c r="P46">
        <f ca="1">IF($C46-P$1&lt;År1,0,O45*(1-VLOOKUP($A46,[1]Hugst!$R$5:$W$9,MATCH(ROUNDUP((P$1)/10,0)*10,[1]Hugst!$R$4:$W$4,0))))</f>
        <v>0</v>
      </c>
      <c r="Q46">
        <f ca="1">IF($C46-Q$1&lt;År1,0,P45*(1-VLOOKUP($A46,[1]Hugst!$R$5:$W$9,MATCH(ROUNDUP((Q$1)/10,0)*10,[1]Hugst!$R$4:$W$4,0))))</f>
        <v>0</v>
      </c>
      <c r="R46">
        <f ca="1">IF($C46-R$1&lt;År1,0,Q45*(1-VLOOKUP($A46,[1]Hugst!$R$5:$W$9,MATCH(ROUNDUP((R$1)/10,0)*10,[1]Hugst!$R$4:$W$4,0))))</f>
        <v>0</v>
      </c>
      <c r="S46">
        <f ca="1">IF($C46-S$1&lt;År1,0,R45*(1-VLOOKUP($A46,[1]Hugst!$R$5:$W$9,MATCH(ROUNDUP((S$1)/10,0)*10,[1]Hugst!$R$4:$W$4,0))))</f>
        <v>0</v>
      </c>
      <c r="T46">
        <f>IF($C46-T$1&lt;År1,0,S45*(1-VLOOKUP($A46,[1]Hugst!$R$5:$W$9,MATCH(ROUNDUP((T$1)/10,0)*10,[1]Hugst!$R$4:$W$4,0))))</f>
        <v>0</v>
      </c>
      <c r="U46">
        <f>IF($C46-U$1&lt;År1,0,T45*(1-VLOOKUP($A46,[1]Hugst!$R$5:$W$9,MATCH(ROUNDUP((U$1)/10,0)*10,[1]Hugst!$R$4:$W$4,0))))</f>
        <v>0</v>
      </c>
      <c r="V46">
        <f>IF($C46-V$1&lt;År1,0,U45*(1-VLOOKUP($A46,[1]Hugst!$R$5:$W$9,MATCH(ROUNDUP((V$1)/10,0)*10,[1]Hugst!$R$4:$W$4,0))))</f>
        <v>0</v>
      </c>
      <c r="W46">
        <f>IF($C46-W$1&lt;År1,0,V45*(1-VLOOKUP($A46,[1]Hugst!$R$5:$W$9,MATCH(ROUNDUP((W$1)/10,0)*10,[1]Hugst!$R$4:$W$4,0))))</f>
        <v>0</v>
      </c>
      <c r="X46">
        <f>IF($C46-X$1&lt;År1,0,W45*(1-VLOOKUP($A46,[1]Hugst!$R$5:$W$9,MATCH(ROUNDUP((X$1)/10,0)*10,[1]Hugst!$R$4:$W$4,0))))</f>
        <v>0</v>
      </c>
      <c r="Y46">
        <f>IF($C46-Y$1&lt;År1,0,X45*(1-VLOOKUP($A46,[1]Hugst!$R$5:$W$9,MATCH(ROUNDUP((Y$1)/10,0)*10,[1]Hugst!$R$4:$W$4,0))))</f>
        <v>0</v>
      </c>
      <c r="Z46">
        <f>IF($C46-Z$1&lt;År1,0,Y45*(1-VLOOKUP($A46,[1]Hugst!$R$5:$W$9,MATCH(ROUNDUP((Z$1)/10,0)*10,[1]Hugst!$R$4:$W$4,0))))</f>
        <v>0</v>
      </c>
      <c r="AA46">
        <f>IF($C46-AA$1&lt;År1,0,Z45*(1-VLOOKUP($A46,[1]Hugst!$R$5:$W$9,MATCH(ROUNDUP((AA$1)/10,0)*10,[1]Hugst!$R$4:$W$4,0))))</f>
        <v>0</v>
      </c>
      <c r="AB46">
        <f>IF($C46-AB$1&lt;År1,0,AA45*(1-VLOOKUP($A46,[1]Hugst!$R$5:$W$9,MATCH(ROUNDUP((AB$1)/10,0)*10,[1]Hugst!$R$4:$W$4,0))))</f>
        <v>0</v>
      </c>
      <c r="AC46">
        <f>IF($C46-AC$1&lt;År1,0,AB45*(1-VLOOKUP($A46,[1]Hugst!$R$5:$W$9,MATCH(ROUNDUP((AC$1)/10,0)*10,[1]Hugst!$R$4:$W$4,0))))</f>
        <v>0</v>
      </c>
      <c r="AD46">
        <f>IF($C46-AD$1&lt;År1,0,AC45*(1-VLOOKUP($A46,[1]Hugst!$R$5:$W$9,MATCH(ROUNDUP((AD$1)/10,0)*10,[1]Hugst!$R$4:$W$4,0))))</f>
        <v>0</v>
      </c>
      <c r="AE46">
        <f>IF($C46-AE$1&lt;År1,0,AD45*(1-VLOOKUP($A46,[1]Hugst!$R$5:$W$9,MATCH(ROUNDUP((AE$1)/10,0)*10,[1]Hugst!$R$4:$W$4,0))))</f>
        <v>0</v>
      </c>
      <c r="AF46">
        <f>IF($C46-AF$1&lt;År1,0,AE45*(1-VLOOKUP($A46,[1]Hugst!$R$5:$W$9,MATCH(ROUNDUP((AF$1)/10,0)*10,[1]Hugst!$R$4:$W$4,0))))</f>
        <v>0</v>
      </c>
      <c r="AG46">
        <f>IF($C46-AG$1&lt;År1,0,AF45*(1-VLOOKUP($A46,[1]Hugst!$R$5:$W$9,MATCH(ROUNDUP((AG$1)/10,0)*10,[1]Hugst!$R$4:$W$4,0))))</f>
        <v>0</v>
      </c>
      <c r="AH46">
        <f>IF($C46-AH$1&lt;År1,0,AG45*(1-VLOOKUP($A46,[1]Hugst!$R$5:$W$9,MATCH(ROUNDUP((AH$1)/10,0)*10,[1]Hugst!$R$4:$W$4,0))))</f>
        <v>0</v>
      </c>
      <c r="AI46">
        <f>IF($C46-AI$1&lt;År1,0,AH45*(1-VLOOKUP($A46,[1]Hugst!$R$5:$W$9,MATCH(ROUNDUP((AI$1)/10,0)*10,[1]Hugst!$R$4:$W$4,0))))</f>
        <v>0</v>
      </c>
      <c r="AJ46">
        <f>IF($C46-AJ$1&lt;År1,0,AI45*(1-VLOOKUP($A46,[1]Hugst!$R$5:$W$9,MATCH(ROUNDUP((AJ$1)/10,0)*10,[1]Hugst!$R$4:$W$4,0))))</f>
        <v>0</v>
      </c>
    </row>
    <row r="47" spans="1:36" x14ac:dyDescent="0.25">
      <c r="A47" t="s">
        <v>176</v>
      </c>
      <c r="B47" t="s">
        <v>24</v>
      </c>
      <c r="C47">
        <v>2034</v>
      </c>
      <c r="D47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0</v>
      </c>
      <c r="E47">
        <f t="shared" ca="1" si="0"/>
        <v>0</v>
      </c>
      <c r="F47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>
        <f ca="1">IF($C47-G$1&lt;År1,0,F46*(1-VLOOKUP($A47,[1]Hugst!$R$5:$W$9,MATCH(ROUNDUP((G$1)/10,0)*10,[1]Hugst!$R$4:$W$4,0))))</f>
        <v>0</v>
      </c>
      <c r="H47">
        <f ca="1">IF($C47-H$1&lt;År1,0,G46*(1-VLOOKUP($A47,[1]Hugst!$R$5:$W$9,MATCH(ROUNDUP((H$1)/10,0)*10,[1]Hugst!$R$4:$W$4,0))))</f>
        <v>0</v>
      </c>
      <c r="I47">
        <f ca="1">IF($C47-I$1&lt;År1,0,H46*(1-VLOOKUP($A47,[1]Hugst!$R$5:$W$9,MATCH(ROUNDUP((I$1)/10,0)*10,[1]Hugst!$R$4:$W$4,0))))</f>
        <v>0</v>
      </c>
      <c r="J47">
        <f ca="1">IF($C47-J$1&lt;År1,0,I46*(1-VLOOKUP($A47,[1]Hugst!$R$5:$W$9,MATCH(ROUNDUP((J$1)/10,0)*10,[1]Hugst!$R$4:$W$4,0))))</f>
        <v>0</v>
      </c>
      <c r="K47">
        <f ca="1">IF($C47-K$1&lt;År1,0,J46*(1-VLOOKUP($A47,[1]Hugst!$R$5:$W$9,MATCH(ROUNDUP((K$1)/10,0)*10,[1]Hugst!$R$4:$W$4,0))))</f>
        <v>0</v>
      </c>
      <c r="L47">
        <f ca="1">IF($C47-L$1&lt;År1,0,K46*(1-VLOOKUP($A47,[1]Hugst!$R$5:$W$9,MATCH(ROUNDUP((L$1)/10,0)*10,[1]Hugst!$R$4:$W$4,0))))</f>
        <v>0</v>
      </c>
      <c r="M47">
        <f ca="1">IF($C47-M$1&lt;År1,0,L46*(1-VLOOKUP($A47,[1]Hugst!$R$5:$W$9,MATCH(ROUNDUP((M$1)/10,0)*10,[1]Hugst!$R$4:$W$4,0))))</f>
        <v>0</v>
      </c>
      <c r="N47">
        <f ca="1">IF($C47-N$1&lt;År1,0,M46*(1-VLOOKUP($A47,[1]Hugst!$R$5:$W$9,MATCH(ROUNDUP((N$1)/10,0)*10,[1]Hugst!$R$4:$W$4,0))))</f>
        <v>0</v>
      </c>
      <c r="O47">
        <f ca="1">IF($C47-O$1&lt;År1,0,N46*(1-VLOOKUP($A47,[1]Hugst!$R$5:$W$9,MATCH(ROUNDUP((O$1)/10,0)*10,[1]Hugst!$R$4:$W$4,0))))</f>
        <v>0</v>
      </c>
      <c r="P47">
        <f ca="1">IF($C47-P$1&lt;År1,0,O46*(1-VLOOKUP($A47,[1]Hugst!$R$5:$W$9,MATCH(ROUNDUP((P$1)/10,0)*10,[1]Hugst!$R$4:$W$4,0))))</f>
        <v>0</v>
      </c>
      <c r="Q47">
        <f ca="1">IF($C47-Q$1&lt;År1,0,P46*(1-VLOOKUP($A47,[1]Hugst!$R$5:$W$9,MATCH(ROUNDUP((Q$1)/10,0)*10,[1]Hugst!$R$4:$W$4,0))))</f>
        <v>0</v>
      </c>
      <c r="R47">
        <f ca="1">IF($C47-R$1&lt;År1,0,Q46*(1-VLOOKUP($A47,[1]Hugst!$R$5:$W$9,MATCH(ROUNDUP((R$1)/10,0)*10,[1]Hugst!$R$4:$W$4,0))))</f>
        <v>0</v>
      </c>
      <c r="S47">
        <f ca="1">IF($C47-S$1&lt;År1,0,R46*(1-VLOOKUP($A47,[1]Hugst!$R$5:$W$9,MATCH(ROUNDUP((S$1)/10,0)*10,[1]Hugst!$R$4:$W$4,0))))</f>
        <v>0</v>
      </c>
      <c r="T47">
        <f ca="1">IF($C47-T$1&lt;År1,0,S46*(1-VLOOKUP($A47,[1]Hugst!$R$5:$W$9,MATCH(ROUNDUP((T$1)/10,0)*10,[1]Hugst!$R$4:$W$4,0))))</f>
        <v>0</v>
      </c>
      <c r="U47">
        <f>IF($C47-U$1&lt;År1,0,T46*(1-VLOOKUP($A47,[1]Hugst!$R$5:$W$9,MATCH(ROUNDUP((U$1)/10,0)*10,[1]Hugst!$R$4:$W$4,0))))</f>
        <v>0</v>
      </c>
      <c r="V47">
        <f>IF($C47-V$1&lt;År1,0,U46*(1-VLOOKUP($A47,[1]Hugst!$R$5:$W$9,MATCH(ROUNDUP((V$1)/10,0)*10,[1]Hugst!$R$4:$W$4,0))))</f>
        <v>0</v>
      </c>
      <c r="W47">
        <f>IF($C47-W$1&lt;År1,0,V46*(1-VLOOKUP($A47,[1]Hugst!$R$5:$W$9,MATCH(ROUNDUP((W$1)/10,0)*10,[1]Hugst!$R$4:$W$4,0))))</f>
        <v>0</v>
      </c>
      <c r="X47">
        <f>IF($C47-X$1&lt;År1,0,W46*(1-VLOOKUP($A47,[1]Hugst!$R$5:$W$9,MATCH(ROUNDUP((X$1)/10,0)*10,[1]Hugst!$R$4:$W$4,0))))</f>
        <v>0</v>
      </c>
      <c r="Y47">
        <f>IF($C47-Y$1&lt;År1,0,X46*(1-VLOOKUP($A47,[1]Hugst!$R$5:$W$9,MATCH(ROUNDUP((Y$1)/10,0)*10,[1]Hugst!$R$4:$W$4,0))))</f>
        <v>0</v>
      </c>
      <c r="Z47">
        <f>IF($C47-Z$1&lt;År1,0,Y46*(1-VLOOKUP($A47,[1]Hugst!$R$5:$W$9,MATCH(ROUNDUP((Z$1)/10,0)*10,[1]Hugst!$R$4:$W$4,0))))</f>
        <v>0</v>
      </c>
      <c r="AA47">
        <f>IF($C47-AA$1&lt;År1,0,Z46*(1-VLOOKUP($A47,[1]Hugst!$R$5:$W$9,MATCH(ROUNDUP((AA$1)/10,0)*10,[1]Hugst!$R$4:$W$4,0))))</f>
        <v>0</v>
      </c>
      <c r="AB47">
        <f>IF($C47-AB$1&lt;År1,0,AA46*(1-VLOOKUP($A47,[1]Hugst!$R$5:$W$9,MATCH(ROUNDUP((AB$1)/10,0)*10,[1]Hugst!$R$4:$W$4,0))))</f>
        <v>0</v>
      </c>
      <c r="AC47">
        <f>IF($C47-AC$1&lt;År1,0,AB46*(1-VLOOKUP($A47,[1]Hugst!$R$5:$W$9,MATCH(ROUNDUP((AC$1)/10,0)*10,[1]Hugst!$R$4:$W$4,0))))</f>
        <v>0</v>
      </c>
      <c r="AD47">
        <f>IF($C47-AD$1&lt;År1,0,AC46*(1-VLOOKUP($A47,[1]Hugst!$R$5:$W$9,MATCH(ROUNDUP((AD$1)/10,0)*10,[1]Hugst!$R$4:$W$4,0))))</f>
        <v>0</v>
      </c>
      <c r="AE47">
        <f>IF($C47-AE$1&lt;År1,0,AD46*(1-VLOOKUP($A47,[1]Hugst!$R$5:$W$9,MATCH(ROUNDUP((AE$1)/10,0)*10,[1]Hugst!$R$4:$W$4,0))))</f>
        <v>0</v>
      </c>
      <c r="AF47">
        <f>IF($C47-AF$1&lt;År1,0,AE46*(1-VLOOKUP($A47,[1]Hugst!$R$5:$W$9,MATCH(ROUNDUP((AF$1)/10,0)*10,[1]Hugst!$R$4:$W$4,0))))</f>
        <v>0</v>
      </c>
      <c r="AG47">
        <f>IF($C47-AG$1&lt;År1,0,AF46*(1-VLOOKUP($A47,[1]Hugst!$R$5:$W$9,MATCH(ROUNDUP((AG$1)/10,0)*10,[1]Hugst!$R$4:$W$4,0))))</f>
        <v>0</v>
      </c>
      <c r="AH47">
        <f>IF($C47-AH$1&lt;År1,0,AG46*(1-VLOOKUP($A47,[1]Hugst!$R$5:$W$9,MATCH(ROUNDUP((AH$1)/10,0)*10,[1]Hugst!$R$4:$W$4,0))))</f>
        <v>0</v>
      </c>
      <c r="AI47">
        <f>IF($C47-AI$1&lt;År1,0,AH46*(1-VLOOKUP($A47,[1]Hugst!$R$5:$W$9,MATCH(ROUNDUP((AI$1)/10,0)*10,[1]Hugst!$R$4:$W$4,0))))</f>
        <v>0</v>
      </c>
      <c r="AJ47">
        <f>IF($C47-AJ$1&lt;År1,0,AI46*(1-VLOOKUP($A47,[1]Hugst!$R$5:$W$9,MATCH(ROUNDUP((AJ$1)/10,0)*10,[1]Hugst!$R$4:$W$4,0))))</f>
        <v>0</v>
      </c>
    </row>
    <row r="48" spans="1:36" x14ac:dyDescent="0.25">
      <c r="A48" t="s">
        <v>176</v>
      </c>
      <c r="B48" t="s">
        <v>24</v>
      </c>
      <c r="C48">
        <v>2035</v>
      </c>
      <c r="D4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0</v>
      </c>
      <c r="E48">
        <f t="shared" ca="1" si="0"/>
        <v>0</v>
      </c>
      <c r="F4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>
        <f ca="1">IF($C48-G$1&lt;År1,0,F47*(1-VLOOKUP($A48,[1]Hugst!$R$5:$W$9,MATCH(ROUNDUP((G$1)/10,0)*10,[1]Hugst!$R$4:$W$4,0))))</f>
        <v>0</v>
      </c>
      <c r="H48">
        <f ca="1">IF($C48-H$1&lt;År1,0,G47*(1-VLOOKUP($A48,[1]Hugst!$R$5:$W$9,MATCH(ROUNDUP((H$1)/10,0)*10,[1]Hugst!$R$4:$W$4,0))))</f>
        <v>0</v>
      </c>
      <c r="I48">
        <f ca="1">IF($C48-I$1&lt;År1,0,H47*(1-VLOOKUP($A48,[1]Hugst!$R$5:$W$9,MATCH(ROUNDUP((I$1)/10,0)*10,[1]Hugst!$R$4:$W$4,0))))</f>
        <v>0</v>
      </c>
      <c r="J48">
        <f ca="1">IF($C48-J$1&lt;År1,0,I47*(1-VLOOKUP($A48,[1]Hugst!$R$5:$W$9,MATCH(ROUNDUP((J$1)/10,0)*10,[1]Hugst!$R$4:$W$4,0))))</f>
        <v>0</v>
      </c>
      <c r="K48">
        <f ca="1">IF($C48-K$1&lt;År1,0,J47*(1-VLOOKUP($A48,[1]Hugst!$R$5:$W$9,MATCH(ROUNDUP((K$1)/10,0)*10,[1]Hugst!$R$4:$W$4,0))))</f>
        <v>0</v>
      </c>
      <c r="L48">
        <f ca="1">IF($C48-L$1&lt;År1,0,K47*(1-VLOOKUP($A48,[1]Hugst!$R$5:$W$9,MATCH(ROUNDUP((L$1)/10,0)*10,[1]Hugst!$R$4:$W$4,0))))</f>
        <v>0</v>
      </c>
      <c r="M48">
        <f ca="1">IF($C48-M$1&lt;År1,0,L47*(1-VLOOKUP($A48,[1]Hugst!$R$5:$W$9,MATCH(ROUNDUP((M$1)/10,0)*10,[1]Hugst!$R$4:$W$4,0))))</f>
        <v>0</v>
      </c>
      <c r="N48">
        <f ca="1">IF($C48-N$1&lt;År1,0,M47*(1-VLOOKUP($A48,[1]Hugst!$R$5:$W$9,MATCH(ROUNDUP((N$1)/10,0)*10,[1]Hugst!$R$4:$W$4,0))))</f>
        <v>0</v>
      </c>
      <c r="O48">
        <f ca="1">IF($C48-O$1&lt;År1,0,N47*(1-VLOOKUP($A48,[1]Hugst!$R$5:$W$9,MATCH(ROUNDUP((O$1)/10,0)*10,[1]Hugst!$R$4:$W$4,0))))</f>
        <v>0</v>
      </c>
      <c r="P48">
        <f ca="1">IF($C48-P$1&lt;År1,0,O47*(1-VLOOKUP($A48,[1]Hugst!$R$5:$W$9,MATCH(ROUNDUP((P$1)/10,0)*10,[1]Hugst!$R$4:$W$4,0))))</f>
        <v>0</v>
      </c>
      <c r="Q48">
        <f ca="1">IF($C48-Q$1&lt;År1,0,P47*(1-VLOOKUP($A48,[1]Hugst!$R$5:$W$9,MATCH(ROUNDUP((Q$1)/10,0)*10,[1]Hugst!$R$4:$W$4,0))))</f>
        <v>0</v>
      </c>
      <c r="R48">
        <f ca="1">IF($C48-R$1&lt;År1,0,Q47*(1-VLOOKUP($A48,[1]Hugst!$R$5:$W$9,MATCH(ROUNDUP((R$1)/10,0)*10,[1]Hugst!$R$4:$W$4,0))))</f>
        <v>0</v>
      </c>
      <c r="S48">
        <f ca="1">IF($C48-S$1&lt;År1,0,R47*(1-VLOOKUP($A48,[1]Hugst!$R$5:$W$9,MATCH(ROUNDUP((S$1)/10,0)*10,[1]Hugst!$R$4:$W$4,0))))</f>
        <v>0</v>
      </c>
      <c r="T48">
        <f ca="1">IF($C48-T$1&lt;År1,0,S47*(1-VLOOKUP($A48,[1]Hugst!$R$5:$W$9,MATCH(ROUNDUP((T$1)/10,0)*10,[1]Hugst!$R$4:$W$4,0))))</f>
        <v>0</v>
      </c>
      <c r="U48">
        <f ca="1">IF($C48-U$1&lt;År1,0,T47*(1-VLOOKUP($A48,[1]Hugst!$R$5:$W$9,MATCH(ROUNDUP((U$1)/10,0)*10,[1]Hugst!$R$4:$W$4,0))))</f>
        <v>0</v>
      </c>
      <c r="V48">
        <f>IF($C48-V$1&lt;År1,0,U47*(1-VLOOKUP($A48,[1]Hugst!$R$5:$W$9,MATCH(ROUNDUP((V$1)/10,0)*10,[1]Hugst!$R$4:$W$4,0))))</f>
        <v>0</v>
      </c>
      <c r="W48">
        <f>IF($C48-W$1&lt;År1,0,V47*(1-VLOOKUP($A48,[1]Hugst!$R$5:$W$9,MATCH(ROUNDUP((W$1)/10,0)*10,[1]Hugst!$R$4:$W$4,0))))</f>
        <v>0</v>
      </c>
      <c r="X48">
        <f>IF($C48-X$1&lt;År1,0,W47*(1-VLOOKUP($A48,[1]Hugst!$R$5:$W$9,MATCH(ROUNDUP((X$1)/10,0)*10,[1]Hugst!$R$4:$W$4,0))))</f>
        <v>0</v>
      </c>
      <c r="Y48">
        <f>IF($C48-Y$1&lt;År1,0,X47*(1-VLOOKUP($A48,[1]Hugst!$R$5:$W$9,MATCH(ROUNDUP((Y$1)/10,0)*10,[1]Hugst!$R$4:$W$4,0))))</f>
        <v>0</v>
      </c>
      <c r="Z48">
        <f>IF($C48-Z$1&lt;År1,0,Y47*(1-VLOOKUP($A48,[1]Hugst!$R$5:$W$9,MATCH(ROUNDUP((Z$1)/10,0)*10,[1]Hugst!$R$4:$W$4,0))))</f>
        <v>0</v>
      </c>
      <c r="AA48">
        <f>IF($C48-AA$1&lt;År1,0,Z47*(1-VLOOKUP($A48,[1]Hugst!$R$5:$W$9,MATCH(ROUNDUP((AA$1)/10,0)*10,[1]Hugst!$R$4:$W$4,0))))</f>
        <v>0</v>
      </c>
      <c r="AB48">
        <f>IF($C48-AB$1&lt;År1,0,AA47*(1-VLOOKUP($A48,[1]Hugst!$R$5:$W$9,MATCH(ROUNDUP((AB$1)/10,0)*10,[1]Hugst!$R$4:$W$4,0))))</f>
        <v>0</v>
      </c>
      <c r="AC48">
        <f>IF($C48-AC$1&lt;År1,0,AB47*(1-VLOOKUP($A48,[1]Hugst!$R$5:$W$9,MATCH(ROUNDUP((AC$1)/10,0)*10,[1]Hugst!$R$4:$W$4,0))))</f>
        <v>0</v>
      </c>
      <c r="AD48">
        <f>IF($C48-AD$1&lt;År1,0,AC47*(1-VLOOKUP($A48,[1]Hugst!$R$5:$W$9,MATCH(ROUNDUP((AD$1)/10,0)*10,[1]Hugst!$R$4:$W$4,0))))</f>
        <v>0</v>
      </c>
      <c r="AE48">
        <f>IF($C48-AE$1&lt;År1,0,AD47*(1-VLOOKUP($A48,[1]Hugst!$R$5:$W$9,MATCH(ROUNDUP((AE$1)/10,0)*10,[1]Hugst!$R$4:$W$4,0))))</f>
        <v>0</v>
      </c>
      <c r="AF48">
        <f>IF($C48-AF$1&lt;År1,0,AE47*(1-VLOOKUP($A48,[1]Hugst!$R$5:$W$9,MATCH(ROUNDUP((AF$1)/10,0)*10,[1]Hugst!$R$4:$W$4,0))))</f>
        <v>0</v>
      </c>
      <c r="AG48">
        <f>IF($C48-AG$1&lt;År1,0,AF47*(1-VLOOKUP($A48,[1]Hugst!$R$5:$W$9,MATCH(ROUNDUP((AG$1)/10,0)*10,[1]Hugst!$R$4:$W$4,0))))</f>
        <v>0</v>
      </c>
      <c r="AH48">
        <f>IF($C48-AH$1&lt;År1,0,AG47*(1-VLOOKUP($A48,[1]Hugst!$R$5:$W$9,MATCH(ROUNDUP((AH$1)/10,0)*10,[1]Hugst!$R$4:$W$4,0))))</f>
        <v>0</v>
      </c>
      <c r="AI48">
        <f>IF($C48-AI$1&lt;År1,0,AH47*(1-VLOOKUP($A48,[1]Hugst!$R$5:$W$9,MATCH(ROUNDUP((AI$1)/10,0)*10,[1]Hugst!$R$4:$W$4,0))))</f>
        <v>0</v>
      </c>
      <c r="AJ48">
        <f>IF($C48-AJ$1&lt;År1,0,AI47*(1-VLOOKUP($A48,[1]Hugst!$R$5:$W$9,MATCH(ROUNDUP((AJ$1)/10,0)*10,[1]Hugst!$R$4:$W$4,0))))</f>
        <v>0</v>
      </c>
    </row>
    <row r="49" spans="1:38" x14ac:dyDescent="0.25">
      <c r="A49" t="s">
        <v>176</v>
      </c>
      <c r="B49" t="s">
        <v>24</v>
      </c>
      <c r="C49">
        <v>2036</v>
      </c>
      <c r="D49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0</v>
      </c>
      <c r="E49">
        <f t="shared" ca="1" si="0"/>
        <v>0</v>
      </c>
      <c r="F4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>
        <f ca="1">IF($C49-G$1&lt;År1,0,F48*(1-VLOOKUP($A49,[1]Hugst!$R$5:$W$9,MATCH(ROUNDUP((G$1)/10,0)*10,[1]Hugst!$R$4:$W$4,0))))</f>
        <v>0</v>
      </c>
      <c r="H49">
        <f ca="1">IF($C49-H$1&lt;År1,0,G48*(1-VLOOKUP($A49,[1]Hugst!$R$5:$W$9,MATCH(ROUNDUP((H$1)/10,0)*10,[1]Hugst!$R$4:$W$4,0))))</f>
        <v>0</v>
      </c>
      <c r="I49">
        <f ca="1">IF($C49-I$1&lt;År1,0,H48*(1-VLOOKUP($A49,[1]Hugst!$R$5:$W$9,MATCH(ROUNDUP((I$1)/10,0)*10,[1]Hugst!$R$4:$W$4,0))))</f>
        <v>0</v>
      </c>
      <c r="J49">
        <f ca="1">IF($C49-J$1&lt;År1,0,I48*(1-VLOOKUP($A49,[1]Hugst!$R$5:$W$9,MATCH(ROUNDUP((J$1)/10,0)*10,[1]Hugst!$R$4:$W$4,0))))</f>
        <v>0</v>
      </c>
      <c r="K49">
        <f ca="1">IF($C49-K$1&lt;År1,0,J48*(1-VLOOKUP($A49,[1]Hugst!$R$5:$W$9,MATCH(ROUNDUP((K$1)/10,0)*10,[1]Hugst!$R$4:$W$4,0))))</f>
        <v>0</v>
      </c>
      <c r="L49">
        <f ca="1">IF($C49-L$1&lt;År1,0,K48*(1-VLOOKUP($A49,[1]Hugst!$R$5:$W$9,MATCH(ROUNDUP((L$1)/10,0)*10,[1]Hugst!$R$4:$W$4,0))))</f>
        <v>0</v>
      </c>
      <c r="M49">
        <f ca="1">IF($C49-M$1&lt;År1,0,L48*(1-VLOOKUP($A49,[1]Hugst!$R$5:$W$9,MATCH(ROUNDUP((M$1)/10,0)*10,[1]Hugst!$R$4:$W$4,0))))</f>
        <v>0</v>
      </c>
      <c r="N49">
        <f ca="1">IF($C49-N$1&lt;År1,0,M48*(1-VLOOKUP($A49,[1]Hugst!$R$5:$W$9,MATCH(ROUNDUP((N$1)/10,0)*10,[1]Hugst!$R$4:$W$4,0))))</f>
        <v>0</v>
      </c>
      <c r="O49">
        <f ca="1">IF($C49-O$1&lt;År1,0,N48*(1-VLOOKUP($A49,[1]Hugst!$R$5:$W$9,MATCH(ROUNDUP((O$1)/10,0)*10,[1]Hugst!$R$4:$W$4,0))))</f>
        <v>0</v>
      </c>
      <c r="P49">
        <f ca="1">IF($C49-P$1&lt;År1,0,O48*(1-VLOOKUP($A49,[1]Hugst!$R$5:$W$9,MATCH(ROUNDUP((P$1)/10,0)*10,[1]Hugst!$R$4:$W$4,0))))</f>
        <v>0</v>
      </c>
      <c r="Q49">
        <f ca="1">IF($C49-Q$1&lt;År1,0,P48*(1-VLOOKUP($A49,[1]Hugst!$R$5:$W$9,MATCH(ROUNDUP((Q$1)/10,0)*10,[1]Hugst!$R$4:$W$4,0))))</f>
        <v>0</v>
      </c>
      <c r="R49">
        <f ca="1">IF($C49-R$1&lt;År1,0,Q48*(1-VLOOKUP($A49,[1]Hugst!$R$5:$W$9,MATCH(ROUNDUP((R$1)/10,0)*10,[1]Hugst!$R$4:$W$4,0))))</f>
        <v>0</v>
      </c>
      <c r="S49">
        <f ca="1">IF($C49-S$1&lt;År1,0,R48*(1-VLOOKUP($A49,[1]Hugst!$R$5:$W$9,MATCH(ROUNDUP((S$1)/10,0)*10,[1]Hugst!$R$4:$W$4,0))))</f>
        <v>0</v>
      </c>
      <c r="T49">
        <f ca="1">IF($C49-T$1&lt;År1,0,S48*(1-VLOOKUP($A49,[1]Hugst!$R$5:$W$9,MATCH(ROUNDUP((T$1)/10,0)*10,[1]Hugst!$R$4:$W$4,0))))</f>
        <v>0</v>
      </c>
      <c r="U49">
        <f ca="1">IF($C49-U$1&lt;År1,0,T48*(1-VLOOKUP($A49,[1]Hugst!$R$5:$W$9,MATCH(ROUNDUP((U$1)/10,0)*10,[1]Hugst!$R$4:$W$4,0))))</f>
        <v>0</v>
      </c>
      <c r="V49">
        <f ca="1">IF($C49-V$1&lt;År1,0,U48*(1-VLOOKUP($A49,[1]Hugst!$R$5:$W$9,MATCH(ROUNDUP((V$1)/10,0)*10,[1]Hugst!$R$4:$W$4,0))))</f>
        <v>0</v>
      </c>
      <c r="W49">
        <f>IF($C49-W$1&lt;År1,0,V48*(1-VLOOKUP($A49,[1]Hugst!$R$5:$W$9,MATCH(ROUNDUP((W$1)/10,0)*10,[1]Hugst!$R$4:$W$4,0))))</f>
        <v>0</v>
      </c>
      <c r="X49">
        <f>IF($C49-X$1&lt;År1,0,W48*(1-VLOOKUP($A49,[1]Hugst!$R$5:$W$9,MATCH(ROUNDUP((X$1)/10,0)*10,[1]Hugst!$R$4:$W$4,0))))</f>
        <v>0</v>
      </c>
      <c r="Y49">
        <f>IF($C49-Y$1&lt;År1,0,X48*(1-VLOOKUP($A49,[1]Hugst!$R$5:$W$9,MATCH(ROUNDUP((Y$1)/10,0)*10,[1]Hugst!$R$4:$W$4,0))))</f>
        <v>0</v>
      </c>
      <c r="Z49">
        <f>IF($C49-Z$1&lt;År1,0,Y48*(1-VLOOKUP($A49,[1]Hugst!$R$5:$W$9,MATCH(ROUNDUP((Z$1)/10,0)*10,[1]Hugst!$R$4:$W$4,0))))</f>
        <v>0</v>
      </c>
      <c r="AA49">
        <f>IF($C49-AA$1&lt;År1,0,Z48*(1-VLOOKUP($A49,[1]Hugst!$R$5:$W$9,MATCH(ROUNDUP((AA$1)/10,0)*10,[1]Hugst!$R$4:$W$4,0))))</f>
        <v>0</v>
      </c>
      <c r="AB49">
        <f>IF($C49-AB$1&lt;År1,0,AA48*(1-VLOOKUP($A49,[1]Hugst!$R$5:$W$9,MATCH(ROUNDUP((AB$1)/10,0)*10,[1]Hugst!$R$4:$W$4,0))))</f>
        <v>0</v>
      </c>
      <c r="AC49">
        <f>IF($C49-AC$1&lt;År1,0,AB48*(1-VLOOKUP($A49,[1]Hugst!$R$5:$W$9,MATCH(ROUNDUP((AC$1)/10,0)*10,[1]Hugst!$R$4:$W$4,0))))</f>
        <v>0</v>
      </c>
      <c r="AD49">
        <f>IF($C49-AD$1&lt;År1,0,AC48*(1-VLOOKUP($A49,[1]Hugst!$R$5:$W$9,MATCH(ROUNDUP((AD$1)/10,0)*10,[1]Hugst!$R$4:$W$4,0))))</f>
        <v>0</v>
      </c>
      <c r="AE49">
        <f>IF($C49-AE$1&lt;År1,0,AD48*(1-VLOOKUP($A49,[1]Hugst!$R$5:$W$9,MATCH(ROUNDUP((AE$1)/10,0)*10,[1]Hugst!$R$4:$W$4,0))))</f>
        <v>0</v>
      </c>
      <c r="AF49">
        <f>IF($C49-AF$1&lt;År1,0,AE48*(1-VLOOKUP($A49,[1]Hugst!$R$5:$W$9,MATCH(ROUNDUP((AF$1)/10,0)*10,[1]Hugst!$R$4:$W$4,0))))</f>
        <v>0</v>
      </c>
      <c r="AG49">
        <f>IF($C49-AG$1&lt;År1,0,AF48*(1-VLOOKUP($A49,[1]Hugst!$R$5:$W$9,MATCH(ROUNDUP((AG$1)/10,0)*10,[1]Hugst!$R$4:$W$4,0))))</f>
        <v>0</v>
      </c>
      <c r="AH49">
        <f>IF($C49-AH$1&lt;År1,0,AG48*(1-VLOOKUP($A49,[1]Hugst!$R$5:$W$9,MATCH(ROUNDUP((AH$1)/10,0)*10,[1]Hugst!$R$4:$W$4,0))))</f>
        <v>0</v>
      </c>
      <c r="AI49">
        <f>IF($C49-AI$1&lt;År1,0,AH48*(1-VLOOKUP($A49,[1]Hugst!$R$5:$W$9,MATCH(ROUNDUP((AI$1)/10,0)*10,[1]Hugst!$R$4:$W$4,0))))</f>
        <v>0</v>
      </c>
      <c r="AJ49">
        <f>IF($C49-AJ$1&lt;År1,0,AI48*(1-VLOOKUP($A49,[1]Hugst!$R$5:$W$9,MATCH(ROUNDUP((AJ$1)/10,0)*10,[1]Hugst!$R$4:$W$4,0))))</f>
        <v>0</v>
      </c>
    </row>
    <row r="50" spans="1:38" x14ac:dyDescent="0.25">
      <c r="A50" t="s">
        <v>176</v>
      </c>
      <c r="B50" t="s">
        <v>24</v>
      </c>
      <c r="C50">
        <v>2037</v>
      </c>
      <c r="D50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0</v>
      </c>
      <c r="E50">
        <f t="shared" ca="1" si="0"/>
        <v>0</v>
      </c>
      <c r="F50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>
        <f ca="1">IF($C50-G$1&lt;År1,0,F49*(1-VLOOKUP($A50,[1]Hugst!$R$5:$W$9,MATCH(ROUNDUP((G$1)/10,0)*10,[1]Hugst!$R$4:$W$4,0))))</f>
        <v>0</v>
      </c>
      <c r="H50">
        <f ca="1">IF($C50-H$1&lt;År1,0,G49*(1-VLOOKUP($A50,[1]Hugst!$R$5:$W$9,MATCH(ROUNDUP((H$1)/10,0)*10,[1]Hugst!$R$4:$W$4,0))))</f>
        <v>0</v>
      </c>
      <c r="I50">
        <f ca="1">IF($C50-I$1&lt;År1,0,H49*(1-VLOOKUP($A50,[1]Hugst!$R$5:$W$9,MATCH(ROUNDUP((I$1)/10,0)*10,[1]Hugst!$R$4:$W$4,0))))</f>
        <v>0</v>
      </c>
      <c r="J50">
        <f ca="1">IF($C50-J$1&lt;År1,0,I49*(1-VLOOKUP($A50,[1]Hugst!$R$5:$W$9,MATCH(ROUNDUP((J$1)/10,0)*10,[1]Hugst!$R$4:$W$4,0))))</f>
        <v>0</v>
      </c>
      <c r="K50">
        <f ca="1">IF($C50-K$1&lt;År1,0,J49*(1-VLOOKUP($A50,[1]Hugst!$R$5:$W$9,MATCH(ROUNDUP((K$1)/10,0)*10,[1]Hugst!$R$4:$W$4,0))))</f>
        <v>0</v>
      </c>
      <c r="L50">
        <f ca="1">IF($C50-L$1&lt;År1,0,K49*(1-VLOOKUP($A50,[1]Hugst!$R$5:$W$9,MATCH(ROUNDUP((L$1)/10,0)*10,[1]Hugst!$R$4:$W$4,0))))</f>
        <v>0</v>
      </c>
      <c r="M50">
        <f ca="1">IF($C50-M$1&lt;År1,0,L49*(1-VLOOKUP($A50,[1]Hugst!$R$5:$W$9,MATCH(ROUNDUP((M$1)/10,0)*10,[1]Hugst!$R$4:$W$4,0))))</f>
        <v>0</v>
      </c>
      <c r="N50">
        <f ca="1">IF($C50-N$1&lt;År1,0,M49*(1-VLOOKUP($A50,[1]Hugst!$R$5:$W$9,MATCH(ROUNDUP((N$1)/10,0)*10,[1]Hugst!$R$4:$W$4,0))))</f>
        <v>0</v>
      </c>
      <c r="O50">
        <f ca="1">IF($C50-O$1&lt;År1,0,N49*(1-VLOOKUP($A50,[1]Hugst!$R$5:$W$9,MATCH(ROUNDUP((O$1)/10,0)*10,[1]Hugst!$R$4:$W$4,0))))</f>
        <v>0</v>
      </c>
      <c r="P50">
        <f ca="1">IF($C50-P$1&lt;År1,0,O49*(1-VLOOKUP($A50,[1]Hugst!$R$5:$W$9,MATCH(ROUNDUP((P$1)/10,0)*10,[1]Hugst!$R$4:$W$4,0))))</f>
        <v>0</v>
      </c>
      <c r="Q50">
        <f ca="1">IF($C50-Q$1&lt;År1,0,P49*(1-VLOOKUP($A50,[1]Hugst!$R$5:$W$9,MATCH(ROUNDUP((Q$1)/10,0)*10,[1]Hugst!$R$4:$W$4,0))))</f>
        <v>0</v>
      </c>
      <c r="R50">
        <f ca="1">IF($C50-R$1&lt;År1,0,Q49*(1-VLOOKUP($A50,[1]Hugst!$R$5:$W$9,MATCH(ROUNDUP((R$1)/10,0)*10,[1]Hugst!$R$4:$W$4,0))))</f>
        <v>0</v>
      </c>
      <c r="S50">
        <f ca="1">IF($C50-S$1&lt;År1,0,R49*(1-VLOOKUP($A50,[1]Hugst!$R$5:$W$9,MATCH(ROUNDUP((S$1)/10,0)*10,[1]Hugst!$R$4:$W$4,0))))</f>
        <v>0</v>
      </c>
      <c r="T50">
        <f ca="1">IF($C50-T$1&lt;År1,0,S49*(1-VLOOKUP($A50,[1]Hugst!$R$5:$W$9,MATCH(ROUNDUP((T$1)/10,0)*10,[1]Hugst!$R$4:$W$4,0))))</f>
        <v>0</v>
      </c>
      <c r="U50">
        <f ca="1">IF($C50-U$1&lt;År1,0,T49*(1-VLOOKUP($A50,[1]Hugst!$R$5:$W$9,MATCH(ROUNDUP((U$1)/10,0)*10,[1]Hugst!$R$4:$W$4,0))))</f>
        <v>0</v>
      </c>
      <c r="V50">
        <f ca="1">IF($C50-V$1&lt;År1,0,U49*(1-VLOOKUP($A50,[1]Hugst!$R$5:$W$9,MATCH(ROUNDUP((V$1)/10,0)*10,[1]Hugst!$R$4:$W$4,0))))</f>
        <v>0</v>
      </c>
      <c r="W50">
        <f ca="1">IF($C50-W$1&lt;År1,0,V49*(1-VLOOKUP($A50,[1]Hugst!$R$5:$W$9,MATCH(ROUNDUP((W$1)/10,0)*10,[1]Hugst!$R$4:$W$4,0))))</f>
        <v>0</v>
      </c>
      <c r="X50">
        <f>IF($C50-X$1&lt;År1,0,W49*(1-VLOOKUP($A50,[1]Hugst!$R$5:$W$9,MATCH(ROUNDUP((X$1)/10,0)*10,[1]Hugst!$R$4:$W$4,0))))</f>
        <v>0</v>
      </c>
      <c r="Y50">
        <f>IF($C50-Y$1&lt;År1,0,X49*(1-VLOOKUP($A50,[1]Hugst!$R$5:$W$9,MATCH(ROUNDUP((Y$1)/10,0)*10,[1]Hugst!$R$4:$W$4,0))))</f>
        <v>0</v>
      </c>
      <c r="Z50">
        <f>IF($C50-Z$1&lt;År1,0,Y49*(1-VLOOKUP($A50,[1]Hugst!$R$5:$W$9,MATCH(ROUNDUP((Z$1)/10,0)*10,[1]Hugst!$R$4:$W$4,0))))</f>
        <v>0</v>
      </c>
      <c r="AA50">
        <f>IF($C50-AA$1&lt;År1,0,Z49*(1-VLOOKUP($A50,[1]Hugst!$R$5:$W$9,MATCH(ROUNDUP((AA$1)/10,0)*10,[1]Hugst!$R$4:$W$4,0))))</f>
        <v>0</v>
      </c>
      <c r="AB50">
        <f>IF($C50-AB$1&lt;År1,0,AA49*(1-VLOOKUP($A50,[1]Hugst!$R$5:$W$9,MATCH(ROUNDUP((AB$1)/10,0)*10,[1]Hugst!$R$4:$W$4,0))))</f>
        <v>0</v>
      </c>
      <c r="AC50">
        <f>IF($C50-AC$1&lt;År1,0,AB49*(1-VLOOKUP($A50,[1]Hugst!$R$5:$W$9,MATCH(ROUNDUP((AC$1)/10,0)*10,[1]Hugst!$R$4:$W$4,0))))</f>
        <v>0</v>
      </c>
      <c r="AD50">
        <f>IF($C50-AD$1&lt;År1,0,AC49*(1-VLOOKUP($A50,[1]Hugst!$R$5:$W$9,MATCH(ROUNDUP((AD$1)/10,0)*10,[1]Hugst!$R$4:$W$4,0))))</f>
        <v>0</v>
      </c>
      <c r="AE50">
        <f>IF($C50-AE$1&lt;År1,0,AD49*(1-VLOOKUP($A50,[1]Hugst!$R$5:$W$9,MATCH(ROUNDUP((AE$1)/10,0)*10,[1]Hugst!$R$4:$W$4,0))))</f>
        <v>0</v>
      </c>
      <c r="AF50">
        <f>IF($C50-AF$1&lt;År1,0,AE49*(1-VLOOKUP($A50,[1]Hugst!$R$5:$W$9,MATCH(ROUNDUP((AF$1)/10,0)*10,[1]Hugst!$R$4:$W$4,0))))</f>
        <v>0</v>
      </c>
      <c r="AG50">
        <f>IF($C50-AG$1&lt;År1,0,AF49*(1-VLOOKUP($A50,[1]Hugst!$R$5:$W$9,MATCH(ROUNDUP((AG$1)/10,0)*10,[1]Hugst!$R$4:$W$4,0))))</f>
        <v>0</v>
      </c>
      <c r="AH50">
        <f>IF($C50-AH$1&lt;År1,0,AG49*(1-VLOOKUP($A50,[1]Hugst!$R$5:$W$9,MATCH(ROUNDUP((AH$1)/10,0)*10,[1]Hugst!$R$4:$W$4,0))))</f>
        <v>0</v>
      </c>
      <c r="AI50">
        <f>IF($C50-AI$1&lt;År1,0,AH49*(1-VLOOKUP($A50,[1]Hugst!$R$5:$W$9,MATCH(ROUNDUP((AI$1)/10,0)*10,[1]Hugst!$R$4:$W$4,0))))</f>
        <v>0</v>
      </c>
      <c r="AJ50">
        <f>IF($C50-AJ$1&lt;År1,0,AI49*(1-VLOOKUP($A50,[1]Hugst!$R$5:$W$9,MATCH(ROUNDUP((AJ$1)/10,0)*10,[1]Hugst!$R$4:$W$4,0))))</f>
        <v>0</v>
      </c>
    </row>
    <row r="51" spans="1:38" x14ac:dyDescent="0.25">
      <c r="A51" t="s">
        <v>176</v>
      </c>
      <c r="B51" t="s">
        <v>24</v>
      </c>
      <c r="C51">
        <v>2038</v>
      </c>
      <c r="D51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0</v>
      </c>
      <c r="E51">
        <f t="shared" ca="1" si="0"/>
        <v>0</v>
      </c>
      <c r="F51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>
        <f ca="1">IF($C51-G$1&lt;År1,0,F50*(1-VLOOKUP($A51,[1]Hugst!$R$5:$W$9,MATCH(ROUNDUP((G$1)/10,0)*10,[1]Hugst!$R$4:$W$4,0))))</f>
        <v>0</v>
      </c>
      <c r="H51">
        <f ca="1">IF($C51-H$1&lt;År1,0,G50*(1-VLOOKUP($A51,[1]Hugst!$R$5:$W$9,MATCH(ROUNDUP((H$1)/10,0)*10,[1]Hugst!$R$4:$W$4,0))))</f>
        <v>0</v>
      </c>
      <c r="I51">
        <f ca="1">IF($C51-I$1&lt;År1,0,H50*(1-VLOOKUP($A51,[1]Hugst!$R$5:$W$9,MATCH(ROUNDUP((I$1)/10,0)*10,[1]Hugst!$R$4:$W$4,0))))</f>
        <v>0</v>
      </c>
      <c r="J51">
        <f ca="1">IF($C51-J$1&lt;År1,0,I50*(1-VLOOKUP($A51,[1]Hugst!$R$5:$W$9,MATCH(ROUNDUP((J$1)/10,0)*10,[1]Hugst!$R$4:$W$4,0))))</f>
        <v>0</v>
      </c>
      <c r="K51">
        <f ca="1">IF($C51-K$1&lt;År1,0,J50*(1-VLOOKUP($A51,[1]Hugst!$R$5:$W$9,MATCH(ROUNDUP((K$1)/10,0)*10,[1]Hugst!$R$4:$W$4,0))))</f>
        <v>0</v>
      </c>
      <c r="L51">
        <f ca="1">IF($C51-L$1&lt;År1,0,K50*(1-VLOOKUP($A51,[1]Hugst!$R$5:$W$9,MATCH(ROUNDUP((L$1)/10,0)*10,[1]Hugst!$R$4:$W$4,0))))</f>
        <v>0</v>
      </c>
      <c r="M51">
        <f ca="1">IF($C51-M$1&lt;År1,0,L50*(1-VLOOKUP($A51,[1]Hugst!$R$5:$W$9,MATCH(ROUNDUP((M$1)/10,0)*10,[1]Hugst!$R$4:$W$4,0))))</f>
        <v>0</v>
      </c>
      <c r="N51">
        <f ca="1">IF($C51-N$1&lt;År1,0,M50*(1-VLOOKUP($A51,[1]Hugst!$R$5:$W$9,MATCH(ROUNDUP((N$1)/10,0)*10,[1]Hugst!$R$4:$W$4,0))))</f>
        <v>0</v>
      </c>
      <c r="O51">
        <f ca="1">IF($C51-O$1&lt;År1,0,N50*(1-VLOOKUP($A51,[1]Hugst!$R$5:$W$9,MATCH(ROUNDUP((O$1)/10,0)*10,[1]Hugst!$R$4:$W$4,0))))</f>
        <v>0</v>
      </c>
      <c r="P51">
        <f ca="1">IF($C51-P$1&lt;År1,0,O50*(1-VLOOKUP($A51,[1]Hugst!$R$5:$W$9,MATCH(ROUNDUP((P$1)/10,0)*10,[1]Hugst!$R$4:$W$4,0))))</f>
        <v>0</v>
      </c>
      <c r="Q51">
        <f ca="1">IF($C51-Q$1&lt;År1,0,P50*(1-VLOOKUP($A51,[1]Hugst!$R$5:$W$9,MATCH(ROUNDUP((Q$1)/10,0)*10,[1]Hugst!$R$4:$W$4,0))))</f>
        <v>0</v>
      </c>
      <c r="R51">
        <f ca="1">IF($C51-R$1&lt;År1,0,Q50*(1-VLOOKUP($A51,[1]Hugst!$R$5:$W$9,MATCH(ROUNDUP((R$1)/10,0)*10,[1]Hugst!$R$4:$W$4,0))))</f>
        <v>0</v>
      </c>
      <c r="S51">
        <f ca="1">IF($C51-S$1&lt;År1,0,R50*(1-VLOOKUP($A51,[1]Hugst!$R$5:$W$9,MATCH(ROUNDUP((S$1)/10,0)*10,[1]Hugst!$R$4:$W$4,0))))</f>
        <v>0</v>
      </c>
      <c r="T51">
        <f ca="1">IF($C51-T$1&lt;År1,0,S50*(1-VLOOKUP($A51,[1]Hugst!$R$5:$W$9,MATCH(ROUNDUP((T$1)/10,0)*10,[1]Hugst!$R$4:$W$4,0))))</f>
        <v>0</v>
      </c>
      <c r="U51">
        <f ca="1">IF($C51-U$1&lt;År1,0,T50*(1-VLOOKUP($A51,[1]Hugst!$R$5:$W$9,MATCH(ROUNDUP((U$1)/10,0)*10,[1]Hugst!$R$4:$W$4,0))))</f>
        <v>0</v>
      </c>
      <c r="V51">
        <f ca="1">IF($C51-V$1&lt;År1,0,U50*(1-VLOOKUP($A51,[1]Hugst!$R$5:$W$9,MATCH(ROUNDUP((V$1)/10,0)*10,[1]Hugst!$R$4:$W$4,0))))</f>
        <v>0</v>
      </c>
      <c r="W51">
        <f ca="1">IF($C51-W$1&lt;År1,0,V50*(1-VLOOKUP($A51,[1]Hugst!$R$5:$W$9,MATCH(ROUNDUP((W$1)/10,0)*10,[1]Hugst!$R$4:$W$4,0))))</f>
        <v>0</v>
      </c>
      <c r="X51">
        <f ca="1">IF($C51-X$1&lt;År1,0,W50*(1-VLOOKUP($A51,[1]Hugst!$R$5:$W$9,MATCH(ROUNDUP((X$1)/10,0)*10,[1]Hugst!$R$4:$W$4,0))))</f>
        <v>0</v>
      </c>
      <c r="Y51">
        <f>IF($C51-Y$1&lt;År1,0,X50*(1-VLOOKUP($A51,[1]Hugst!$R$5:$W$9,MATCH(ROUNDUP((Y$1)/10,0)*10,[1]Hugst!$R$4:$W$4,0))))</f>
        <v>0</v>
      </c>
      <c r="Z51">
        <f>IF($C51-Z$1&lt;År1,0,Y50*(1-VLOOKUP($A51,[1]Hugst!$R$5:$W$9,MATCH(ROUNDUP((Z$1)/10,0)*10,[1]Hugst!$R$4:$W$4,0))))</f>
        <v>0</v>
      </c>
      <c r="AA51">
        <f>IF($C51-AA$1&lt;År1,0,Z50*(1-VLOOKUP($A51,[1]Hugst!$R$5:$W$9,MATCH(ROUNDUP((AA$1)/10,0)*10,[1]Hugst!$R$4:$W$4,0))))</f>
        <v>0</v>
      </c>
      <c r="AB51">
        <f>IF($C51-AB$1&lt;År1,0,AA50*(1-VLOOKUP($A51,[1]Hugst!$R$5:$W$9,MATCH(ROUNDUP((AB$1)/10,0)*10,[1]Hugst!$R$4:$W$4,0))))</f>
        <v>0</v>
      </c>
      <c r="AC51">
        <f>IF($C51-AC$1&lt;År1,0,AB50*(1-VLOOKUP($A51,[1]Hugst!$R$5:$W$9,MATCH(ROUNDUP((AC$1)/10,0)*10,[1]Hugst!$R$4:$W$4,0))))</f>
        <v>0</v>
      </c>
      <c r="AD51">
        <f>IF($C51-AD$1&lt;År1,0,AC50*(1-VLOOKUP($A51,[1]Hugst!$R$5:$W$9,MATCH(ROUNDUP((AD$1)/10,0)*10,[1]Hugst!$R$4:$W$4,0))))</f>
        <v>0</v>
      </c>
      <c r="AE51">
        <f>IF($C51-AE$1&lt;År1,0,AD50*(1-VLOOKUP($A51,[1]Hugst!$R$5:$W$9,MATCH(ROUNDUP((AE$1)/10,0)*10,[1]Hugst!$R$4:$W$4,0))))</f>
        <v>0</v>
      </c>
      <c r="AF51">
        <f>IF($C51-AF$1&lt;År1,0,AE50*(1-VLOOKUP($A51,[1]Hugst!$R$5:$W$9,MATCH(ROUNDUP((AF$1)/10,0)*10,[1]Hugst!$R$4:$W$4,0))))</f>
        <v>0</v>
      </c>
      <c r="AG51">
        <f>IF($C51-AG$1&lt;År1,0,AF50*(1-VLOOKUP($A51,[1]Hugst!$R$5:$W$9,MATCH(ROUNDUP((AG$1)/10,0)*10,[1]Hugst!$R$4:$W$4,0))))</f>
        <v>0</v>
      </c>
      <c r="AH51">
        <f>IF($C51-AH$1&lt;År1,0,AG50*(1-VLOOKUP($A51,[1]Hugst!$R$5:$W$9,MATCH(ROUNDUP((AH$1)/10,0)*10,[1]Hugst!$R$4:$W$4,0))))</f>
        <v>0</v>
      </c>
      <c r="AI51">
        <f>IF($C51-AI$1&lt;År1,0,AH50*(1-VLOOKUP($A51,[1]Hugst!$R$5:$W$9,MATCH(ROUNDUP((AI$1)/10,0)*10,[1]Hugst!$R$4:$W$4,0))))</f>
        <v>0</v>
      </c>
      <c r="AJ51">
        <f>IF($C51-AJ$1&lt;År1,0,AI50*(1-VLOOKUP($A51,[1]Hugst!$R$5:$W$9,MATCH(ROUNDUP((AJ$1)/10,0)*10,[1]Hugst!$R$4:$W$4,0))))</f>
        <v>0</v>
      </c>
    </row>
    <row r="52" spans="1:38" x14ac:dyDescent="0.25">
      <c r="A52" t="s">
        <v>176</v>
      </c>
      <c r="B52" t="s">
        <v>24</v>
      </c>
      <c r="C52">
        <v>2039</v>
      </c>
      <c r="D52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0</v>
      </c>
      <c r="E52">
        <f t="shared" ca="1" si="0"/>
        <v>0</v>
      </c>
      <c r="F52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>
        <f ca="1">IF($C52-G$1&lt;År1,0,F51*(1-VLOOKUP($A52,[1]Hugst!$R$5:$W$9,MATCH(ROUNDUP((G$1)/10,0)*10,[1]Hugst!$R$4:$W$4,0))))</f>
        <v>0</v>
      </c>
      <c r="H52">
        <f ca="1">IF($C52-H$1&lt;År1,0,G51*(1-VLOOKUP($A52,[1]Hugst!$R$5:$W$9,MATCH(ROUNDUP((H$1)/10,0)*10,[1]Hugst!$R$4:$W$4,0))))</f>
        <v>0</v>
      </c>
      <c r="I52">
        <f ca="1">IF($C52-I$1&lt;År1,0,H51*(1-VLOOKUP($A52,[1]Hugst!$R$5:$W$9,MATCH(ROUNDUP((I$1)/10,0)*10,[1]Hugst!$R$4:$W$4,0))))</f>
        <v>0</v>
      </c>
      <c r="J52">
        <f ca="1">IF($C52-J$1&lt;År1,0,I51*(1-VLOOKUP($A52,[1]Hugst!$R$5:$W$9,MATCH(ROUNDUP((J$1)/10,0)*10,[1]Hugst!$R$4:$W$4,0))))</f>
        <v>0</v>
      </c>
      <c r="K52">
        <f ca="1">IF($C52-K$1&lt;År1,0,J51*(1-VLOOKUP($A52,[1]Hugst!$R$5:$W$9,MATCH(ROUNDUP((K$1)/10,0)*10,[1]Hugst!$R$4:$W$4,0))))</f>
        <v>0</v>
      </c>
      <c r="L52">
        <f ca="1">IF($C52-L$1&lt;År1,0,K51*(1-VLOOKUP($A52,[1]Hugst!$R$5:$W$9,MATCH(ROUNDUP((L$1)/10,0)*10,[1]Hugst!$R$4:$W$4,0))))</f>
        <v>0</v>
      </c>
      <c r="M52">
        <f ca="1">IF($C52-M$1&lt;År1,0,L51*(1-VLOOKUP($A52,[1]Hugst!$R$5:$W$9,MATCH(ROUNDUP((M$1)/10,0)*10,[1]Hugst!$R$4:$W$4,0))))</f>
        <v>0</v>
      </c>
      <c r="N52">
        <f ca="1">IF($C52-N$1&lt;År1,0,M51*(1-VLOOKUP($A52,[1]Hugst!$R$5:$W$9,MATCH(ROUNDUP((N$1)/10,0)*10,[1]Hugst!$R$4:$W$4,0))))</f>
        <v>0</v>
      </c>
      <c r="O52">
        <f ca="1">IF($C52-O$1&lt;År1,0,N51*(1-VLOOKUP($A52,[1]Hugst!$R$5:$W$9,MATCH(ROUNDUP((O$1)/10,0)*10,[1]Hugst!$R$4:$W$4,0))))</f>
        <v>0</v>
      </c>
      <c r="P52">
        <f ca="1">IF($C52-P$1&lt;År1,0,O51*(1-VLOOKUP($A52,[1]Hugst!$R$5:$W$9,MATCH(ROUNDUP((P$1)/10,0)*10,[1]Hugst!$R$4:$W$4,0))))</f>
        <v>0</v>
      </c>
      <c r="Q52">
        <f ca="1">IF($C52-Q$1&lt;År1,0,P51*(1-VLOOKUP($A52,[1]Hugst!$R$5:$W$9,MATCH(ROUNDUP((Q$1)/10,0)*10,[1]Hugst!$R$4:$W$4,0))))</f>
        <v>0</v>
      </c>
      <c r="R52">
        <f ca="1">IF($C52-R$1&lt;År1,0,Q51*(1-VLOOKUP($A52,[1]Hugst!$R$5:$W$9,MATCH(ROUNDUP((R$1)/10,0)*10,[1]Hugst!$R$4:$W$4,0))))</f>
        <v>0</v>
      </c>
      <c r="S52">
        <f ca="1">IF($C52-S$1&lt;År1,0,R51*(1-VLOOKUP($A52,[1]Hugst!$R$5:$W$9,MATCH(ROUNDUP((S$1)/10,0)*10,[1]Hugst!$R$4:$W$4,0))))</f>
        <v>0</v>
      </c>
      <c r="T52">
        <f ca="1">IF($C52-T$1&lt;År1,0,S51*(1-VLOOKUP($A52,[1]Hugst!$R$5:$W$9,MATCH(ROUNDUP((T$1)/10,0)*10,[1]Hugst!$R$4:$W$4,0))))</f>
        <v>0</v>
      </c>
      <c r="U52">
        <f ca="1">IF($C52-U$1&lt;År1,0,T51*(1-VLOOKUP($A52,[1]Hugst!$R$5:$W$9,MATCH(ROUNDUP((U$1)/10,0)*10,[1]Hugst!$R$4:$W$4,0))))</f>
        <v>0</v>
      </c>
      <c r="V52">
        <f ca="1">IF($C52-V$1&lt;År1,0,U51*(1-VLOOKUP($A52,[1]Hugst!$R$5:$W$9,MATCH(ROUNDUP((V$1)/10,0)*10,[1]Hugst!$R$4:$W$4,0))))</f>
        <v>0</v>
      </c>
      <c r="W52">
        <f ca="1">IF($C52-W$1&lt;År1,0,V51*(1-VLOOKUP($A52,[1]Hugst!$R$5:$W$9,MATCH(ROUNDUP((W$1)/10,0)*10,[1]Hugst!$R$4:$W$4,0))))</f>
        <v>0</v>
      </c>
      <c r="X52">
        <f ca="1">IF($C52-X$1&lt;År1,0,W51*(1-VLOOKUP($A52,[1]Hugst!$R$5:$W$9,MATCH(ROUNDUP((X$1)/10,0)*10,[1]Hugst!$R$4:$W$4,0))))</f>
        <v>0</v>
      </c>
      <c r="Y52">
        <f ca="1">IF($C52-Y$1&lt;År1,0,X51*(1-VLOOKUP($A52,[1]Hugst!$R$5:$W$9,MATCH(ROUNDUP((Y$1)/10,0)*10,[1]Hugst!$R$4:$W$4,0))))</f>
        <v>0</v>
      </c>
      <c r="Z52">
        <f>IF($C52-Z$1&lt;År1,0,Y51*(1-VLOOKUP($A52,[1]Hugst!$R$5:$W$9,MATCH(ROUNDUP((Z$1)/10,0)*10,[1]Hugst!$R$4:$W$4,0))))</f>
        <v>0</v>
      </c>
      <c r="AA52">
        <f>IF($C52-AA$1&lt;År1,0,Z51*(1-VLOOKUP($A52,[1]Hugst!$R$5:$W$9,MATCH(ROUNDUP((AA$1)/10,0)*10,[1]Hugst!$R$4:$W$4,0))))</f>
        <v>0</v>
      </c>
      <c r="AB52">
        <f>IF($C52-AB$1&lt;År1,0,AA51*(1-VLOOKUP($A52,[1]Hugst!$R$5:$W$9,MATCH(ROUNDUP((AB$1)/10,0)*10,[1]Hugst!$R$4:$W$4,0))))</f>
        <v>0</v>
      </c>
      <c r="AC52">
        <f>IF($C52-AC$1&lt;År1,0,AB51*(1-VLOOKUP($A52,[1]Hugst!$R$5:$W$9,MATCH(ROUNDUP((AC$1)/10,0)*10,[1]Hugst!$R$4:$W$4,0))))</f>
        <v>0</v>
      </c>
      <c r="AD52">
        <f>IF($C52-AD$1&lt;År1,0,AC51*(1-VLOOKUP($A52,[1]Hugst!$R$5:$W$9,MATCH(ROUNDUP((AD$1)/10,0)*10,[1]Hugst!$R$4:$W$4,0))))</f>
        <v>0</v>
      </c>
      <c r="AE52">
        <f>IF($C52-AE$1&lt;År1,0,AD51*(1-VLOOKUP($A52,[1]Hugst!$R$5:$W$9,MATCH(ROUNDUP((AE$1)/10,0)*10,[1]Hugst!$R$4:$W$4,0))))</f>
        <v>0</v>
      </c>
      <c r="AF52">
        <f>IF($C52-AF$1&lt;År1,0,AE51*(1-VLOOKUP($A52,[1]Hugst!$R$5:$W$9,MATCH(ROUNDUP((AF$1)/10,0)*10,[1]Hugst!$R$4:$W$4,0))))</f>
        <v>0</v>
      </c>
      <c r="AG52">
        <f>IF($C52-AG$1&lt;År1,0,AF51*(1-VLOOKUP($A52,[1]Hugst!$R$5:$W$9,MATCH(ROUNDUP((AG$1)/10,0)*10,[1]Hugst!$R$4:$W$4,0))))</f>
        <v>0</v>
      </c>
      <c r="AH52">
        <f>IF($C52-AH$1&lt;År1,0,AG51*(1-VLOOKUP($A52,[1]Hugst!$R$5:$W$9,MATCH(ROUNDUP((AH$1)/10,0)*10,[1]Hugst!$R$4:$W$4,0))))</f>
        <v>0</v>
      </c>
      <c r="AI52">
        <f>IF($C52-AI$1&lt;År1,0,AH51*(1-VLOOKUP($A52,[1]Hugst!$R$5:$W$9,MATCH(ROUNDUP((AI$1)/10,0)*10,[1]Hugst!$R$4:$W$4,0))))</f>
        <v>0</v>
      </c>
      <c r="AJ52">
        <f>IF($C52-AJ$1&lt;År1,0,AI51*(1-VLOOKUP($A52,[1]Hugst!$R$5:$W$9,MATCH(ROUNDUP((AJ$1)/10,0)*10,[1]Hugst!$R$4:$W$4,0))))</f>
        <v>0</v>
      </c>
    </row>
    <row r="53" spans="1:38" x14ac:dyDescent="0.25">
      <c r="A53" t="s">
        <v>176</v>
      </c>
      <c r="B53" t="s">
        <v>24</v>
      </c>
      <c r="C53">
        <v>2040</v>
      </c>
      <c r="D53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0</v>
      </c>
      <c r="E53">
        <f t="shared" ca="1" si="0"/>
        <v>0</v>
      </c>
      <c r="F53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>
        <f ca="1">IF($C53-G$1&lt;År1,0,F52*(1-VLOOKUP($A53,[1]Hugst!$R$5:$W$9,MATCH(ROUNDUP((G$1)/10,0)*10,[1]Hugst!$R$4:$W$4,0))))</f>
        <v>0</v>
      </c>
      <c r="H53">
        <f ca="1">IF($C53-H$1&lt;År1,0,G52*(1-VLOOKUP($A53,[1]Hugst!$R$5:$W$9,MATCH(ROUNDUP((H$1)/10,0)*10,[1]Hugst!$R$4:$W$4,0))))</f>
        <v>0</v>
      </c>
      <c r="I53">
        <f ca="1">IF($C53-I$1&lt;År1,0,H52*(1-VLOOKUP($A53,[1]Hugst!$R$5:$W$9,MATCH(ROUNDUP((I$1)/10,0)*10,[1]Hugst!$R$4:$W$4,0))))</f>
        <v>0</v>
      </c>
      <c r="J53">
        <f ca="1">IF($C53-J$1&lt;År1,0,I52*(1-VLOOKUP($A53,[1]Hugst!$R$5:$W$9,MATCH(ROUNDUP((J$1)/10,0)*10,[1]Hugst!$R$4:$W$4,0))))</f>
        <v>0</v>
      </c>
      <c r="K53">
        <f ca="1">IF($C53-K$1&lt;År1,0,J52*(1-VLOOKUP($A53,[1]Hugst!$R$5:$W$9,MATCH(ROUNDUP((K$1)/10,0)*10,[1]Hugst!$R$4:$W$4,0))))</f>
        <v>0</v>
      </c>
      <c r="L53">
        <f ca="1">IF($C53-L$1&lt;År1,0,K52*(1-VLOOKUP($A53,[1]Hugst!$R$5:$W$9,MATCH(ROUNDUP((L$1)/10,0)*10,[1]Hugst!$R$4:$W$4,0))))</f>
        <v>0</v>
      </c>
      <c r="M53">
        <f ca="1">IF($C53-M$1&lt;År1,0,L52*(1-VLOOKUP($A53,[1]Hugst!$R$5:$W$9,MATCH(ROUNDUP((M$1)/10,0)*10,[1]Hugst!$R$4:$W$4,0))))</f>
        <v>0</v>
      </c>
      <c r="N53">
        <f ca="1">IF($C53-N$1&lt;År1,0,M52*(1-VLOOKUP($A53,[1]Hugst!$R$5:$W$9,MATCH(ROUNDUP((N$1)/10,0)*10,[1]Hugst!$R$4:$W$4,0))))</f>
        <v>0</v>
      </c>
      <c r="O53">
        <f ca="1">IF($C53-O$1&lt;År1,0,N52*(1-VLOOKUP($A53,[1]Hugst!$R$5:$W$9,MATCH(ROUNDUP((O$1)/10,0)*10,[1]Hugst!$R$4:$W$4,0))))</f>
        <v>0</v>
      </c>
      <c r="P53">
        <f ca="1">IF($C53-P$1&lt;År1,0,O52*(1-VLOOKUP($A53,[1]Hugst!$R$5:$W$9,MATCH(ROUNDUP((P$1)/10,0)*10,[1]Hugst!$R$4:$W$4,0))))</f>
        <v>0</v>
      </c>
      <c r="Q53">
        <f ca="1">IF($C53-Q$1&lt;År1,0,P52*(1-VLOOKUP($A53,[1]Hugst!$R$5:$W$9,MATCH(ROUNDUP((Q$1)/10,0)*10,[1]Hugst!$R$4:$W$4,0))))</f>
        <v>0</v>
      </c>
      <c r="R53">
        <f ca="1">IF($C53-R$1&lt;År1,0,Q52*(1-VLOOKUP($A53,[1]Hugst!$R$5:$W$9,MATCH(ROUNDUP((R$1)/10,0)*10,[1]Hugst!$R$4:$W$4,0))))</f>
        <v>0</v>
      </c>
      <c r="S53">
        <f ca="1">IF($C53-S$1&lt;År1,0,R52*(1-VLOOKUP($A53,[1]Hugst!$R$5:$W$9,MATCH(ROUNDUP((S$1)/10,0)*10,[1]Hugst!$R$4:$W$4,0))))</f>
        <v>0</v>
      </c>
      <c r="T53">
        <f ca="1">IF($C53-T$1&lt;År1,0,S52*(1-VLOOKUP($A53,[1]Hugst!$R$5:$W$9,MATCH(ROUNDUP((T$1)/10,0)*10,[1]Hugst!$R$4:$W$4,0))))</f>
        <v>0</v>
      </c>
      <c r="U53">
        <f ca="1">IF($C53-U$1&lt;År1,0,T52*(1-VLOOKUP($A53,[1]Hugst!$R$5:$W$9,MATCH(ROUNDUP((U$1)/10,0)*10,[1]Hugst!$R$4:$W$4,0))))</f>
        <v>0</v>
      </c>
      <c r="V53">
        <f ca="1">IF($C53-V$1&lt;År1,0,U52*(1-VLOOKUP($A53,[1]Hugst!$R$5:$W$9,MATCH(ROUNDUP((V$1)/10,0)*10,[1]Hugst!$R$4:$W$4,0))))</f>
        <v>0</v>
      </c>
      <c r="W53">
        <f ca="1">IF($C53-W$1&lt;År1,0,V52*(1-VLOOKUP($A53,[1]Hugst!$R$5:$W$9,MATCH(ROUNDUP((W$1)/10,0)*10,[1]Hugst!$R$4:$W$4,0))))</f>
        <v>0</v>
      </c>
      <c r="X53">
        <f ca="1">IF($C53-X$1&lt;År1,0,W52*(1-VLOOKUP($A53,[1]Hugst!$R$5:$W$9,MATCH(ROUNDUP((X$1)/10,0)*10,[1]Hugst!$R$4:$W$4,0))))</f>
        <v>0</v>
      </c>
      <c r="Y53">
        <f ca="1">IF($C53-Y$1&lt;År1,0,X52*(1-VLOOKUP($A53,[1]Hugst!$R$5:$W$9,MATCH(ROUNDUP((Y$1)/10,0)*10,[1]Hugst!$R$4:$W$4,0))))</f>
        <v>0</v>
      </c>
      <c r="Z53">
        <f ca="1">IF($C53-Z$1&lt;År1,0,Y52*(1-VLOOKUP($A53,[1]Hugst!$R$5:$W$9,MATCH(ROUNDUP((Z$1)/10,0)*10,[1]Hugst!$R$4:$W$4,0))))</f>
        <v>0</v>
      </c>
      <c r="AA53">
        <f>IF($C53-AA$1&lt;År1,0,Z52*(1-VLOOKUP($A53,[1]Hugst!$R$5:$W$9,MATCH(ROUNDUP((AA$1)/10,0)*10,[1]Hugst!$R$4:$W$4,0))))</f>
        <v>0</v>
      </c>
      <c r="AB53">
        <f>IF($C53-AB$1&lt;År1,0,AA52*(1-VLOOKUP($A53,[1]Hugst!$R$5:$W$9,MATCH(ROUNDUP((AB$1)/10,0)*10,[1]Hugst!$R$4:$W$4,0))))</f>
        <v>0</v>
      </c>
      <c r="AC53">
        <f>IF($C53-AC$1&lt;År1,0,AB52*(1-VLOOKUP($A53,[1]Hugst!$R$5:$W$9,MATCH(ROUNDUP((AC$1)/10,0)*10,[1]Hugst!$R$4:$W$4,0))))</f>
        <v>0</v>
      </c>
      <c r="AD53">
        <f>IF($C53-AD$1&lt;År1,0,AC52*(1-VLOOKUP($A53,[1]Hugst!$R$5:$W$9,MATCH(ROUNDUP((AD$1)/10,0)*10,[1]Hugst!$R$4:$W$4,0))))</f>
        <v>0</v>
      </c>
      <c r="AE53">
        <f>IF($C53-AE$1&lt;År1,0,AD52*(1-VLOOKUP($A53,[1]Hugst!$R$5:$W$9,MATCH(ROUNDUP((AE$1)/10,0)*10,[1]Hugst!$R$4:$W$4,0))))</f>
        <v>0</v>
      </c>
      <c r="AF53">
        <f>IF($C53-AF$1&lt;År1,0,AE52*(1-VLOOKUP($A53,[1]Hugst!$R$5:$W$9,MATCH(ROUNDUP((AF$1)/10,0)*10,[1]Hugst!$R$4:$W$4,0))))</f>
        <v>0</v>
      </c>
      <c r="AG53">
        <f>IF($C53-AG$1&lt;År1,0,AF52*(1-VLOOKUP($A53,[1]Hugst!$R$5:$W$9,MATCH(ROUNDUP((AG$1)/10,0)*10,[1]Hugst!$R$4:$W$4,0))))</f>
        <v>0</v>
      </c>
      <c r="AH53">
        <f>IF($C53-AH$1&lt;År1,0,AG52*(1-VLOOKUP($A53,[1]Hugst!$R$5:$W$9,MATCH(ROUNDUP((AH$1)/10,0)*10,[1]Hugst!$R$4:$W$4,0))))</f>
        <v>0</v>
      </c>
      <c r="AI53">
        <f>IF($C53-AI$1&lt;År1,0,AH52*(1-VLOOKUP($A53,[1]Hugst!$R$5:$W$9,MATCH(ROUNDUP((AI$1)/10,0)*10,[1]Hugst!$R$4:$W$4,0))))</f>
        <v>0</v>
      </c>
      <c r="AJ53">
        <f>IF($C53-AJ$1&lt;År1,0,AI52*(1-VLOOKUP($A53,[1]Hugst!$R$5:$W$9,MATCH(ROUNDUP((AJ$1)/10,0)*10,[1]Hugst!$R$4:$W$4,0))))</f>
        <v>0</v>
      </c>
    </row>
    <row r="54" spans="1:38" x14ac:dyDescent="0.25">
      <c r="A54" t="s">
        <v>176</v>
      </c>
      <c r="B54" t="s">
        <v>24</v>
      </c>
      <c r="C54">
        <v>2041</v>
      </c>
      <c r="D54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0</v>
      </c>
      <c r="E54">
        <f t="shared" ca="1" si="0"/>
        <v>0</v>
      </c>
      <c r="F54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>
        <f ca="1">IF($C54-G$1&lt;År1,0,F53*(1-VLOOKUP($A54,[1]Hugst!$R$5:$W$9,MATCH(ROUNDUP((G$1)/10,0)*10,[1]Hugst!$R$4:$W$4,0))))</f>
        <v>0</v>
      </c>
      <c r="H54">
        <f ca="1">IF($C54-H$1&lt;År1,0,G53*(1-VLOOKUP($A54,[1]Hugst!$R$5:$W$9,MATCH(ROUNDUP((H$1)/10,0)*10,[1]Hugst!$R$4:$W$4,0))))</f>
        <v>0</v>
      </c>
      <c r="I54">
        <f ca="1">IF($C54-I$1&lt;År1,0,H53*(1-VLOOKUP($A54,[1]Hugst!$R$5:$W$9,MATCH(ROUNDUP((I$1)/10,0)*10,[1]Hugst!$R$4:$W$4,0))))</f>
        <v>0</v>
      </c>
      <c r="J54">
        <f ca="1">IF($C54-J$1&lt;År1,0,I53*(1-VLOOKUP($A54,[1]Hugst!$R$5:$W$9,MATCH(ROUNDUP((J$1)/10,0)*10,[1]Hugst!$R$4:$W$4,0))))</f>
        <v>0</v>
      </c>
      <c r="K54">
        <f ca="1">IF($C54-K$1&lt;År1,0,J53*(1-VLOOKUP($A54,[1]Hugst!$R$5:$W$9,MATCH(ROUNDUP((K$1)/10,0)*10,[1]Hugst!$R$4:$W$4,0))))</f>
        <v>0</v>
      </c>
      <c r="L54">
        <f ca="1">IF($C54-L$1&lt;År1,0,K53*(1-VLOOKUP($A54,[1]Hugst!$R$5:$W$9,MATCH(ROUNDUP((L$1)/10,0)*10,[1]Hugst!$R$4:$W$4,0))))</f>
        <v>0</v>
      </c>
      <c r="M54">
        <f ca="1">IF($C54-M$1&lt;År1,0,L53*(1-VLOOKUP($A54,[1]Hugst!$R$5:$W$9,MATCH(ROUNDUP((M$1)/10,0)*10,[1]Hugst!$R$4:$W$4,0))))</f>
        <v>0</v>
      </c>
      <c r="N54">
        <f ca="1">IF($C54-N$1&lt;År1,0,M53*(1-VLOOKUP($A54,[1]Hugst!$R$5:$W$9,MATCH(ROUNDUP((N$1)/10,0)*10,[1]Hugst!$R$4:$W$4,0))))</f>
        <v>0</v>
      </c>
      <c r="O54">
        <f ca="1">IF($C54-O$1&lt;År1,0,N53*(1-VLOOKUP($A54,[1]Hugst!$R$5:$W$9,MATCH(ROUNDUP((O$1)/10,0)*10,[1]Hugst!$R$4:$W$4,0))))</f>
        <v>0</v>
      </c>
      <c r="P54">
        <f ca="1">IF($C54-P$1&lt;År1,0,O53*(1-VLOOKUP($A54,[1]Hugst!$R$5:$W$9,MATCH(ROUNDUP((P$1)/10,0)*10,[1]Hugst!$R$4:$W$4,0))))</f>
        <v>0</v>
      </c>
      <c r="Q54">
        <f ca="1">IF($C54-Q$1&lt;År1,0,P53*(1-VLOOKUP($A54,[1]Hugst!$R$5:$W$9,MATCH(ROUNDUP((Q$1)/10,0)*10,[1]Hugst!$R$4:$W$4,0))))</f>
        <v>0</v>
      </c>
      <c r="R54">
        <f ca="1">IF($C54-R$1&lt;År1,0,Q53*(1-VLOOKUP($A54,[1]Hugst!$R$5:$W$9,MATCH(ROUNDUP((R$1)/10,0)*10,[1]Hugst!$R$4:$W$4,0))))</f>
        <v>0</v>
      </c>
      <c r="S54">
        <f ca="1">IF($C54-S$1&lt;År1,0,R53*(1-VLOOKUP($A54,[1]Hugst!$R$5:$W$9,MATCH(ROUNDUP((S$1)/10,0)*10,[1]Hugst!$R$4:$W$4,0))))</f>
        <v>0</v>
      </c>
      <c r="T54">
        <f ca="1">IF($C54-T$1&lt;År1,0,S53*(1-VLOOKUP($A54,[1]Hugst!$R$5:$W$9,MATCH(ROUNDUP((T$1)/10,0)*10,[1]Hugst!$R$4:$W$4,0))))</f>
        <v>0</v>
      </c>
      <c r="U54">
        <f ca="1">IF($C54-U$1&lt;År1,0,T53*(1-VLOOKUP($A54,[1]Hugst!$R$5:$W$9,MATCH(ROUNDUP((U$1)/10,0)*10,[1]Hugst!$R$4:$W$4,0))))</f>
        <v>0</v>
      </c>
      <c r="V54">
        <f ca="1">IF($C54-V$1&lt;År1,0,U53*(1-VLOOKUP($A54,[1]Hugst!$R$5:$W$9,MATCH(ROUNDUP((V$1)/10,0)*10,[1]Hugst!$R$4:$W$4,0))))</f>
        <v>0</v>
      </c>
      <c r="W54">
        <f ca="1">IF($C54-W$1&lt;År1,0,V53*(1-VLOOKUP($A54,[1]Hugst!$R$5:$W$9,MATCH(ROUNDUP((W$1)/10,0)*10,[1]Hugst!$R$4:$W$4,0))))</f>
        <v>0</v>
      </c>
      <c r="X54">
        <f ca="1">IF($C54-X$1&lt;År1,0,W53*(1-VLOOKUP($A54,[1]Hugst!$R$5:$W$9,MATCH(ROUNDUP((X$1)/10,0)*10,[1]Hugst!$R$4:$W$4,0))))</f>
        <v>0</v>
      </c>
      <c r="Y54">
        <f ca="1">IF($C54-Y$1&lt;År1,0,X53*(1-VLOOKUP($A54,[1]Hugst!$R$5:$W$9,MATCH(ROUNDUP((Y$1)/10,0)*10,[1]Hugst!$R$4:$W$4,0))))</f>
        <v>0</v>
      </c>
      <c r="Z54">
        <f ca="1">IF($C54-Z$1&lt;År1,0,Y53*(1-VLOOKUP($A54,[1]Hugst!$R$5:$W$9,MATCH(ROUNDUP((Z$1)/10,0)*10,[1]Hugst!$R$4:$W$4,0))))</f>
        <v>0</v>
      </c>
      <c r="AA54">
        <f ca="1">IF($C54-AA$1&lt;År1,0,Z53*(1-VLOOKUP($A54,[1]Hugst!$R$5:$W$9,MATCH(ROUNDUP((AA$1)/10,0)*10,[1]Hugst!$R$4:$W$4,0))))</f>
        <v>0</v>
      </c>
      <c r="AB54">
        <f>IF($C54-AB$1&lt;År1,0,AA53*(1-VLOOKUP($A54,[1]Hugst!$R$5:$W$9,MATCH(ROUNDUP((AB$1)/10,0)*10,[1]Hugst!$R$4:$W$4,0))))</f>
        <v>0</v>
      </c>
      <c r="AC54">
        <f>IF($C54-AC$1&lt;År1,0,AB53*(1-VLOOKUP($A54,[1]Hugst!$R$5:$W$9,MATCH(ROUNDUP((AC$1)/10,0)*10,[1]Hugst!$R$4:$W$4,0))))</f>
        <v>0</v>
      </c>
      <c r="AD54">
        <f>IF($C54-AD$1&lt;År1,0,AC53*(1-VLOOKUP($A54,[1]Hugst!$R$5:$W$9,MATCH(ROUNDUP((AD$1)/10,0)*10,[1]Hugst!$R$4:$W$4,0))))</f>
        <v>0</v>
      </c>
      <c r="AE54">
        <f>IF($C54-AE$1&lt;År1,0,AD53*(1-VLOOKUP($A54,[1]Hugst!$R$5:$W$9,MATCH(ROUNDUP((AE$1)/10,0)*10,[1]Hugst!$R$4:$W$4,0))))</f>
        <v>0</v>
      </c>
      <c r="AF54">
        <f>IF($C54-AF$1&lt;År1,0,AE53*(1-VLOOKUP($A54,[1]Hugst!$R$5:$W$9,MATCH(ROUNDUP((AF$1)/10,0)*10,[1]Hugst!$R$4:$W$4,0))))</f>
        <v>0</v>
      </c>
      <c r="AG54">
        <f>IF($C54-AG$1&lt;År1,0,AF53*(1-VLOOKUP($A54,[1]Hugst!$R$5:$W$9,MATCH(ROUNDUP((AG$1)/10,0)*10,[1]Hugst!$R$4:$W$4,0))))</f>
        <v>0</v>
      </c>
      <c r="AH54">
        <f>IF($C54-AH$1&lt;År1,0,AG53*(1-VLOOKUP($A54,[1]Hugst!$R$5:$W$9,MATCH(ROUNDUP((AH$1)/10,0)*10,[1]Hugst!$R$4:$W$4,0))))</f>
        <v>0</v>
      </c>
      <c r="AI54">
        <f>IF($C54-AI$1&lt;År1,0,AH53*(1-VLOOKUP($A54,[1]Hugst!$R$5:$W$9,MATCH(ROUNDUP((AI$1)/10,0)*10,[1]Hugst!$R$4:$W$4,0))))</f>
        <v>0</v>
      </c>
      <c r="AJ54">
        <f>IF($C54-AJ$1&lt;År1,0,AI53*(1-VLOOKUP($A54,[1]Hugst!$R$5:$W$9,MATCH(ROUNDUP((AJ$1)/10,0)*10,[1]Hugst!$R$4:$W$4,0))))</f>
        <v>0</v>
      </c>
    </row>
    <row r="55" spans="1:38" x14ac:dyDescent="0.25">
      <c r="A55" t="s">
        <v>176</v>
      </c>
      <c r="B55" t="s">
        <v>24</v>
      </c>
      <c r="C55">
        <v>2042</v>
      </c>
      <c r="D55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0</v>
      </c>
      <c r="E55">
        <f t="shared" ca="1" si="0"/>
        <v>0</v>
      </c>
      <c r="F55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>
        <f ca="1">IF($C55-G$1&lt;År1,0,F54*(1-VLOOKUP($A55,[1]Hugst!$R$5:$W$9,MATCH(ROUNDUP((G$1)/10,0)*10,[1]Hugst!$R$4:$W$4,0))))</f>
        <v>0</v>
      </c>
      <c r="H55">
        <f ca="1">IF($C55-H$1&lt;År1,0,G54*(1-VLOOKUP($A55,[1]Hugst!$R$5:$W$9,MATCH(ROUNDUP((H$1)/10,0)*10,[1]Hugst!$R$4:$W$4,0))))</f>
        <v>0</v>
      </c>
      <c r="I55">
        <f ca="1">IF($C55-I$1&lt;År1,0,H54*(1-VLOOKUP($A55,[1]Hugst!$R$5:$W$9,MATCH(ROUNDUP((I$1)/10,0)*10,[1]Hugst!$R$4:$W$4,0))))</f>
        <v>0</v>
      </c>
      <c r="J55">
        <f ca="1">IF($C55-J$1&lt;År1,0,I54*(1-VLOOKUP($A55,[1]Hugst!$R$5:$W$9,MATCH(ROUNDUP((J$1)/10,0)*10,[1]Hugst!$R$4:$W$4,0))))</f>
        <v>0</v>
      </c>
      <c r="K55">
        <f ca="1">IF($C55-K$1&lt;År1,0,J54*(1-VLOOKUP($A55,[1]Hugst!$R$5:$W$9,MATCH(ROUNDUP((K$1)/10,0)*10,[1]Hugst!$R$4:$W$4,0))))</f>
        <v>0</v>
      </c>
      <c r="L55">
        <f ca="1">IF($C55-L$1&lt;År1,0,K54*(1-VLOOKUP($A55,[1]Hugst!$R$5:$W$9,MATCH(ROUNDUP((L$1)/10,0)*10,[1]Hugst!$R$4:$W$4,0))))</f>
        <v>0</v>
      </c>
      <c r="M55">
        <f ca="1">IF($C55-M$1&lt;År1,0,L54*(1-VLOOKUP($A55,[1]Hugst!$R$5:$W$9,MATCH(ROUNDUP((M$1)/10,0)*10,[1]Hugst!$R$4:$W$4,0))))</f>
        <v>0</v>
      </c>
      <c r="N55">
        <f ca="1">IF($C55-N$1&lt;År1,0,M54*(1-VLOOKUP($A55,[1]Hugst!$R$5:$W$9,MATCH(ROUNDUP((N$1)/10,0)*10,[1]Hugst!$R$4:$W$4,0))))</f>
        <v>0</v>
      </c>
      <c r="O55">
        <f ca="1">IF($C55-O$1&lt;År1,0,N54*(1-VLOOKUP($A55,[1]Hugst!$R$5:$W$9,MATCH(ROUNDUP((O$1)/10,0)*10,[1]Hugst!$R$4:$W$4,0))))</f>
        <v>0</v>
      </c>
      <c r="P55">
        <f ca="1">IF($C55-P$1&lt;År1,0,O54*(1-VLOOKUP($A55,[1]Hugst!$R$5:$W$9,MATCH(ROUNDUP((P$1)/10,0)*10,[1]Hugst!$R$4:$W$4,0))))</f>
        <v>0</v>
      </c>
      <c r="Q55">
        <f ca="1">IF($C55-Q$1&lt;År1,0,P54*(1-VLOOKUP($A55,[1]Hugst!$R$5:$W$9,MATCH(ROUNDUP((Q$1)/10,0)*10,[1]Hugst!$R$4:$W$4,0))))</f>
        <v>0</v>
      </c>
      <c r="R55">
        <f ca="1">IF($C55-R$1&lt;År1,0,Q54*(1-VLOOKUP($A55,[1]Hugst!$R$5:$W$9,MATCH(ROUNDUP((R$1)/10,0)*10,[1]Hugst!$R$4:$W$4,0))))</f>
        <v>0</v>
      </c>
      <c r="S55">
        <f ca="1">IF($C55-S$1&lt;År1,0,R54*(1-VLOOKUP($A55,[1]Hugst!$R$5:$W$9,MATCH(ROUNDUP((S$1)/10,0)*10,[1]Hugst!$R$4:$W$4,0))))</f>
        <v>0</v>
      </c>
      <c r="T55">
        <f ca="1">IF($C55-T$1&lt;År1,0,S54*(1-VLOOKUP($A55,[1]Hugst!$R$5:$W$9,MATCH(ROUNDUP((T$1)/10,0)*10,[1]Hugst!$R$4:$W$4,0))))</f>
        <v>0</v>
      </c>
      <c r="U55">
        <f ca="1">IF($C55-U$1&lt;År1,0,T54*(1-VLOOKUP($A55,[1]Hugst!$R$5:$W$9,MATCH(ROUNDUP((U$1)/10,0)*10,[1]Hugst!$R$4:$W$4,0))))</f>
        <v>0</v>
      </c>
      <c r="V55">
        <f ca="1">IF($C55-V$1&lt;År1,0,U54*(1-VLOOKUP($A55,[1]Hugst!$R$5:$W$9,MATCH(ROUNDUP((V$1)/10,0)*10,[1]Hugst!$R$4:$W$4,0))))</f>
        <v>0</v>
      </c>
      <c r="W55">
        <f ca="1">IF($C55-W$1&lt;År1,0,V54*(1-VLOOKUP($A55,[1]Hugst!$R$5:$W$9,MATCH(ROUNDUP((W$1)/10,0)*10,[1]Hugst!$R$4:$W$4,0))))</f>
        <v>0</v>
      </c>
      <c r="X55">
        <f ca="1">IF($C55-X$1&lt;År1,0,W54*(1-VLOOKUP($A55,[1]Hugst!$R$5:$W$9,MATCH(ROUNDUP((X$1)/10,0)*10,[1]Hugst!$R$4:$W$4,0))))</f>
        <v>0</v>
      </c>
      <c r="Y55">
        <f ca="1">IF($C55-Y$1&lt;År1,0,X54*(1-VLOOKUP($A55,[1]Hugst!$R$5:$W$9,MATCH(ROUNDUP((Y$1)/10,0)*10,[1]Hugst!$R$4:$W$4,0))))</f>
        <v>0</v>
      </c>
      <c r="Z55">
        <f ca="1">IF($C55-Z$1&lt;År1,0,Y54*(1-VLOOKUP($A55,[1]Hugst!$R$5:$W$9,MATCH(ROUNDUP((Z$1)/10,0)*10,[1]Hugst!$R$4:$W$4,0))))</f>
        <v>0</v>
      </c>
      <c r="AA55">
        <f ca="1">IF($C55-AA$1&lt;År1,0,Z54*(1-VLOOKUP($A55,[1]Hugst!$R$5:$W$9,MATCH(ROUNDUP((AA$1)/10,0)*10,[1]Hugst!$R$4:$W$4,0))))</f>
        <v>0</v>
      </c>
      <c r="AB55">
        <f ca="1">IF($C55-AB$1&lt;År1,0,AA54*(1-VLOOKUP($A55,[1]Hugst!$R$5:$W$9,MATCH(ROUNDUP((AB$1)/10,0)*10,[1]Hugst!$R$4:$W$4,0))))</f>
        <v>0</v>
      </c>
      <c r="AC55">
        <f>IF($C55-AC$1&lt;År1,0,AB54*(1-VLOOKUP($A55,[1]Hugst!$R$5:$W$9,MATCH(ROUNDUP((AC$1)/10,0)*10,[1]Hugst!$R$4:$W$4,0))))</f>
        <v>0</v>
      </c>
      <c r="AD55">
        <f>IF($C55-AD$1&lt;År1,0,AC54*(1-VLOOKUP($A55,[1]Hugst!$R$5:$W$9,MATCH(ROUNDUP((AD$1)/10,0)*10,[1]Hugst!$R$4:$W$4,0))))</f>
        <v>0</v>
      </c>
      <c r="AE55">
        <f>IF($C55-AE$1&lt;År1,0,AD54*(1-VLOOKUP($A55,[1]Hugst!$R$5:$W$9,MATCH(ROUNDUP((AE$1)/10,0)*10,[1]Hugst!$R$4:$W$4,0))))</f>
        <v>0</v>
      </c>
      <c r="AF55">
        <f>IF($C55-AF$1&lt;År1,0,AE54*(1-VLOOKUP($A55,[1]Hugst!$R$5:$W$9,MATCH(ROUNDUP((AF$1)/10,0)*10,[1]Hugst!$R$4:$W$4,0))))</f>
        <v>0</v>
      </c>
      <c r="AG55">
        <f>IF($C55-AG$1&lt;År1,0,AF54*(1-VLOOKUP($A55,[1]Hugst!$R$5:$W$9,MATCH(ROUNDUP((AG$1)/10,0)*10,[1]Hugst!$R$4:$W$4,0))))</f>
        <v>0</v>
      </c>
      <c r="AH55">
        <f>IF($C55-AH$1&lt;År1,0,AG54*(1-VLOOKUP($A55,[1]Hugst!$R$5:$W$9,MATCH(ROUNDUP((AH$1)/10,0)*10,[1]Hugst!$R$4:$W$4,0))))</f>
        <v>0</v>
      </c>
      <c r="AI55">
        <f>IF($C55-AI$1&lt;År1,0,AH54*(1-VLOOKUP($A55,[1]Hugst!$R$5:$W$9,MATCH(ROUNDUP((AI$1)/10,0)*10,[1]Hugst!$R$4:$W$4,0))))</f>
        <v>0</v>
      </c>
      <c r="AJ55">
        <f>IF($C55-AJ$1&lt;År1,0,AI54*(1-VLOOKUP($A55,[1]Hugst!$R$5:$W$9,MATCH(ROUNDUP((AJ$1)/10,0)*10,[1]Hugst!$R$4:$W$4,0))))</f>
        <v>0</v>
      </c>
    </row>
    <row r="56" spans="1:38" x14ac:dyDescent="0.25">
      <c r="A56" t="s">
        <v>176</v>
      </c>
      <c r="B56" t="s">
        <v>24</v>
      </c>
      <c r="C56">
        <v>2043</v>
      </c>
      <c r="D56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0</v>
      </c>
      <c r="E56">
        <f t="shared" ca="1" si="0"/>
        <v>0</v>
      </c>
      <c r="F56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>
        <f ca="1">IF($C56-G$1&lt;År1,0,F55*(1-VLOOKUP($A56,[1]Hugst!$R$5:$W$9,MATCH(ROUNDUP((G$1)/10,0)*10,[1]Hugst!$R$4:$W$4,0))))</f>
        <v>0</v>
      </c>
      <c r="H56">
        <f ca="1">IF($C56-H$1&lt;År1,0,G55*(1-VLOOKUP($A56,[1]Hugst!$R$5:$W$9,MATCH(ROUNDUP((H$1)/10,0)*10,[1]Hugst!$R$4:$W$4,0))))</f>
        <v>0</v>
      </c>
      <c r="I56">
        <f ca="1">IF($C56-I$1&lt;År1,0,H55*(1-VLOOKUP($A56,[1]Hugst!$R$5:$W$9,MATCH(ROUNDUP((I$1)/10,0)*10,[1]Hugst!$R$4:$W$4,0))))</f>
        <v>0</v>
      </c>
      <c r="J56">
        <f ca="1">IF($C56-J$1&lt;År1,0,I55*(1-VLOOKUP($A56,[1]Hugst!$R$5:$W$9,MATCH(ROUNDUP((J$1)/10,0)*10,[1]Hugst!$R$4:$W$4,0))))</f>
        <v>0</v>
      </c>
      <c r="K56">
        <f ca="1">IF($C56-K$1&lt;År1,0,J55*(1-VLOOKUP($A56,[1]Hugst!$R$5:$W$9,MATCH(ROUNDUP((K$1)/10,0)*10,[1]Hugst!$R$4:$W$4,0))))</f>
        <v>0</v>
      </c>
      <c r="L56">
        <f ca="1">IF($C56-L$1&lt;År1,0,K55*(1-VLOOKUP($A56,[1]Hugst!$R$5:$W$9,MATCH(ROUNDUP((L$1)/10,0)*10,[1]Hugst!$R$4:$W$4,0))))</f>
        <v>0</v>
      </c>
      <c r="M56">
        <f ca="1">IF($C56-M$1&lt;År1,0,L55*(1-VLOOKUP($A56,[1]Hugst!$R$5:$W$9,MATCH(ROUNDUP((M$1)/10,0)*10,[1]Hugst!$R$4:$W$4,0))))</f>
        <v>0</v>
      </c>
      <c r="N56">
        <f ca="1">IF($C56-N$1&lt;År1,0,M55*(1-VLOOKUP($A56,[1]Hugst!$R$5:$W$9,MATCH(ROUNDUP((N$1)/10,0)*10,[1]Hugst!$R$4:$W$4,0))))</f>
        <v>0</v>
      </c>
      <c r="O56">
        <f ca="1">IF($C56-O$1&lt;År1,0,N55*(1-VLOOKUP($A56,[1]Hugst!$R$5:$W$9,MATCH(ROUNDUP((O$1)/10,0)*10,[1]Hugst!$R$4:$W$4,0))))</f>
        <v>0</v>
      </c>
      <c r="P56">
        <f ca="1">IF($C56-P$1&lt;År1,0,O55*(1-VLOOKUP($A56,[1]Hugst!$R$5:$W$9,MATCH(ROUNDUP((P$1)/10,0)*10,[1]Hugst!$R$4:$W$4,0))))</f>
        <v>0</v>
      </c>
      <c r="Q56">
        <f ca="1">IF($C56-Q$1&lt;År1,0,P55*(1-VLOOKUP($A56,[1]Hugst!$R$5:$W$9,MATCH(ROUNDUP((Q$1)/10,0)*10,[1]Hugst!$R$4:$W$4,0))))</f>
        <v>0</v>
      </c>
      <c r="R56">
        <f ca="1">IF($C56-R$1&lt;År1,0,Q55*(1-VLOOKUP($A56,[1]Hugst!$R$5:$W$9,MATCH(ROUNDUP((R$1)/10,0)*10,[1]Hugst!$R$4:$W$4,0))))</f>
        <v>0</v>
      </c>
      <c r="S56">
        <f ca="1">IF($C56-S$1&lt;År1,0,R55*(1-VLOOKUP($A56,[1]Hugst!$R$5:$W$9,MATCH(ROUNDUP((S$1)/10,0)*10,[1]Hugst!$R$4:$W$4,0))))</f>
        <v>0</v>
      </c>
      <c r="T56">
        <f ca="1">IF($C56-T$1&lt;År1,0,S55*(1-VLOOKUP($A56,[1]Hugst!$R$5:$W$9,MATCH(ROUNDUP((T$1)/10,0)*10,[1]Hugst!$R$4:$W$4,0))))</f>
        <v>0</v>
      </c>
      <c r="U56">
        <f ca="1">IF($C56-U$1&lt;År1,0,T55*(1-VLOOKUP($A56,[1]Hugst!$R$5:$W$9,MATCH(ROUNDUP((U$1)/10,0)*10,[1]Hugst!$R$4:$W$4,0))))</f>
        <v>0</v>
      </c>
      <c r="V56">
        <f ca="1">IF($C56-V$1&lt;År1,0,U55*(1-VLOOKUP($A56,[1]Hugst!$R$5:$W$9,MATCH(ROUNDUP((V$1)/10,0)*10,[1]Hugst!$R$4:$W$4,0))))</f>
        <v>0</v>
      </c>
      <c r="W56">
        <f ca="1">IF($C56-W$1&lt;År1,0,V55*(1-VLOOKUP($A56,[1]Hugst!$R$5:$W$9,MATCH(ROUNDUP((W$1)/10,0)*10,[1]Hugst!$R$4:$W$4,0))))</f>
        <v>0</v>
      </c>
      <c r="X56">
        <f ca="1">IF($C56-X$1&lt;År1,0,W55*(1-VLOOKUP($A56,[1]Hugst!$R$5:$W$9,MATCH(ROUNDUP((X$1)/10,0)*10,[1]Hugst!$R$4:$W$4,0))))</f>
        <v>0</v>
      </c>
      <c r="Y56">
        <f ca="1">IF($C56-Y$1&lt;År1,0,X55*(1-VLOOKUP($A56,[1]Hugst!$R$5:$W$9,MATCH(ROUNDUP((Y$1)/10,0)*10,[1]Hugst!$R$4:$W$4,0))))</f>
        <v>0</v>
      </c>
      <c r="Z56">
        <f ca="1">IF($C56-Z$1&lt;År1,0,Y55*(1-VLOOKUP($A56,[1]Hugst!$R$5:$W$9,MATCH(ROUNDUP((Z$1)/10,0)*10,[1]Hugst!$R$4:$W$4,0))))</f>
        <v>0</v>
      </c>
      <c r="AA56">
        <f ca="1">IF($C56-AA$1&lt;År1,0,Z55*(1-VLOOKUP($A56,[1]Hugst!$R$5:$W$9,MATCH(ROUNDUP((AA$1)/10,0)*10,[1]Hugst!$R$4:$W$4,0))))</f>
        <v>0</v>
      </c>
      <c r="AB56">
        <f ca="1">IF($C56-AB$1&lt;År1,0,AA55*(1-VLOOKUP($A56,[1]Hugst!$R$5:$W$9,MATCH(ROUNDUP((AB$1)/10,0)*10,[1]Hugst!$R$4:$W$4,0))))</f>
        <v>0</v>
      </c>
      <c r="AC56">
        <f ca="1">IF($C56-AC$1&lt;År1,0,AB55*(1-VLOOKUP($A56,[1]Hugst!$R$5:$W$9,MATCH(ROUNDUP((AC$1)/10,0)*10,[1]Hugst!$R$4:$W$4,0))))</f>
        <v>0</v>
      </c>
      <c r="AD56">
        <f>IF($C56-AD$1&lt;År1,0,AC55*(1-VLOOKUP($A56,[1]Hugst!$R$5:$W$9,MATCH(ROUNDUP((AD$1)/10,0)*10,[1]Hugst!$R$4:$W$4,0))))</f>
        <v>0</v>
      </c>
      <c r="AE56">
        <f>IF($C56-AE$1&lt;År1,0,AD55*(1-VLOOKUP($A56,[1]Hugst!$R$5:$W$9,MATCH(ROUNDUP((AE$1)/10,0)*10,[1]Hugst!$R$4:$W$4,0))))</f>
        <v>0</v>
      </c>
      <c r="AF56">
        <f>IF($C56-AF$1&lt;År1,0,AE55*(1-VLOOKUP($A56,[1]Hugst!$R$5:$W$9,MATCH(ROUNDUP((AF$1)/10,0)*10,[1]Hugst!$R$4:$W$4,0))))</f>
        <v>0</v>
      </c>
      <c r="AG56">
        <f>IF($C56-AG$1&lt;År1,0,AF55*(1-VLOOKUP($A56,[1]Hugst!$R$5:$W$9,MATCH(ROUNDUP((AG$1)/10,0)*10,[1]Hugst!$R$4:$W$4,0))))</f>
        <v>0</v>
      </c>
      <c r="AH56">
        <f>IF($C56-AH$1&lt;År1,0,AG55*(1-VLOOKUP($A56,[1]Hugst!$R$5:$W$9,MATCH(ROUNDUP((AH$1)/10,0)*10,[1]Hugst!$R$4:$W$4,0))))</f>
        <v>0</v>
      </c>
      <c r="AI56">
        <f>IF($C56-AI$1&lt;År1,0,AH55*(1-VLOOKUP($A56,[1]Hugst!$R$5:$W$9,MATCH(ROUNDUP((AI$1)/10,0)*10,[1]Hugst!$R$4:$W$4,0))))</f>
        <v>0</v>
      </c>
      <c r="AJ56">
        <f>IF($C56-AJ$1&lt;År1,0,AI55*(1-VLOOKUP($A56,[1]Hugst!$R$5:$W$9,MATCH(ROUNDUP((AJ$1)/10,0)*10,[1]Hugst!$R$4:$W$4,0))))</f>
        <v>0</v>
      </c>
    </row>
    <row r="57" spans="1:38" x14ac:dyDescent="0.25">
      <c r="A57" t="s">
        <v>176</v>
      </c>
      <c r="B57" t="s">
        <v>24</v>
      </c>
      <c r="C57">
        <v>2044</v>
      </c>
      <c r="D57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0</v>
      </c>
      <c r="E57">
        <f t="shared" ca="1" si="0"/>
        <v>0</v>
      </c>
      <c r="F57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>
        <f ca="1">IF($C57-G$1&lt;År1,0,F56*(1-VLOOKUP($A57,[1]Hugst!$R$5:$W$9,MATCH(ROUNDUP((G$1)/10,0)*10,[1]Hugst!$R$4:$W$4,0))))</f>
        <v>0</v>
      </c>
      <c r="H57">
        <f ca="1">IF($C57-H$1&lt;År1,0,G56*(1-VLOOKUP($A57,[1]Hugst!$R$5:$W$9,MATCH(ROUNDUP((H$1)/10,0)*10,[1]Hugst!$R$4:$W$4,0))))</f>
        <v>0</v>
      </c>
      <c r="I57">
        <f ca="1">IF($C57-I$1&lt;År1,0,H56*(1-VLOOKUP($A57,[1]Hugst!$R$5:$W$9,MATCH(ROUNDUP((I$1)/10,0)*10,[1]Hugst!$R$4:$W$4,0))))</f>
        <v>0</v>
      </c>
      <c r="J57">
        <f ca="1">IF($C57-J$1&lt;År1,0,I56*(1-VLOOKUP($A57,[1]Hugst!$R$5:$W$9,MATCH(ROUNDUP((J$1)/10,0)*10,[1]Hugst!$R$4:$W$4,0))))</f>
        <v>0</v>
      </c>
      <c r="K57">
        <f ca="1">IF($C57-K$1&lt;År1,0,J56*(1-VLOOKUP($A57,[1]Hugst!$R$5:$W$9,MATCH(ROUNDUP((K$1)/10,0)*10,[1]Hugst!$R$4:$W$4,0))))</f>
        <v>0</v>
      </c>
      <c r="L57">
        <f ca="1">IF($C57-L$1&lt;År1,0,K56*(1-VLOOKUP($A57,[1]Hugst!$R$5:$W$9,MATCH(ROUNDUP((L$1)/10,0)*10,[1]Hugst!$R$4:$W$4,0))))</f>
        <v>0</v>
      </c>
      <c r="M57">
        <f ca="1">IF($C57-M$1&lt;År1,0,L56*(1-VLOOKUP($A57,[1]Hugst!$R$5:$W$9,MATCH(ROUNDUP((M$1)/10,0)*10,[1]Hugst!$R$4:$W$4,0))))</f>
        <v>0</v>
      </c>
      <c r="N57">
        <f ca="1">IF($C57-N$1&lt;År1,0,M56*(1-VLOOKUP($A57,[1]Hugst!$R$5:$W$9,MATCH(ROUNDUP((N$1)/10,0)*10,[1]Hugst!$R$4:$W$4,0))))</f>
        <v>0</v>
      </c>
      <c r="O57">
        <f ca="1">IF($C57-O$1&lt;År1,0,N56*(1-VLOOKUP($A57,[1]Hugst!$R$5:$W$9,MATCH(ROUNDUP((O$1)/10,0)*10,[1]Hugst!$R$4:$W$4,0))))</f>
        <v>0</v>
      </c>
      <c r="P57">
        <f ca="1">IF($C57-P$1&lt;År1,0,O56*(1-VLOOKUP($A57,[1]Hugst!$R$5:$W$9,MATCH(ROUNDUP((P$1)/10,0)*10,[1]Hugst!$R$4:$W$4,0))))</f>
        <v>0</v>
      </c>
      <c r="Q57">
        <f ca="1">IF($C57-Q$1&lt;År1,0,P56*(1-VLOOKUP($A57,[1]Hugst!$R$5:$W$9,MATCH(ROUNDUP((Q$1)/10,0)*10,[1]Hugst!$R$4:$W$4,0))))</f>
        <v>0</v>
      </c>
      <c r="R57">
        <f ca="1">IF($C57-R$1&lt;År1,0,Q56*(1-VLOOKUP($A57,[1]Hugst!$R$5:$W$9,MATCH(ROUNDUP((R$1)/10,0)*10,[1]Hugst!$R$4:$W$4,0))))</f>
        <v>0</v>
      </c>
      <c r="S57">
        <f ca="1">IF($C57-S$1&lt;År1,0,R56*(1-VLOOKUP($A57,[1]Hugst!$R$5:$W$9,MATCH(ROUNDUP((S$1)/10,0)*10,[1]Hugst!$R$4:$W$4,0))))</f>
        <v>0</v>
      </c>
      <c r="T57">
        <f ca="1">IF($C57-T$1&lt;År1,0,S56*(1-VLOOKUP($A57,[1]Hugst!$R$5:$W$9,MATCH(ROUNDUP((T$1)/10,0)*10,[1]Hugst!$R$4:$W$4,0))))</f>
        <v>0</v>
      </c>
      <c r="U57">
        <f ca="1">IF($C57-U$1&lt;År1,0,T56*(1-VLOOKUP($A57,[1]Hugst!$R$5:$W$9,MATCH(ROUNDUP((U$1)/10,0)*10,[1]Hugst!$R$4:$W$4,0))))</f>
        <v>0</v>
      </c>
      <c r="V57">
        <f ca="1">IF($C57-V$1&lt;År1,0,U56*(1-VLOOKUP($A57,[1]Hugst!$R$5:$W$9,MATCH(ROUNDUP((V$1)/10,0)*10,[1]Hugst!$R$4:$W$4,0))))</f>
        <v>0</v>
      </c>
      <c r="W57">
        <f ca="1">IF($C57-W$1&lt;År1,0,V56*(1-VLOOKUP($A57,[1]Hugst!$R$5:$W$9,MATCH(ROUNDUP((W$1)/10,0)*10,[1]Hugst!$R$4:$W$4,0))))</f>
        <v>0</v>
      </c>
      <c r="X57">
        <f ca="1">IF($C57-X$1&lt;År1,0,W56*(1-VLOOKUP($A57,[1]Hugst!$R$5:$W$9,MATCH(ROUNDUP((X$1)/10,0)*10,[1]Hugst!$R$4:$W$4,0))))</f>
        <v>0</v>
      </c>
      <c r="Y57">
        <f ca="1">IF($C57-Y$1&lt;År1,0,X56*(1-VLOOKUP($A57,[1]Hugst!$R$5:$W$9,MATCH(ROUNDUP((Y$1)/10,0)*10,[1]Hugst!$R$4:$W$4,0))))</f>
        <v>0</v>
      </c>
      <c r="Z57">
        <f ca="1">IF($C57-Z$1&lt;År1,0,Y56*(1-VLOOKUP($A57,[1]Hugst!$R$5:$W$9,MATCH(ROUNDUP((Z$1)/10,0)*10,[1]Hugst!$R$4:$W$4,0))))</f>
        <v>0</v>
      </c>
      <c r="AA57">
        <f ca="1">IF($C57-AA$1&lt;År1,0,Z56*(1-VLOOKUP($A57,[1]Hugst!$R$5:$W$9,MATCH(ROUNDUP((AA$1)/10,0)*10,[1]Hugst!$R$4:$W$4,0))))</f>
        <v>0</v>
      </c>
      <c r="AB57">
        <f ca="1">IF($C57-AB$1&lt;År1,0,AA56*(1-VLOOKUP($A57,[1]Hugst!$R$5:$W$9,MATCH(ROUNDUP((AB$1)/10,0)*10,[1]Hugst!$R$4:$W$4,0))))</f>
        <v>0</v>
      </c>
      <c r="AC57">
        <f ca="1">IF($C57-AC$1&lt;År1,0,AB56*(1-VLOOKUP($A57,[1]Hugst!$R$5:$W$9,MATCH(ROUNDUP((AC$1)/10,0)*10,[1]Hugst!$R$4:$W$4,0))))</f>
        <v>0</v>
      </c>
      <c r="AD57">
        <f ca="1">IF($C57-AD$1&lt;År1,0,AC56*(1-VLOOKUP($A57,[1]Hugst!$R$5:$W$9,MATCH(ROUNDUP((AD$1)/10,0)*10,[1]Hugst!$R$4:$W$4,0))))</f>
        <v>0</v>
      </c>
      <c r="AE57">
        <f>IF($C57-AE$1&lt;År1,0,AD56*(1-VLOOKUP($A57,[1]Hugst!$R$5:$W$9,MATCH(ROUNDUP((AE$1)/10,0)*10,[1]Hugst!$R$4:$W$4,0))))</f>
        <v>0</v>
      </c>
      <c r="AF57">
        <f>IF($C57-AF$1&lt;År1,0,AE56*(1-VLOOKUP($A57,[1]Hugst!$R$5:$W$9,MATCH(ROUNDUP((AF$1)/10,0)*10,[1]Hugst!$R$4:$W$4,0))))</f>
        <v>0</v>
      </c>
      <c r="AG57">
        <f>IF($C57-AG$1&lt;År1,0,AF56*(1-VLOOKUP($A57,[1]Hugst!$R$5:$W$9,MATCH(ROUNDUP((AG$1)/10,0)*10,[1]Hugst!$R$4:$W$4,0))))</f>
        <v>0</v>
      </c>
      <c r="AH57">
        <f>IF($C57-AH$1&lt;År1,0,AG56*(1-VLOOKUP($A57,[1]Hugst!$R$5:$W$9,MATCH(ROUNDUP((AH$1)/10,0)*10,[1]Hugst!$R$4:$W$4,0))))</f>
        <v>0</v>
      </c>
      <c r="AI57">
        <f>IF($C57-AI$1&lt;År1,0,AH56*(1-VLOOKUP($A57,[1]Hugst!$R$5:$W$9,MATCH(ROUNDUP((AI$1)/10,0)*10,[1]Hugst!$R$4:$W$4,0))))</f>
        <v>0</v>
      </c>
      <c r="AJ57">
        <f>IF($C57-AJ$1&lt;År1,0,AI56*(1-VLOOKUP($A57,[1]Hugst!$R$5:$W$9,MATCH(ROUNDUP((AJ$1)/10,0)*10,[1]Hugst!$R$4:$W$4,0))))</f>
        <v>0</v>
      </c>
    </row>
    <row r="58" spans="1:38" x14ac:dyDescent="0.25">
      <c r="A58" t="s">
        <v>176</v>
      </c>
      <c r="B58" t="s">
        <v>24</v>
      </c>
      <c r="C58">
        <v>2045</v>
      </c>
      <c r="D5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0</v>
      </c>
      <c r="E58">
        <f t="shared" ca="1" si="0"/>
        <v>0</v>
      </c>
      <c r="F5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>
        <f ca="1">IF($C58-G$1&lt;År1,0,F57*(1-VLOOKUP($A58,[1]Hugst!$R$5:$W$9,MATCH(ROUNDUP((G$1)/10,0)*10,[1]Hugst!$R$4:$W$4,0))))</f>
        <v>0</v>
      </c>
      <c r="H58">
        <f ca="1">IF($C58-H$1&lt;År1,0,G57*(1-VLOOKUP($A58,[1]Hugst!$R$5:$W$9,MATCH(ROUNDUP((H$1)/10,0)*10,[1]Hugst!$R$4:$W$4,0))))</f>
        <v>0</v>
      </c>
      <c r="I58">
        <f ca="1">IF($C58-I$1&lt;År1,0,H57*(1-VLOOKUP($A58,[1]Hugst!$R$5:$W$9,MATCH(ROUNDUP((I$1)/10,0)*10,[1]Hugst!$R$4:$W$4,0))))</f>
        <v>0</v>
      </c>
      <c r="J58">
        <f ca="1">IF($C58-J$1&lt;År1,0,I57*(1-VLOOKUP($A58,[1]Hugst!$R$5:$W$9,MATCH(ROUNDUP((J$1)/10,0)*10,[1]Hugst!$R$4:$W$4,0))))</f>
        <v>0</v>
      </c>
      <c r="K58">
        <f ca="1">IF($C58-K$1&lt;År1,0,J57*(1-VLOOKUP($A58,[1]Hugst!$R$5:$W$9,MATCH(ROUNDUP((K$1)/10,0)*10,[1]Hugst!$R$4:$W$4,0))))</f>
        <v>0</v>
      </c>
      <c r="L58">
        <f ca="1">IF($C58-L$1&lt;År1,0,K57*(1-VLOOKUP($A58,[1]Hugst!$R$5:$W$9,MATCH(ROUNDUP((L$1)/10,0)*10,[1]Hugst!$R$4:$W$4,0))))</f>
        <v>0</v>
      </c>
      <c r="M58">
        <f ca="1">IF($C58-M$1&lt;År1,0,L57*(1-VLOOKUP($A58,[1]Hugst!$R$5:$W$9,MATCH(ROUNDUP((M$1)/10,0)*10,[1]Hugst!$R$4:$W$4,0))))</f>
        <v>0</v>
      </c>
      <c r="N58">
        <f ca="1">IF($C58-N$1&lt;År1,0,M57*(1-VLOOKUP($A58,[1]Hugst!$R$5:$W$9,MATCH(ROUNDUP((N$1)/10,0)*10,[1]Hugst!$R$4:$W$4,0))))</f>
        <v>0</v>
      </c>
      <c r="O58">
        <f ca="1">IF($C58-O$1&lt;År1,0,N57*(1-VLOOKUP($A58,[1]Hugst!$R$5:$W$9,MATCH(ROUNDUP((O$1)/10,0)*10,[1]Hugst!$R$4:$W$4,0))))</f>
        <v>0</v>
      </c>
      <c r="P58">
        <f ca="1">IF($C58-P$1&lt;År1,0,O57*(1-VLOOKUP($A58,[1]Hugst!$R$5:$W$9,MATCH(ROUNDUP((P$1)/10,0)*10,[1]Hugst!$R$4:$W$4,0))))</f>
        <v>0</v>
      </c>
      <c r="Q58">
        <f ca="1">IF($C58-Q$1&lt;År1,0,P57*(1-VLOOKUP($A58,[1]Hugst!$R$5:$W$9,MATCH(ROUNDUP((Q$1)/10,0)*10,[1]Hugst!$R$4:$W$4,0))))</f>
        <v>0</v>
      </c>
      <c r="R58">
        <f ca="1">IF($C58-R$1&lt;År1,0,Q57*(1-VLOOKUP($A58,[1]Hugst!$R$5:$W$9,MATCH(ROUNDUP((R$1)/10,0)*10,[1]Hugst!$R$4:$W$4,0))))</f>
        <v>0</v>
      </c>
      <c r="S58">
        <f ca="1">IF($C58-S$1&lt;År1,0,R57*(1-VLOOKUP($A58,[1]Hugst!$R$5:$W$9,MATCH(ROUNDUP((S$1)/10,0)*10,[1]Hugst!$R$4:$W$4,0))))</f>
        <v>0</v>
      </c>
      <c r="T58">
        <f ca="1">IF($C58-T$1&lt;År1,0,S57*(1-VLOOKUP($A58,[1]Hugst!$R$5:$W$9,MATCH(ROUNDUP((T$1)/10,0)*10,[1]Hugst!$R$4:$W$4,0))))</f>
        <v>0</v>
      </c>
      <c r="U58">
        <f ca="1">IF($C58-U$1&lt;År1,0,T57*(1-VLOOKUP($A58,[1]Hugst!$R$5:$W$9,MATCH(ROUNDUP((U$1)/10,0)*10,[1]Hugst!$R$4:$W$4,0))))</f>
        <v>0</v>
      </c>
      <c r="V58">
        <f ca="1">IF($C58-V$1&lt;År1,0,U57*(1-VLOOKUP($A58,[1]Hugst!$R$5:$W$9,MATCH(ROUNDUP((V$1)/10,0)*10,[1]Hugst!$R$4:$W$4,0))))</f>
        <v>0</v>
      </c>
      <c r="W58">
        <f ca="1">IF($C58-W$1&lt;År1,0,V57*(1-VLOOKUP($A58,[1]Hugst!$R$5:$W$9,MATCH(ROUNDUP((W$1)/10,0)*10,[1]Hugst!$R$4:$W$4,0))))</f>
        <v>0</v>
      </c>
      <c r="X58">
        <f ca="1">IF($C58-X$1&lt;År1,0,W57*(1-VLOOKUP($A58,[1]Hugst!$R$5:$W$9,MATCH(ROUNDUP((X$1)/10,0)*10,[1]Hugst!$R$4:$W$4,0))))</f>
        <v>0</v>
      </c>
      <c r="Y58">
        <f ca="1">IF($C58-Y$1&lt;År1,0,X57*(1-VLOOKUP($A58,[1]Hugst!$R$5:$W$9,MATCH(ROUNDUP((Y$1)/10,0)*10,[1]Hugst!$R$4:$W$4,0))))</f>
        <v>0</v>
      </c>
      <c r="Z58">
        <f ca="1">IF($C58-Z$1&lt;År1,0,Y57*(1-VLOOKUP($A58,[1]Hugst!$R$5:$W$9,MATCH(ROUNDUP((Z$1)/10,0)*10,[1]Hugst!$R$4:$W$4,0))))</f>
        <v>0</v>
      </c>
      <c r="AA58">
        <f ca="1">IF($C58-AA$1&lt;År1,0,Z57*(1-VLOOKUP($A58,[1]Hugst!$R$5:$W$9,MATCH(ROUNDUP((AA$1)/10,0)*10,[1]Hugst!$R$4:$W$4,0))))</f>
        <v>0</v>
      </c>
      <c r="AB58">
        <f ca="1">IF($C58-AB$1&lt;År1,0,AA57*(1-VLOOKUP($A58,[1]Hugst!$R$5:$W$9,MATCH(ROUNDUP((AB$1)/10,0)*10,[1]Hugst!$R$4:$W$4,0))))</f>
        <v>0</v>
      </c>
      <c r="AC58">
        <f ca="1">IF($C58-AC$1&lt;År1,0,AB57*(1-VLOOKUP($A58,[1]Hugst!$R$5:$W$9,MATCH(ROUNDUP((AC$1)/10,0)*10,[1]Hugst!$R$4:$W$4,0))))</f>
        <v>0</v>
      </c>
      <c r="AD58">
        <f ca="1">IF($C58-AD$1&lt;År1,0,AC57*(1-VLOOKUP($A58,[1]Hugst!$R$5:$W$9,MATCH(ROUNDUP((AD$1)/10,0)*10,[1]Hugst!$R$4:$W$4,0))))</f>
        <v>0</v>
      </c>
      <c r="AE58">
        <f ca="1">IF($C58-AE$1&lt;År1,0,AD57*(1-VLOOKUP($A58,[1]Hugst!$R$5:$W$9,MATCH(ROUNDUP((AE$1)/10,0)*10,[1]Hugst!$R$4:$W$4,0))))</f>
        <v>0</v>
      </c>
      <c r="AF58">
        <f>IF($C58-AF$1&lt;År1,0,AE57*(1-VLOOKUP($A58,[1]Hugst!$R$5:$W$9,MATCH(ROUNDUP((AF$1)/10,0)*10,[1]Hugst!$R$4:$W$4,0))))</f>
        <v>0</v>
      </c>
      <c r="AG58">
        <f>IF($C58-AG$1&lt;År1,0,AF57*(1-VLOOKUP($A58,[1]Hugst!$R$5:$W$9,MATCH(ROUNDUP((AG$1)/10,0)*10,[1]Hugst!$R$4:$W$4,0))))</f>
        <v>0</v>
      </c>
      <c r="AH58">
        <f>IF($C58-AH$1&lt;År1,0,AG57*(1-VLOOKUP($A58,[1]Hugst!$R$5:$W$9,MATCH(ROUNDUP((AH$1)/10,0)*10,[1]Hugst!$R$4:$W$4,0))))</f>
        <v>0</v>
      </c>
      <c r="AI58">
        <f>IF($C58-AI$1&lt;År1,0,AH57*(1-VLOOKUP($A58,[1]Hugst!$R$5:$W$9,MATCH(ROUNDUP((AI$1)/10,0)*10,[1]Hugst!$R$4:$W$4,0))))</f>
        <v>0</v>
      </c>
      <c r="AJ58">
        <f>IF($C58-AJ$1&lt;År1,0,AI57*(1-VLOOKUP($A58,[1]Hugst!$R$5:$W$9,MATCH(ROUNDUP((AJ$1)/10,0)*10,[1]Hugst!$R$4:$W$4,0))))</f>
        <v>0</v>
      </c>
    </row>
    <row r="59" spans="1:38" x14ac:dyDescent="0.25">
      <c r="A59" t="s">
        <v>176</v>
      </c>
      <c r="B59" t="s">
        <v>24</v>
      </c>
      <c r="C59">
        <v>2046</v>
      </c>
      <c r="D59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0</v>
      </c>
      <c r="E59">
        <f t="shared" ca="1" si="0"/>
        <v>0</v>
      </c>
      <c r="F5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>
        <f ca="1">IF($C59-G$1&lt;År1,0,F58*(1-VLOOKUP($A59,[1]Hugst!$R$5:$W$9,MATCH(ROUNDUP((G$1)/10,0)*10,[1]Hugst!$R$4:$W$4,0))))</f>
        <v>0</v>
      </c>
      <c r="H59">
        <f ca="1">IF($C59-H$1&lt;År1,0,G58*(1-VLOOKUP($A59,[1]Hugst!$R$5:$W$9,MATCH(ROUNDUP((H$1)/10,0)*10,[1]Hugst!$R$4:$W$4,0))))</f>
        <v>0</v>
      </c>
      <c r="I59">
        <f ca="1">IF($C59-I$1&lt;År1,0,H58*(1-VLOOKUP($A59,[1]Hugst!$R$5:$W$9,MATCH(ROUNDUP((I$1)/10,0)*10,[1]Hugst!$R$4:$W$4,0))))</f>
        <v>0</v>
      </c>
      <c r="J59">
        <f ca="1">IF($C59-J$1&lt;År1,0,I58*(1-VLOOKUP($A59,[1]Hugst!$R$5:$W$9,MATCH(ROUNDUP((J$1)/10,0)*10,[1]Hugst!$R$4:$W$4,0))))</f>
        <v>0</v>
      </c>
      <c r="K59">
        <f ca="1">IF($C59-K$1&lt;År1,0,J58*(1-VLOOKUP($A59,[1]Hugst!$R$5:$W$9,MATCH(ROUNDUP((K$1)/10,0)*10,[1]Hugst!$R$4:$W$4,0))))</f>
        <v>0</v>
      </c>
      <c r="L59">
        <f ca="1">IF($C59-L$1&lt;År1,0,K58*(1-VLOOKUP($A59,[1]Hugst!$R$5:$W$9,MATCH(ROUNDUP((L$1)/10,0)*10,[1]Hugst!$R$4:$W$4,0))))</f>
        <v>0</v>
      </c>
      <c r="M59">
        <f ca="1">IF($C59-M$1&lt;År1,0,L58*(1-VLOOKUP($A59,[1]Hugst!$R$5:$W$9,MATCH(ROUNDUP((M$1)/10,0)*10,[1]Hugst!$R$4:$W$4,0))))</f>
        <v>0</v>
      </c>
      <c r="N59">
        <f ca="1">IF($C59-N$1&lt;År1,0,M58*(1-VLOOKUP($A59,[1]Hugst!$R$5:$W$9,MATCH(ROUNDUP((N$1)/10,0)*10,[1]Hugst!$R$4:$W$4,0))))</f>
        <v>0</v>
      </c>
      <c r="O59">
        <f ca="1">IF($C59-O$1&lt;År1,0,N58*(1-VLOOKUP($A59,[1]Hugst!$R$5:$W$9,MATCH(ROUNDUP((O$1)/10,0)*10,[1]Hugst!$R$4:$W$4,0))))</f>
        <v>0</v>
      </c>
      <c r="P59">
        <f ca="1">IF($C59-P$1&lt;År1,0,O58*(1-VLOOKUP($A59,[1]Hugst!$R$5:$W$9,MATCH(ROUNDUP((P$1)/10,0)*10,[1]Hugst!$R$4:$W$4,0))))</f>
        <v>0</v>
      </c>
      <c r="Q59">
        <f ca="1">IF($C59-Q$1&lt;År1,0,P58*(1-VLOOKUP($A59,[1]Hugst!$R$5:$W$9,MATCH(ROUNDUP((Q$1)/10,0)*10,[1]Hugst!$R$4:$W$4,0))))</f>
        <v>0</v>
      </c>
      <c r="R59">
        <f ca="1">IF($C59-R$1&lt;År1,0,Q58*(1-VLOOKUP($A59,[1]Hugst!$R$5:$W$9,MATCH(ROUNDUP((R$1)/10,0)*10,[1]Hugst!$R$4:$W$4,0))))</f>
        <v>0</v>
      </c>
      <c r="S59">
        <f ca="1">IF($C59-S$1&lt;År1,0,R58*(1-VLOOKUP($A59,[1]Hugst!$R$5:$W$9,MATCH(ROUNDUP((S$1)/10,0)*10,[1]Hugst!$R$4:$W$4,0))))</f>
        <v>0</v>
      </c>
      <c r="T59">
        <f ca="1">IF($C59-T$1&lt;År1,0,S58*(1-VLOOKUP($A59,[1]Hugst!$R$5:$W$9,MATCH(ROUNDUP((T$1)/10,0)*10,[1]Hugst!$R$4:$W$4,0))))</f>
        <v>0</v>
      </c>
      <c r="U59">
        <f ca="1">IF($C59-U$1&lt;År1,0,T58*(1-VLOOKUP($A59,[1]Hugst!$R$5:$W$9,MATCH(ROUNDUP((U$1)/10,0)*10,[1]Hugst!$R$4:$W$4,0))))</f>
        <v>0</v>
      </c>
      <c r="V59">
        <f ca="1">IF($C59-V$1&lt;År1,0,U58*(1-VLOOKUP($A59,[1]Hugst!$R$5:$W$9,MATCH(ROUNDUP((V$1)/10,0)*10,[1]Hugst!$R$4:$W$4,0))))</f>
        <v>0</v>
      </c>
      <c r="W59">
        <f ca="1">IF($C59-W$1&lt;År1,0,V58*(1-VLOOKUP($A59,[1]Hugst!$R$5:$W$9,MATCH(ROUNDUP((W$1)/10,0)*10,[1]Hugst!$R$4:$W$4,0))))</f>
        <v>0</v>
      </c>
      <c r="X59">
        <f ca="1">IF($C59-X$1&lt;År1,0,W58*(1-VLOOKUP($A59,[1]Hugst!$R$5:$W$9,MATCH(ROUNDUP((X$1)/10,0)*10,[1]Hugst!$R$4:$W$4,0))))</f>
        <v>0</v>
      </c>
      <c r="Y59">
        <f ca="1">IF($C59-Y$1&lt;År1,0,X58*(1-VLOOKUP($A59,[1]Hugst!$R$5:$W$9,MATCH(ROUNDUP((Y$1)/10,0)*10,[1]Hugst!$R$4:$W$4,0))))</f>
        <v>0</v>
      </c>
      <c r="Z59">
        <f ca="1">IF($C59-Z$1&lt;År1,0,Y58*(1-VLOOKUP($A59,[1]Hugst!$R$5:$W$9,MATCH(ROUNDUP((Z$1)/10,0)*10,[1]Hugst!$R$4:$W$4,0))))</f>
        <v>0</v>
      </c>
      <c r="AA59">
        <f ca="1">IF($C59-AA$1&lt;År1,0,Z58*(1-VLOOKUP($A59,[1]Hugst!$R$5:$W$9,MATCH(ROUNDUP((AA$1)/10,0)*10,[1]Hugst!$R$4:$W$4,0))))</f>
        <v>0</v>
      </c>
      <c r="AB59">
        <f ca="1">IF($C59-AB$1&lt;År1,0,AA58*(1-VLOOKUP($A59,[1]Hugst!$R$5:$W$9,MATCH(ROUNDUP((AB$1)/10,0)*10,[1]Hugst!$R$4:$W$4,0))))</f>
        <v>0</v>
      </c>
      <c r="AC59">
        <f ca="1">IF($C59-AC$1&lt;År1,0,AB58*(1-VLOOKUP($A59,[1]Hugst!$R$5:$W$9,MATCH(ROUNDUP((AC$1)/10,0)*10,[1]Hugst!$R$4:$W$4,0))))</f>
        <v>0</v>
      </c>
      <c r="AD59">
        <f ca="1">IF($C59-AD$1&lt;År1,0,AC58*(1-VLOOKUP($A59,[1]Hugst!$R$5:$W$9,MATCH(ROUNDUP((AD$1)/10,0)*10,[1]Hugst!$R$4:$W$4,0))))</f>
        <v>0</v>
      </c>
      <c r="AE59">
        <f ca="1">IF($C59-AE$1&lt;År1,0,AD58*(1-VLOOKUP($A59,[1]Hugst!$R$5:$W$9,MATCH(ROUNDUP((AE$1)/10,0)*10,[1]Hugst!$R$4:$W$4,0))))</f>
        <v>0</v>
      </c>
      <c r="AF59">
        <f ca="1">IF($C59-AF$1&lt;År1,0,AE58*(1-VLOOKUP($A59,[1]Hugst!$R$5:$W$9,MATCH(ROUNDUP((AF$1)/10,0)*10,[1]Hugst!$R$4:$W$4,0))))</f>
        <v>0</v>
      </c>
      <c r="AG59">
        <f>IF($C59-AG$1&lt;År1,0,AF58*(1-VLOOKUP($A59,[1]Hugst!$R$5:$W$9,MATCH(ROUNDUP((AG$1)/10,0)*10,[1]Hugst!$R$4:$W$4,0))))</f>
        <v>0</v>
      </c>
      <c r="AH59">
        <f>IF($C59-AH$1&lt;År1,0,AG58*(1-VLOOKUP($A59,[1]Hugst!$R$5:$W$9,MATCH(ROUNDUP((AH$1)/10,0)*10,[1]Hugst!$R$4:$W$4,0))))</f>
        <v>0</v>
      </c>
      <c r="AI59">
        <f>IF($C59-AI$1&lt;År1,0,AH58*(1-VLOOKUP($A59,[1]Hugst!$R$5:$W$9,MATCH(ROUNDUP((AI$1)/10,0)*10,[1]Hugst!$R$4:$W$4,0))))</f>
        <v>0</v>
      </c>
      <c r="AJ59">
        <f>IF($C59-AJ$1&lt;År1,0,AI58*(1-VLOOKUP($A59,[1]Hugst!$R$5:$W$9,MATCH(ROUNDUP((AJ$1)/10,0)*10,[1]Hugst!$R$4:$W$4,0))))</f>
        <v>0</v>
      </c>
    </row>
    <row r="60" spans="1:38" x14ac:dyDescent="0.25">
      <c r="A60" t="s">
        <v>176</v>
      </c>
      <c r="B60" t="s">
        <v>24</v>
      </c>
      <c r="C60">
        <v>2047</v>
      </c>
      <c r="D60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0</v>
      </c>
      <c r="E60">
        <f t="shared" ca="1" si="0"/>
        <v>0</v>
      </c>
      <c r="F60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>
        <f ca="1">IF($C60-G$1&lt;År1,0,F59*(1-VLOOKUP($A60,[1]Hugst!$R$5:$W$9,MATCH(ROUNDUP((G$1)/10,0)*10,[1]Hugst!$R$4:$W$4,0))))</f>
        <v>0</v>
      </c>
      <c r="H60">
        <f ca="1">IF($C60-H$1&lt;År1,0,G59*(1-VLOOKUP($A60,[1]Hugst!$R$5:$W$9,MATCH(ROUNDUP((H$1)/10,0)*10,[1]Hugst!$R$4:$W$4,0))))</f>
        <v>0</v>
      </c>
      <c r="I60">
        <f ca="1">IF($C60-I$1&lt;År1,0,H59*(1-VLOOKUP($A60,[1]Hugst!$R$5:$W$9,MATCH(ROUNDUP((I$1)/10,0)*10,[1]Hugst!$R$4:$W$4,0))))</f>
        <v>0</v>
      </c>
      <c r="J60">
        <f ca="1">IF($C60-J$1&lt;År1,0,I59*(1-VLOOKUP($A60,[1]Hugst!$R$5:$W$9,MATCH(ROUNDUP((J$1)/10,0)*10,[1]Hugst!$R$4:$W$4,0))))</f>
        <v>0</v>
      </c>
      <c r="K60">
        <f ca="1">IF($C60-K$1&lt;År1,0,J59*(1-VLOOKUP($A60,[1]Hugst!$R$5:$W$9,MATCH(ROUNDUP((K$1)/10,0)*10,[1]Hugst!$R$4:$W$4,0))))</f>
        <v>0</v>
      </c>
      <c r="L60">
        <f ca="1">IF($C60-L$1&lt;År1,0,K59*(1-VLOOKUP($A60,[1]Hugst!$R$5:$W$9,MATCH(ROUNDUP((L$1)/10,0)*10,[1]Hugst!$R$4:$W$4,0))))</f>
        <v>0</v>
      </c>
      <c r="M60">
        <f ca="1">IF($C60-M$1&lt;År1,0,L59*(1-VLOOKUP($A60,[1]Hugst!$R$5:$W$9,MATCH(ROUNDUP((M$1)/10,0)*10,[1]Hugst!$R$4:$W$4,0))))</f>
        <v>0</v>
      </c>
      <c r="N60">
        <f ca="1">IF($C60-N$1&lt;År1,0,M59*(1-VLOOKUP($A60,[1]Hugst!$R$5:$W$9,MATCH(ROUNDUP((N$1)/10,0)*10,[1]Hugst!$R$4:$W$4,0))))</f>
        <v>0</v>
      </c>
      <c r="O60">
        <f ca="1">IF($C60-O$1&lt;År1,0,N59*(1-VLOOKUP($A60,[1]Hugst!$R$5:$W$9,MATCH(ROUNDUP((O$1)/10,0)*10,[1]Hugst!$R$4:$W$4,0))))</f>
        <v>0</v>
      </c>
      <c r="P60">
        <f ca="1">IF($C60-P$1&lt;År1,0,O59*(1-VLOOKUP($A60,[1]Hugst!$R$5:$W$9,MATCH(ROUNDUP((P$1)/10,0)*10,[1]Hugst!$R$4:$W$4,0))))</f>
        <v>0</v>
      </c>
      <c r="Q60">
        <f ca="1">IF($C60-Q$1&lt;År1,0,P59*(1-VLOOKUP($A60,[1]Hugst!$R$5:$W$9,MATCH(ROUNDUP((Q$1)/10,0)*10,[1]Hugst!$R$4:$W$4,0))))</f>
        <v>0</v>
      </c>
      <c r="R60">
        <f ca="1">IF($C60-R$1&lt;År1,0,Q59*(1-VLOOKUP($A60,[1]Hugst!$R$5:$W$9,MATCH(ROUNDUP((R$1)/10,0)*10,[1]Hugst!$R$4:$W$4,0))))</f>
        <v>0</v>
      </c>
      <c r="S60">
        <f ca="1">IF($C60-S$1&lt;År1,0,R59*(1-VLOOKUP($A60,[1]Hugst!$R$5:$W$9,MATCH(ROUNDUP((S$1)/10,0)*10,[1]Hugst!$R$4:$W$4,0))))</f>
        <v>0</v>
      </c>
      <c r="T60">
        <f ca="1">IF($C60-T$1&lt;År1,0,S59*(1-VLOOKUP($A60,[1]Hugst!$R$5:$W$9,MATCH(ROUNDUP((T$1)/10,0)*10,[1]Hugst!$R$4:$W$4,0))))</f>
        <v>0</v>
      </c>
      <c r="U60">
        <f ca="1">IF($C60-U$1&lt;År1,0,T59*(1-VLOOKUP($A60,[1]Hugst!$R$5:$W$9,MATCH(ROUNDUP((U$1)/10,0)*10,[1]Hugst!$R$4:$W$4,0))))</f>
        <v>0</v>
      </c>
      <c r="V60">
        <f ca="1">IF($C60-V$1&lt;År1,0,U59*(1-VLOOKUP($A60,[1]Hugst!$R$5:$W$9,MATCH(ROUNDUP((V$1)/10,0)*10,[1]Hugst!$R$4:$W$4,0))))</f>
        <v>0</v>
      </c>
      <c r="W60">
        <f ca="1">IF($C60-W$1&lt;År1,0,V59*(1-VLOOKUP($A60,[1]Hugst!$R$5:$W$9,MATCH(ROUNDUP((W$1)/10,0)*10,[1]Hugst!$R$4:$W$4,0))))</f>
        <v>0</v>
      </c>
      <c r="X60">
        <f ca="1">IF($C60-X$1&lt;År1,0,W59*(1-VLOOKUP($A60,[1]Hugst!$R$5:$W$9,MATCH(ROUNDUP((X$1)/10,0)*10,[1]Hugst!$R$4:$W$4,0))))</f>
        <v>0</v>
      </c>
      <c r="Y60">
        <f ca="1">IF($C60-Y$1&lt;År1,0,X59*(1-VLOOKUP($A60,[1]Hugst!$R$5:$W$9,MATCH(ROUNDUP((Y$1)/10,0)*10,[1]Hugst!$R$4:$W$4,0))))</f>
        <v>0</v>
      </c>
      <c r="Z60">
        <f ca="1">IF($C60-Z$1&lt;År1,0,Y59*(1-VLOOKUP($A60,[1]Hugst!$R$5:$W$9,MATCH(ROUNDUP((Z$1)/10,0)*10,[1]Hugst!$R$4:$W$4,0))))</f>
        <v>0</v>
      </c>
      <c r="AA60">
        <f ca="1">IF($C60-AA$1&lt;År1,0,Z59*(1-VLOOKUP($A60,[1]Hugst!$R$5:$W$9,MATCH(ROUNDUP((AA$1)/10,0)*10,[1]Hugst!$R$4:$W$4,0))))</f>
        <v>0</v>
      </c>
      <c r="AB60">
        <f ca="1">IF($C60-AB$1&lt;År1,0,AA59*(1-VLOOKUP($A60,[1]Hugst!$R$5:$W$9,MATCH(ROUNDUP((AB$1)/10,0)*10,[1]Hugst!$R$4:$W$4,0))))</f>
        <v>0</v>
      </c>
      <c r="AC60">
        <f ca="1">IF($C60-AC$1&lt;År1,0,AB59*(1-VLOOKUP($A60,[1]Hugst!$R$5:$W$9,MATCH(ROUNDUP((AC$1)/10,0)*10,[1]Hugst!$R$4:$W$4,0))))</f>
        <v>0</v>
      </c>
      <c r="AD60">
        <f ca="1">IF($C60-AD$1&lt;År1,0,AC59*(1-VLOOKUP($A60,[1]Hugst!$R$5:$W$9,MATCH(ROUNDUP((AD$1)/10,0)*10,[1]Hugst!$R$4:$W$4,0))))</f>
        <v>0</v>
      </c>
      <c r="AE60">
        <f ca="1">IF($C60-AE$1&lt;År1,0,AD59*(1-VLOOKUP($A60,[1]Hugst!$R$5:$W$9,MATCH(ROUNDUP((AE$1)/10,0)*10,[1]Hugst!$R$4:$W$4,0))))</f>
        <v>0</v>
      </c>
      <c r="AF60">
        <f ca="1">IF($C60-AF$1&lt;År1,0,AE59*(1-VLOOKUP($A60,[1]Hugst!$R$5:$W$9,MATCH(ROUNDUP((AF$1)/10,0)*10,[1]Hugst!$R$4:$W$4,0))))</f>
        <v>0</v>
      </c>
      <c r="AG60">
        <f ca="1">IF($C60-AG$1&lt;År1,0,AF59*(1-VLOOKUP($A60,[1]Hugst!$R$5:$W$9,MATCH(ROUNDUP((AG$1)/10,0)*10,[1]Hugst!$R$4:$W$4,0))))</f>
        <v>0</v>
      </c>
      <c r="AH60">
        <f>IF($C60-AH$1&lt;År1,0,AG59*(1-VLOOKUP($A60,[1]Hugst!$R$5:$W$9,MATCH(ROUNDUP((AH$1)/10,0)*10,[1]Hugst!$R$4:$W$4,0))))</f>
        <v>0</v>
      </c>
      <c r="AI60">
        <f>IF($C60-AI$1&lt;År1,0,AH59*(1-VLOOKUP($A60,[1]Hugst!$R$5:$W$9,MATCH(ROUNDUP((AI$1)/10,0)*10,[1]Hugst!$R$4:$W$4,0))))</f>
        <v>0</v>
      </c>
      <c r="AJ60">
        <f>IF($C60-AJ$1&lt;År1,0,AI59*(1-VLOOKUP($A60,[1]Hugst!$R$5:$W$9,MATCH(ROUNDUP((AJ$1)/10,0)*10,[1]Hugst!$R$4:$W$4,0))))</f>
        <v>0</v>
      </c>
    </row>
    <row r="61" spans="1:38" x14ac:dyDescent="0.25">
      <c r="A61" t="s">
        <v>176</v>
      </c>
      <c r="B61" t="s">
        <v>24</v>
      </c>
      <c r="C61">
        <v>2048</v>
      </c>
      <c r="D61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0</v>
      </c>
      <c r="E61">
        <f t="shared" ca="1" si="0"/>
        <v>0</v>
      </c>
      <c r="F61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>
        <f ca="1">IF($C61-G$1&lt;År1,0,F60*(1-VLOOKUP($A61,[1]Hugst!$R$5:$W$9,MATCH(ROUNDUP((G$1)/10,0)*10,[1]Hugst!$R$4:$W$4,0))))</f>
        <v>0</v>
      </c>
      <c r="H61">
        <f ca="1">IF($C61-H$1&lt;År1,0,G60*(1-VLOOKUP($A61,[1]Hugst!$R$5:$W$9,MATCH(ROUNDUP((H$1)/10,0)*10,[1]Hugst!$R$4:$W$4,0))))</f>
        <v>0</v>
      </c>
      <c r="I61">
        <f ca="1">IF($C61-I$1&lt;År1,0,H60*(1-VLOOKUP($A61,[1]Hugst!$R$5:$W$9,MATCH(ROUNDUP((I$1)/10,0)*10,[1]Hugst!$R$4:$W$4,0))))</f>
        <v>0</v>
      </c>
      <c r="J61">
        <f ca="1">IF($C61-J$1&lt;År1,0,I60*(1-VLOOKUP($A61,[1]Hugst!$R$5:$W$9,MATCH(ROUNDUP((J$1)/10,0)*10,[1]Hugst!$R$4:$W$4,0))))</f>
        <v>0</v>
      </c>
      <c r="K61">
        <f ca="1">IF($C61-K$1&lt;År1,0,J60*(1-VLOOKUP($A61,[1]Hugst!$R$5:$W$9,MATCH(ROUNDUP((K$1)/10,0)*10,[1]Hugst!$R$4:$W$4,0))))</f>
        <v>0</v>
      </c>
      <c r="L61">
        <f ca="1">IF($C61-L$1&lt;År1,0,K60*(1-VLOOKUP($A61,[1]Hugst!$R$5:$W$9,MATCH(ROUNDUP((L$1)/10,0)*10,[1]Hugst!$R$4:$W$4,0))))</f>
        <v>0</v>
      </c>
      <c r="M61">
        <f ca="1">IF($C61-M$1&lt;År1,0,L60*(1-VLOOKUP($A61,[1]Hugst!$R$5:$W$9,MATCH(ROUNDUP((M$1)/10,0)*10,[1]Hugst!$R$4:$W$4,0))))</f>
        <v>0</v>
      </c>
      <c r="N61">
        <f ca="1">IF($C61-N$1&lt;År1,0,M60*(1-VLOOKUP($A61,[1]Hugst!$R$5:$W$9,MATCH(ROUNDUP((N$1)/10,0)*10,[1]Hugst!$R$4:$W$4,0))))</f>
        <v>0</v>
      </c>
      <c r="O61">
        <f ca="1">IF($C61-O$1&lt;År1,0,N60*(1-VLOOKUP($A61,[1]Hugst!$R$5:$W$9,MATCH(ROUNDUP((O$1)/10,0)*10,[1]Hugst!$R$4:$W$4,0))))</f>
        <v>0</v>
      </c>
      <c r="P61">
        <f ca="1">IF($C61-P$1&lt;År1,0,O60*(1-VLOOKUP($A61,[1]Hugst!$R$5:$W$9,MATCH(ROUNDUP((P$1)/10,0)*10,[1]Hugst!$R$4:$W$4,0))))</f>
        <v>0</v>
      </c>
      <c r="Q61">
        <f ca="1">IF($C61-Q$1&lt;År1,0,P60*(1-VLOOKUP($A61,[1]Hugst!$R$5:$W$9,MATCH(ROUNDUP((Q$1)/10,0)*10,[1]Hugst!$R$4:$W$4,0))))</f>
        <v>0</v>
      </c>
      <c r="R61">
        <f ca="1">IF($C61-R$1&lt;År1,0,Q60*(1-VLOOKUP($A61,[1]Hugst!$R$5:$W$9,MATCH(ROUNDUP((R$1)/10,0)*10,[1]Hugst!$R$4:$W$4,0))))</f>
        <v>0</v>
      </c>
      <c r="S61">
        <f ca="1">IF($C61-S$1&lt;År1,0,R60*(1-VLOOKUP($A61,[1]Hugst!$R$5:$W$9,MATCH(ROUNDUP((S$1)/10,0)*10,[1]Hugst!$R$4:$W$4,0))))</f>
        <v>0</v>
      </c>
      <c r="T61">
        <f ca="1">IF($C61-T$1&lt;År1,0,S60*(1-VLOOKUP($A61,[1]Hugst!$R$5:$W$9,MATCH(ROUNDUP((T$1)/10,0)*10,[1]Hugst!$R$4:$W$4,0))))</f>
        <v>0</v>
      </c>
      <c r="U61">
        <f ca="1">IF($C61-U$1&lt;År1,0,T60*(1-VLOOKUP($A61,[1]Hugst!$R$5:$W$9,MATCH(ROUNDUP((U$1)/10,0)*10,[1]Hugst!$R$4:$W$4,0))))</f>
        <v>0</v>
      </c>
      <c r="V61">
        <f ca="1">IF($C61-V$1&lt;År1,0,U60*(1-VLOOKUP($A61,[1]Hugst!$R$5:$W$9,MATCH(ROUNDUP((V$1)/10,0)*10,[1]Hugst!$R$4:$W$4,0))))</f>
        <v>0</v>
      </c>
      <c r="W61">
        <f ca="1">IF($C61-W$1&lt;År1,0,V60*(1-VLOOKUP($A61,[1]Hugst!$R$5:$W$9,MATCH(ROUNDUP((W$1)/10,0)*10,[1]Hugst!$R$4:$W$4,0))))</f>
        <v>0</v>
      </c>
      <c r="X61">
        <f ca="1">IF($C61-X$1&lt;År1,0,W60*(1-VLOOKUP($A61,[1]Hugst!$R$5:$W$9,MATCH(ROUNDUP((X$1)/10,0)*10,[1]Hugst!$R$4:$W$4,0))))</f>
        <v>0</v>
      </c>
      <c r="Y61">
        <f ca="1">IF($C61-Y$1&lt;År1,0,X60*(1-VLOOKUP($A61,[1]Hugst!$R$5:$W$9,MATCH(ROUNDUP((Y$1)/10,0)*10,[1]Hugst!$R$4:$W$4,0))))</f>
        <v>0</v>
      </c>
      <c r="Z61">
        <f ca="1">IF($C61-Z$1&lt;År1,0,Y60*(1-VLOOKUP($A61,[1]Hugst!$R$5:$W$9,MATCH(ROUNDUP((Z$1)/10,0)*10,[1]Hugst!$R$4:$W$4,0))))</f>
        <v>0</v>
      </c>
      <c r="AA61">
        <f ca="1">IF($C61-AA$1&lt;År1,0,Z60*(1-VLOOKUP($A61,[1]Hugst!$R$5:$W$9,MATCH(ROUNDUP((AA$1)/10,0)*10,[1]Hugst!$R$4:$W$4,0))))</f>
        <v>0</v>
      </c>
      <c r="AB61">
        <f ca="1">IF($C61-AB$1&lt;År1,0,AA60*(1-VLOOKUP($A61,[1]Hugst!$R$5:$W$9,MATCH(ROUNDUP((AB$1)/10,0)*10,[1]Hugst!$R$4:$W$4,0))))</f>
        <v>0</v>
      </c>
      <c r="AC61">
        <f ca="1">IF($C61-AC$1&lt;År1,0,AB60*(1-VLOOKUP($A61,[1]Hugst!$R$5:$W$9,MATCH(ROUNDUP((AC$1)/10,0)*10,[1]Hugst!$R$4:$W$4,0))))</f>
        <v>0</v>
      </c>
      <c r="AD61">
        <f ca="1">IF($C61-AD$1&lt;År1,0,AC60*(1-VLOOKUP($A61,[1]Hugst!$R$5:$W$9,MATCH(ROUNDUP((AD$1)/10,0)*10,[1]Hugst!$R$4:$W$4,0))))</f>
        <v>0</v>
      </c>
      <c r="AE61">
        <f ca="1">IF($C61-AE$1&lt;År1,0,AD60*(1-VLOOKUP($A61,[1]Hugst!$R$5:$W$9,MATCH(ROUNDUP((AE$1)/10,0)*10,[1]Hugst!$R$4:$W$4,0))))</f>
        <v>0</v>
      </c>
      <c r="AF61">
        <f ca="1">IF($C61-AF$1&lt;År1,0,AE60*(1-VLOOKUP($A61,[1]Hugst!$R$5:$W$9,MATCH(ROUNDUP((AF$1)/10,0)*10,[1]Hugst!$R$4:$W$4,0))))</f>
        <v>0</v>
      </c>
      <c r="AG61">
        <f ca="1">IF($C61-AG$1&lt;År1,0,AF60*(1-VLOOKUP($A61,[1]Hugst!$R$5:$W$9,MATCH(ROUNDUP((AG$1)/10,0)*10,[1]Hugst!$R$4:$W$4,0))))</f>
        <v>0</v>
      </c>
      <c r="AH61">
        <f ca="1">IF($C61-AH$1&lt;År1,0,AG60*(1-VLOOKUP($A61,[1]Hugst!$R$5:$W$9,MATCH(ROUNDUP((AH$1)/10,0)*10,[1]Hugst!$R$4:$W$4,0))))</f>
        <v>0</v>
      </c>
      <c r="AI61">
        <f>IF($C61-AI$1&lt;År1,0,AH60*(1-VLOOKUP($A61,[1]Hugst!$R$5:$W$9,MATCH(ROUNDUP((AI$1)/10,0)*10,[1]Hugst!$R$4:$W$4,0))))</f>
        <v>0</v>
      </c>
      <c r="AJ61">
        <f>IF($C61-AJ$1&lt;År1,0,AI60*(1-VLOOKUP($A61,[1]Hugst!$R$5:$W$9,MATCH(ROUNDUP((AJ$1)/10,0)*10,[1]Hugst!$R$4:$W$4,0))))</f>
        <v>0</v>
      </c>
    </row>
    <row r="62" spans="1:38" x14ac:dyDescent="0.25">
      <c r="A62" t="s">
        <v>176</v>
      </c>
      <c r="B62" t="s">
        <v>24</v>
      </c>
      <c r="C62">
        <v>2049</v>
      </c>
      <c r="D62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0</v>
      </c>
      <c r="E62">
        <f t="shared" ca="1" si="0"/>
        <v>0</v>
      </c>
      <c r="F62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>
        <f ca="1">IF($C62-G$1&lt;År1,0,F61*(1-VLOOKUP($A62,[1]Hugst!$R$5:$W$9,MATCH(ROUNDUP((G$1)/10,0)*10,[1]Hugst!$R$4:$W$4,0))))</f>
        <v>0</v>
      </c>
      <c r="H62">
        <f ca="1">IF($C62-H$1&lt;År1,0,G61*(1-VLOOKUP($A62,[1]Hugst!$R$5:$W$9,MATCH(ROUNDUP((H$1)/10,0)*10,[1]Hugst!$R$4:$W$4,0))))</f>
        <v>0</v>
      </c>
      <c r="I62">
        <f ca="1">IF($C62-I$1&lt;År1,0,H61*(1-VLOOKUP($A62,[1]Hugst!$R$5:$W$9,MATCH(ROUNDUP((I$1)/10,0)*10,[1]Hugst!$R$4:$W$4,0))))</f>
        <v>0</v>
      </c>
      <c r="J62">
        <f ca="1">IF($C62-J$1&lt;År1,0,I61*(1-VLOOKUP($A62,[1]Hugst!$R$5:$W$9,MATCH(ROUNDUP((J$1)/10,0)*10,[1]Hugst!$R$4:$W$4,0))))</f>
        <v>0</v>
      </c>
      <c r="K62">
        <f ca="1">IF($C62-K$1&lt;År1,0,J61*(1-VLOOKUP($A62,[1]Hugst!$R$5:$W$9,MATCH(ROUNDUP((K$1)/10,0)*10,[1]Hugst!$R$4:$W$4,0))))</f>
        <v>0</v>
      </c>
      <c r="L62">
        <f ca="1">IF($C62-L$1&lt;År1,0,K61*(1-VLOOKUP($A62,[1]Hugst!$R$5:$W$9,MATCH(ROUNDUP((L$1)/10,0)*10,[1]Hugst!$R$4:$W$4,0))))</f>
        <v>0</v>
      </c>
      <c r="M62">
        <f ca="1">IF($C62-M$1&lt;År1,0,L61*(1-VLOOKUP($A62,[1]Hugst!$R$5:$W$9,MATCH(ROUNDUP((M$1)/10,0)*10,[1]Hugst!$R$4:$W$4,0))))</f>
        <v>0</v>
      </c>
      <c r="N62">
        <f ca="1">IF($C62-N$1&lt;År1,0,M61*(1-VLOOKUP($A62,[1]Hugst!$R$5:$W$9,MATCH(ROUNDUP((N$1)/10,0)*10,[1]Hugst!$R$4:$W$4,0))))</f>
        <v>0</v>
      </c>
      <c r="O62">
        <f ca="1">IF($C62-O$1&lt;År1,0,N61*(1-VLOOKUP($A62,[1]Hugst!$R$5:$W$9,MATCH(ROUNDUP((O$1)/10,0)*10,[1]Hugst!$R$4:$W$4,0))))</f>
        <v>0</v>
      </c>
      <c r="P62">
        <f ca="1">IF($C62-P$1&lt;År1,0,O61*(1-VLOOKUP($A62,[1]Hugst!$R$5:$W$9,MATCH(ROUNDUP((P$1)/10,0)*10,[1]Hugst!$R$4:$W$4,0))))</f>
        <v>0</v>
      </c>
      <c r="Q62">
        <f ca="1">IF($C62-Q$1&lt;År1,0,P61*(1-VLOOKUP($A62,[1]Hugst!$R$5:$W$9,MATCH(ROUNDUP((Q$1)/10,0)*10,[1]Hugst!$R$4:$W$4,0))))</f>
        <v>0</v>
      </c>
      <c r="R62">
        <f ca="1">IF($C62-R$1&lt;År1,0,Q61*(1-VLOOKUP($A62,[1]Hugst!$R$5:$W$9,MATCH(ROUNDUP((R$1)/10,0)*10,[1]Hugst!$R$4:$W$4,0))))</f>
        <v>0</v>
      </c>
      <c r="S62">
        <f ca="1">IF($C62-S$1&lt;År1,0,R61*(1-VLOOKUP($A62,[1]Hugst!$R$5:$W$9,MATCH(ROUNDUP((S$1)/10,0)*10,[1]Hugst!$R$4:$W$4,0))))</f>
        <v>0</v>
      </c>
      <c r="T62">
        <f ca="1">IF($C62-T$1&lt;År1,0,S61*(1-VLOOKUP($A62,[1]Hugst!$R$5:$W$9,MATCH(ROUNDUP((T$1)/10,0)*10,[1]Hugst!$R$4:$W$4,0))))</f>
        <v>0</v>
      </c>
      <c r="U62">
        <f ca="1">IF($C62-U$1&lt;År1,0,T61*(1-VLOOKUP($A62,[1]Hugst!$R$5:$W$9,MATCH(ROUNDUP((U$1)/10,0)*10,[1]Hugst!$R$4:$W$4,0))))</f>
        <v>0</v>
      </c>
      <c r="V62">
        <f ca="1">IF($C62-V$1&lt;År1,0,U61*(1-VLOOKUP($A62,[1]Hugst!$R$5:$W$9,MATCH(ROUNDUP((V$1)/10,0)*10,[1]Hugst!$R$4:$W$4,0))))</f>
        <v>0</v>
      </c>
      <c r="W62">
        <f ca="1">IF($C62-W$1&lt;År1,0,V61*(1-VLOOKUP($A62,[1]Hugst!$R$5:$W$9,MATCH(ROUNDUP((W$1)/10,0)*10,[1]Hugst!$R$4:$W$4,0))))</f>
        <v>0</v>
      </c>
      <c r="X62">
        <f ca="1">IF($C62-X$1&lt;År1,0,W61*(1-VLOOKUP($A62,[1]Hugst!$R$5:$W$9,MATCH(ROUNDUP((X$1)/10,0)*10,[1]Hugst!$R$4:$W$4,0))))</f>
        <v>0</v>
      </c>
      <c r="Y62">
        <f ca="1">IF($C62-Y$1&lt;År1,0,X61*(1-VLOOKUP($A62,[1]Hugst!$R$5:$W$9,MATCH(ROUNDUP((Y$1)/10,0)*10,[1]Hugst!$R$4:$W$4,0))))</f>
        <v>0</v>
      </c>
      <c r="Z62">
        <f ca="1">IF($C62-Z$1&lt;År1,0,Y61*(1-VLOOKUP($A62,[1]Hugst!$R$5:$W$9,MATCH(ROUNDUP((Z$1)/10,0)*10,[1]Hugst!$R$4:$W$4,0))))</f>
        <v>0</v>
      </c>
      <c r="AA62">
        <f ca="1">IF($C62-AA$1&lt;År1,0,Z61*(1-VLOOKUP($A62,[1]Hugst!$R$5:$W$9,MATCH(ROUNDUP((AA$1)/10,0)*10,[1]Hugst!$R$4:$W$4,0))))</f>
        <v>0</v>
      </c>
      <c r="AB62">
        <f ca="1">IF($C62-AB$1&lt;År1,0,AA61*(1-VLOOKUP($A62,[1]Hugst!$R$5:$W$9,MATCH(ROUNDUP((AB$1)/10,0)*10,[1]Hugst!$R$4:$W$4,0))))</f>
        <v>0</v>
      </c>
      <c r="AC62">
        <f ca="1">IF($C62-AC$1&lt;År1,0,AB61*(1-VLOOKUP($A62,[1]Hugst!$R$5:$W$9,MATCH(ROUNDUP((AC$1)/10,0)*10,[1]Hugst!$R$4:$W$4,0))))</f>
        <v>0</v>
      </c>
      <c r="AD62">
        <f ca="1">IF($C62-AD$1&lt;År1,0,AC61*(1-VLOOKUP($A62,[1]Hugst!$R$5:$W$9,MATCH(ROUNDUP((AD$1)/10,0)*10,[1]Hugst!$R$4:$W$4,0))))</f>
        <v>0</v>
      </c>
      <c r="AE62">
        <f ca="1">IF($C62-AE$1&lt;År1,0,AD61*(1-VLOOKUP($A62,[1]Hugst!$R$5:$W$9,MATCH(ROUNDUP((AE$1)/10,0)*10,[1]Hugst!$R$4:$W$4,0))))</f>
        <v>0</v>
      </c>
      <c r="AF62">
        <f ca="1">IF($C62-AF$1&lt;År1,0,AE61*(1-VLOOKUP($A62,[1]Hugst!$R$5:$W$9,MATCH(ROUNDUP((AF$1)/10,0)*10,[1]Hugst!$R$4:$W$4,0))))</f>
        <v>0</v>
      </c>
      <c r="AG62">
        <f ca="1">IF($C62-AG$1&lt;År1,0,AF61*(1-VLOOKUP($A62,[1]Hugst!$R$5:$W$9,MATCH(ROUNDUP((AG$1)/10,0)*10,[1]Hugst!$R$4:$W$4,0))))</f>
        <v>0</v>
      </c>
      <c r="AH62">
        <f ca="1">IF($C62-AH$1&lt;År1,0,AG61*(1-VLOOKUP($A62,[1]Hugst!$R$5:$W$9,MATCH(ROUNDUP((AH$1)/10,0)*10,[1]Hugst!$R$4:$W$4,0))))</f>
        <v>0</v>
      </c>
      <c r="AI62">
        <f ca="1">IF($C62-AI$1&lt;År1,0,AH61*(1-VLOOKUP($A62,[1]Hugst!$R$5:$W$9,MATCH(ROUNDUP((AI$1)/10,0)*10,[1]Hugst!$R$4:$W$4,0))))</f>
        <v>0</v>
      </c>
      <c r="AJ62">
        <f>IF($C62-AJ$1&lt;År1,0,AI61*(1-VLOOKUP($A62,[1]Hugst!$R$5:$W$9,MATCH(ROUNDUP((AJ$1)/10,0)*10,[1]Hugst!$R$4:$W$4,0))))</f>
        <v>0</v>
      </c>
    </row>
    <row r="63" spans="1:38" x14ac:dyDescent="0.25">
      <c r="A63" t="s">
        <v>176</v>
      </c>
      <c r="B63" t="s">
        <v>24</v>
      </c>
      <c r="C63">
        <v>2050</v>
      </c>
      <c r="D63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0</v>
      </c>
      <c r="E63">
        <f t="shared" ca="1" si="0"/>
        <v>0</v>
      </c>
      <c r="F63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>
        <f ca="1">IF($C63-G$1&lt;År1,0,F62*(1-VLOOKUP($A63,[1]Hugst!$R$5:$W$9,MATCH(ROUNDUP((G$1)/10,0)*10,[1]Hugst!$R$4:$W$4,0))))</f>
        <v>0</v>
      </c>
      <c r="H63">
        <f ca="1">IF($C63-H$1&lt;År1,0,G62*(1-VLOOKUP($A63,[1]Hugst!$R$5:$W$9,MATCH(ROUNDUP((H$1)/10,0)*10,[1]Hugst!$R$4:$W$4,0))))</f>
        <v>0</v>
      </c>
      <c r="I63">
        <f ca="1">IF($C63-I$1&lt;År1,0,H62*(1-VLOOKUP($A63,[1]Hugst!$R$5:$W$9,MATCH(ROUNDUP((I$1)/10,0)*10,[1]Hugst!$R$4:$W$4,0))))</f>
        <v>0</v>
      </c>
      <c r="J63">
        <f ca="1">IF($C63-J$1&lt;År1,0,I62*(1-VLOOKUP($A63,[1]Hugst!$R$5:$W$9,MATCH(ROUNDUP((J$1)/10,0)*10,[1]Hugst!$R$4:$W$4,0))))</f>
        <v>0</v>
      </c>
      <c r="K63">
        <f ca="1">IF($C63-K$1&lt;År1,0,J62*(1-VLOOKUP($A63,[1]Hugst!$R$5:$W$9,MATCH(ROUNDUP((K$1)/10,0)*10,[1]Hugst!$R$4:$W$4,0))))</f>
        <v>0</v>
      </c>
      <c r="L63">
        <f ca="1">IF($C63-L$1&lt;År1,0,K62*(1-VLOOKUP($A63,[1]Hugst!$R$5:$W$9,MATCH(ROUNDUP((L$1)/10,0)*10,[1]Hugst!$R$4:$W$4,0))))</f>
        <v>0</v>
      </c>
      <c r="M63">
        <f ca="1">IF($C63-M$1&lt;År1,0,L62*(1-VLOOKUP($A63,[1]Hugst!$R$5:$W$9,MATCH(ROUNDUP((M$1)/10,0)*10,[1]Hugst!$R$4:$W$4,0))))</f>
        <v>0</v>
      </c>
      <c r="N63">
        <f ca="1">IF($C63-N$1&lt;År1,0,M62*(1-VLOOKUP($A63,[1]Hugst!$R$5:$W$9,MATCH(ROUNDUP((N$1)/10,0)*10,[1]Hugst!$R$4:$W$4,0))))</f>
        <v>0</v>
      </c>
      <c r="O63">
        <f ca="1">IF($C63-O$1&lt;År1,0,N62*(1-VLOOKUP($A63,[1]Hugst!$R$5:$W$9,MATCH(ROUNDUP((O$1)/10,0)*10,[1]Hugst!$R$4:$W$4,0))))</f>
        <v>0</v>
      </c>
      <c r="P63">
        <f ca="1">IF($C63-P$1&lt;År1,0,O62*(1-VLOOKUP($A63,[1]Hugst!$R$5:$W$9,MATCH(ROUNDUP((P$1)/10,0)*10,[1]Hugst!$R$4:$W$4,0))))</f>
        <v>0</v>
      </c>
      <c r="Q63">
        <f ca="1">IF($C63-Q$1&lt;År1,0,P62*(1-VLOOKUP($A63,[1]Hugst!$R$5:$W$9,MATCH(ROUNDUP((Q$1)/10,0)*10,[1]Hugst!$R$4:$W$4,0))))</f>
        <v>0</v>
      </c>
      <c r="R63">
        <f ca="1">IF($C63-R$1&lt;År1,0,Q62*(1-VLOOKUP($A63,[1]Hugst!$R$5:$W$9,MATCH(ROUNDUP((R$1)/10,0)*10,[1]Hugst!$R$4:$W$4,0))))</f>
        <v>0</v>
      </c>
      <c r="S63">
        <f ca="1">IF($C63-S$1&lt;År1,0,R62*(1-VLOOKUP($A63,[1]Hugst!$R$5:$W$9,MATCH(ROUNDUP((S$1)/10,0)*10,[1]Hugst!$R$4:$W$4,0))))</f>
        <v>0</v>
      </c>
      <c r="T63">
        <f ca="1">IF($C63-T$1&lt;År1,0,S62*(1-VLOOKUP($A63,[1]Hugst!$R$5:$W$9,MATCH(ROUNDUP((T$1)/10,0)*10,[1]Hugst!$R$4:$W$4,0))))</f>
        <v>0</v>
      </c>
      <c r="U63">
        <f ca="1">IF($C63-U$1&lt;År1,0,T62*(1-VLOOKUP($A63,[1]Hugst!$R$5:$W$9,MATCH(ROUNDUP((U$1)/10,0)*10,[1]Hugst!$R$4:$W$4,0))))</f>
        <v>0</v>
      </c>
      <c r="V63">
        <f ca="1">IF($C63-V$1&lt;År1,0,U62*(1-VLOOKUP($A63,[1]Hugst!$R$5:$W$9,MATCH(ROUNDUP((V$1)/10,0)*10,[1]Hugst!$R$4:$W$4,0))))</f>
        <v>0</v>
      </c>
      <c r="W63">
        <f ca="1">IF($C63-W$1&lt;År1,0,V62*(1-VLOOKUP($A63,[1]Hugst!$R$5:$W$9,MATCH(ROUNDUP((W$1)/10,0)*10,[1]Hugst!$R$4:$W$4,0))))</f>
        <v>0</v>
      </c>
      <c r="X63">
        <f ca="1">IF($C63-X$1&lt;År1,0,W62*(1-VLOOKUP($A63,[1]Hugst!$R$5:$W$9,MATCH(ROUNDUP((X$1)/10,0)*10,[1]Hugst!$R$4:$W$4,0))))</f>
        <v>0</v>
      </c>
      <c r="Y63">
        <f ca="1">IF($C63-Y$1&lt;År1,0,X62*(1-VLOOKUP($A63,[1]Hugst!$R$5:$W$9,MATCH(ROUNDUP((Y$1)/10,0)*10,[1]Hugst!$R$4:$W$4,0))))</f>
        <v>0</v>
      </c>
      <c r="Z63">
        <f ca="1">IF($C63-Z$1&lt;År1,0,Y62*(1-VLOOKUP($A63,[1]Hugst!$R$5:$W$9,MATCH(ROUNDUP((Z$1)/10,0)*10,[1]Hugst!$R$4:$W$4,0))))</f>
        <v>0</v>
      </c>
      <c r="AA63">
        <f ca="1">IF($C63-AA$1&lt;År1,0,Z62*(1-VLOOKUP($A63,[1]Hugst!$R$5:$W$9,MATCH(ROUNDUP((AA$1)/10,0)*10,[1]Hugst!$R$4:$W$4,0))))</f>
        <v>0</v>
      </c>
      <c r="AB63">
        <f ca="1">IF($C63-AB$1&lt;År1,0,AA62*(1-VLOOKUP($A63,[1]Hugst!$R$5:$W$9,MATCH(ROUNDUP((AB$1)/10,0)*10,[1]Hugst!$R$4:$W$4,0))))</f>
        <v>0</v>
      </c>
      <c r="AC63">
        <f ca="1">IF($C63-AC$1&lt;År1,0,AB62*(1-VLOOKUP($A63,[1]Hugst!$R$5:$W$9,MATCH(ROUNDUP((AC$1)/10,0)*10,[1]Hugst!$R$4:$W$4,0))))</f>
        <v>0</v>
      </c>
      <c r="AD63">
        <f ca="1">IF($C63-AD$1&lt;År1,0,AC62*(1-VLOOKUP($A63,[1]Hugst!$R$5:$W$9,MATCH(ROUNDUP((AD$1)/10,0)*10,[1]Hugst!$R$4:$W$4,0))))</f>
        <v>0</v>
      </c>
      <c r="AE63">
        <f ca="1">IF($C63-AE$1&lt;År1,0,AD62*(1-VLOOKUP($A63,[1]Hugst!$R$5:$W$9,MATCH(ROUNDUP((AE$1)/10,0)*10,[1]Hugst!$R$4:$W$4,0))))</f>
        <v>0</v>
      </c>
      <c r="AF63">
        <f ca="1">IF($C63-AF$1&lt;År1,0,AE62*(1-VLOOKUP($A63,[1]Hugst!$R$5:$W$9,MATCH(ROUNDUP((AF$1)/10,0)*10,[1]Hugst!$R$4:$W$4,0))))</f>
        <v>0</v>
      </c>
      <c r="AG63">
        <f ca="1">IF($C63-AG$1&lt;År1,0,AF62*(1-VLOOKUP($A63,[1]Hugst!$R$5:$W$9,MATCH(ROUNDUP((AG$1)/10,0)*10,[1]Hugst!$R$4:$W$4,0))))</f>
        <v>0</v>
      </c>
      <c r="AH63">
        <f ca="1">IF($C63-AH$1&lt;År1,0,AG62*(1-VLOOKUP($A63,[1]Hugst!$R$5:$W$9,MATCH(ROUNDUP((AH$1)/10,0)*10,[1]Hugst!$R$4:$W$4,0))))</f>
        <v>0</v>
      </c>
      <c r="AI63">
        <f ca="1">IF($C63-AI$1&lt;År1,0,AH62*(1-VLOOKUP($A63,[1]Hugst!$R$5:$W$9,MATCH(ROUNDUP((AI$1)/10,0)*10,[1]Hugst!$R$4:$W$4,0))))</f>
        <v>0</v>
      </c>
      <c r="AJ63">
        <f ca="1">IF($C63-AJ$1&lt;År1,0,AI62*(1-VLOOKUP($A63,[1]Hugst!$R$5:$W$9,MATCH(ROUNDUP((AJ$1)/10,0)*10,[1]Hugst!$R$4:$W$4,0))))</f>
        <v>0</v>
      </c>
      <c r="AL63">
        <f ca="1">SUM(F63:AJ63)</f>
        <v>0</v>
      </c>
    </row>
    <row r="64" spans="1:38" x14ac:dyDescent="0.25">
      <c r="A64" t="s">
        <v>177</v>
      </c>
      <c r="B64" t="s">
        <v>23</v>
      </c>
      <c r="C64">
        <v>2020</v>
      </c>
      <c r="D64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870.12904324613055</v>
      </c>
      <c r="E64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4816.2569893740747</v>
      </c>
      <c r="G64">
        <f>IF($C64-G$1&lt;År1,0,F63*(1-VLOOKUP($A64,[1]Hugst!$R$5:$W$9,MATCH(ROUNDUP((G$1)/10,0)*10,[1]Hugst!$R$4:$W$4,0))))</f>
        <v>0</v>
      </c>
      <c r="H64">
        <f>IF($C64-H$1&lt;År1,0,G63*(1-VLOOKUP($A64,[1]Hugst!$R$5:$W$9,MATCH(ROUNDUP((H$1)/10,0)*10,[1]Hugst!$R$4:$W$4,0))))</f>
        <v>0</v>
      </c>
      <c r="I64">
        <f>IF($C64-I$1&lt;År1,0,H63*(1-VLOOKUP($A64,[1]Hugst!$R$5:$W$9,MATCH(ROUNDUP((I$1)/10,0)*10,[1]Hugst!$R$4:$W$4,0))))</f>
        <v>0</v>
      </c>
      <c r="J64">
        <f>IF($C64-J$1&lt;År1,0,I63*(1-VLOOKUP($A64,[1]Hugst!$R$5:$W$9,MATCH(ROUNDUP((J$1)/10,0)*10,[1]Hugst!$R$4:$W$4,0))))</f>
        <v>0</v>
      </c>
      <c r="K64">
        <f>IF($C64-K$1&lt;År1,0,J63*(1-VLOOKUP($A64,[1]Hugst!$R$5:$W$9,MATCH(ROUNDUP((K$1)/10,0)*10,[1]Hugst!$R$4:$W$4,0))))</f>
        <v>0</v>
      </c>
      <c r="L64">
        <f>IF($C64-L$1&lt;År1,0,K63*(1-VLOOKUP($A64,[1]Hugst!$R$5:$W$9,MATCH(ROUNDUP((L$1)/10,0)*10,[1]Hugst!$R$4:$W$4,0))))</f>
        <v>0</v>
      </c>
      <c r="M64">
        <f>IF($C64-M$1&lt;År1,0,L63*(1-VLOOKUP($A64,[1]Hugst!$R$5:$W$9,MATCH(ROUNDUP((M$1)/10,0)*10,[1]Hugst!$R$4:$W$4,0))))</f>
        <v>0</v>
      </c>
      <c r="N64">
        <f>IF($C64-N$1&lt;År1,0,M63*(1-VLOOKUP($A64,[1]Hugst!$R$5:$W$9,MATCH(ROUNDUP((N$1)/10,0)*10,[1]Hugst!$R$4:$W$4,0))))</f>
        <v>0</v>
      </c>
      <c r="O64">
        <f>IF($C64-O$1&lt;År1,0,N63*(1-VLOOKUP($A64,[1]Hugst!$R$5:$W$9,MATCH(ROUNDUP((O$1)/10,0)*10,[1]Hugst!$R$4:$W$4,0))))</f>
        <v>0</v>
      </c>
      <c r="P64">
        <f>IF($C64-P$1&lt;År1,0,O63*(1-VLOOKUP($A64,[1]Hugst!$R$5:$W$9,MATCH(ROUNDUP((P$1)/10,0)*10,[1]Hugst!$R$4:$W$4,0))))</f>
        <v>0</v>
      </c>
      <c r="Q64">
        <f>IF($C64-Q$1&lt;År1,0,P63*(1-VLOOKUP($A64,[1]Hugst!$R$5:$W$9,MATCH(ROUNDUP((Q$1)/10,0)*10,[1]Hugst!$R$4:$W$4,0))))</f>
        <v>0</v>
      </c>
      <c r="R64">
        <f>IF($C64-R$1&lt;År1,0,Q63*(1-VLOOKUP($A64,[1]Hugst!$R$5:$W$9,MATCH(ROUNDUP((R$1)/10,0)*10,[1]Hugst!$R$4:$W$4,0))))</f>
        <v>0</v>
      </c>
      <c r="S64">
        <f>IF($C64-S$1&lt;År1,0,R63*(1-VLOOKUP($A64,[1]Hugst!$R$5:$W$9,MATCH(ROUNDUP((S$1)/10,0)*10,[1]Hugst!$R$4:$W$4,0))))</f>
        <v>0</v>
      </c>
      <c r="T64">
        <f>IF($C64-T$1&lt;År1,0,S63*(1-VLOOKUP($A64,[1]Hugst!$R$5:$W$9,MATCH(ROUNDUP((T$1)/10,0)*10,[1]Hugst!$R$4:$W$4,0))))</f>
        <v>0</v>
      </c>
      <c r="U64">
        <f>IF($C64-U$1&lt;År1,0,T63*(1-VLOOKUP($A64,[1]Hugst!$R$5:$W$9,MATCH(ROUNDUP((U$1)/10,0)*10,[1]Hugst!$R$4:$W$4,0))))</f>
        <v>0</v>
      </c>
      <c r="V64">
        <f>IF($C64-V$1&lt;År1,0,U63*(1-VLOOKUP($A64,[1]Hugst!$R$5:$W$9,MATCH(ROUNDUP((V$1)/10,0)*10,[1]Hugst!$R$4:$W$4,0))))</f>
        <v>0</v>
      </c>
      <c r="W64">
        <f>IF($C64-W$1&lt;År1,0,V63*(1-VLOOKUP($A64,[1]Hugst!$R$5:$W$9,MATCH(ROUNDUP((W$1)/10,0)*10,[1]Hugst!$R$4:$W$4,0))))</f>
        <v>0</v>
      </c>
      <c r="X64">
        <f>IF($C64-X$1&lt;År1,0,W63*(1-VLOOKUP($A64,[1]Hugst!$R$5:$W$9,MATCH(ROUNDUP((X$1)/10,0)*10,[1]Hugst!$R$4:$W$4,0))))</f>
        <v>0</v>
      </c>
      <c r="Y64">
        <f>IF($C64-Y$1&lt;År1,0,X63*(1-VLOOKUP($A64,[1]Hugst!$R$5:$W$9,MATCH(ROUNDUP((Y$1)/10,0)*10,[1]Hugst!$R$4:$W$4,0))))</f>
        <v>0</v>
      </c>
      <c r="Z64">
        <f>IF($C64-Z$1&lt;År1,0,Y63*(1-VLOOKUP($A64,[1]Hugst!$R$5:$W$9,MATCH(ROUNDUP((Z$1)/10,0)*10,[1]Hugst!$R$4:$W$4,0))))</f>
        <v>0</v>
      </c>
      <c r="AA64">
        <f>IF($C64-AA$1&lt;År1,0,Z63*(1-VLOOKUP($A64,[1]Hugst!$R$5:$W$9,MATCH(ROUNDUP((AA$1)/10,0)*10,[1]Hugst!$R$4:$W$4,0))))</f>
        <v>0</v>
      </c>
      <c r="AB64">
        <f>IF($C64-AB$1&lt;År1,0,AA63*(1-VLOOKUP($A64,[1]Hugst!$R$5:$W$9,MATCH(ROUNDUP((AB$1)/10,0)*10,[1]Hugst!$R$4:$W$4,0))))</f>
        <v>0</v>
      </c>
      <c r="AC64">
        <f>IF($C64-AC$1&lt;År1,0,AB63*(1-VLOOKUP($A64,[1]Hugst!$R$5:$W$9,MATCH(ROUNDUP((AC$1)/10,0)*10,[1]Hugst!$R$4:$W$4,0))))</f>
        <v>0</v>
      </c>
      <c r="AD64">
        <f>IF($C64-AD$1&lt;År1,0,AC63*(1-VLOOKUP($A64,[1]Hugst!$R$5:$W$9,MATCH(ROUNDUP((AD$1)/10,0)*10,[1]Hugst!$R$4:$W$4,0))))</f>
        <v>0</v>
      </c>
      <c r="AE64">
        <f>IF($C64-AE$1&lt;År1,0,AD63*(1-VLOOKUP($A64,[1]Hugst!$R$5:$W$9,MATCH(ROUNDUP((AE$1)/10,0)*10,[1]Hugst!$R$4:$W$4,0))))</f>
        <v>0</v>
      </c>
      <c r="AF64">
        <f>IF($C64-AF$1&lt;År1,0,AE63*(1-VLOOKUP($A64,[1]Hugst!$R$5:$W$9,MATCH(ROUNDUP((AF$1)/10,0)*10,[1]Hugst!$R$4:$W$4,0))))</f>
        <v>0</v>
      </c>
      <c r="AG64">
        <f>IF($C64-AG$1&lt;År1,0,AF63*(1-VLOOKUP($A64,[1]Hugst!$R$5:$W$9,MATCH(ROUNDUP((AG$1)/10,0)*10,[1]Hugst!$R$4:$W$4,0))))</f>
        <v>0</v>
      </c>
      <c r="AH64">
        <f>IF($C64-AH$1&lt;År1,0,AG63*(1-VLOOKUP($A64,[1]Hugst!$R$5:$W$9,MATCH(ROUNDUP((AH$1)/10,0)*10,[1]Hugst!$R$4:$W$4,0))))</f>
        <v>0</v>
      </c>
      <c r="AI64">
        <f>IF($C64-AI$1&lt;År1,0,AH63*(1-VLOOKUP($A64,[1]Hugst!$R$5:$W$9,MATCH(ROUNDUP((AI$1)/10,0)*10,[1]Hugst!$R$4:$W$4,0))))</f>
        <v>0</v>
      </c>
      <c r="AJ64">
        <f>IF($C64-AJ$1&lt;År1,0,AI63*(1-VLOOKUP($A64,[1]Hugst!$R$5:$W$9,MATCH(ROUNDUP((AJ$1)/10,0)*10,[1]Hugst!$R$4:$W$4,0))))</f>
        <v>0</v>
      </c>
    </row>
    <row r="65" spans="1:36" x14ac:dyDescent="0.25">
      <c r="A65" t="s">
        <v>177</v>
      </c>
      <c r="B65" t="s">
        <v>23</v>
      </c>
      <c r="C65">
        <v>2021</v>
      </c>
      <c r="D65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865.77839802987864</v>
      </c>
      <c r="E65">
        <f t="shared" ref="E65:E94" ca="1" si="1">IF(C65=2020,SUM(G65:AJ65),SUM(F64:AJ64)-SUM(G65:AJ65))</f>
        <v>0</v>
      </c>
      <c r="F65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4811.9063441578237</v>
      </c>
      <c r="G65">
        <f ca="1">IF($C65-G$1&lt;År1,0,F64*(1-VLOOKUP($A65,[1]Hugst!$R$5:$W$9,MATCH(ROUNDUP((G$1)/10,0)*10,[1]Hugst!$R$4:$W$4,0))))</f>
        <v>4816.2569893740747</v>
      </c>
      <c r="H65">
        <f>IF($C65-H$1&lt;År1,0,G64*(1-VLOOKUP($A65,[1]Hugst!$R$5:$W$9,MATCH(ROUNDUP((H$1)/10,0)*10,[1]Hugst!$R$4:$W$4,0))))</f>
        <v>0</v>
      </c>
      <c r="I65">
        <f>IF($C65-I$1&lt;År1,0,H64*(1-VLOOKUP($A65,[1]Hugst!$R$5:$W$9,MATCH(ROUNDUP((I$1)/10,0)*10,[1]Hugst!$R$4:$W$4,0))))</f>
        <v>0</v>
      </c>
      <c r="J65">
        <f>IF($C65-J$1&lt;År1,0,I64*(1-VLOOKUP($A65,[1]Hugst!$R$5:$W$9,MATCH(ROUNDUP((J$1)/10,0)*10,[1]Hugst!$R$4:$W$4,0))))</f>
        <v>0</v>
      </c>
      <c r="K65">
        <f>IF($C65-K$1&lt;År1,0,J64*(1-VLOOKUP($A65,[1]Hugst!$R$5:$W$9,MATCH(ROUNDUP((K$1)/10,0)*10,[1]Hugst!$R$4:$W$4,0))))</f>
        <v>0</v>
      </c>
      <c r="L65">
        <f>IF($C65-L$1&lt;År1,0,K64*(1-VLOOKUP($A65,[1]Hugst!$R$5:$W$9,MATCH(ROUNDUP((L$1)/10,0)*10,[1]Hugst!$R$4:$W$4,0))))</f>
        <v>0</v>
      </c>
      <c r="M65">
        <f>IF($C65-M$1&lt;År1,0,L64*(1-VLOOKUP($A65,[1]Hugst!$R$5:$W$9,MATCH(ROUNDUP((M$1)/10,0)*10,[1]Hugst!$R$4:$W$4,0))))</f>
        <v>0</v>
      </c>
      <c r="N65">
        <f>IF($C65-N$1&lt;År1,0,M64*(1-VLOOKUP($A65,[1]Hugst!$R$5:$W$9,MATCH(ROUNDUP((N$1)/10,0)*10,[1]Hugst!$R$4:$W$4,0))))</f>
        <v>0</v>
      </c>
      <c r="O65">
        <f>IF($C65-O$1&lt;År1,0,N64*(1-VLOOKUP($A65,[1]Hugst!$R$5:$W$9,MATCH(ROUNDUP((O$1)/10,0)*10,[1]Hugst!$R$4:$W$4,0))))</f>
        <v>0</v>
      </c>
      <c r="P65">
        <f>IF($C65-P$1&lt;År1,0,O64*(1-VLOOKUP($A65,[1]Hugst!$R$5:$W$9,MATCH(ROUNDUP((P$1)/10,0)*10,[1]Hugst!$R$4:$W$4,0))))</f>
        <v>0</v>
      </c>
      <c r="Q65">
        <f>IF($C65-Q$1&lt;År1,0,P64*(1-VLOOKUP($A65,[1]Hugst!$R$5:$W$9,MATCH(ROUNDUP((Q$1)/10,0)*10,[1]Hugst!$R$4:$W$4,0))))</f>
        <v>0</v>
      </c>
      <c r="R65">
        <f>IF($C65-R$1&lt;År1,0,Q64*(1-VLOOKUP($A65,[1]Hugst!$R$5:$W$9,MATCH(ROUNDUP((R$1)/10,0)*10,[1]Hugst!$R$4:$W$4,0))))</f>
        <v>0</v>
      </c>
      <c r="S65">
        <f>IF($C65-S$1&lt;År1,0,R64*(1-VLOOKUP($A65,[1]Hugst!$R$5:$W$9,MATCH(ROUNDUP((S$1)/10,0)*10,[1]Hugst!$R$4:$W$4,0))))</f>
        <v>0</v>
      </c>
      <c r="T65">
        <f>IF($C65-T$1&lt;År1,0,S64*(1-VLOOKUP($A65,[1]Hugst!$R$5:$W$9,MATCH(ROUNDUP((T$1)/10,0)*10,[1]Hugst!$R$4:$W$4,0))))</f>
        <v>0</v>
      </c>
      <c r="U65">
        <f>IF($C65-U$1&lt;År1,0,T64*(1-VLOOKUP($A65,[1]Hugst!$R$5:$W$9,MATCH(ROUNDUP((U$1)/10,0)*10,[1]Hugst!$R$4:$W$4,0))))</f>
        <v>0</v>
      </c>
      <c r="V65">
        <f>IF($C65-V$1&lt;År1,0,U64*(1-VLOOKUP($A65,[1]Hugst!$R$5:$W$9,MATCH(ROUNDUP((V$1)/10,0)*10,[1]Hugst!$R$4:$W$4,0))))</f>
        <v>0</v>
      </c>
      <c r="W65">
        <f>IF($C65-W$1&lt;År1,0,V64*(1-VLOOKUP($A65,[1]Hugst!$R$5:$W$9,MATCH(ROUNDUP((W$1)/10,0)*10,[1]Hugst!$R$4:$W$4,0))))</f>
        <v>0</v>
      </c>
      <c r="X65">
        <f>IF($C65-X$1&lt;År1,0,W64*(1-VLOOKUP($A65,[1]Hugst!$R$5:$W$9,MATCH(ROUNDUP((X$1)/10,0)*10,[1]Hugst!$R$4:$W$4,0))))</f>
        <v>0</v>
      </c>
      <c r="Y65">
        <f>IF($C65-Y$1&lt;År1,0,X64*(1-VLOOKUP($A65,[1]Hugst!$R$5:$W$9,MATCH(ROUNDUP((Y$1)/10,0)*10,[1]Hugst!$R$4:$W$4,0))))</f>
        <v>0</v>
      </c>
      <c r="Z65">
        <f>IF($C65-Z$1&lt;År1,0,Y64*(1-VLOOKUP($A65,[1]Hugst!$R$5:$W$9,MATCH(ROUNDUP((Z$1)/10,0)*10,[1]Hugst!$R$4:$W$4,0))))</f>
        <v>0</v>
      </c>
      <c r="AA65">
        <f>IF($C65-AA$1&lt;År1,0,Z64*(1-VLOOKUP($A65,[1]Hugst!$R$5:$W$9,MATCH(ROUNDUP((AA$1)/10,0)*10,[1]Hugst!$R$4:$W$4,0))))</f>
        <v>0</v>
      </c>
      <c r="AB65">
        <f>IF($C65-AB$1&lt;År1,0,AA64*(1-VLOOKUP($A65,[1]Hugst!$R$5:$W$9,MATCH(ROUNDUP((AB$1)/10,0)*10,[1]Hugst!$R$4:$W$4,0))))</f>
        <v>0</v>
      </c>
      <c r="AC65">
        <f>IF($C65-AC$1&lt;År1,0,AB64*(1-VLOOKUP($A65,[1]Hugst!$R$5:$W$9,MATCH(ROUNDUP((AC$1)/10,0)*10,[1]Hugst!$R$4:$W$4,0))))</f>
        <v>0</v>
      </c>
      <c r="AD65">
        <f>IF($C65-AD$1&lt;År1,0,AC64*(1-VLOOKUP($A65,[1]Hugst!$R$5:$W$9,MATCH(ROUNDUP((AD$1)/10,0)*10,[1]Hugst!$R$4:$W$4,0))))</f>
        <v>0</v>
      </c>
      <c r="AE65">
        <f>IF($C65-AE$1&lt;År1,0,AD64*(1-VLOOKUP($A65,[1]Hugst!$R$5:$W$9,MATCH(ROUNDUP((AE$1)/10,0)*10,[1]Hugst!$R$4:$W$4,0))))</f>
        <v>0</v>
      </c>
      <c r="AF65">
        <f>IF($C65-AF$1&lt;År1,0,AE64*(1-VLOOKUP($A65,[1]Hugst!$R$5:$W$9,MATCH(ROUNDUP((AF$1)/10,0)*10,[1]Hugst!$R$4:$W$4,0))))</f>
        <v>0</v>
      </c>
      <c r="AG65">
        <f>IF($C65-AG$1&lt;År1,0,AF64*(1-VLOOKUP($A65,[1]Hugst!$R$5:$W$9,MATCH(ROUNDUP((AG$1)/10,0)*10,[1]Hugst!$R$4:$W$4,0))))</f>
        <v>0</v>
      </c>
      <c r="AH65">
        <f>IF($C65-AH$1&lt;År1,0,AG64*(1-VLOOKUP($A65,[1]Hugst!$R$5:$W$9,MATCH(ROUNDUP((AH$1)/10,0)*10,[1]Hugst!$R$4:$W$4,0))))</f>
        <v>0</v>
      </c>
      <c r="AI65">
        <f>IF($C65-AI$1&lt;År1,0,AH64*(1-VLOOKUP($A65,[1]Hugst!$R$5:$W$9,MATCH(ROUNDUP((AI$1)/10,0)*10,[1]Hugst!$R$4:$W$4,0))))</f>
        <v>0</v>
      </c>
      <c r="AJ65">
        <f>IF($C65-AJ$1&lt;År1,0,AI64*(1-VLOOKUP($A65,[1]Hugst!$R$5:$W$9,MATCH(ROUNDUP((AJ$1)/10,0)*10,[1]Hugst!$R$4:$W$4,0))))</f>
        <v>0</v>
      </c>
    </row>
    <row r="66" spans="1:36" x14ac:dyDescent="0.25">
      <c r="A66" t="s">
        <v>177</v>
      </c>
      <c r="B66" t="s">
        <v>23</v>
      </c>
      <c r="C66">
        <v>2022</v>
      </c>
      <c r="D66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861.44950603975485</v>
      </c>
      <c r="E66">
        <f t="shared" ca="1" si="1"/>
        <v>0</v>
      </c>
      <c r="F66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4807.5774521676994</v>
      </c>
      <c r="G66">
        <f ca="1">IF($C66-G$1&lt;År1,0,F65*(1-VLOOKUP($A66,[1]Hugst!$R$5:$W$9,MATCH(ROUNDUP((G$1)/10,0)*10,[1]Hugst!$R$4:$W$4,0))))</f>
        <v>4811.9063441578237</v>
      </c>
      <c r="H66">
        <f ca="1">IF($C66-H$1&lt;År1,0,G65*(1-VLOOKUP($A66,[1]Hugst!$R$5:$W$9,MATCH(ROUNDUP((H$1)/10,0)*10,[1]Hugst!$R$4:$W$4,0))))</f>
        <v>4816.2569893740747</v>
      </c>
      <c r="I66">
        <f>IF($C66-I$1&lt;År1,0,H65*(1-VLOOKUP($A66,[1]Hugst!$R$5:$W$9,MATCH(ROUNDUP((I$1)/10,0)*10,[1]Hugst!$R$4:$W$4,0))))</f>
        <v>0</v>
      </c>
      <c r="J66">
        <f>IF($C66-J$1&lt;År1,0,I65*(1-VLOOKUP($A66,[1]Hugst!$R$5:$W$9,MATCH(ROUNDUP((J$1)/10,0)*10,[1]Hugst!$R$4:$W$4,0))))</f>
        <v>0</v>
      </c>
      <c r="K66">
        <f>IF($C66-K$1&lt;År1,0,J65*(1-VLOOKUP($A66,[1]Hugst!$R$5:$W$9,MATCH(ROUNDUP((K$1)/10,0)*10,[1]Hugst!$R$4:$W$4,0))))</f>
        <v>0</v>
      </c>
      <c r="L66">
        <f>IF($C66-L$1&lt;År1,0,K65*(1-VLOOKUP($A66,[1]Hugst!$R$5:$W$9,MATCH(ROUNDUP((L$1)/10,0)*10,[1]Hugst!$R$4:$W$4,0))))</f>
        <v>0</v>
      </c>
      <c r="M66">
        <f>IF($C66-M$1&lt;År1,0,L65*(1-VLOOKUP($A66,[1]Hugst!$R$5:$W$9,MATCH(ROUNDUP((M$1)/10,0)*10,[1]Hugst!$R$4:$W$4,0))))</f>
        <v>0</v>
      </c>
      <c r="N66">
        <f>IF($C66-N$1&lt;År1,0,M65*(1-VLOOKUP($A66,[1]Hugst!$R$5:$W$9,MATCH(ROUNDUP((N$1)/10,0)*10,[1]Hugst!$R$4:$W$4,0))))</f>
        <v>0</v>
      </c>
      <c r="O66">
        <f>IF($C66-O$1&lt;År1,0,N65*(1-VLOOKUP($A66,[1]Hugst!$R$5:$W$9,MATCH(ROUNDUP((O$1)/10,0)*10,[1]Hugst!$R$4:$W$4,0))))</f>
        <v>0</v>
      </c>
      <c r="P66">
        <f>IF($C66-P$1&lt;År1,0,O65*(1-VLOOKUP($A66,[1]Hugst!$R$5:$W$9,MATCH(ROUNDUP((P$1)/10,0)*10,[1]Hugst!$R$4:$W$4,0))))</f>
        <v>0</v>
      </c>
      <c r="Q66">
        <f>IF($C66-Q$1&lt;År1,0,P65*(1-VLOOKUP($A66,[1]Hugst!$R$5:$W$9,MATCH(ROUNDUP((Q$1)/10,0)*10,[1]Hugst!$R$4:$W$4,0))))</f>
        <v>0</v>
      </c>
      <c r="R66">
        <f>IF($C66-R$1&lt;År1,0,Q65*(1-VLOOKUP($A66,[1]Hugst!$R$5:$W$9,MATCH(ROUNDUP((R$1)/10,0)*10,[1]Hugst!$R$4:$W$4,0))))</f>
        <v>0</v>
      </c>
      <c r="S66">
        <f>IF($C66-S$1&lt;År1,0,R65*(1-VLOOKUP($A66,[1]Hugst!$R$5:$W$9,MATCH(ROUNDUP((S$1)/10,0)*10,[1]Hugst!$R$4:$W$4,0))))</f>
        <v>0</v>
      </c>
      <c r="T66">
        <f>IF($C66-T$1&lt;År1,0,S65*(1-VLOOKUP($A66,[1]Hugst!$R$5:$W$9,MATCH(ROUNDUP((T$1)/10,0)*10,[1]Hugst!$R$4:$W$4,0))))</f>
        <v>0</v>
      </c>
      <c r="U66">
        <f>IF($C66-U$1&lt;År1,0,T65*(1-VLOOKUP($A66,[1]Hugst!$R$5:$W$9,MATCH(ROUNDUP((U$1)/10,0)*10,[1]Hugst!$R$4:$W$4,0))))</f>
        <v>0</v>
      </c>
      <c r="V66">
        <f>IF($C66-V$1&lt;År1,0,U65*(1-VLOOKUP($A66,[1]Hugst!$R$5:$W$9,MATCH(ROUNDUP((V$1)/10,0)*10,[1]Hugst!$R$4:$W$4,0))))</f>
        <v>0</v>
      </c>
      <c r="W66">
        <f>IF($C66-W$1&lt;År1,0,V65*(1-VLOOKUP($A66,[1]Hugst!$R$5:$W$9,MATCH(ROUNDUP((W$1)/10,0)*10,[1]Hugst!$R$4:$W$4,0))))</f>
        <v>0</v>
      </c>
      <c r="X66">
        <f>IF($C66-X$1&lt;År1,0,W65*(1-VLOOKUP($A66,[1]Hugst!$R$5:$W$9,MATCH(ROUNDUP((X$1)/10,0)*10,[1]Hugst!$R$4:$W$4,0))))</f>
        <v>0</v>
      </c>
      <c r="Y66">
        <f>IF($C66-Y$1&lt;År1,0,X65*(1-VLOOKUP($A66,[1]Hugst!$R$5:$W$9,MATCH(ROUNDUP((Y$1)/10,0)*10,[1]Hugst!$R$4:$W$4,0))))</f>
        <v>0</v>
      </c>
      <c r="Z66">
        <f>IF($C66-Z$1&lt;År1,0,Y65*(1-VLOOKUP($A66,[1]Hugst!$R$5:$W$9,MATCH(ROUNDUP((Z$1)/10,0)*10,[1]Hugst!$R$4:$W$4,0))))</f>
        <v>0</v>
      </c>
      <c r="AA66">
        <f>IF($C66-AA$1&lt;År1,0,Z65*(1-VLOOKUP($A66,[1]Hugst!$R$5:$W$9,MATCH(ROUNDUP((AA$1)/10,0)*10,[1]Hugst!$R$4:$W$4,0))))</f>
        <v>0</v>
      </c>
      <c r="AB66">
        <f>IF($C66-AB$1&lt;År1,0,AA65*(1-VLOOKUP($A66,[1]Hugst!$R$5:$W$9,MATCH(ROUNDUP((AB$1)/10,0)*10,[1]Hugst!$R$4:$W$4,0))))</f>
        <v>0</v>
      </c>
      <c r="AC66">
        <f>IF($C66-AC$1&lt;År1,0,AB65*(1-VLOOKUP($A66,[1]Hugst!$R$5:$W$9,MATCH(ROUNDUP((AC$1)/10,0)*10,[1]Hugst!$R$4:$W$4,0))))</f>
        <v>0</v>
      </c>
      <c r="AD66">
        <f>IF($C66-AD$1&lt;År1,0,AC65*(1-VLOOKUP($A66,[1]Hugst!$R$5:$W$9,MATCH(ROUNDUP((AD$1)/10,0)*10,[1]Hugst!$R$4:$W$4,0))))</f>
        <v>0</v>
      </c>
      <c r="AE66">
        <f>IF($C66-AE$1&lt;År1,0,AD65*(1-VLOOKUP($A66,[1]Hugst!$R$5:$W$9,MATCH(ROUNDUP((AE$1)/10,0)*10,[1]Hugst!$R$4:$W$4,0))))</f>
        <v>0</v>
      </c>
      <c r="AF66">
        <f>IF($C66-AF$1&lt;År1,0,AE65*(1-VLOOKUP($A66,[1]Hugst!$R$5:$W$9,MATCH(ROUNDUP((AF$1)/10,0)*10,[1]Hugst!$R$4:$W$4,0))))</f>
        <v>0</v>
      </c>
      <c r="AG66">
        <f>IF($C66-AG$1&lt;År1,0,AF65*(1-VLOOKUP($A66,[1]Hugst!$R$5:$W$9,MATCH(ROUNDUP((AG$1)/10,0)*10,[1]Hugst!$R$4:$W$4,0))))</f>
        <v>0</v>
      </c>
      <c r="AH66">
        <f>IF($C66-AH$1&lt;År1,0,AG65*(1-VLOOKUP($A66,[1]Hugst!$R$5:$W$9,MATCH(ROUNDUP((AH$1)/10,0)*10,[1]Hugst!$R$4:$W$4,0))))</f>
        <v>0</v>
      </c>
      <c r="AI66">
        <f>IF($C66-AI$1&lt;År1,0,AH65*(1-VLOOKUP($A66,[1]Hugst!$R$5:$W$9,MATCH(ROUNDUP((AI$1)/10,0)*10,[1]Hugst!$R$4:$W$4,0))))</f>
        <v>0</v>
      </c>
      <c r="AJ66">
        <f>IF($C66-AJ$1&lt;År1,0,AI65*(1-VLOOKUP($A66,[1]Hugst!$R$5:$W$9,MATCH(ROUNDUP((AJ$1)/10,0)*10,[1]Hugst!$R$4:$W$4,0))))</f>
        <v>0</v>
      </c>
    </row>
    <row r="67" spans="1:36" x14ac:dyDescent="0.25">
      <c r="A67" t="s">
        <v>177</v>
      </c>
      <c r="B67" t="s">
        <v>23</v>
      </c>
      <c r="C67">
        <v>2023</v>
      </c>
      <c r="D67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857.14225850955108</v>
      </c>
      <c r="E67">
        <f t="shared" ca="1" si="1"/>
        <v>0</v>
      </c>
      <c r="F67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4803.2702046374961</v>
      </c>
      <c r="G67">
        <f ca="1">IF($C67-G$1&lt;År1,0,F66*(1-VLOOKUP($A67,[1]Hugst!$R$5:$W$9,MATCH(ROUNDUP((G$1)/10,0)*10,[1]Hugst!$R$4:$W$4,0))))</f>
        <v>4807.5774521676994</v>
      </c>
      <c r="H67">
        <f ca="1">IF($C67-H$1&lt;År1,0,G66*(1-VLOOKUP($A67,[1]Hugst!$R$5:$W$9,MATCH(ROUNDUP((H$1)/10,0)*10,[1]Hugst!$R$4:$W$4,0))))</f>
        <v>4811.9063441578237</v>
      </c>
      <c r="I67">
        <f ca="1">IF($C67-I$1&lt;År1,0,H66*(1-VLOOKUP($A67,[1]Hugst!$R$5:$W$9,MATCH(ROUNDUP((I$1)/10,0)*10,[1]Hugst!$R$4:$W$4,0))))</f>
        <v>4816.2569893740747</v>
      </c>
      <c r="J67">
        <f>IF($C67-J$1&lt;År1,0,I66*(1-VLOOKUP($A67,[1]Hugst!$R$5:$W$9,MATCH(ROUNDUP((J$1)/10,0)*10,[1]Hugst!$R$4:$W$4,0))))</f>
        <v>0</v>
      </c>
      <c r="K67">
        <f>IF($C67-K$1&lt;År1,0,J66*(1-VLOOKUP($A67,[1]Hugst!$R$5:$W$9,MATCH(ROUNDUP((K$1)/10,0)*10,[1]Hugst!$R$4:$W$4,0))))</f>
        <v>0</v>
      </c>
      <c r="L67">
        <f>IF($C67-L$1&lt;År1,0,K66*(1-VLOOKUP($A67,[1]Hugst!$R$5:$W$9,MATCH(ROUNDUP((L$1)/10,0)*10,[1]Hugst!$R$4:$W$4,0))))</f>
        <v>0</v>
      </c>
      <c r="M67">
        <f>IF($C67-M$1&lt;År1,0,L66*(1-VLOOKUP($A67,[1]Hugst!$R$5:$W$9,MATCH(ROUNDUP((M$1)/10,0)*10,[1]Hugst!$R$4:$W$4,0))))</f>
        <v>0</v>
      </c>
      <c r="N67">
        <f>IF($C67-N$1&lt;År1,0,M66*(1-VLOOKUP($A67,[1]Hugst!$R$5:$W$9,MATCH(ROUNDUP((N$1)/10,0)*10,[1]Hugst!$R$4:$W$4,0))))</f>
        <v>0</v>
      </c>
      <c r="O67">
        <f>IF($C67-O$1&lt;År1,0,N66*(1-VLOOKUP($A67,[1]Hugst!$R$5:$W$9,MATCH(ROUNDUP((O$1)/10,0)*10,[1]Hugst!$R$4:$W$4,0))))</f>
        <v>0</v>
      </c>
      <c r="P67">
        <f>IF($C67-P$1&lt;År1,0,O66*(1-VLOOKUP($A67,[1]Hugst!$R$5:$W$9,MATCH(ROUNDUP((P$1)/10,0)*10,[1]Hugst!$R$4:$W$4,0))))</f>
        <v>0</v>
      </c>
      <c r="Q67">
        <f>IF($C67-Q$1&lt;År1,0,P66*(1-VLOOKUP($A67,[1]Hugst!$R$5:$W$9,MATCH(ROUNDUP((Q$1)/10,0)*10,[1]Hugst!$R$4:$W$4,0))))</f>
        <v>0</v>
      </c>
      <c r="R67">
        <f>IF($C67-R$1&lt;År1,0,Q66*(1-VLOOKUP($A67,[1]Hugst!$R$5:$W$9,MATCH(ROUNDUP((R$1)/10,0)*10,[1]Hugst!$R$4:$W$4,0))))</f>
        <v>0</v>
      </c>
      <c r="S67">
        <f>IF($C67-S$1&lt;År1,0,R66*(1-VLOOKUP($A67,[1]Hugst!$R$5:$W$9,MATCH(ROUNDUP((S$1)/10,0)*10,[1]Hugst!$R$4:$W$4,0))))</f>
        <v>0</v>
      </c>
      <c r="T67">
        <f>IF($C67-T$1&lt;År1,0,S66*(1-VLOOKUP($A67,[1]Hugst!$R$5:$W$9,MATCH(ROUNDUP((T$1)/10,0)*10,[1]Hugst!$R$4:$W$4,0))))</f>
        <v>0</v>
      </c>
      <c r="U67">
        <f>IF($C67-U$1&lt;År1,0,T66*(1-VLOOKUP($A67,[1]Hugst!$R$5:$W$9,MATCH(ROUNDUP((U$1)/10,0)*10,[1]Hugst!$R$4:$W$4,0))))</f>
        <v>0</v>
      </c>
      <c r="V67">
        <f>IF($C67-V$1&lt;År1,0,U66*(1-VLOOKUP($A67,[1]Hugst!$R$5:$W$9,MATCH(ROUNDUP((V$1)/10,0)*10,[1]Hugst!$R$4:$W$4,0))))</f>
        <v>0</v>
      </c>
      <c r="W67">
        <f>IF($C67-W$1&lt;År1,0,V66*(1-VLOOKUP($A67,[1]Hugst!$R$5:$W$9,MATCH(ROUNDUP((W$1)/10,0)*10,[1]Hugst!$R$4:$W$4,0))))</f>
        <v>0</v>
      </c>
      <c r="X67">
        <f>IF($C67-X$1&lt;År1,0,W66*(1-VLOOKUP($A67,[1]Hugst!$R$5:$W$9,MATCH(ROUNDUP((X$1)/10,0)*10,[1]Hugst!$R$4:$W$4,0))))</f>
        <v>0</v>
      </c>
      <c r="Y67">
        <f>IF($C67-Y$1&lt;År1,0,X66*(1-VLOOKUP($A67,[1]Hugst!$R$5:$W$9,MATCH(ROUNDUP((Y$1)/10,0)*10,[1]Hugst!$R$4:$W$4,0))))</f>
        <v>0</v>
      </c>
      <c r="Z67">
        <f>IF($C67-Z$1&lt;År1,0,Y66*(1-VLOOKUP($A67,[1]Hugst!$R$5:$W$9,MATCH(ROUNDUP((Z$1)/10,0)*10,[1]Hugst!$R$4:$W$4,0))))</f>
        <v>0</v>
      </c>
      <c r="AA67">
        <f>IF($C67-AA$1&lt;År1,0,Z66*(1-VLOOKUP($A67,[1]Hugst!$R$5:$W$9,MATCH(ROUNDUP((AA$1)/10,0)*10,[1]Hugst!$R$4:$W$4,0))))</f>
        <v>0</v>
      </c>
      <c r="AB67">
        <f>IF($C67-AB$1&lt;År1,0,AA66*(1-VLOOKUP($A67,[1]Hugst!$R$5:$W$9,MATCH(ROUNDUP((AB$1)/10,0)*10,[1]Hugst!$R$4:$W$4,0))))</f>
        <v>0</v>
      </c>
      <c r="AC67">
        <f>IF($C67-AC$1&lt;År1,0,AB66*(1-VLOOKUP($A67,[1]Hugst!$R$5:$W$9,MATCH(ROUNDUP((AC$1)/10,0)*10,[1]Hugst!$R$4:$W$4,0))))</f>
        <v>0</v>
      </c>
      <c r="AD67">
        <f>IF($C67-AD$1&lt;År1,0,AC66*(1-VLOOKUP($A67,[1]Hugst!$R$5:$W$9,MATCH(ROUNDUP((AD$1)/10,0)*10,[1]Hugst!$R$4:$W$4,0))))</f>
        <v>0</v>
      </c>
      <c r="AE67">
        <f>IF($C67-AE$1&lt;År1,0,AD66*(1-VLOOKUP($A67,[1]Hugst!$R$5:$W$9,MATCH(ROUNDUP((AE$1)/10,0)*10,[1]Hugst!$R$4:$W$4,0))))</f>
        <v>0</v>
      </c>
      <c r="AF67">
        <f>IF($C67-AF$1&lt;År1,0,AE66*(1-VLOOKUP($A67,[1]Hugst!$R$5:$W$9,MATCH(ROUNDUP((AF$1)/10,0)*10,[1]Hugst!$R$4:$W$4,0))))</f>
        <v>0</v>
      </c>
      <c r="AG67">
        <f>IF($C67-AG$1&lt;År1,0,AF66*(1-VLOOKUP($A67,[1]Hugst!$R$5:$W$9,MATCH(ROUNDUP((AG$1)/10,0)*10,[1]Hugst!$R$4:$W$4,0))))</f>
        <v>0</v>
      </c>
      <c r="AH67">
        <f>IF($C67-AH$1&lt;År1,0,AG66*(1-VLOOKUP($A67,[1]Hugst!$R$5:$W$9,MATCH(ROUNDUP((AH$1)/10,0)*10,[1]Hugst!$R$4:$W$4,0))))</f>
        <v>0</v>
      </c>
      <c r="AI67">
        <f>IF($C67-AI$1&lt;År1,0,AH66*(1-VLOOKUP($A67,[1]Hugst!$R$5:$W$9,MATCH(ROUNDUP((AI$1)/10,0)*10,[1]Hugst!$R$4:$W$4,0))))</f>
        <v>0</v>
      </c>
      <c r="AJ67">
        <f>IF($C67-AJ$1&lt;År1,0,AI66*(1-VLOOKUP($A67,[1]Hugst!$R$5:$W$9,MATCH(ROUNDUP((AJ$1)/10,0)*10,[1]Hugst!$R$4:$W$4,0))))</f>
        <v>0</v>
      </c>
    </row>
    <row r="68" spans="1:36" x14ac:dyDescent="0.25">
      <c r="A68" t="s">
        <v>177</v>
      </c>
      <c r="B68" t="s">
        <v>23</v>
      </c>
      <c r="C68">
        <v>2024</v>
      </c>
      <c r="D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852.85654721700075</v>
      </c>
      <c r="E68">
        <f t="shared" ca="1" si="1"/>
        <v>0</v>
      </c>
      <c r="F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4798.9844933449458</v>
      </c>
      <c r="G68">
        <f ca="1">IF($C68-G$1&lt;År1,0,F67*(1-VLOOKUP($A68,[1]Hugst!$R$5:$W$9,MATCH(ROUNDUP((G$1)/10,0)*10,[1]Hugst!$R$4:$W$4,0))))</f>
        <v>4803.2702046374961</v>
      </c>
      <c r="H68">
        <f ca="1">IF($C68-H$1&lt;År1,0,G67*(1-VLOOKUP($A68,[1]Hugst!$R$5:$W$9,MATCH(ROUNDUP((H$1)/10,0)*10,[1]Hugst!$R$4:$W$4,0))))</f>
        <v>4807.5774521676994</v>
      </c>
      <c r="I68">
        <f ca="1">IF($C68-I$1&lt;År1,0,H67*(1-VLOOKUP($A68,[1]Hugst!$R$5:$W$9,MATCH(ROUNDUP((I$1)/10,0)*10,[1]Hugst!$R$4:$W$4,0))))</f>
        <v>4811.9063441578237</v>
      </c>
      <c r="J68">
        <f ca="1">IF($C68-J$1&lt;År1,0,I67*(1-VLOOKUP($A68,[1]Hugst!$R$5:$W$9,MATCH(ROUNDUP((J$1)/10,0)*10,[1]Hugst!$R$4:$W$4,0))))</f>
        <v>4816.2569893740747</v>
      </c>
      <c r="K68">
        <f>IF($C68-K$1&lt;År1,0,J67*(1-VLOOKUP($A68,[1]Hugst!$R$5:$W$9,MATCH(ROUNDUP((K$1)/10,0)*10,[1]Hugst!$R$4:$W$4,0))))</f>
        <v>0</v>
      </c>
      <c r="L68">
        <f>IF($C68-L$1&lt;År1,0,K67*(1-VLOOKUP($A68,[1]Hugst!$R$5:$W$9,MATCH(ROUNDUP((L$1)/10,0)*10,[1]Hugst!$R$4:$W$4,0))))</f>
        <v>0</v>
      </c>
      <c r="M68">
        <f>IF($C68-M$1&lt;År1,0,L67*(1-VLOOKUP($A68,[1]Hugst!$R$5:$W$9,MATCH(ROUNDUP((M$1)/10,0)*10,[1]Hugst!$R$4:$W$4,0))))</f>
        <v>0</v>
      </c>
      <c r="N68">
        <f>IF($C68-N$1&lt;År1,0,M67*(1-VLOOKUP($A68,[1]Hugst!$R$5:$W$9,MATCH(ROUNDUP((N$1)/10,0)*10,[1]Hugst!$R$4:$W$4,0))))</f>
        <v>0</v>
      </c>
      <c r="O68">
        <f>IF($C68-O$1&lt;År1,0,N67*(1-VLOOKUP($A68,[1]Hugst!$R$5:$W$9,MATCH(ROUNDUP((O$1)/10,0)*10,[1]Hugst!$R$4:$W$4,0))))</f>
        <v>0</v>
      </c>
      <c r="P68">
        <f>IF($C68-P$1&lt;År1,0,O67*(1-VLOOKUP($A68,[1]Hugst!$R$5:$W$9,MATCH(ROUNDUP((P$1)/10,0)*10,[1]Hugst!$R$4:$W$4,0))))</f>
        <v>0</v>
      </c>
      <c r="Q68">
        <f>IF($C68-Q$1&lt;År1,0,P67*(1-VLOOKUP($A68,[1]Hugst!$R$5:$W$9,MATCH(ROUNDUP((Q$1)/10,0)*10,[1]Hugst!$R$4:$W$4,0))))</f>
        <v>0</v>
      </c>
      <c r="R68">
        <f>IF($C68-R$1&lt;År1,0,Q67*(1-VLOOKUP($A68,[1]Hugst!$R$5:$W$9,MATCH(ROUNDUP((R$1)/10,0)*10,[1]Hugst!$R$4:$W$4,0))))</f>
        <v>0</v>
      </c>
      <c r="S68">
        <f>IF($C68-S$1&lt;År1,0,R67*(1-VLOOKUP($A68,[1]Hugst!$R$5:$W$9,MATCH(ROUNDUP((S$1)/10,0)*10,[1]Hugst!$R$4:$W$4,0))))</f>
        <v>0</v>
      </c>
      <c r="T68">
        <f>IF($C68-T$1&lt;År1,0,S67*(1-VLOOKUP($A68,[1]Hugst!$R$5:$W$9,MATCH(ROUNDUP((T$1)/10,0)*10,[1]Hugst!$R$4:$W$4,0))))</f>
        <v>0</v>
      </c>
      <c r="U68">
        <f>IF($C68-U$1&lt;År1,0,T67*(1-VLOOKUP($A68,[1]Hugst!$R$5:$W$9,MATCH(ROUNDUP((U$1)/10,0)*10,[1]Hugst!$R$4:$W$4,0))))</f>
        <v>0</v>
      </c>
      <c r="V68">
        <f>IF($C68-V$1&lt;År1,0,U67*(1-VLOOKUP($A68,[1]Hugst!$R$5:$W$9,MATCH(ROUNDUP((V$1)/10,0)*10,[1]Hugst!$R$4:$W$4,0))))</f>
        <v>0</v>
      </c>
      <c r="W68">
        <f>IF($C68-W$1&lt;År1,0,V67*(1-VLOOKUP($A68,[1]Hugst!$R$5:$W$9,MATCH(ROUNDUP((W$1)/10,0)*10,[1]Hugst!$R$4:$W$4,0))))</f>
        <v>0</v>
      </c>
      <c r="X68">
        <f>IF($C68-X$1&lt;År1,0,W67*(1-VLOOKUP($A68,[1]Hugst!$R$5:$W$9,MATCH(ROUNDUP((X$1)/10,0)*10,[1]Hugst!$R$4:$W$4,0))))</f>
        <v>0</v>
      </c>
      <c r="Y68">
        <f>IF($C68-Y$1&lt;År1,0,X67*(1-VLOOKUP($A68,[1]Hugst!$R$5:$W$9,MATCH(ROUNDUP((Y$1)/10,0)*10,[1]Hugst!$R$4:$W$4,0))))</f>
        <v>0</v>
      </c>
      <c r="Z68">
        <f>IF($C68-Z$1&lt;År1,0,Y67*(1-VLOOKUP($A68,[1]Hugst!$R$5:$W$9,MATCH(ROUNDUP((Z$1)/10,0)*10,[1]Hugst!$R$4:$W$4,0))))</f>
        <v>0</v>
      </c>
      <c r="AA68">
        <f>IF($C68-AA$1&lt;År1,0,Z67*(1-VLOOKUP($A68,[1]Hugst!$R$5:$W$9,MATCH(ROUNDUP((AA$1)/10,0)*10,[1]Hugst!$R$4:$W$4,0))))</f>
        <v>0</v>
      </c>
      <c r="AB68">
        <f>IF($C68-AB$1&lt;År1,0,AA67*(1-VLOOKUP($A68,[1]Hugst!$R$5:$W$9,MATCH(ROUNDUP((AB$1)/10,0)*10,[1]Hugst!$R$4:$W$4,0))))</f>
        <v>0</v>
      </c>
      <c r="AC68">
        <f>IF($C68-AC$1&lt;År1,0,AB67*(1-VLOOKUP($A68,[1]Hugst!$R$5:$W$9,MATCH(ROUNDUP((AC$1)/10,0)*10,[1]Hugst!$R$4:$W$4,0))))</f>
        <v>0</v>
      </c>
      <c r="AD68">
        <f>IF($C68-AD$1&lt;År1,0,AC67*(1-VLOOKUP($A68,[1]Hugst!$R$5:$W$9,MATCH(ROUNDUP((AD$1)/10,0)*10,[1]Hugst!$R$4:$W$4,0))))</f>
        <v>0</v>
      </c>
      <c r="AE68">
        <f>IF($C68-AE$1&lt;År1,0,AD67*(1-VLOOKUP($A68,[1]Hugst!$R$5:$W$9,MATCH(ROUNDUP((AE$1)/10,0)*10,[1]Hugst!$R$4:$W$4,0))))</f>
        <v>0</v>
      </c>
      <c r="AF68">
        <f>IF($C68-AF$1&lt;År1,0,AE67*(1-VLOOKUP($A68,[1]Hugst!$R$5:$W$9,MATCH(ROUNDUP((AF$1)/10,0)*10,[1]Hugst!$R$4:$W$4,0))))</f>
        <v>0</v>
      </c>
      <c r="AG68">
        <f>IF($C68-AG$1&lt;År1,0,AF67*(1-VLOOKUP($A68,[1]Hugst!$R$5:$W$9,MATCH(ROUNDUP((AG$1)/10,0)*10,[1]Hugst!$R$4:$W$4,0))))</f>
        <v>0</v>
      </c>
      <c r="AH68">
        <f>IF($C68-AH$1&lt;År1,0,AG67*(1-VLOOKUP($A68,[1]Hugst!$R$5:$W$9,MATCH(ROUNDUP((AH$1)/10,0)*10,[1]Hugst!$R$4:$W$4,0))))</f>
        <v>0</v>
      </c>
      <c r="AI68">
        <f>IF($C68-AI$1&lt;År1,0,AH67*(1-VLOOKUP($A68,[1]Hugst!$R$5:$W$9,MATCH(ROUNDUP((AI$1)/10,0)*10,[1]Hugst!$R$4:$W$4,0))))</f>
        <v>0</v>
      </c>
      <c r="AJ68">
        <f>IF($C68-AJ$1&lt;År1,0,AI67*(1-VLOOKUP($A68,[1]Hugst!$R$5:$W$9,MATCH(ROUNDUP((AJ$1)/10,0)*10,[1]Hugst!$R$4:$W$4,0))))</f>
        <v>0</v>
      </c>
    </row>
    <row r="69" spans="1:36" x14ac:dyDescent="0.25">
      <c r="A69" t="s">
        <v>177</v>
      </c>
      <c r="B69" t="s">
        <v>23</v>
      </c>
      <c r="C69">
        <v>2025</v>
      </c>
      <c r="D69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848.59226448091249</v>
      </c>
      <c r="E69">
        <f t="shared" ca="1" si="1"/>
        <v>0</v>
      </c>
      <c r="F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4794.7202106088571</v>
      </c>
      <c r="G69">
        <f ca="1">IF($C69-G$1&lt;År1,0,F68*(1-VLOOKUP($A69,[1]Hugst!$R$5:$W$9,MATCH(ROUNDUP((G$1)/10,0)*10,[1]Hugst!$R$4:$W$4,0))))</f>
        <v>4798.9844933449458</v>
      </c>
      <c r="H69">
        <f ca="1">IF($C69-H$1&lt;År1,0,G68*(1-VLOOKUP($A69,[1]Hugst!$R$5:$W$9,MATCH(ROUNDUP((H$1)/10,0)*10,[1]Hugst!$R$4:$W$4,0))))</f>
        <v>4803.2702046374961</v>
      </c>
      <c r="I69">
        <f ca="1">IF($C69-I$1&lt;År1,0,H68*(1-VLOOKUP($A69,[1]Hugst!$R$5:$W$9,MATCH(ROUNDUP((I$1)/10,0)*10,[1]Hugst!$R$4:$W$4,0))))</f>
        <v>4807.5774521676994</v>
      </c>
      <c r="J69">
        <f ca="1">IF($C69-J$1&lt;År1,0,I68*(1-VLOOKUP($A69,[1]Hugst!$R$5:$W$9,MATCH(ROUNDUP((J$1)/10,0)*10,[1]Hugst!$R$4:$W$4,0))))</f>
        <v>4811.9063441578237</v>
      </c>
      <c r="K69">
        <f ca="1">IF($C69-K$1&lt;År1,0,J68*(1-VLOOKUP($A69,[1]Hugst!$R$5:$W$9,MATCH(ROUNDUP((K$1)/10,0)*10,[1]Hugst!$R$4:$W$4,0))))</f>
        <v>4816.2569893740747</v>
      </c>
      <c r="L69">
        <f>IF($C69-L$1&lt;År1,0,K68*(1-VLOOKUP($A69,[1]Hugst!$R$5:$W$9,MATCH(ROUNDUP((L$1)/10,0)*10,[1]Hugst!$R$4:$W$4,0))))</f>
        <v>0</v>
      </c>
      <c r="M69">
        <f>IF($C69-M$1&lt;År1,0,L68*(1-VLOOKUP($A69,[1]Hugst!$R$5:$W$9,MATCH(ROUNDUP((M$1)/10,0)*10,[1]Hugst!$R$4:$W$4,0))))</f>
        <v>0</v>
      </c>
      <c r="N69">
        <f>IF($C69-N$1&lt;År1,0,M68*(1-VLOOKUP($A69,[1]Hugst!$R$5:$W$9,MATCH(ROUNDUP((N$1)/10,0)*10,[1]Hugst!$R$4:$W$4,0))))</f>
        <v>0</v>
      </c>
      <c r="O69">
        <f>IF($C69-O$1&lt;År1,0,N68*(1-VLOOKUP($A69,[1]Hugst!$R$5:$W$9,MATCH(ROUNDUP((O$1)/10,0)*10,[1]Hugst!$R$4:$W$4,0))))</f>
        <v>0</v>
      </c>
      <c r="P69">
        <f>IF($C69-P$1&lt;År1,0,O68*(1-VLOOKUP($A69,[1]Hugst!$R$5:$W$9,MATCH(ROUNDUP((P$1)/10,0)*10,[1]Hugst!$R$4:$W$4,0))))</f>
        <v>0</v>
      </c>
      <c r="Q69">
        <f>IF($C69-Q$1&lt;År1,0,P68*(1-VLOOKUP($A69,[1]Hugst!$R$5:$W$9,MATCH(ROUNDUP((Q$1)/10,0)*10,[1]Hugst!$R$4:$W$4,0))))</f>
        <v>0</v>
      </c>
      <c r="R69">
        <f>IF($C69-R$1&lt;År1,0,Q68*(1-VLOOKUP($A69,[1]Hugst!$R$5:$W$9,MATCH(ROUNDUP((R$1)/10,0)*10,[1]Hugst!$R$4:$W$4,0))))</f>
        <v>0</v>
      </c>
      <c r="S69">
        <f>IF($C69-S$1&lt;År1,0,R68*(1-VLOOKUP($A69,[1]Hugst!$R$5:$W$9,MATCH(ROUNDUP((S$1)/10,0)*10,[1]Hugst!$R$4:$W$4,0))))</f>
        <v>0</v>
      </c>
      <c r="T69">
        <f>IF($C69-T$1&lt;År1,0,S68*(1-VLOOKUP($A69,[1]Hugst!$R$5:$W$9,MATCH(ROUNDUP((T$1)/10,0)*10,[1]Hugst!$R$4:$W$4,0))))</f>
        <v>0</v>
      </c>
      <c r="U69">
        <f>IF($C69-U$1&lt;År1,0,T68*(1-VLOOKUP($A69,[1]Hugst!$R$5:$W$9,MATCH(ROUNDUP((U$1)/10,0)*10,[1]Hugst!$R$4:$W$4,0))))</f>
        <v>0</v>
      </c>
      <c r="V69">
        <f>IF($C69-V$1&lt;År1,0,U68*(1-VLOOKUP($A69,[1]Hugst!$R$5:$W$9,MATCH(ROUNDUP((V$1)/10,0)*10,[1]Hugst!$R$4:$W$4,0))))</f>
        <v>0</v>
      </c>
      <c r="W69">
        <f>IF($C69-W$1&lt;År1,0,V68*(1-VLOOKUP($A69,[1]Hugst!$R$5:$W$9,MATCH(ROUNDUP((W$1)/10,0)*10,[1]Hugst!$R$4:$W$4,0))))</f>
        <v>0</v>
      </c>
      <c r="X69">
        <f>IF($C69-X$1&lt;År1,0,W68*(1-VLOOKUP($A69,[1]Hugst!$R$5:$W$9,MATCH(ROUNDUP((X$1)/10,0)*10,[1]Hugst!$R$4:$W$4,0))))</f>
        <v>0</v>
      </c>
      <c r="Y69">
        <f>IF($C69-Y$1&lt;År1,0,X68*(1-VLOOKUP($A69,[1]Hugst!$R$5:$W$9,MATCH(ROUNDUP((Y$1)/10,0)*10,[1]Hugst!$R$4:$W$4,0))))</f>
        <v>0</v>
      </c>
      <c r="Z69">
        <f>IF($C69-Z$1&lt;År1,0,Y68*(1-VLOOKUP($A69,[1]Hugst!$R$5:$W$9,MATCH(ROUNDUP((Z$1)/10,0)*10,[1]Hugst!$R$4:$W$4,0))))</f>
        <v>0</v>
      </c>
      <c r="AA69">
        <f>IF($C69-AA$1&lt;År1,0,Z68*(1-VLOOKUP($A69,[1]Hugst!$R$5:$W$9,MATCH(ROUNDUP((AA$1)/10,0)*10,[1]Hugst!$R$4:$W$4,0))))</f>
        <v>0</v>
      </c>
      <c r="AB69">
        <f>IF($C69-AB$1&lt;År1,0,AA68*(1-VLOOKUP($A69,[1]Hugst!$R$5:$W$9,MATCH(ROUNDUP((AB$1)/10,0)*10,[1]Hugst!$R$4:$W$4,0))))</f>
        <v>0</v>
      </c>
      <c r="AC69">
        <f>IF($C69-AC$1&lt;År1,0,AB68*(1-VLOOKUP($A69,[1]Hugst!$R$5:$W$9,MATCH(ROUNDUP((AC$1)/10,0)*10,[1]Hugst!$R$4:$W$4,0))))</f>
        <v>0</v>
      </c>
      <c r="AD69">
        <f>IF($C69-AD$1&lt;År1,0,AC68*(1-VLOOKUP($A69,[1]Hugst!$R$5:$W$9,MATCH(ROUNDUP((AD$1)/10,0)*10,[1]Hugst!$R$4:$W$4,0))))</f>
        <v>0</v>
      </c>
      <c r="AE69">
        <f>IF($C69-AE$1&lt;År1,0,AD68*(1-VLOOKUP($A69,[1]Hugst!$R$5:$W$9,MATCH(ROUNDUP((AE$1)/10,0)*10,[1]Hugst!$R$4:$W$4,0))))</f>
        <v>0</v>
      </c>
      <c r="AF69">
        <f>IF($C69-AF$1&lt;År1,0,AE68*(1-VLOOKUP($A69,[1]Hugst!$R$5:$W$9,MATCH(ROUNDUP((AF$1)/10,0)*10,[1]Hugst!$R$4:$W$4,0))))</f>
        <v>0</v>
      </c>
      <c r="AG69">
        <f>IF($C69-AG$1&lt;År1,0,AF68*(1-VLOOKUP($A69,[1]Hugst!$R$5:$W$9,MATCH(ROUNDUP((AG$1)/10,0)*10,[1]Hugst!$R$4:$W$4,0))))</f>
        <v>0</v>
      </c>
      <c r="AH69">
        <f>IF($C69-AH$1&lt;År1,0,AG68*(1-VLOOKUP($A69,[1]Hugst!$R$5:$W$9,MATCH(ROUNDUP((AH$1)/10,0)*10,[1]Hugst!$R$4:$W$4,0))))</f>
        <v>0</v>
      </c>
      <c r="AI69">
        <f>IF($C69-AI$1&lt;År1,0,AH68*(1-VLOOKUP($A69,[1]Hugst!$R$5:$W$9,MATCH(ROUNDUP((AI$1)/10,0)*10,[1]Hugst!$R$4:$W$4,0))))</f>
        <v>0</v>
      </c>
      <c r="AJ69">
        <f>IF($C69-AJ$1&lt;År1,0,AI68*(1-VLOOKUP($A69,[1]Hugst!$R$5:$W$9,MATCH(ROUNDUP((AJ$1)/10,0)*10,[1]Hugst!$R$4:$W$4,0))))</f>
        <v>0</v>
      </c>
    </row>
    <row r="70" spans="1:36" x14ac:dyDescent="0.25">
      <c r="A70" t="s">
        <v>177</v>
      </c>
      <c r="B70" t="s">
        <v>23</v>
      </c>
      <c r="C70">
        <v>2026</v>
      </c>
      <c r="D70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844.34930315851216</v>
      </c>
      <c r="E70">
        <f t="shared" ca="1" si="1"/>
        <v>0</v>
      </c>
      <c r="F70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4790.4772492864568</v>
      </c>
      <c r="G70">
        <f ca="1">IF($C70-G$1&lt;År1,0,F69*(1-VLOOKUP($A70,[1]Hugst!$R$5:$W$9,MATCH(ROUNDUP((G$1)/10,0)*10,[1]Hugst!$R$4:$W$4,0))))</f>
        <v>4794.7202106088571</v>
      </c>
      <c r="H70">
        <f ca="1">IF($C70-H$1&lt;År1,0,G69*(1-VLOOKUP($A70,[1]Hugst!$R$5:$W$9,MATCH(ROUNDUP((H$1)/10,0)*10,[1]Hugst!$R$4:$W$4,0))))</f>
        <v>4798.9844933449458</v>
      </c>
      <c r="I70">
        <f ca="1">IF($C70-I$1&lt;År1,0,H69*(1-VLOOKUP($A70,[1]Hugst!$R$5:$W$9,MATCH(ROUNDUP((I$1)/10,0)*10,[1]Hugst!$R$4:$W$4,0))))</f>
        <v>4803.2702046374961</v>
      </c>
      <c r="J70">
        <f ca="1">IF($C70-J$1&lt;År1,0,I69*(1-VLOOKUP($A70,[1]Hugst!$R$5:$W$9,MATCH(ROUNDUP((J$1)/10,0)*10,[1]Hugst!$R$4:$W$4,0))))</f>
        <v>4807.5774521676994</v>
      </c>
      <c r="K70">
        <f ca="1">IF($C70-K$1&lt;År1,0,J69*(1-VLOOKUP($A70,[1]Hugst!$R$5:$W$9,MATCH(ROUNDUP((K$1)/10,0)*10,[1]Hugst!$R$4:$W$4,0))))</f>
        <v>4811.9063441578237</v>
      </c>
      <c r="L70">
        <f ca="1">IF($C70-L$1&lt;År1,0,K69*(1-VLOOKUP($A70,[1]Hugst!$R$5:$W$9,MATCH(ROUNDUP((L$1)/10,0)*10,[1]Hugst!$R$4:$W$4,0))))</f>
        <v>4816.2569893740747</v>
      </c>
      <c r="M70">
        <f>IF($C70-M$1&lt;År1,0,L69*(1-VLOOKUP($A70,[1]Hugst!$R$5:$W$9,MATCH(ROUNDUP((M$1)/10,0)*10,[1]Hugst!$R$4:$W$4,0))))</f>
        <v>0</v>
      </c>
      <c r="N70">
        <f>IF($C70-N$1&lt;År1,0,M69*(1-VLOOKUP($A70,[1]Hugst!$R$5:$W$9,MATCH(ROUNDUP((N$1)/10,0)*10,[1]Hugst!$R$4:$W$4,0))))</f>
        <v>0</v>
      </c>
      <c r="O70">
        <f>IF($C70-O$1&lt;År1,0,N69*(1-VLOOKUP($A70,[1]Hugst!$R$5:$W$9,MATCH(ROUNDUP((O$1)/10,0)*10,[1]Hugst!$R$4:$W$4,0))))</f>
        <v>0</v>
      </c>
      <c r="P70">
        <f>IF($C70-P$1&lt;År1,0,O69*(1-VLOOKUP($A70,[1]Hugst!$R$5:$W$9,MATCH(ROUNDUP((P$1)/10,0)*10,[1]Hugst!$R$4:$W$4,0))))</f>
        <v>0</v>
      </c>
      <c r="Q70">
        <f>IF($C70-Q$1&lt;År1,0,P69*(1-VLOOKUP($A70,[1]Hugst!$R$5:$W$9,MATCH(ROUNDUP((Q$1)/10,0)*10,[1]Hugst!$R$4:$W$4,0))))</f>
        <v>0</v>
      </c>
      <c r="R70">
        <f>IF($C70-R$1&lt;År1,0,Q69*(1-VLOOKUP($A70,[1]Hugst!$R$5:$W$9,MATCH(ROUNDUP((R$1)/10,0)*10,[1]Hugst!$R$4:$W$4,0))))</f>
        <v>0</v>
      </c>
      <c r="S70">
        <f>IF($C70-S$1&lt;År1,0,R69*(1-VLOOKUP($A70,[1]Hugst!$R$5:$W$9,MATCH(ROUNDUP((S$1)/10,0)*10,[1]Hugst!$R$4:$W$4,0))))</f>
        <v>0</v>
      </c>
      <c r="T70">
        <f>IF($C70-T$1&lt;År1,0,S69*(1-VLOOKUP($A70,[1]Hugst!$R$5:$W$9,MATCH(ROUNDUP((T$1)/10,0)*10,[1]Hugst!$R$4:$W$4,0))))</f>
        <v>0</v>
      </c>
      <c r="U70">
        <f>IF($C70-U$1&lt;År1,0,T69*(1-VLOOKUP($A70,[1]Hugst!$R$5:$W$9,MATCH(ROUNDUP((U$1)/10,0)*10,[1]Hugst!$R$4:$W$4,0))))</f>
        <v>0</v>
      </c>
      <c r="V70">
        <f>IF($C70-V$1&lt;År1,0,U69*(1-VLOOKUP($A70,[1]Hugst!$R$5:$W$9,MATCH(ROUNDUP((V$1)/10,0)*10,[1]Hugst!$R$4:$W$4,0))))</f>
        <v>0</v>
      </c>
      <c r="W70">
        <f>IF($C70-W$1&lt;År1,0,V69*(1-VLOOKUP($A70,[1]Hugst!$R$5:$W$9,MATCH(ROUNDUP((W$1)/10,0)*10,[1]Hugst!$R$4:$W$4,0))))</f>
        <v>0</v>
      </c>
      <c r="X70">
        <f>IF($C70-X$1&lt;År1,0,W69*(1-VLOOKUP($A70,[1]Hugst!$R$5:$W$9,MATCH(ROUNDUP((X$1)/10,0)*10,[1]Hugst!$R$4:$W$4,0))))</f>
        <v>0</v>
      </c>
      <c r="Y70">
        <f>IF($C70-Y$1&lt;År1,0,X69*(1-VLOOKUP($A70,[1]Hugst!$R$5:$W$9,MATCH(ROUNDUP((Y$1)/10,0)*10,[1]Hugst!$R$4:$W$4,0))))</f>
        <v>0</v>
      </c>
      <c r="Z70">
        <f>IF($C70-Z$1&lt;År1,0,Y69*(1-VLOOKUP($A70,[1]Hugst!$R$5:$W$9,MATCH(ROUNDUP((Z$1)/10,0)*10,[1]Hugst!$R$4:$W$4,0))))</f>
        <v>0</v>
      </c>
      <c r="AA70">
        <f>IF($C70-AA$1&lt;År1,0,Z69*(1-VLOOKUP($A70,[1]Hugst!$R$5:$W$9,MATCH(ROUNDUP((AA$1)/10,0)*10,[1]Hugst!$R$4:$W$4,0))))</f>
        <v>0</v>
      </c>
      <c r="AB70">
        <f>IF($C70-AB$1&lt;År1,0,AA69*(1-VLOOKUP($A70,[1]Hugst!$R$5:$W$9,MATCH(ROUNDUP((AB$1)/10,0)*10,[1]Hugst!$R$4:$W$4,0))))</f>
        <v>0</v>
      </c>
      <c r="AC70">
        <f>IF($C70-AC$1&lt;År1,0,AB69*(1-VLOOKUP($A70,[1]Hugst!$R$5:$W$9,MATCH(ROUNDUP((AC$1)/10,0)*10,[1]Hugst!$R$4:$W$4,0))))</f>
        <v>0</v>
      </c>
      <c r="AD70">
        <f>IF($C70-AD$1&lt;År1,0,AC69*(1-VLOOKUP($A70,[1]Hugst!$R$5:$W$9,MATCH(ROUNDUP((AD$1)/10,0)*10,[1]Hugst!$R$4:$W$4,0))))</f>
        <v>0</v>
      </c>
      <c r="AE70">
        <f>IF($C70-AE$1&lt;År1,0,AD69*(1-VLOOKUP($A70,[1]Hugst!$R$5:$W$9,MATCH(ROUNDUP((AE$1)/10,0)*10,[1]Hugst!$R$4:$W$4,0))))</f>
        <v>0</v>
      </c>
      <c r="AF70">
        <f>IF($C70-AF$1&lt;År1,0,AE69*(1-VLOOKUP($A70,[1]Hugst!$R$5:$W$9,MATCH(ROUNDUP((AF$1)/10,0)*10,[1]Hugst!$R$4:$W$4,0))))</f>
        <v>0</v>
      </c>
      <c r="AG70">
        <f>IF($C70-AG$1&lt;År1,0,AF69*(1-VLOOKUP($A70,[1]Hugst!$R$5:$W$9,MATCH(ROUNDUP((AG$1)/10,0)*10,[1]Hugst!$R$4:$W$4,0))))</f>
        <v>0</v>
      </c>
      <c r="AH70">
        <f>IF($C70-AH$1&lt;År1,0,AG69*(1-VLOOKUP($A70,[1]Hugst!$R$5:$W$9,MATCH(ROUNDUP((AH$1)/10,0)*10,[1]Hugst!$R$4:$W$4,0))))</f>
        <v>0</v>
      </c>
      <c r="AI70">
        <f>IF($C70-AI$1&lt;År1,0,AH69*(1-VLOOKUP($A70,[1]Hugst!$R$5:$W$9,MATCH(ROUNDUP((AI$1)/10,0)*10,[1]Hugst!$R$4:$W$4,0))))</f>
        <v>0</v>
      </c>
      <c r="AJ70">
        <f>IF($C70-AJ$1&lt;År1,0,AI69*(1-VLOOKUP($A70,[1]Hugst!$R$5:$W$9,MATCH(ROUNDUP((AJ$1)/10,0)*10,[1]Hugst!$R$4:$W$4,0))))</f>
        <v>0</v>
      </c>
    </row>
    <row r="71" spans="1:36" x14ac:dyDescent="0.25">
      <c r="A71" t="s">
        <v>177</v>
      </c>
      <c r="B71" t="s">
        <v>23</v>
      </c>
      <c r="C71">
        <v>2027</v>
      </c>
      <c r="D71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840.12755664272754</v>
      </c>
      <c r="E71">
        <f t="shared" ca="1" si="1"/>
        <v>0</v>
      </c>
      <c r="F71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4786.2555027706721</v>
      </c>
      <c r="G71">
        <f ca="1">IF($C71-G$1&lt;År1,0,F70*(1-VLOOKUP($A71,[1]Hugst!$R$5:$W$9,MATCH(ROUNDUP((G$1)/10,0)*10,[1]Hugst!$R$4:$W$4,0))))</f>
        <v>4790.4772492864568</v>
      </c>
      <c r="H71">
        <f ca="1">IF($C71-H$1&lt;År1,0,G70*(1-VLOOKUP($A71,[1]Hugst!$R$5:$W$9,MATCH(ROUNDUP((H$1)/10,0)*10,[1]Hugst!$R$4:$W$4,0))))</f>
        <v>4794.7202106088571</v>
      </c>
      <c r="I71">
        <f ca="1">IF($C71-I$1&lt;År1,0,H70*(1-VLOOKUP($A71,[1]Hugst!$R$5:$W$9,MATCH(ROUNDUP((I$1)/10,0)*10,[1]Hugst!$R$4:$W$4,0))))</f>
        <v>4798.9844933449458</v>
      </c>
      <c r="J71">
        <f ca="1">IF($C71-J$1&lt;År1,0,I70*(1-VLOOKUP($A71,[1]Hugst!$R$5:$W$9,MATCH(ROUNDUP((J$1)/10,0)*10,[1]Hugst!$R$4:$W$4,0))))</f>
        <v>4803.2702046374961</v>
      </c>
      <c r="K71">
        <f ca="1">IF($C71-K$1&lt;År1,0,J70*(1-VLOOKUP($A71,[1]Hugst!$R$5:$W$9,MATCH(ROUNDUP((K$1)/10,0)*10,[1]Hugst!$R$4:$W$4,0))))</f>
        <v>4807.5774521676994</v>
      </c>
      <c r="L71">
        <f ca="1">IF($C71-L$1&lt;År1,0,K70*(1-VLOOKUP($A71,[1]Hugst!$R$5:$W$9,MATCH(ROUNDUP((L$1)/10,0)*10,[1]Hugst!$R$4:$W$4,0))))</f>
        <v>4811.9063441578237</v>
      </c>
      <c r="M71">
        <f ca="1">IF($C71-M$1&lt;År1,0,L70*(1-VLOOKUP($A71,[1]Hugst!$R$5:$W$9,MATCH(ROUNDUP((M$1)/10,0)*10,[1]Hugst!$R$4:$W$4,0))))</f>
        <v>4816.2569893740747</v>
      </c>
      <c r="N71">
        <f>IF($C71-N$1&lt;År1,0,M70*(1-VLOOKUP($A71,[1]Hugst!$R$5:$W$9,MATCH(ROUNDUP((N$1)/10,0)*10,[1]Hugst!$R$4:$W$4,0))))</f>
        <v>0</v>
      </c>
      <c r="O71">
        <f>IF($C71-O$1&lt;År1,0,N70*(1-VLOOKUP($A71,[1]Hugst!$R$5:$W$9,MATCH(ROUNDUP((O$1)/10,0)*10,[1]Hugst!$R$4:$W$4,0))))</f>
        <v>0</v>
      </c>
      <c r="P71">
        <f>IF($C71-P$1&lt;År1,0,O70*(1-VLOOKUP($A71,[1]Hugst!$R$5:$W$9,MATCH(ROUNDUP((P$1)/10,0)*10,[1]Hugst!$R$4:$W$4,0))))</f>
        <v>0</v>
      </c>
      <c r="Q71">
        <f>IF($C71-Q$1&lt;År1,0,P70*(1-VLOOKUP($A71,[1]Hugst!$R$5:$W$9,MATCH(ROUNDUP((Q$1)/10,0)*10,[1]Hugst!$R$4:$W$4,0))))</f>
        <v>0</v>
      </c>
      <c r="R71">
        <f>IF($C71-R$1&lt;År1,0,Q70*(1-VLOOKUP($A71,[1]Hugst!$R$5:$W$9,MATCH(ROUNDUP((R$1)/10,0)*10,[1]Hugst!$R$4:$W$4,0))))</f>
        <v>0</v>
      </c>
      <c r="S71">
        <f>IF($C71-S$1&lt;År1,0,R70*(1-VLOOKUP($A71,[1]Hugst!$R$5:$W$9,MATCH(ROUNDUP((S$1)/10,0)*10,[1]Hugst!$R$4:$W$4,0))))</f>
        <v>0</v>
      </c>
      <c r="T71">
        <f>IF($C71-T$1&lt;År1,0,S70*(1-VLOOKUP($A71,[1]Hugst!$R$5:$W$9,MATCH(ROUNDUP((T$1)/10,0)*10,[1]Hugst!$R$4:$W$4,0))))</f>
        <v>0</v>
      </c>
      <c r="U71">
        <f>IF($C71-U$1&lt;År1,0,T70*(1-VLOOKUP($A71,[1]Hugst!$R$5:$W$9,MATCH(ROUNDUP((U$1)/10,0)*10,[1]Hugst!$R$4:$W$4,0))))</f>
        <v>0</v>
      </c>
      <c r="V71">
        <f>IF($C71-V$1&lt;År1,0,U70*(1-VLOOKUP($A71,[1]Hugst!$R$5:$W$9,MATCH(ROUNDUP((V$1)/10,0)*10,[1]Hugst!$R$4:$W$4,0))))</f>
        <v>0</v>
      </c>
      <c r="W71">
        <f>IF($C71-W$1&lt;År1,0,V70*(1-VLOOKUP($A71,[1]Hugst!$R$5:$W$9,MATCH(ROUNDUP((W$1)/10,0)*10,[1]Hugst!$R$4:$W$4,0))))</f>
        <v>0</v>
      </c>
      <c r="X71">
        <f>IF($C71-X$1&lt;År1,0,W70*(1-VLOOKUP($A71,[1]Hugst!$R$5:$W$9,MATCH(ROUNDUP((X$1)/10,0)*10,[1]Hugst!$R$4:$W$4,0))))</f>
        <v>0</v>
      </c>
      <c r="Y71">
        <f>IF($C71-Y$1&lt;År1,0,X70*(1-VLOOKUP($A71,[1]Hugst!$R$5:$W$9,MATCH(ROUNDUP((Y$1)/10,0)*10,[1]Hugst!$R$4:$W$4,0))))</f>
        <v>0</v>
      </c>
      <c r="Z71">
        <f>IF($C71-Z$1&lt;År1,0,Y70*(1-VLOOKUP($A71,[1]Hugst!$R$5:$W$9,MATCH(ROUNDUP((Z$1)/10,0)*10,[1]Hugst!$R$4:$W$4,0))))</f>
        <v>0</v>
      </c>
      <c r="AA71">
        <f>IF($C71-AA$1&lt;År1,0,Z70*(1-VLOOKUP($A71,[1]Hugst!$R$5:$W$9,MATCH(ROUNDUP((AA$1)/10,0)*10,[1]Hugst!$R$4:$W$4,0))))</f>
        <v>0</v>
      </c>
      <c r="AB71">
        <f>IF($C71-AB$1&lt;År1,0,AA70*(1-VLOOKUP($A71,[1]Hugst!$R$5:$W$9,MATCH(ROUNDUP((AB$1)/10,0)*10,[1]Hugst!$R$4:$W$4,0))))</f>
        <v>0</v>
      </c>
      <c r="AC71">
        <f>IF($C71-AC$1&lt;År1,0,AB70*(1-VLOOKUP($A71,[1]Hugst!$R$5:$W$9,MATCH(ROUNDUP((AC$1)/10,0)*10,[1]Hugst!$R$4:$W$4,0))))</f>
        <v>0</v>
      </c>
      <c r="AD71">
        <f>IF($C71-AD$1&lt;År1,0,AC70*(1-VLOOKUP($A71,[1]Hugst!$R$5:$W$9,MATCH(ROUNDUP((AD$1)/10,0)*10,[1]Hugst!$R$4:$W$4,0))))</f>
        <v>0</v>
      </c>
      <c r="AE71">
        <f>IF($C71-AE$1&lt;År1,0,AD70*(1-VLOOKUP($A71,[1]Hugst!$R$5:$W$9,MATCH(ROUNDUP((AE$1)/10,0)*10,[1]Hugst!$R$4:$W$4,0))))</f>
        <v>0</v>
      </c>
      <c r="AF71">
        <f>IF($C71-AF$1&lt;År1,0,AE70*(1-VLOOKUP($A71,[1]Hugst!$R$5:$W$9,MATCH(ROUNDUP((AF$1)/10,0)*10,[1]Hugst!$R$4:$W$4,0))))</f>
        <v>0</v>
      </c>
      <c r="AG71">
        <f>IF($C71-AG$1&lt;År1,0,AF70*(1-VLOOKUP($A71,[1]Hugst!$R$5:$W$9,MATCH(ROUNDUP((AG$1)/10,0)*10,[1]Hugst!$R$4:$W$4,0))))</f>
        <v>0</v>
      </c>
      <c r="AH71">
        <f>IF($C71-AH$1&lt;År1,0,AG70*(1-VLOOKUP($A71,[1]Hugst!$R$5:$W$9,MATCH(ROUNDUP((AH$1)/10,0)*10,[1]Hugst!$R$4:$W$4,0))))</f>
        <v>0</v>
      </c>
      <c r="AI71">
        <f>IF($C71-AI$1&lt;År1,0,AH70*(1-VLOOKUP($A71,[1]Hugst!$R$5:$W$9,MATCH(ROUNDUP((AI$1)/10,0)*10,[1]Hugst!$R$4:$W$4,0))))</f>
        <v>0</v>
      </c>
      <c r="AJ71">
        <f>IF($C71-AJ$1&lt;År1,0,AI70*(1-VLOOKUP($A71,[1]Hugst!$R$5:$W$9,MATCH(ROUNDUP((AJ$1)/10,0)*10,[1]Hugst!$R$4:$W$4,0))))</f>
        <v>0</v>
      </c>
    </row>
    <row r="72" spans="1:36" x14ac:dyDescent="0.25">
      <c r="A72" t="s">
        <v>177</v>
      </c>
      <c r="B72" t="s">
        <v>23</v>
      </c>
      <c r="C72">
        <v>2028</v>
      </c>
      <c r="D72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835.92691885952354</v>
      </c>
      <c r="E72">
        <f t="shared" ca="1" si="1"/>
        <v>0</v>
      </c>
      <c r="F72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4782.0548649874681</v>
      </c>
      <c r="G72">
        <f ca="1">IF($C72-G$1&lt;År1,0,F71*(1-VLOOKUP($A72,[1]Hugst!$R$5:$W$9,MATCH(ROUNDUP((G$1)/10,0)*10,[1]Hugst!$R$4:$W$4,0))))</f>
        <v>4786.2555027706721</v>
      </c>
      <c r="H72">
        <f ca="1">IF($C72-H$1&lt;År1,0,G71*(1-VLOOKUP($A72,[1]Hugst!$R$5:$W$9,MATCH(ROUNDUP((H$1)/10,0)*10,[1]Hugst!$R$4:$W$4,0))))</f>
        <v>4790.4772492864568</v>
      </c>
      <c r="I72">
        <f ca="1">IF($C72-I$1&lt;År1,0,H71*(1-VLOOKUP($A72,[1]Hugst!$R$5:$W$9,MATCH(ROUNDUP((I$1)/10,0)*10,[1]Hugst!$R$4:$W$4,0))))</f>
        <v>4794.7202106088571</v>
      </c>
      <c r="J72">
        <f ca="1">IF($C72-J$1&lt;År1,0,I71*(1-VLOOKUP($A72,[1]Hugst!$R$5:$W$9,MATCH(ROUNDUP((J$1)/10,0)*10,[1]Hugst!$R$4:$W$4,0))))</f>
        <v>4798.9844933449458</v>
      </c>
      <c r="K72">
        <f ca="1">IF($C72-K$1&lt;År1,0,J71*(1-VLOOKUP($A72,[1]Hugst!$R$5:$W$9,MATCH(ROUNDUP((K$1)/10,0)*10,[1]Hugst!$R$4:$W$4,0))))</f>
        <v>4803.2702046374961</v>
      </c>
      <c r="L72">
        <f ca="1">IF($C72-L$1&lt;År1,0,K71*(1-VLOOKUP($A72,[1]Hugst!$R$5:$W$9,MATCH(ROUNDUP((L$1)/10,0)*10,[1]Hugst!$R$4:$W$4,0))))</f>
        <v>4807.5774521676994</v>
      </c>
      <c r="M72">
        <f ca="1">IF($C72-M$1&lt;År1,0,L71*(1-VLOOKUP($A72,[1]Hugst!$R$5:$W$9,MATCH(ROUNDUP((M$1)/10,0)*10,[1]Hugst!$R$4:$W$4,0))))</f>
        <v>4811.9063441578237</v>
      </c>
      <c r="N72">
        <f ca="1">IF($C72-N$1&lt;År1,0,M71*(1-VLOOKUP($A72,[1]Hugst!$R$5:$W$9,MATCH(ROUNDUP((N$1)/10,0)*10,[1]Hugst!$R$4:$W$4,0))))</f>
        <v>4816.2569893740747</v>
      </c>
      <c r="O72">
        <f>IF($C72-O$1&lt;År1,0,N71*(1-VLOOKUP($A72,[1]Hugst!$R$5:$W$9,MATCH(ROUNDUP((O$1)/10,0)*10,[1]Hugst!$R$4:$W$4,0))))</f>
        <v>0</v>
      </c>
      <c r="P72">
        <f>IF($C72-P$1&lt;År1,0,O71*(1-VLOOKUP($A72,[1]Hugst!$R$5:$W$9,MATCH(ROUNDUP((P$1)/10,0)*10,[1]Hugst!$R$4:$W$4,0))))</f>
        <v>0</v>
      </c>
      <c r="Q72">
        <f>IF($C72-Q$1&lt;År1,0,P71*(1-VLOOKUP($A72,[1]Hugst!$R$5:$W$9,MATCH(ROUNDUP((Q$1)/10,0)*10,[1]Hugst!$R$4:$W$4,0))))</f>
        <v>0</v>
      </c>
      <c r="R72">
        <f>IF($C72-R$1&lt;År1,0,Q71*(1-VLOOKUP($A72,[1]Hugst!$R$5:$W$9,MATCH(ROUNDUP((R$1)/10,0)*10,[1]Hugst!$R$4:$W$4,0))))</f>
        <v>0</v>
      </c>
      <c r="S72">
        <f>IF($C72-S$1&lt;År1,0,R71*(1-VLOOKUP($A72,[1]Hugst!$R$5:$W$9,MATCH(ROUNDUP((S$1)/10,0)*10,[1]Hugst!$R$4:$W$4,0))))</f>
        <v>0</v>
      </c>
      <c r="T72">
        <f>IF($C72-T$1&lt;År1,0,S71*(1-VLOOKUP($A72,[1]Hugst!$R$5:$W$9,MATCH(ROUNDUP((T$1)/10,0)*10,[1]Hugst!$R$4:$W$4,0))))</f>
        <v>0</v>
      </c>
      <c r="U72">
        <f>IF($C72-U$1&lt;År1,0,T71*(1-VLOOKUP($A72,[1]Hugst!$R$5:$W$9,MATCH(ROUNDUP((U$1)/10,0)*10,[1]Hugst!$R$4:$W$4,0))))</f>
        <v>0</v>
      </c>
      <c r="V72">
        <f>IF($C72-V$1&lt;År1,0,U71*(1-VLOOKUP($A72,[1]Hugst!$R$5:$W$9,MATCH(ROUNDUP((V$1)/10,0)*10,[1]Hugst!$R$4:$W$4,0))))</f>
        <v>0</v>
      </c>
      <c r="W72">
        <f>IF($C72-W$1&lt;År1,0,V71*(1-VLOOKUP($A72,[1]Hugst!$R$5:$W$9,MATCH(ROUNDUP((W$1)/10,0)*10,[1]Hugst!$R$4:$W$4,0))))</f>
        <v>0</v>
      </c>
      <c r="X72">
        <f>IF($C72-X$1&lt;År1,0,W71*(1-VLOOKUP($A72,[1]Hugst!$R$5:$W$9,MATCH(ROUNDUP((X$1)/10,0)*10,[1]Hugst!$R$4:$W$4,0))))</f>
        <v>0</v>
      </c>
      <c r="Y72">
        <f>IF($C72-Y$1&lt;År1,0,X71*(1-VLOOKUP($A72,[1]Hugst!$R$5:$W$9,MATCH(ROUNDUP((Y$1)/10,0)*10,[1]Hugst!$R$4:$W$4,0))))</f>
        <v>0</v>
      </c>
      <c r="Z72">
        <f>IF($C72-Z$1&lt;År1,0,Y71*(1-VLOOKUP($A72,[1]Hugst!$R$5:$W$9,MATCH(ROUNDUP((Z$1)/10,0)*10,[1]Hugst!$R$4:$W$4,0))))</f>
        <v>0</v>
      </c>
      <c r="AA72">
        <f>IF($C72-AA$1&lt;År1,0,Z71*(1-VLOOKUP($A72,[1]Hugst!$R$5:$W$9,MATCH(ROUNDUP((AA$1)/10,0)*10,[1]Hugst!$R$4:$W$4,0))))</f>
        <v>0</v>
      </c>
      <c r="AB72">
        <f>IF($C72-AB$1&lt;År1,0,AA71*(1-VLOOKUP($A72,[1]Hugst!$R$5:$W$9,MATCH(ROUNDUP((AB$1)/10,0)*10,[1]Hugst!$R$4:$W$4,0))))</f>
        <v>0</v>
      </c>
      <c r="AC72">
        <f>IF($C72-AC$1&lt;År1,0,AB71*(1-VLOOKUP($A72,[1]Hugst!$R$5:$W$9,MATCH(ROUNDUP((AC$1)/10,0)*10,[1]Hugst!$R$4:$W$4,0))))</f>
        <v>0</v>
      </c>
      <c r="AD72">
        <f>IF($C72-AD$1&lt;År1,0,AC71*(1-VLOOKUP($A72,[1]Hugst!$R$5:$W$9,MATCH(ROUNDUP((AD$1)/10,0)*10,[1]Hugst!$R$4:$W$4,0))))</f>
        <v>0</v>
      </c>
      <c r="AE72">
        <f>IF($C72-AE$1&lt;År1,0,AD71*(1-VLOOKUP($A72,[1]Hugst!$R$5:$W$9,MATCH(ROUNDUP((AE$1)/10,0)*10,[1]Hugst!$R$4:$W$4,0))))</f>
        <v>0</v>
      </c>
      <c r="AF72">
        <f>IF($C72-AF$1&lt;År1,0,AE71*(1-VLOOKUP($A72,[1]Hugst!$R$5:$W$9,MATCH(ROUNDUP((AF$1)/10,0)*10,[1]Hugst!$R$4:$W$4,0))))</f>
        <v>0</v>
      </c>
      <c r="AG72">
        <f>IF($C72-AG$1&lt;År1,0,AF71*(1-VLOOKUP($A72,[1]Hugst!$R$5:$W$9,MATCH(ROUNDUP((AG$1)/10,0)*10,[1]Hugst!$R$4:$W$4,0))))</f>
        <v>0</v>
      </c>
      <c r="AH72">
        <f>IF($C72-AH$1&lt;År1,0,AG71*(1-VLOOKUP($A72,[1]Hugst!$R$5:$W$9,MATCH(ROUNDUP((AH$1)/10,0)*10,[1]Hugst!$R$4:$W$4,0))))</f>
        <v>0</v>
      </c>
      <c r="AI72">
        <f>IF($C72-AI$1&lt;År1,0,AH71*(1-VLOOKUP($A72,[1]Hugst!$R$5:$W$9,MATCH(ROUNDUP((AI$1)/10,0)*10,[1]Hugst!$R$4:$W$4,0))))</f>
        <v>0</v>
      </c>
      <c r="AJ72">
        <f>IF($C72-AJ$1&lt;År1,0,AI71*(1-VLOOKUP($A72,[1]Hugst!$R$5:$W$9,MATCH(ROUNDUP((AJ$1)/10,0)*10,[1]Hugst!$R$4:$W$4,0))))</f>
        <v>0</v>
      </c>
    </row>
    <row r="73" spans="1:36" x14ac:dyDescent="0.25">
      <c r="A73" t="s">
        <v>177</v>
      </c>
      <c r="B73" t="s">
        <v>23</v>
      </c>
      <c r="C73">
        <v>2029</v>
      </c>
      <c r="D73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831.74728426518777</v>
      </c>
      <c r="E73">
        <f t="shared" ca="1" si="1"/>
        <v>0</v>
      </c>
      <c r="F73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4777.8752303931324</v>
      </c>
      <c r="G73">
        <f ca="1">IF($C73-G$1&lt;År1,0,F72*(1-VLOOKUP($A73,[1]Hugst!$R$5:$W$9,MATCH(ROUNDUP((G$1)/10,0)*10,[1]Hugst!$R$4:$W$4,0))))</f>
        <v>4782.0548649874681</v>
      </c>
      <c r="H73">
        <f ca="1">IF($C73-H$1&lt;År1,0,G72*(1-VLOOKUP($A73,[1]Hugst!$R$5:$W$9,MATCH(ROUNDUP((H$1)/10,0)*10,[1]Hugst!$R$4:$W$4,0))))</f>
        <v>4786.2555027706721</v>
      </c>
      <c r="I73">
        <f ca="1">IF($C73-I$1&lt;År1,0,H72*(1-VLOOKUP($A73,[1]Hugst!$R$5:$W$9,MATCH(ROUNDUP((I$1)/10,0)*10,[1]Hugst!$R$4:$W$4,0))))</f>
        <v>4790.4772492864568</v>
      </c>
      <c r="J73">
        <f ca="1">IF($C73-J$1&lt;År1,0,I72*(1-VLOOKUP($A73,[1]Hugst!$R$5:$W$9,MATCH(ROUNDUP((J$1)/10,0)*10,[1]Hugst!$R$4:$W$4,0))))</f>
        <v>4794.7202106088571</v>
      </c>
      <c r="K73">
        <f ca="1">IF($C73-K$1&lt;År1,0,J72*(1-VLOOKUP($A73,[1]Hugst!$R$5:$W$9,MATCH(ROUNDUP((K$1)/10,0)*10,[1]Hugst!$R$4:$W$4,0))))</f>
        <v>4798.9844933449458</v>
      </c>
      <c r="L73">
        <f ca="1">IF($C73-L$1&lt;År1,0,K72*(1-VLOOKUP($A73,[1]Hugst!$R$5:$W$9,MATCH(ROUNDUP((L$1)/10,0)*10,[1]Hugst!$R$4:$W$4,0))))</f>
        <v>4803.2702046374961</v>
      </c>
      <c r="M73">
        <f ca="1">IF($C73-M$1&lt;År1,0,L72*(1-VLOOKUP($A73,[1]Hugst!$R$5:$W$9,MATCH(ROUNDUP((M$1)/10,0)*10,[1]Hugst!$R$4:$W$4,0))))</f>
        <v>4807.5774521676994</v>
      </c>
      <c r="N73">
        <f ca="1">IF($C73-N$1&lt;År1,0,M72*(1-VLOOKUP($A73,[1]Hugst!$R$5:$W$9,MATCH(ROUNDUP((N$1)/10,0)*10,[1]Hugst!$R$4:$W$4,0))))</f>
        <v>4811.9063441578237</v>
      </c>
      <c r="O73">
        <f ca="1">IF($C73-O$1&lt;År1,0,N72*(1-VLOOKUP($A73,[1]Hugst!$R$5:$W$9,MATCH(ROUNDUP((O$1)/10,0)*10,[1]Hugst!$R$4:$W$4,0))))</f>
        <v>4816.2569893740747</v>
      </c>
      <c r="P73">
        <f>IF($C73-P$1&lt;År1,0,O72*(1-VLOOKUP($A73,[1]Hugst!$R$5:$W$9,MATCH(ROUNDUP((P$1)/10,0)*10,[1]Hugst!$R$4:$W$4,0))))</f>
        <v>0</v>
      </c>
      <c r="Q73">
        <f>IF($C73-Q$1&lt;År1,0,P72*(1-VLOOKUP($A73,[1]Hugst!$R$5:$W$9,MATCH(ROUNDUP((Q$1)/10,0)*10,[1]Hugst!$R$4:$W$4,0))))</f>
        <v>0</v>
      </c>
      <c r="R73">
        <f>IF($C73-R$1&lt;År1,0,Q72*(1-VLOOKUP($A73,[1]Hugst!$R$5:$W$9,MATCH(ROUNDUP((R$1)/10,0)*10,[1]Hugst!$R$4:$W$4,0))))</f>
        <v>0</v>
      </c>
      <c r="S73">
        <f>IF($C73-S$1&lt;År1,0,R72*(1-VLOOKUP($A73,[1]Hugst!$R$5:$W$9,MATCH(ROUNDUP((S$1)/10,0)*10,[1]Hugst!$R$4:$W$4,0))))</f>
        <v>0</v>
      </c>
      <c r="T73">
        <f>IF($C73-T$1&lt;År1,0,S72*(1-VLOOKUP($A73,[1]Hugst!$R$5:$W$9,MATCH(ROUNDUP((T$1)/10,0)*10,[1]Hugst!$R$4:$W$4,0))))</f>
        <v>0</v>
      </c>
      <c r="U73">
        <f>IF($C73-U$1&lt;År1,0,T72*(1-VLOOKUP($A73,[1]Hugst!$R$5:$W$9,MATCH(ROUNDUP((U$1)/10,0)*10,[1]Hugst!$R$4:$W$4,0))))</f>
        <v>0</v>
      </c>
      <c r="V73">
        <f>IF($C73-V$1&lt;År1,0,U72*(1-VLOOKUP($A73,[1]Hugst!$R$5:$W$9,MATCH(ROUNDUP((V$1)/10,0)*10,[1]Hugst!$R$4:$W$4,0))))</f>
        <v>0</v>
      </c>
      <c r="W73">
        <f>IF($C73-W$1&lt;År1,0,V72*(1-VLOOKUP($A73,[1]Hugst!$R$5:$W$9,MATCH(ROUNDUP((W$1)/10,0)*10,[1]Hugst!$R$4:$W$4,0))))</f>
        <v>0</v>
      </c>
      <c r="X73">
        <f>IF($C73-X$1&lt;År1,0,W72*(1-VLOOKUP($A73,[1]Hugst!$R$5:$W$9,MATCH(ROUNDUP((X$1)/10,0)*10,[1]Hugst!$R$4:$W$4,0))))</f>
        <v>0</v>
      </c>
      <c r="Y73">
        <f>IF($C73-Y$1&lt;År1,0,X72*(1-VLOOKUP($A73,[1]Hugst!$R$5:$W$9,MATCH(ROUNDUP((Y$1)/10,0)*10,[1]Hugst!$R$4:$W$4,0))))</f>
        <v>0</v>
      </c>
      <c r="Z73">
        <f>IF($C73-Z$1&lt;År1,0,Y72*(1-VLOOKUP($A73,[1]Hugst!$R$5:$W$9,MATCH(ROUNDUP((Z$1)/10,0)*10,[1]Hugst!$R$4:$W$4,0))))</f>
        <v>0</v>
      </c>
      <c r="AA73">
        <f>IF($C73-AA$1&lt;År1,0,Z72*(1-VLOOKUP($A73,[1]Hugst!$R$5:$W$9,MATCH(ROUNDUP((AA$1)/10,0)*10,[1]Hugst!$R$4:$W$4,0))))</f>
        <v>0</v>
      </c>
      <c r="AB73">
        <f>IF($C73-AB$1&lt;År1,0,AA72*(1-VLOOKUP($A73,[1]Hugst!$R$5:$W$9,MATCH(ROUNDUP((AB$1)/10,0)*10,[1]Hugst!$R$4:$W$4,0))))</f>
        <v>0</v>
      </c>
      <c r="AC73">
        <f>IF($C73-AC$1&lt;År1,0,AB72*(1-VLOOKUP($A73,[1]Hugst!$R$5:$W$9,MATCH(ROUNDUP((AC$1)/10,0)*10,[1]Hugst!$R$4:$W$4,0))))</f>
        <v>0</v>
      </c>
      <c r="AD73">
        <f>IF($C73-AD$1&lt;År1,0,AC72*(1-VLOOKUP($A73,[1]Hugst!$R$5:$W$9,MATCH(ROUNDUP((AD$1)/10,0)*10,[1]Hugst!$R$4:$W$4,0))))</f>
        <v>0</v>
      </c>
      <c r="AE73">
        <f>IF($C73-AE$1&lt;År1,0,AD72*(1-VLOOKUP($A73,[1]Hugst!$R$5:$W$9,MATCH(ROUNDUP((AE$1)/10,0)*10,[1]Hugst!$R$4:$W$4,0))))</f>
        <v>0</v>
      </c>
      <c r="AF73">
        <f>IF($C73-AF$1&lt;År1,0,AE72*(1-VLOOKUP($A73,[1]Hugst!$R$5:$W$9,MATCH(ROUNDUP((AF$1)/10,0)*10,[1]Hugst!$R$4:$W$4,0))))</f>
        <v>0</v>
      </c>
      <c r="AG73">
        <f>IF($C73-AG$1&lt;År1,0,AF72*(1-VLOOKUP($A73,[1]Hugst!$R$5:$W$9,MATCH(ROUNDUP((AG$1)/10,0)*10,[1]Hugst!$R$4:$W$4,0))))</f>
        <v>0</v>
      </c>
      <c r="AH73">
        <f>IF($C73-AH$1&lt;År1,0,AG72*(1-VLOOKUP($A73,[1]Hugst!$R$5:$W$9,MATCH(ROUNDUP((AH$1)/10,0)*10,[1]Hugst!$R$4:$W$4,0))))</f>
        <v>0</v>
      </c>
      <c r="AI73">
        <f>IF($C73-AI$1&lt;År1,0,AH72*(1-VLOOKUP($A73,[1]Hugst!$R$5:$W$9,MATCH(ROUNDUP((AI$1)/10,0)*10,[1]Hugst!$R$4:$W$4,0))))</f>
        <v>0</v>
      </c>
      <c r="AJ73">
        <f>IF($C73-AJ$1&lt;År1,0,AI72*(1-VLOOKUP($A73,[1]Hugst!$R$5:$W$9,MATCH(ROUNDUP((AJ$1)/10,0)*10,[1]Hugst!$R$4:$W$4,0))))</f>
        <v>0</v>
      </c>
    </row>
    <row r="74" spans="1:36" x14ac:dyDescent="0.25">
      <c r="A74" t="s">
        <v>177</v>
      </c>
      <c r="B74" t="s">
        <v>23</v>
      </c>
      <c r="C74">
        <v>2030</v>
      </c>
      <c r="D74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827.58854784390496</v>
      </c>
      <c r="E74">
        <f t="shared" ca="1" si="1"/>
        <v>7.3468326956499368</v>
      </c>
      <c r="F74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4781.0633266674995</v>
      </c>
      <c r="G74">
        <f ca="1">IF($C74-G$1&lt;År1,0,F73*(1-VLOOKUP($A74,[1]Hugst!$R$5:$W$9,MATCH(ROUNDUP((G$1)/10,0)*10,[1]Hugst!$R$4:$W$4,0))))</f>
        <v>4777.8752303931324</v>
      </c>
      <c r="H74">
        <f ca="1">IF($C74-H$1&lt;År1,0,G73*(1-VLOOKUP($A74,[1]Hugst!$R$5:$W$9,MATCH(ROUNDUP((H$1)/10,0)*10,[1]Hugst!$R$4:$W$4,0))))</f>
        <v>4782.0548649874681</v>
      </c>
      <c r="I74">
        <f ca="1">IF($C74-I$1&lt;År1,0,H73*(1-VLOOKUP($A74,[1]Hugst!$R$5:$W$9,MATCH(ROUNDUP((I$1)/10,0)*10,[1]Hugst!$R$4:$W$4,0))))</f>
        <v>4786.2555027706721</v>
      </c>
      <c r="J74">
        <f ca="1">IF($C74-J$1&lt;År1,0,I73*(1-VLOOKUP($A74,[1]Hugst!$R$5:$W$9,MATCH(ROUNDUP((J$1)/10,0)*10,[1]Hugst!$R$4:$W$4,0))))</f>
        <v>4790.4772492864568</v>
      </c>
      <c r="K74">
        <f ca="1">IF($C74-K$1&lt;År1,0,J73*(1-VLOOKUP($A74,[1]Hugst!$R$5:$W$9,MATCH(ROUNDUP((K$1)/10,0)*10,[1]Hugst!$R$4:$W$4,0))))</f>
        <v>4794.7202106088571</v>
      </c>
      <c r="L74">
        <f ca="1">IF($C74-L$1&lt;År1,0,K73*(1-VLOOKUP($A74,[1]Hugst!$R$5:$W$9,MATCH(ROUNDUP((L$1)/10,0)*10,[1]Hugst!$R$4:$W$4,0))))</f>
        <v>4798.9844933449458</v>
      </c>
      <c r="M74">
        <f ca="1">IF($C74-M$1&lt;År1,0,L73*(1-VLOOKUP($A74,[1]Hugst!$R$5:$W$9,MATCH(ROUNDUP((M$1)/10,0)*10,[1]Hugst!$R$4:$W$4,0))))</f>
        <v>4803.2702046374961</v>
      </c>
      <c r="N74">
        <f ca="1">IF($C74-N$1&lt;År1,0,M73*(1-VLOOKUP($A74,[1]Hugst!$R$5:$W$9,MATCH(ROUNDUP((N$1)/10,0)*10,[1]Hugst!$R$4:$W$4,0))))</f>
        <v>4807.5774521676994</v>
      </c>
      <c r="O74">
        <f ca="1">IF($C74-O$1&lt;År1,0,N73*(1-VLOOKUP($A74,[1]Hugst!$R$5:$W$9,MATCH(ROUNDUP((O$1)/10,0)*10,[1]Hugst!$R$4:$W$4,0))))</f>
        <v>4811.9063441578237</v>
      </c>
      <c r="P74">
        <f ca="1">IF($C74-P$1&lt;År1,0,O73*(1-VLOOKUP($A74,[1]Hugst!$R$5:$W$9,MATCH(ROUNDUP((P$1)/10,0)*10,[1]Hugst!$R$4:$W$4,0))))</f>
        <v>4808.9101566784193</v>
      </c>
      <c r="Q74">
        <f>IF($C74-Q$1&lt;År1,0,P73*(1-VLOOKUP($A74,[1]Hugst!$R$5:$W$9,MATCH(ROUNDUP((Q$1)/10,0)*10,[1]Hugst!$R$4:$W$4,0))))</f>
        <v>0</v>
      </c>
      <c r="R74">
        <f>IF($C74-R$1&lt;År1,0,Q73*(1-VLOOKUP($A74,[1]Hugst!$R$5:$W$9,MATCH(ROUNDUP((R$1)/10,0)*10,[1]Hugst!$R$4:$W$4,0))))</f>
        <v>0</v>
      </c>
      <c r="S74">
        <f>IF($C74-S$1&lt;År1,0,R73*(1-VLOOKUP($A74,[1]Hugst!$R$5:$W$9,MATCH(ROUNDUP((S$1)/10,0)*10,[1]Hugst!$R$4:$W$4,0))))</f>
        <v>0</v>
      </c>
      <c r="T74">
        <f>IF($C74-T$1&lt;År1,0,S73*(1-VLOOKUP($A74,[1]Hugst!$R$5:$W$9,MATCH(ROUNDUP((T$1)/10,0)*10,[1]Hugst!$R$4:$W$4,0))))</f>
        <v>0</v>
      </c>
      <c r="U74">
        <f>IF($C74-U$1&lt;År1,0,T73*(1-VLOOKUP($A74,[1]Hugst!$R$5:$W$9,MATCH(ROUNDUP((U$1)/10,0)*10,[1]Hugst!$R$4:$W$4,0))))</f>
        <v>0</v>
      </c>
      <c r="V74">
        <f>IF($C74-V$1&lt;År1,0,U73*(1-VLOOKUP($A74,[1]Hugst!$R$5:$W$9,MATCH(ROUNDUP((V$1)/10,0)*10,[1]Hugst!$R$4:$W$4,0))))</f>
        <v>0</v>
      </c>
      <c r="W74">
        <f>IF($C74-W$1&lt;År1,0,V73*(1-VLOOKUP($A74,[1]Hugst!$R$5:$W$9,MATCH(ROUNDUP((W$1)/10,0)*10,[1]Hugst!$R$4:$W$4,0))))</f>
        <v>0</v>
      </c>
      <c r="X74">
        <f>IF($C74-X$1&lt;År1,0,W73*(1-VLOOKUP($A74,[1]Hugst!$R$5:$W$9,MATCH(ROUNDUP((X$1)/10,0)*10,[1]Hugst!$R$4:$W$4,0))))</f>
        <v>0</v>
      </c>
      <c r="Y74">
        <f>IF($C74-Y$1&lt;År1,0,X73*(1-VLOOKUP($A74,[1]Hugst!$R$5:$W$9,MATCH(ROUNDUP((Y$1)/10,0)*10,[1]Hugst!$R$4:$W$4,0))))</f>
        <v>0</v>
      </c>
      <c r="Z74">
        <f>IF($C74-Z$1&lt;År1,0,Y73*(1-VLOOKUP($A74,[1]Hugst!$R$5:$W$9,MATCH(ROUNDUP((Z$1)/10,0)*10,[1]Hugst!$R$4:$W$4,0))))</f>
        <v>0</v>
      </c>
      <c r="AA74">
        <f>IF($C74-AA$1&lt;År1,0,Z73*(1-VLOOKUP($A74,[1]Hugst!$R$5:$W$9,MATCH(ROUNDUP((AA$1)/10,0)*10,[1]Hugst!$R$4:$W$4,0))))</f>
        <v>0</v>
      </c>
      <c r="AB74">
        <f>IF($C74-AB$1&lt;År1,0,AA73*(1-VLOOKUP($A74,[1]Hugst!$R$5:$W$9,MATCH(ROUNDUP((AB$1)/10,0)*10,[1]Hugst!$R$4:$W$4,0))))</f>
        <v>0</v>
      </c>
      <c r="AC74">
        <f>IF($C74-AC$1&lt;År1,0,AB73*(1-VLOOKUP($A74,[1]Hugst!$R$5:$W$9,MATCH(ROUNDUP((AC$1)/10,0)*10,[1]Hugst!$R$4:$W$4,0))))</f>
        <v>0</v>
      </c>
      <c r="AD74">
        <f>IF($C74-AD$1&lt;År1,0,AC73*(1-VLOOKUP($A74,[1]Hugst!$R$5:$W$9,MATCH(ROUNDUP((AD$1)/10,0)*10,[1]Hugst!$R$4:$W$4,0))))</f>
        <v>0</v>
      </c>
      <c r="AE74">
        <f>IF($C74-AE$1&lt;År1,0,AD73*(1-VLOOKUP($A74,[1]Hugst!$R$5:$W$9,MATCH(ROUNDUP((AE$1)/10,0)*10,[1]Hugst!$R$4:$W$4,0))))</f>
        <v>0</v>
      </c>
      <c r="AF74">
        <f>IF($C74-AF$1&lt;År1,0,AE73*(1-VLOOKUP($A74,[1]Hugst!$R$5:$W$9,MATCH(ROUNDUP((AF$1)/10,0)*10,[1]Hugst!$R$4:$W$4,0))))</f>
        <v>0</v>
      </c>
      <c r="AG74">
        <f>IF($C74-AG$1&lt;År1,0,AF73*(1-VLOOKUP($A74,[1]Hugst!$R$5:$W$9,MATCH(ROUNDUP((AG$1)/10,0)*10,[1]Hugst!$R$4:$W$4,0))))</f>
        <v>0</v>
      </c>
      <c r="AH74">
        <f>IF($C74-AH$1&lt;År1,0,AG73*(1-VLOOKUP($A74,[1]Hugst!$R$5:$W$9,MATCH(ROUNDUP((AH$1)/10,0)*10,[1]Hugst!$R$4:$W$4,0))))</f>
        <v>0</v>
      </c>
      <c r="AI74">
        <f>IF($C74-AI$1&lt;År1,0,AH73*(1-VLOOKUP($A74,[1]Hugst!$R$5:$W$9,MATCH(ROUNDUP((AI$1)/10,0)*10,[1]Hugst!$R$4:$W$4,0))))</f>
        <v>0</v>
      </c>
      <c r="AJ74">
        <f>IF($C74-AJ$1&lt;År1,0,AI73*(1-VLOOKUP($A74,[1]Hugst!$R$5:$W$9,MATCH(ROUNDUP((AJ$1)/10,0)*10,[1]Hugst!$R$4:$W$4,0))))</f>
        <v>0</v>
      </c>
    </row>
    <row r="75" spans="1:36" x14ac:dyDescent="0.25">
      <c r="A75" t="s">
        <v>177</v>
      </c>
      <c r="B75" t="s">
        <v>23</v>
      </c>
      <c r="C75">
        <v>2031</v>
      </c>
      <c r="D75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823.4506051046319</v>
      </c>
      <c r="E75">
        <f t="shared" ca="1" si="1"/>
        <v>14.675821780940169</v>
      </c>
      <c r="F75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3008.496797255943</v>
      </c>
      <c r="G75">
        <f ca="1">IF($C75-G$1&lt;År1,0,F74*(1-VLOOKUP($A75,[1]Hugst!$R$5:$W$9,MATCH(ROUNDUP((G$1)/10,0)*10,[1]Hugst!$R$4:$W$4,0))))</f>
        <v>4781.0633266674995</v>
      </c>
      <c r="H75">
        <f ca="1">IF($C75-H$1&lt;År1,0,G74*(1-VLOOKUP($A75,[1]Hugst!$R$5:$W$9,MATCH(ROUNDUP((H$1)/10,0)*10,[1]Hugst!$R$4:$W$4,0))))</f>
        <v>4777.8752303931324</v>
      </c>
      <c r="I75">
        <f ca="1">IF($C75-I$1&lt;År1,0,H74*(1-VLOOKUP($A75,[1]Hugst!$R$5:$W$9,MATCH(ROUNDUP((I$1)/10,0)*10,[1]Hugst!$R$4:$W$4,0))))</f>
        <v>4782.0548649874681</v>
      </c>
      <c r="J75">
        <f ca="1">IF($C75-J$1&lt;År1,0,I74*(1-VLOOKUP($A75,[1]Hugst!$R$5:$W$9,MATCH(ROUNDUP((J$1)/10,0)*10,[1]Hugst!$R$4:$W$4,0))))</f>
        <v>4786.2555027706721</v>
      </c>
      <c r="K75">
        <f ca="1">IF($C75-K$1&lt;År1,0,J74*(1-VLOOKUP($A75,[1]Hugst!$R$5:$W$9,MATCH(ROUNDUP((K$1)/10,0)*10,[1]Hugst!$R$4:$W$4,0))))</f>
        <v>4790.4772492864568</v>
      </c>
      <c r="L75">
        <f ca="1">IF($C75-L$1&lt;År1,0,K74*(1-VLOOKUP($A75,[1]Hugst!$R$5:$W$9,MATCH(ROUNDUP((L$1)/10,0)*10,[1]Hugst!$R$4:$W$4,0))))</f>
        <v>4794.7202106088571</v>
      </c>
      <c r="M75">
        <f ca="1">IF($C75-M$1&lt;År1,0,L74*(1-VLOOKUP($A75,[1]Hugst!$R$5:$W$9,MATCH(ROUNDUP((M$1)/10,0)*10,[1]Hugst!$R$4:$W$4,0))))</f>
        <v>4798.9844933449458</v>
      </c>
      <c r="N75">
        <f ca="1">IF($C75-N$1&lt;År1,0,M74*(1-VLOOKUP($A75,[1]Hugst!$R$5:$W$9,MATCH(ROUNDUP((N$1)/10,0)*10,[1]Hugst!$R$4:$W$4,0))))</f>
        <v>4803.2702046374961</v>
      </c>
      <c r="O75">
        <f ca="1">IF($C75-O$1&lt;År1,0,N74*(1-VLOOKUP($A75,[1]Hugst!$R$5:$W$9,MATCH(ROUNDUP((O$1)/10,0)*10,[1]Hugst!$R$4:$W$4,0))))</f>
        <v>4807.5774521676994</v>
      </c>
      <c r="P75">
        <f ca="1">IF($C75-P$1&lt;År1,0,O74*(1-VLOOKUP($A75,[1]Hugst!$R$5:$W$9,MATCH(ROUNDUP((P$1)/10,0)*10,[1]Hugst!$R$4:$W$4,0))))</f>
        <v>4804.5661480396166</v>
      </c>
      <c r="Q75">
        <f ca="1">IF($C75-Q$1&lt;År1,0,P74*(1-VLOOKUP($A75,[1]Hugst!$R$5:$W$9,MATCH(ROUNDUP((Q$1)/10,0)*10,[1]Hugst!$R$4:$W$4,0))))</f>
        <v>4801.574531015689</v>
      </c>
      <c r="R75">
        <f>IF($C75-R$1&lt;År1,0,Q74*(1-VLOOKUP($A75,[1]Hugst!$R$5:$W$9,MATCH(ROUNDUP((R$1)/10,0)*10,[1]Hugst!$R$4:$W$4,0))))</f>
        <v>0</v>
      </c>
      <c r="S75">
        <f>IF($C75-S$1&lt;År1,0,R74*(1-VLOOKUP($A75,[1]Hugst!$R$5:$W$9,MATCH(ROUNDUP((S$1)/10,0)*10,[1]Hugst!$R$4:$W$4,0))))</f>
        <v>0</v>
      </c>
      <c r="T75">
        <f>IF($C75-T$1&lt;År1,0,S74*(1-VLOOKUP($A75,[1]Hugst!$R$5:$W$9,MATCH(ROUNDUP((T$1)/10,0)*10,[1]Hugst!$R$4:$W$4,0))))</f>
        <v>0</v>
      </c>
      <c r="U75">
        <f>IF($C75-U$1&lt;År1,0,T74*(1-VLOOKUP($A75,[1]Hugst!$R$5:$W$9,MATCH(ROUNDUP((U$1)/10,0)*10,[1]Hugst!$R$4:$W$4,0))))</f>
        <v>0</v>
      </c>
      <c r="V75">
        <f>IF($C75-V$1&lt;År1,0,U74*(1-VLOOKUP($A75,[1]Hugst!$R$5:$W$9,MATCH(ROUNDUP((V$1)/10,0)*10,[1]Hugst!$R$4:$W$4,0))))</f>
        <v>0</v>
      </c>
      <c r="W75">
        <f>IF($C75-W$1&lt;År1,0,V74*(1-VLOOKUP($A75,[1]Hugst!$R$5:$W$9,MATCH(ROUNDUP((W$1)/10,0)*10,[1]Hugst!$R$4:$W$4,0))))</f>
        <v>0</v>
      </c>
      <c r="X75">
        <f>IF($C75-X$1&lt;År1,0,W74*(1-VLOOKUP($A75,[1]Hugst!$R$5:$W$9,MATCH(ROUNDUP((X$1)/10,0)*10,[1]Hugst!$R$4:$W$4,0))))</f>
        <v>0</v>
      </c>
      <c r="Y75">
        <f>IF($C75-Y$1&lt;År1,0,X74*(1-VLOOKUP($A75,[1]Hugst!$R$5:$W$9,MATCH(ROUNDUP((Y$1)/10,0)*10,[1]Hugst!$R$4:$W$4,0))))</f>
        <v>0</v>
      </c>
      <c r="Z75">
        <f>IF($C75-Z$1&lt;År1,0,Y74*(1-VLOOKUP($A75,[1]Hugst!$R$5:$W$9,MATCH(ROUNDUP((Z$1)/10,0)*10,[1]Hugst!$R$4:$W$4,0))))</f>
        <v>0</v>
      </c>
      <c r="AA75">
        <f>IF($C75-AA$1&lt;År1,0,Z74*(1-VLOOKUP($A75,[1]Hugst!$R$5:$W$9,MATCH(ROUNDUP((AA$1)/10,0)*10,[1]Hugst!$R$4:$W$4,0))))</f>
        <v>0</v>
      </c>
      <c r="AB75">
        <f>IF($C75-AB$1&lt;År1,0,AA74*(1-VLOOKUP($A75,[1]Hugst!$R$5:$W$9,MATCH(ROUNDUP((AB$1)/10,0)*10,[1]Hugst!$R$4:$W$4,0))))</f>
        <v>0</v>
      </c>
      <c r="AC75">
        <f>IF($C75-AC$1&lt;År1,0,AB74*(1-VLOOKUP($A75,[1]Hugst!$R$5:$W$9,MATCH(ROUNDUP((AC$1)/10,0)*10,[1]Hugst!$R$4:$W$4,0))))</f>
        <v>0</v>
      </c>
      <c r="AD75">
        <f>IF($C75-AD$1&lt;År1,0,AC74*(1-VLOOKUP($A75,[1]Hugst!$R$5:$W$9,MATCH(ROUNDUP((AD$1)/10,0)*10,[1]Hugst!$R$4:$W$4,0))))</f>
        <v>0</v>
      </c>
      <c r="AE75">
        <f>IF($C75-AE$1&lt;År1,0,AD74*(1-VLOOKUP($A75,[1]Hugst!$R$5:$W$9,MATCH(ROUNDUP((AE$1)/10,0)*10,[1]Hugst!$R$4:$W$4,0))))</f>
        <v>0</v>
      </c>
      <c r="AF75">
        <f>IF($C75-AF$1&lt;År1,0,AE74*(1-VLOOKUP($A75,[1]Hugst!$R$5:$W$9,MATCH(ROUNDUP((AF$1)/10,0)*10,[1]Hugst!$R$4:$W$4,0))))</f>
        <v>0</v>
      </c>
      <c r="AG75">
        <f>IF($C75-AG$1&lt;År1,0,AF74*(1-VLOOKUP($A75,[1]Hugst!$R$5:$W$9,MATCH(ROUNDUP((AG$1)/10,0)*10,[1]Hugst!$R$4:$W$4,0))))</f>
        <v>0</v>
      </c>
      <c r="AH75">
        <f>IF($C75-AH$1&lt;År1,0,AG74*(1-VLOOKUP($A75,[1]Hugst!$R$5:$W$9,MATCH(ROUNDUP((AH$1)/10,0)*10,[1]Hugst!$R$4:$W$4,0))))</f>
        <v>0</v>
      </c>
      <c r="AI75">
        <f>IF($C75-AI$1&lt;År1,0,AH74*(1-VLOOKUP($A75,[1]Hugst!$R$5:$W$9,MATCH(ROUNDUP((AI$1)/10,0)*10,[1]Hugst!$R$4:$W$4,0))))</f>
        <v>0</v>
      </c>
      <c r="AJ75">
        <f>IF($C75-AJ$1&lt;År1,0,AI74*(1-VLOOKUP($A75,[1]Hugst!$R$5:$W$9,MATCH(ROUNDUP((AJ$1)/10,0)*10,[1]Hugst!$R$4:$W$4,0))))</f>
        <v>0</v>
      </c>
    </row>
    <row r="76" spans="1:36" x14ac:dyDescent="0.25">
      <c r="A76" t="s">
        <v>177</v>
      </c>
      <c r="B76" t="s">
        <v>23</v>
      </c>
      <c r="C76">
        <v>2032</v>
      </c>
      <c r="D76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819.33335207914934</v>
      </c>
      <c r="E76">
        <f t="shared" ca="1" si="1"/>
        <v>21.987027657800354</v>
      </c>
      <c r="F76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3011.6907501073206</v>
      </c>
      <c r="G76">
        <f ca="1">IF($C76-G$1&lt;År1,0,F75*(1-VLOOKUP($A76,[1]Hugst!$R$5:$W$9,MATCH(ROUNDUP((G$1)/10,0)*10,[1]Hugst!$R$4:$W$4,0))))</f>
        <v>3008.496797255943</v>
      </c>
      <c r="H76">
        <f ca="1">IF($C76-H$1&lt;År1,0,G75*(1-VLOOKUP($A76,[1]Hugst!$R$5:$W$9,MATCH(ROUNDUP((H$1)/10,0)*10,[1]Hugst!$R$4:$W$4,0))))</f>
        <v>4781.0633266674995</v>
      </c>
      <c r="I76">
        <f ca="1">IF($C76-I$1&lt;År1,0,H75*(1-VLOOKUP($A76,[1]Hugst!$R$5:$W$9,MATCH(ROUNDUP((I$1)/10,0)*10,[1]Hugst!$R$4:$W$4,0))))</f>
        <v>4777.8752303931324</v>
      </c>
      <c r="J76">
        <f ca="1">IF($C76-J$1&lt;År1,0,I75*(1-VLOOKUP($A76,[1]Hugst!$R$5:$W$9,MATCH(ROUNDUP((J$1)/10,0)*10,[1]Hugst!$R$4:$W$4,0))))</f>
        <v>4782.0548649874681</v>
      </c>
      <c r="K76">
        <f ca="1">IF($C76-K$1&lt;År1,0,J75*(1-VLOOKUP($A76,[1]Hugst!$R$5:$W$9,MATCH(ROUNDUP((K$1)/10,0)*10,[1]Hugst!$R$4:$W$4,0))))</f>
        <v>4786.2555027706721</v>
      </c>
      <c r="L76">
        <f ca="1">IF($C76-L$1&lt;År1,0,K75*(1-VLOOKUP($A76,[1]Hugst!$R$5:$W$9,MATCH(ROUNDUP((L$1)/10,0)*10,[1]Hugst!$R$4:$W$4,0))))</f>
        <v>4790.4772492864568</v>
      </c>
      <c r="M76">
        <f ca="1">IF($C76-M$1&lt;År1,0,L75*(1-VLOOKUP($A76,[1]Hugst!$R$5:$W$9,MATCH(ROUNDUP((M$1)/10,0)*10,[1]Hugst!$R$4:$W$4,0))))</f>
        <v>4794.7202106088571</v>
      </c>
      <c r="N76">
        <f ca="1">IF($C76-N$1&lt;År1,0,M75*(1-VLOOKUP($A76,[1]Hugst!$R$5:$W$9,MATCH(ROUNDUP((N$1)/10,0)*10,[1]Hugst!$R$4:$W$4,0))))</f>
        <v>4798.9844933449458</v>
      </c>
      <c r="O76">
        <f ca="1">IF($C76-O$1&lt;År1,0,N75*(1-VLOOKUP($A76,[1]Hugst!$R$5:$W$9,MATCH(ROUNDUP((O$1)/10,0)*10,[1]Hugst!$R$4:$W$4,0))))</f>
        <v>4803.2702046374961</v>
      </c>
      <c r="P76">
        <f ca="1">IF($C76-P$1&lt;År1,0,O75*(1-VLOOKUP($A76,[1]Hugst!$R$5:$W$9,MATCH(ROUNDUP((P$1)/10,0)*10,[1]Hugst!$R$4:$W$4,0))))</f>
        <v>4800.2438594440537</v>
      </c>
      <c r="Q76">
        <f ca="1">IF($C76-Q$1&lt;År1,0,P75*(1-VLOOKUP($A76,[1]Hugst!$R$5:$W$9,MATCH(ROUNDUP((Q$1)/10,0)*10,[1]Hugst!$R$4:$W$4,0))))</f>
        <v>4797.2371488307426</v>
      </c>
      <c r="R76">
        <f ca="1">IF($C76-R$1&lt;År1,0,Q75*(1-VLOOKUP($A76,[1]Hugst!$R$5:$W$9,MATCH(ROUNDUP((R$1)/10,0)*10,[1]Hugst!$R$4:$W$4,0))))</f>
        <v>4794.2500952904111</v>
      </c>
      <c r="S76">
        <f>IF($C76-S$1&lt;År1,0,R75*(1-VLOOKUP($A76,[1]Hugst!$R$5:$W$9,MATCH(ROUNDUP((S$1)/10,0)*10,[1]Hugst!$R$4:$W$4,0))))</f>
        <v>0</v>
      </c>
      <c r="T76">
        <f>IF($C76-T$1&lt;År1,0,S75*(1-VLOOKUP($A76,[1]Hugst!$R$5:$W$9,MATCH(ROUNDUP((T$1)/10,0)*10,[1]Hugst!$R$4:$W$4,0))))</f>
        <v>0</v>
      </c>
      <c r="U76">
        <f>IF($C76-U$1&lt;År1,0,T75*(1-VLOOKUP($A76,[1]Hugst!$R$5:$W$9,MATCH(ROUNDUP((U$1)/10,0)*10,[1]Hugst!$R$4:$W$4,0))))</f>
        <v>0</v>
      </c>
      <c r="V76">
        <f>IF($C76-V$1&lt;År1,0,U75*(1-VLOOKUP($A76,[1]Hugst!$R$5:$W$9,MATCH(ROUNDUP((V$1)/10,0)*10,[1]Hugst!$R$4:$W$4,0))))</f>
        <v>0</v>
      </c>
      <c r="W76">
        <f>IF($C76-W$1&lt;År1,0,V75*(1-VLOOKUP($A76,[1]Hugst!$R$5:$W$9,MATCH(ROUNDUP((W$1)/10,0)*10,[1]Hugst!$R$4:$W$4,0))))</f>
        <v>0</v>
      </c>
      <c r="X76">
        <f>IF($C76-X$1&lt;År1,0,W75*(1-VLOOKUP($A76,[1]Hugst!$R$5:$W$9,MATCH(ROUNDUP((X$1)/10,0)*10,[1]Hugst!$R$4:$W$4,0))))</f>
        <v>0</v>
      </c>
      <c r="Y76">
        <f>IF($C76-Y$1&lt;År1,0,X75*(1-VLOOKUP($A76,[1]Hugst!$R$5:$W$9,MATCH(ROUNDUP((Y$1)/10,0)*10,[1]Hugst!$R$4:$W$4,0))))</f>
        <v>0</v>
      </c>
      <c r="Z76">
        <f>IF($C76-Z$1&lt;År1,0,Y75*(1-VLOOKUP($A76,[1]Hugst!$R$5:$W$9,MATCH(ROUNDUP((Z$1)/10,0)*10,[1]Hugst!$R$4:$W$4,0))))</f>
        <v>0</v>
      </c>
      <c r="AA76">
        <f>IF($C76-AA$1&lt;År1,0,Z75*(1-VLOOKUP($A76,[1]Hugst!$R$5:$W$9,MATCH(ROUNDUP((AA$1)/10,0)*10,[1]Hugst!$R$4:$W$4,0))))</f>
        <v>0</v>
      </c>
      <c r="AB76">
        <f>IF($C76-AB$1&lt;År1,0,AA75*(1-VLOOKUP($A76,[1]Hugst!$R$5:$W$9,MATCH(ROUNDUP((AB$1)/10,0)*10,[1]Hugst!$R$4:$W$4,0))))</f>
        <v>0</v>
      </c>
      <c r="AC76">
        <f>IF($C76-AC$1&lt;År1,0,AB75*(1-VLOOKUP($A76,[1]Hugst!$R$5:$W$9,MATCH(ROUNDUP((AC$1)/10,0)*10,[1]Hugst!$R$4:$W$4,0))))</f>
        <v>0</v>
      </c>
      <c r="AD76">
        <f>IF($C76-AD$1&lt;År1,0,AC75*(1-VLOOKUP($A76,[1]Hugst!$R$5:$W$9,MATCH(ROUNDUP((AD$1)/10,0)*10,[1]Hugst!$R$4:$W$4,0))))</f>
        <v>0</v>
      </c>
      <c r="AE76">
        <f>IF($C76-AE$1&lt;År1,0,AD75*(1-VLOOKUP($A76,[1]Hugst!$R$5:$W$9,MATCH(ROUNDUP((AE$1)/10,0)*10,[1]Hugst!$R$4:$W$4,0))))</f>
        <v>0</v>
      </c>
      <c r="AF76">
        <f>IF($C76-AF$1&lt;År1,0,AE75*(1-VLOOKUP($A76,[1]Hugst!$R$5:$W$9,MATCH(ROUNDUP((AF$1)/10,0)*10,[1]Hugst!$R$4:$W$4,0))))</f>
        <v>0</v>
      </c>
      <c r="AG76">
        <f>IF($C76-AG$1&lt;År1,0,AF75*(1-VLOOKUP($A76,[1]Hugst!$R$5:$W$9,MATCH(ROUNDUP((AG$1)/10,0)*10,[1]Hugst!$R$4:$W$4,0))))</f>
        <v>0</v>
      </c>
      <c r="AH76">
        <f>IF($C76-AH$1&lt;År1,0,AG75*(1-VLOOKUP($A76,[1]Hugst!$R$5:$W$9,MATCH(ROUNDUP((AH$1)/10,0)*10,[1]Hugst!$R$4:$W$4,0))))</f>
        <v>0</v>
      </c>
      <c r="AI76">
        <f>IF($C76-AI$1&lt;År1,0,AH75*(1-VLOOKUP($A76,[1]Hugst!$R$5:$W$9,MATCH(ROUNDUP((AI$1)/10,0)*10,[1]Hugst!$R$4:$W$4,0))))</f>
        <v>0</v>
      </c>
      <c r="AJ76">
        <f>IF($C76-AJ$1&lt;År1,0,AI75*(1-VLOOKUP($A76,[1]Hugst!$R$5:$W$9,MATCH(ROUNDUP((AJ$1)/10,0)*10,[1]Hugst!$R$4:$W$4,0))))</f>
        <v>0</v>
      </c>
    </row>
    <row r="77" spans="1:36" x14ac:dyDescent="0.25">
      <c r="A77" t="s">
        <v>177</v>
      </c>
      <c r="B77" t="s">
        <v>23</v>
      </c>
      <c r="C77">
        <v>2033</v>
      </c>
      <c r="D77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815.23668531873227</v>
      </c>
      <c r="E77">
        <f t="shared" ca="1" si="1"/>
        <v>29.280510470132867</v>
      </c>
      <c r="F77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3014.887566159236</v>
      </c>
      <c r="G77">
        <f ca="1">IF($C77-G$1&lt;År1,0,F76*(1-VLOOKUP($A77,[1]Hugst!$R$5:$W$9,MATCH(ROUNDUP((G$1)/10,0)*10,[1]Hugst!$R$4:$W$4,0))))</f>
        <v>3011.6907501073206</v>
      </c>
      <c r="H77">
        <f ca="1">IF($C77-H$1&lt;År1,0,G76*(1-VLOOKUP($A77,[1]Hugst!$R$5:$W$9,MATCH(ROUNDUP((H$1)/10,0)*10,[1]Hugst!$R$4:$W$4,0))))</f>
        <v>3008.496797255943</v>
      </c>
      <c r="I77">
        <f ca="1">IF($C77-I$1&lt;År1,0,H76*(1-VLOOKUP($A77,[1]Hugst!$R$5:$W$9,MATCH(ROUNDUP((I$1)/10,0)*10,[1]Hugst!$R$4:$W$4,0))))</f>
        <v>4781.0633266674995</v>
      </c>
      <c r="J77">
        <f ca="1">IF($C77-J$1&lt;År1,0,I76*(1-VLOOKUP($A77,[1]Hugst!$R$5:$W$9,MATCH(ROUNDUP((J$1)/10,0)*10,[1]Hugst!$R$4:$W$4,0))))</f>
        <v>4777.8752303931324</v>
      </c>
      <c r="K77">
        <f ca="1">IF($C77-K$1&lt;År1,0,J76*(1-VLOOKUP($A77,[1]Hugst!$R$5:$W$9,MATCH(ROUNDUP((K$1)/10,0)*10,[1]Hugst!$R$4:$W$4,0))))</f>
        <v>4782.0548649874681</v>
      </c>
      <c r="L77">
        <f ca="1">IF($C77-L$1&lt;År1,0,K76*(1-VLOOKUP($A77,[1]Hugst!$R$5:$W$9,MATCH(ROUNDUP((L$1)/10,0)*10,[1]Hugst!$R$4:$W$4,0))))</f>
        <v>4786.2555027706721</v>
      </c>
      <c r="M77">
        <f ca="1">IF($C77-M$1&lt;År1,0,L76*(1-VLOOKUP($A77,[1]Hugst!$R$5:$W$9,MATCH(ROUNDUP((M$1)/10,0)*10,[1]Hugst!$R$4:$W$4,0))))</f>
        <v>4790.4772492864568</v>
      </c>
      <c r="N77">
        <f ca="1">IF($C77-N$1&lt;År1,0,M76*(1-VLOOKUP($A77,[1]Hugst!$R$5:$W$9,MATCH(ROUNDUP((N$1)/10,0)*10,[1]Hugst!$R$4:$W$4,0))))</f>
        <v>4794.7202106088571</v>
      </c>
      <c r="O77">
        <f ca="1">IF($C77-O$1&lt;År1,0,N76*(1-VLOOKUP($A77,[1]Hugst!$R$5:$W$9,MATCH(ROUNDUP((O$1)/10,0)*10,[1]Hugst!$R$4:$W$4,0))))</f>
        <v>4798.9844933449458</v>
      </c>
      <c r="P77">
        <f ca="1">IF($C77-P$1&lt;År1,0,O76*(1-VLOOKUP($A77,[1]Hugst!$R$5:$W$9,MATCH(ROUNDUP((P$1)/10,0)*10,[1]Hugst!$R$4:$W$4,0))))</f>
        <v>4795.9431822914385</v>
      </c>
      <c r="Q77">
        <f ca="1">IF($C77-Q$1&lt;År1,0,P76*(1-VLOOKUP($A77,[1]Hugst!$R$5:$W$9,MATCH(ROUNDUP((Q$1)/10,0)*10,[1]Hugst!$R$4:$W$4,0))))</f>
        <v>4792.9214535567662</v>
      </c>
      <c r="R77">
        <f ca="1">IF($C77-R$1&lt;År1,0,Q76*(1-VLOOKUP($A77,[1]Hugst!$R$5:$W$9,MATCH(ROUNDUP((R$1)/10,0)*10,[1]Hugst!$R$4:$W$4,0))))</f>
        <v>4789.9193294511706</v>
      </c>
      <c r="S77">
        <f ca="1">IF($C77-S$1&lt;År1,0,R76*(1-VLOOKUP($A77,[1]Hugst!$R$5:$W$9,MATCH(ROUNDUP((S$1)/10,0)*10,[1]Hugst!$R$4:$W$4,0))))</f>
        <v>4786.9368324331881</v>
      </c>
      <c r="T77">
        <f>IF($C77-T$1&lt;År1,0,S76*(1-VLOOKUP($A77,[1]Hugst!$R$5:$W$9,MATCH(ROUNDUP((T$1)/10,0)*10,[1]Hugst!$R$4:$W$4,0))))</f>
        <v>0</v>
      </c>
      <c r="U77">
        <f>IF($C77-U$1&lt;År1,0,T76*(1-VLOOKUP($A77,[1]Hugst!$R$5:$W$9,MATCH(ROUNDUP((U$1)/10,0)*10,[1]Hugst!$R$4:$W$4,0))))</f>
        <v>0</v>
      </c>
      <c r="V77">
        <f>IF($C77-V$1&lt;År1,0,U76*(1-VLOOKUP($A77,[1]Hugst!$R$5:$W$9,MATCH(ROUNDUP((V$1)/10,0)*10,[1]Hugst!$R$4:$W$4,0))))</f>
        <v>0</v>
      </c>
      <c r="W77">
        <f>IF($C77-W$1&lt;År1,0,V76*(1-VLOOKUP($A77,[1]Hugst!$R$5:$W$9,MATCH(ROUNDUP((W$1)/10,0)*10,[1]Hugst!$R$4:$W$4,0))))</f>
        <v>0</v>
      </c>
      <c r="X77">
        <f>IF($C77-X$1&lt;År1,0,W76*(1-VLOOKUP($A77,[1]Hugst!$R$5:$W$9,MATCH(ROUNDUP((X$1)/10,0)*10,[1]Hugst!$R$4:$W$4,0))))</f>
        <v>0</v>
      </c>
      <c r="Y77">
        <f>IF($C77-Y$1&lt;År1,0,X76*(1-VLOOKUP($A77,[1]Hugst!$R$5:$W$9,MATCH(ROUNDUP((Y$1)/10,0)*10,[1]Hugst!$R$4:$W$4,0))))</f>
        <v>0</v>
      </c>
      <c r="Z77">
        <f>IF($C77-Z$1&lt;År1,0,Y76*(1-VLOOKUP($A77,[1]Hugst!$R$5:$W$9,MATCH(ROUNDUP((Z$1)/10,0)*10,[1]Hugst!$R$4:$W$4,0))))</f>
        <v>0</v>
      </c>
      <c r="AA77">
        <f>IF($C77-AA$1&lt;År1,0,Z76*(1-VLOOKUP($A77,[1]Hugst!$R$5:$W$9,MATCH(ROUNDUP((AA$1)/10,0)*10,[1]Hugst!$R$4:$W$4,0))))</f>
        <v>0</v>
      </c>
      <c r="AB77">
        <f>IF($C77-AB$1&lt;År1,0,AA76*(1-VLOOKUP($A77,[1]Hugst!$R$5:$W$9,MATCH(ROUNDUP((AB$1)/10,0)*10,[1]Hugst!$R$4:$W$4,0))))</f>
        <v>0</v>
      </c>
      <c r="AC77">
        <f>IF($C77-AC$1&lt;År1,0,AB76*(1-VLOOKUP($A77,[1]Hugst!$R$5:$W$9,MATCH(ROUNDUP((AC$1)/10,0)*10,[1]Hugst!$R$4:$W$4,0))))</f>
        <v>0</v>
      </c>
      <c r="AD77">
        <f>IF($C77-AD$1&lt;År1,0,AC76*(1-VLOOKUP($A77,[1]Hugst!$R$5:$W$9,MATCH(ROUNDUP((AD$1)/10,0)*10,[1]Hugst!$R$4:$W$4,0))))</f>
        <v>0</v>
      </c>
      <c r="AE77">
        <f>IF($C77-AE$1&lt;År1,0,AD76*(1-VLOOKUP($A77,[1]Hugst!$R$5:$W$9,MATCH(ROUNDUP((AE$1)/10,0)*10,[1]Hugst!$R$4:$W$4,0))))</f>
        <v>0</v>
      </c>
      <c r="AF77">
        <f>IF($C77-AF$1&lt;År1,0,AE76*(1-VLOOKUP($A77,[1]Hugst!$R$5:$W$9,MATCH(ROUNDUP((AF$1)/10,0)*10,[1]Hugst!$R$4:$W$4,0))))</f>
        <v>0</v>
      </c>
      <c r="AG77">
        <f>IF($C77-AG$1&lt;År1,0,AF76*(1-VLOOKUP($A77,[1]Hugst!$R$5:$W$9,MATCH(ROUNDUP((AG$1)/10,0)*10,[1]Hugst!$R$4:$W$4,0))))</f>
        <v>0</v>
      </c>
      <c r="AH77">
        <f>IF($C77-AH$1&lt;År1,0,AG76*(1-VLOOKUP($A77,[1]Hugst!$R$5:$W$9,MATCH(ROUNDUP((AH$1)/10,0)*10,[1]Hugst!$R$4:$W$4,0))))</f>
        <v>0</v>
      </c>
      <c r="AI77">
        <f>IF($C77-AI$1&lt;År1,0,AH76*(1-VLOOKUP($A77,[1]Hugst!$R$5:$W$9,MATCH(ROUNDUP((AI$1)/10,0)*10,[1]Hugst!$R$4:$W$4,0))))</f>
        <v>0</v>
      </c>
      <c r="AJ77">
        <f>IF($C77-AJ$1&lt;År1,0,AI76*(1-VLOOKUP($A77,[1]Hugst!$R$5:$W$9,MATCH(ROUNDUP((AJ$1)/10,0)*10,[1]Hugst!$R$4:$W$4,0))))</f>
        <v>0</v>
      </c>
    </row>
    <row r="78" spans="1:36" x14ac:dyDescent="0.25">
      <c r="A78" t="s">
        <v>177</v>
      </c>
      <c r="B78" t="s">
        <v>23</v>
      </c>
      <c r="C78">
        <v>2034</v>
      </c>
      <c r="D7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811.16050189214184</v>
      </c>
      <c r="E78">
        <f t="shared" ca="1" si="1"/>
        <v>36.556330105042434</v>
      </c>
      <c r="F7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3018.0872023675552</v>
      </c>
      <c r="G78">
        <f ca="1">IF($C78-G$1&lt;År1,0,F77*(1-VLOOKUP($A78,[1]Hugst!$R$5:$W$9,MATCH(ROUNDUP((G$1)/10,0)*10,[1]Hugst!$R$4:$W$4,0))))</f>
        <v>3014.887566159236</v>
      </c>
      <c r="H78">
        <f ca="1">IF($C78-H$1&lt;År1,0,G77*(1-VLOOKUP($A78,[1]Hugst!$R$5:$W$9,MATCH(ROUNDUP((H$1)/10,0)*10,[1]Hugst!$R$4:$W$4,0))))</f>
        <v>3011.6907501073206</v>
      </c>
      <c r="I78">
        <f ca="1">IF($C78-I$1&lt;År1,0,H77*(1-VLOOKUP($A78,[1]Hugst!$R$5:$W$9,MATCH(ROUNDUP((I$1)/10,0)*10,[1]Hugst!$R$4:$W$4,0))))</f>
        <v>3008.496797255943</v>
      </c>
      <c r="J78">
        <f ca="1">IF($C78-J$1&lt;År1,0,I77*(1-VLOOKUP($A78,[1]Hugst!$R$5:$W$9,MATCH(ROUNDUP((J$1)/10,0)*10,[1]Hugst!$R$4:$W$4,0))))</f>
        <v>4781.0633266674995</v>
      </c>
      <c r="K78">
        <f ca="1">IF($C78-K$1&lt;År1,0,J77*(1-VLOOKUP($A78,[1]Hugst!$R$5:$W$9,MATCH(ROUNDUP((K$1)/10,0)*10,[1]Hugst!$R$4:$W$4,0))))</f>
        <v>4777.8752303931324</v>
      </c>
      <c r="L78">
        <f ca="1">IF($C78-L$1&lt;År1,0,K77*(1-VLOOKUP($A78,[1]Hugst!$R$5:$W$9,MATCH(ROUNDUP((L$1)/10,0)*10,[1]Hugst!$R$4:$W$4,0))))</f>
        <v>4782.0548649874681</v>
      </c>
      <c r="M78">
        <f ca="1">IF($C78-M$1&lt;År1,0,L77*(1-VLOOKUP($A78,[1]Hugst!$R$5:$W$9,MATCH(ROUNDUP((M$1)/10,0)*10,[1]Hugst!$R$4:$W$4,0))))</f>
        <v>4786.2555027706721</v>
      </c>
      <c r="N78">
        <f ca="1">IF($C78-N$1&lt;År1,0,M77*(1-VLOOKUP($A78,[1]Hugst!$R$5:$W$9,MATCH(ROUNDUP((N$1)/10,0)*10,[1]Hugst!$R$4:$W$4,0))))</f>
        <v>4790.4772492864568</v>
      </c>
      <c r="O78">
        <f ca="1">IF($C78-O$1&lt;År1,0,N77*(1-VLOOKUP($A78,[1]Hugst!$R$5:$W$9,MATCH(ROUNDUP((O$1)/10,0)*10,[1]Hugst!$R$4:$W$4,0))))</f>
        <v>4794.7202106088571</v>
      </c>
      <c r="P78">
        <f ca="1">IF($C78-P$1&lt;År1,0,O77*(1-VLOOKUP($A78,[1]Hugst!$R$5:$W$9,MATCH(ROUNDUP((P$1)/10,0)*10,[1]Hugst!$R$4:$W$4,0))))</f>
        <v>4791.664008524589</v>
      </c>
      <c r="Q78">
        <f ca="1">IF($C78-Q$1&lt;År1,0,P77*(1-VLOOKUP($A78,[1]Hugst!$R$5:$W$9,MATCH(ROUNDUP((Q$1)/10,0)*10,[1]Hugst!$R$4:$W$4,0))))</f>
        <v>4788.6273367591293</v>
      </c>
      <c r="R78">
        <f ca="1">IF($C78-R$1&lt;År1,0,Q77*(1-VLOOKUP($A78,[1]Hugst!$R$5:$W$9,MATCH(ROUNDUP((R$1)/10,0)*10,[1]Hugst!$R$4:$W$4,0))))</f>
        <v>4785.6102174411708</v>
      </c>
      <c r="S78">
        <f ca="1">IF($C78-S$1&lt;År1,0,R77*(1-VLOOKUP($A78,[1]Hugst!$R$5:$W$9,MATCH(ROUNDUP((S$1)/10,0)*10,[1]Hugst!$R$4:$W$4,0))))</f>
        <v>4782.6126728469226</v>
      </c>
      <c r="T78">
        <f ca="1">IF($C78-T$1&lt;År1,0,S77*(1-VLOOKUP($A78,[1]Hugst!$R$5:$W$9,MATCH(ROUNDUP((T$1)/10,0)*10,[1]Hugst!$R$4:$W$4,0))))</f>
        <v>4779.6347254006623</v>
      </c>
      <c r="U78">
        <f>IF($C78-U$1&lt;År1,0,T77*(1-VLOOKUP($A78,[1]Hugst!$R$5:$W$9,MATCH(ROUNDUP((U$1)/10,0)*10,[1]Hugst!$R$4:$W$4,0))))</f>
        <v>0</v>
      </c>
      <c r="V78">
        <f>IF($C78-V$1&lt;År1,0,U77*(1-VLOOKUP($A78,[1]Hugst!$R$5:$W$9,MATCH(ROUNDUP((V$1)/10,0)*10,[1]Hugst!$R$4:$W$4,0))))</f>
        <v>0</v>
      </c>
      <c r="W78">
        <f>IF($C78-W$1&lt;År1,0,V77*(1-VLOOKUP($A78,[1]Hugst!$R$5:$W$9,MATCH(ROUNDUP((W$1)/10,0)*10,[1]Hugst!$R$4:$W$4,0))))</f>
        <v>0</v>
      </c>
      <c r="X78">
        <f>IF($C78-X$1&lt;År1,0,W77*(1-VLOOKUP($A78,[1]Hugst!$R$5:$W$9,MATCH(ROUNDUP((X$1)/10,0)*10,[1]Hugst!$R$4:$W$4,0))))</f>
        <v>0</v>
      </c>
      <c r="Y78">
        <f>IF($C78-Y$1&lt;År1,0,X77*(1-VLOOKUP($A78,[1]Hugst!$R$5:$W$9,MATCH(ROUNDUP((Y$1)/10,0)*10,[1]Hugst!$R$4:$W$4,0))))</f>
        <v>0</v>
      </c>
      <c r="Z78">
        <f>IF($C78-Z$1&lt;År1,0,Y77*(1-VLOOKUP($A78,[1]Hugst!$R$5:$W$9,MATCH(ROUNDUP((Z$1)/10,0)*10,[1]Hugst!$R$4:$W$4,0))))</f>
        <v>0</v>
      </c>
      <c r="AA78">
        <f>IF($C78-AA$1&lt;År1,0,Z77*(1-VLOOKUP($A78,[1]Hugst!$R$5:$W$9,MATCH(ROUNDUP((AA$1)/10,0)*10,[1]Hugst!$R$4:$W$4,0))))</f>
        <v>0</v>
      </c>
      <c r="AB78">
        <f>IF($C78-AB$1&lt;År1,0,AA77*(1-VLOOKUP($A78,[1]Hugst!$R$5:$W$9,MATCH(ROUNDUP((AB$1)/10,0)*10,[1]Hugst!$R$4:$W$4,0))))</f>
        <v>0</v>
      </c>
      <c r="AC78">
        <f>IF($C78-AC$1&lt;År1,0,AB77*(1-VLOOKUP($A78,[1]Hugst!$R$5:$W$9,MATCH(ROUNDUP((AC$1)/10,0)*10,[1]Hugst!$R$4:$W$4,0))))</f>
        <v>0</v>
      </c>
      <c r="AD78">
        <f>IF($C78-AD$1&lt;År1,0,AC77*(1-VLOOKUP($A78,[1]Hugst!$R$5:$W$9,MATCH(ROUNDUP((AD$1)/10,0)*10,[1]Hugst!$R$4:$W$4,0))))</f>
        <v>0</v>
      </c>
      <c r="AE78">
        <f>IF($C78-AE$1&lt;År1,0,AD77*(1-VLOOKUP($A78,[1]Hugst!$R$5:$W$9,MATCH(ROUNDUP((AE$1)/10,0)*10,[1]Hugst!$R$4:$W$4,0))))</f>
        <v>0</v>
      </c>
      <c r="AF78">
        <f>IF($C78-AF$1&lt;År1,0,AE77*(1-VLOOKUP($A78,[1]Hugst!$R$5:$W$9,MATCH(ROUNDUP((AF$1)/10,0)*10,[1]Hugst!$R$4:$W$4,0))))</f>
        <v>0</v>
      </c>
      <c r="AG78">
        <f>IF($C78-AG$1&lt;År1,0,AF77*(1-VLOOKUP($A78,[1]Hugst!$R$5:$W$9,MATCH(ROUNDUP((AG$1)/10,0)*10,[1]Hugst!$R$4:$W$4,0))))</f>
        <v>0</v>
      </c>
      <c r="AH78">
        <f>IF($C78-AH$1&lt;År1,0,AG77*(1-VLOOKUP($A78,[1]Hugst!$R$5:$W$9,MATCH(ROUNDUP((AH$1)/10,0)*10,[1]Hugst!$R$4:$W$4,0))))</f>
        <v>0</v>
      </c>
      <c r="AI78">
        <f>IF($C78-AI$1&lt;År1,0,AH77*(1-VLOOKUP($A78,[1]Hugst!$R$5:$W$9,MATCH(ROUNDUP((AI$1)/10,0)*10,[1]Hugst!$R$4:$W$4,0))))</f>
        <v>0</v>
      </c>
      <c r="AJ78">
        <f>IF($C78-AJ$1&lt;År1,0,AI77*(1-VLOOKUP($A78,[1]Hugst!$R$5:$W$9,MATCH(ROUNDUP((AJ$1)/10,0)*10,[1]Hugst!$R$4:$W$4,0))))</f>
        <v>0</v>
      </c>
    </row>
    <row r="79" spans="1:36" x14ac:dyDescent="0.25">
      <c r="A79" t="s">
        <v>177</v>
      </c>
      <c r="B79" t="s">
        <v>23</v>
      </c>
      <c r="C79">
        <v>2035</v>
      </c>
      <c r="D79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807.10469938269853</v>
      </c>
      <c r="E79">
        <f t="shared" ca="1" si="1"/>
        <v>43.814546193934802</v>
      </c>
      <c r="F7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3021.2896159470042</v>
      </c>
      <c r="G79">
        <f ca="1">IF($C79-G$1&lt;År1,0,F78*(1-VLOOKUP($A79,[1]Hugst!$R$5:$W$9,MATCH(ROUNDUP((G$1)/10,0)*10,[1]Hugst!$R$4:$W$4,0))))</f>
        <v>3018.0872023675552</v>
      </c>
      <c r="H79">
        <f ca="1">IF($C79-H$1&lt;År1,0,G78*(1-VLOOKUP($A79,[1]Hugst!$R$5:$W$9,MATCH(ROUNDUP((H$1)/10,0)*10,[1]Hugst!$R$4:$W$4,0))))</f>
        <v>3014.887566159236</v>
      </c>
      <c r="I79">
        <f ca="1">IF($C79-I$1&lt;År1,0,H78*(1-VLOOKUP($A79,[1]Hugst!$R$5:$W$9,MATCH(ROUNDUP((I$1)/10,0)*10,[1]Hugst!$R$4:$W$4,0))))</f>
        <v>3011.6907501073206</v>
      </c>
      <c r="J79">
        <f ca="1">IF($C79-J$1&lt;År1,0,I78*(1-VLOOKUP($A79,[1]Hugst!$R$5:$W$9,MATCH(ROUNDUP((J$1)/10,0)*10,[1]Hugst!$R$4:$W$4,0))))</f>
        <v>3008.496797255943</v>
      </c>
      <c r="K79">
        <f ca="1">IF($C79-K$1&lt;År1,0,J78*(1-VLOOKUP($A79,[1]Hugst!$R$5:$W$9,MATCH(ROUNDUP((K$1)/10,0)*10,[1]Hugst!$R$4:$W$4,0))))</f>
        <v>4781.0633266674995</v>
      </c>
      <c r="L79">
        <f ca="1">IF($C79-L$1&lt;År1,0,K78*(1-VLOOKUP($A79,[1]Hugst!$R$5:$W$9,MATCH(ROUNDUP((L$1)/10,0)*10,[1]Hugst!$R$4:$W$4,0))))</f>
        <v>4777.8752303931324</v>
      </c>
      <c r="M79">
        <f ca="1">IF($C79-M$1&lt;År1,0,L78*(1-VLOOKUP($A79,[1]Hugst!$R$5:$W$9,MATCH(ROUNDUP((M$1)/10,0)*10,[1]Hugst!$R$4:$W$4,0))))</f>
        <v>4782.0548649874681</v>
      </c>
      <c r="N79">
        <f ca="1">IF($C79-N$1&lt;År1,0,M78*(1-VLOOKUP($A79,[1]Hugst!$R$5:$W$9,MATCH(ROUNDUP((N$1)/10,0)*10,[1]Hugst!$R$4:$W$4,0))))</f>
        <v>4786.2555027706721</v>
      </c>
      <c r="O79">
        <f ca="1">IF($C79-O$1&lt;År1,0,N78*(1-VLOOKUP($A79,[1]Hugst!$R$5:$W$9,MATCH(ROUNDUP((O$1)/10,0)*10,[1]Hugst!$R$4:$W$4,0))))</f>
        <v>4790.4772492864568</v>
      </c>
      <c r="P79">
        <f ca="1">IF($C79-P$1&lt;År1,0,O78*(1-VLOOKUP($A79,[1]Hugst!$R$5:$W$9,MATCH(ROUNDUP((P$1)/10,0)*10,[1]Hugst!$R$4:$W$4,0))))</f>
        <v>4787.4062306265723</v>
      </c>
      <c r="Q79">
        <f ca="1">IF($C79-Q$1&lt;År1,0,P78*(1-VLOOKUP($A79,[1]Hugst!$R$5:$W$9,MATCH(ROUNDUP((Q$1)/10,0)*10,[1]Hugst!$R$4:$W$4,0))))</f>
        <v>4784.3546905454832</v>
      </c>
      <c r="R79">
        <f ca="1">IF($C79-R$1&lt;År1,0,Q78*(1-VLOOKUP($A79,[1]Hugst!$R$5:$W$9,MATCH(ROUNDUP((R$1)/10,0)*10,[1]Hugst!$R$4:$W$4,0))))</f>
        <v>4781.3226509911919</v>
      </c>
      <c r="S79">
        <f ca="1">IF($C79-S$1&lt;År1,0,R78*(1-VLOOKUP($A79,[1]Hugst!$R$5:$W$9,MATCH(ROUNDUP((S$1)/10,0)*10,[1]Hugst!$R$4:$W$4,0))))</f>
        <v>4778.3101340586336</v>
      </c>
      <c r="T79">
        <f ca="1">IF($C79-T$1&lt;År1,0,S78*(1-VLOOKUP($A79,[1]Hugst!$R$5:$W$9,MATCH(ROUNDUP((T$1)/10,0)*10,[1]Hugst!$R$4:$W$4,0))))</f>
        <v>4775.3171619900377</v>
      </c>
      <c r="U79">
        <f ca="1">IF($C79-U$1&lt;År1,0,T78*(1-VLOOKUP($A79,[1]Hugst!$R$5:$W$9,MATCH(ROUNDUP((U$1)/10,0)*10,[1]Hugst!$R$4:$W$4,0))))</f>
        <v>4772.3437571754748</v>
      </c>
      <c r="V79">
        <f>IF($C79-V$1&lt;År1,0,U78*(1-VLOOKUP($A79,[1]Hugst!$R$5:$W$9,MATCH(ROUNDUP((V$1)/10,0)*10,[1]Hugst!$R$4:$W$4,0))))</f>
        <v>0</v>
      </c>
      <c r="W79">
        <f>IF($C79-W$1&lt;År1,0,V78*(1-VLOOKUP($A79,[1]Hugst!$R$5:$W$9,MATCH(ROUNDUP((W$1)/10,0)*10,[1]Hugst!$R$4:$W$4,0))))</f>
        <v>0</v>
      </c>
      <c r="X79">
        <f>IF($C79-X$1&lt;År1,0,W78*(1-VLOOKUP($A79,[1]Hugst!$R$5:$W$9,MATCH(ROUNDUP((X$1)/10,0)*10,[1]Hugst!$R$4:$W$4,0))))</f>
        <v>0</v>
      </c>
      <c r="Y79">
        <f>IF($C79-Y$1&lt;År1,0,X78*(1-VLOOKUP($A79,[1]Hugst!$R$5:$W$9,MATCH(ROUNDUP((Y$1)/10,0)*10,[1]Hugst!$R$4:$W$4,0))))</f>
        <v>0</v>
      </c>
      <c r="Z79">
        <f>IF($C79-Z$1&lt;År1,0,Y78*(1-VLOOKUP($A79,[1]Hugst!$R$5:$W$9,MATCH(ROUNDUP((Z$1)/10,0)*10,[1]Hugst!$R$4:$W$4,0))))</f>
        <v>0</v>
      </c>
      <c r="AA79">
        <f>IF($C79-AA$1&lt;År1,0,Z78*(1-VLOOKUP($A79,[1]Hugst!$R$5:$W$9,MATCH(ROUNDUP((AA$1)/10,0)*10,[1]Hugst!$R$4:$W$4,0))))</f>
        <v>0</v>
      </c>
      <c r="AB79">
        <f>IF($C79-AB$1&lt;År1,0,AA78*(1-VLOOKUP($A79,[1]Hugst!$R$5:$W$9,MATCH(ROUNDUP((AB$1)/10,0)*10,[1]Hugst!$R$4:$W$4,0))))</f>
        <v>0</v>
      </c>
      <c r="AC79">
        <f>IF($C79-AC$1&lt;År1,0,AB78*(1-VLOOKUP($A79,[1]Hugst!$R$5:$W$9,MATCH(ROUNDUP((AC$1)/10,0)*10,[1]Hugst!$R$4:$W$4,0))))</f>
        <v>0</v>
      </c>
      <c r="AD79">
        <f>IF($C79-AD$1&lt;År1,0,AC78*(1-VLOOKUP($A79,[1]Hugst!$R$5:$W$9,MATCH(ROUNDUP((AD$1)/10,0)*10,[1]Hugst!$R$4:$W$4,0))))</f>
        <v>0</v>
      </c>
      <c r="AE79">
        <f>IF($C79-AE$1&lt;År1,0,AD78*(1-VLOOKUP($A79,[1]Hugst!$R$5:$W$9,MATCH(ROUNDUP((AE$1)/10,0)*10,[1]Hugst!$R$4:$W$4,0))))</f>
        <v>0</v>
      </c>
      <c r="AF79">
        <f>IF($C79-AF$1&lt;År1,0,AE78*(1-VLOOKUP($A79,[1]Hugst!$R$5:$W$9,MATCH(ROUNDUP((AF$1)/10,0)*10,[1]Hugst!$R$4:$W$4,0))))</f>
        <v>0</v>
      </c>
      <c r="AG79">
        <f>IF($C79-AG$1&lt;År1,0,AF78*(1-VLOOKUP($A79,[1]Hugst!$R$5:$W$9,MATCH(ROUNDUP((AG$1)/10,0)*10,[1]Hugst!$R$4:$W$4,0))))</f>
        <v>0</v>
      </c>
      <c r="AH79">
        <f>IF($C79-AH$1&lt;År1,0,AG78*(1-VLOOKUP($A79,[1]Hugst!$R$5:$W$9,MATCH(ROUNDUP((AH$1)/10,0)*10,[1]Hugst!$R$4:$W$4,0))))</f>
        <v>0</v>
      </c>
      <c r="AI79">
        <f>IF($C79-AI$1&lt;År1,0,AH78*(1-VLOOKUP($A79,[1]Hugst!$R$5:$W$9,MATCH(ROUNDUP((AI$1)/10,0)*10,[1]Hugst!$R$4:$W$4,0))))</f>
        <v>0</v>
      </c>
      <c r="AJ79">
        <f>IF($C79-AJ$1&lt;År1,0,AI78*(1-VLOOKUP($A79,[1]Hugst!$R$5:$W$9,MATCH(ROUNDUP((AJ$1)/10,0)*10,[1]Hugst!$R$4:$W$4,0))))</f>
        <v>0</v>
      </c>
    </row>
    <row r="80" spans="1:36" x14ac:dyDescent="0.25">
      <c r="A80" t="s">
        <v>177</v>
      </c>
      <c r="B80" t="s">
        <v>23</v>
      </c>
      <c r="C80">
        <v>2036</v>
      </c>
      <c r="D80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803.06917588578108</v>
      </c>
      <c r="E80">
        <f t="shared" ca="1" si="1"/>
        <v>51.055218113906449</v>
      </c>
      <c r="F80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3024.4947643700584</v>
      </c>
      <c r="G80">
        <f ca="1">IF($C80-G$1&lt;År1,0,F79*(1-VLOOKUP($A80,[1]Hugst!$R$5:$W$9,MATCH(ROUNDUP((G$1)/10,0)*10,[1]Hugst!$R$4:$W$4,0))))</f>
        <v>3021.2896159470042</v>
      </c>
      <c r="H80">
        <f ca="1">IF($C80-H$1&lt;År1,0,G79*(1-VLOOKUP($A80,[1]Hugst!$R$5:$W$9,MATCH(ROUNDUP((H$1)/10,0)*10,[1]Hugst!$R$4:$W$4,0))))</f>
        <v>3018.0872023675552</v>
      </c>
      <c r="I80">
        <f ca="1">IF($C80-I$1&lt;År1,0,H79*(1-VLOOKUP($A80,[1]Hugst!$R$5:$W$9,MATCH(ROUNDUP((I$1)/10,0)*10,[1]Hugst!$R$4:$W$4,0))))</f>
        <v>3014.887566159236</v>
      </c>
      <c r="J80">
        <f ca="1">IF($C80-J$1&lt;År1,0,I79*(1-VLOOKUP($A80,[1]Hugst!$R$5:$W$9,MATCH(ROUNDUP((J$1)/10,0)*10,[1]Hugst!$R$4:$W$4,0))))</f>
        <v>3011.6907501073206</v>
      </c>
      <c r="K80">
        <f ca="1">IF($C80-K$1&lt;År1,0,J79*(1-VLOOKUP($A80,[1]Hugst!$R$5:$W$9,MATCH(ROUNDUP((K$1)/10,0)*10,[1]Hugst!$R$4:$W$4,0))))</f>
        <v>3008.496797255943</v>
      </c>
      <c r="L80">
        <f ca="1">IF($C80-L$1&lt;År1,0,K79*(1-VLOOKUP($A80,[1]Hugst!$R$5:$W$9,MATCH(ROUNDUP((L$1)/10,0)*10,[1]Hugst!$R$4:$W$4,0))))</f>
        <v>4781.0633266674995</v>
      </c>
      <c r="M80">
        <f ca="1">IF($C80-M$1&lt;År1,0,L79*(1-VLOOKUP($A80,[1]Hugst!$R$5:$W$9,MATCH(ROUNDUP((M$1)/10,0)*10,[1]Hugst!$R$4:$W$4,0))))</f>
        <v>4777.8752303931324</v>
      </c>
      <c r="N80">
        <f ca="1">IF($C80-N$1&lt;År1,0,M79*(1-VLOOKUP($A80,[1]Hugst!$R$5:$W$9,MATCH(ROUNDUP((N$1)/10,0)*10,[1]Hugst!$R$4:$W$4,0))))</f>
        <v>4782.0548649874681</v>
      </c>
      <c r="O80">
        <f ca="1">IF($C80-O$1&lt;År1,0,N79*(1-VLOOKUP($A80,[1]Hugst!$R$5:$W$9,MATCH(ROUNDUP((O$1)/10,0)*10,[1]Hugst!$R$4:$W$4,0))))</f>
        <v>4786.2555027706721</v>
      </c>
      <c r="P80">
        <f ca="1">IF($C80-P$1&lt;År1,0,O79*(1-VLOOKUP($A80,[1]Hugst!$R$5:$W$9,MATCH(ROUNDUP((P$1)/10,0)*10,[1]Hugst!$R$4:$W$4,0))))</f>
        <v>4783.1697416180532</v>
      </c>
      <c r="Q80">
        <f ca="1">IF($C80-Q$1&lt;År1,0,P79*(1-VLOOKUP($A80,[1]Hugst!$R$5:$W$9,MATCH(ROUNDUP((Q$1)/10,0)*10,[1]Hugst!$R$4:$W$4,0))))</f>
        <v>4780.1034075629041</v>
      </c>
      <c r="R80">
        <f ca="1">IF($C80-R$1&lt;År1,0,Q79*(1-VLOOKUP($A80,[1]Hugst!$R$5:$W$9,MATCH(ROUNDUP((R$1)/10,0)*10,[1]Hugst!$R$4:$W$4,0))))</f>
        <v>4777.0565223734648</v>
      </c>
      <c r="S80">
        <f ca="1">IF($C80-S$1&lt;År1,0,R79*(1-VLOOKUP($A80,[1]Hugst!$R$5:$W$9,MATCH(ROUNDUP((S$1)/10,0)*10,[1]Hugst!$R$4:$W$4,0))))</f>
        <v>4774.0291079642557</v>
      </c>
      <c r="T80">
        <f ca="1">IF($C80-T$1&lt;År1,0,S79*(1-VLOOKUP($A80,[1]Hugst!$R$5:$W$9,MATCH(ROUNDUP((T$1)/10,0)*10,[1]Hugst!$R$4:$W$4,0))))</f>
        <v>4771.0211863965105</v>
      </c>
      <c r="U80">
        <f ca="1">IF($C80-U$1&lt;År1,0,T79*(1-VLOOKUP($A80,[1]Hugst!$R$5:$W$9,MATCH(ROUNDUP((U$1)/10,0)*10,[1]Hugst!$R$4:$W$4,0))))</f>
        <v>4768.0327798785274</v>
      </c>
      <c r="V80">
        <f ca="1">IF($C80-V$1&lt;År1,0,U79*(1-VLOOKUP($A80,[1]Hugst!$R$5:$W$9,MATCH(ROUNDUP((V$1)/10,0)*10,[1]Hugst!$R$4:$W$4,0))))</f>
        <v>4765.0639107662237</v>
      </c>
      <c r="W80">
        <f>IF($C80-W$1&lt;År1,0,V79*(1-VLOOKUP($A80,[1]Hugst!$R$5:$W$9,MATCH(ROUNDUP((W$1)/10,0)*10,[1]Hugst!$R$4:$W$4,0))))</f>
        <v>0</v>
      </c>
      <c r="X80">
        <f>IF($C80-X$1&lt;År1,0,W79*(1-VLOOKUP($A80,[1]Hugst!$R$5:$W$9,MATCH(ROUNDUP((X$1)/10,0)*10,[1]Hugst!$R$4:$W$4,0))))</f>
        <v>0</v>
      </c>
      <c r="Y80">
        <f>IF($C80-Y$1&lt;År1,0,X79*(1-VLOOKUP($A80,[1]Hugst!$R$5:$W$9,MATCH(ROUNDUP((Y$1)/10,0)*10,[1]Hugst!$R$4:$W$4,0))))</f>
        <v>0</v>
      </c>
      <c r="Z80">
        <f>IF($C80-Z$1&lt;År1,0,Y79*(1-VLOOKUP($A80,[1]Hugst!$R$5:$W$9,MATCH(ROUNDUP((Z$1)/10,0)*10,[1]Hugst!$R$4:$W$4,0))))</f>
        <v>0</v>
      </c>
      <c r="AA80">
        <f>IF($C80-AA$1&lt;År1,0,Z79*(1-VLOOKUP($A80,[1]Hugst!$R$5:$W$9,MATCH(ROUNDUP((AA$1)/10,0)*10,[1]Hugst!$R$4:$W$4,0))))</f>
        <v>0</v>
      </c>
      <c r="AB80">
        <f>IF($C80-AB$1&lt;År1,0,AA79*(1-VLOOKUP($A80,[1]Hugst!$R$5:$W$9,MATCH(ROUNDUP((AB$1)/10,0)*10,[1]Hugst!$R$4:$W$4,0))))</f>
        <v>0</v>
      </c>
      <c r="AC80">
        <f>IF($C80-AC$1&lt;År1,0,AB79*(1-VLOOKUP($A80,[1]Hugst!$R$5:$W$9,MATCH(ROUNDUP((AC$1)/10,0)*10,[1]Hugst!$R$4:$W$4,0))))</f>
        <v>0</v>
      </c>
      <c r="AD80">
        <f>IF($C80-AD$1&lt;År1,0,AC79*(1-VLOOKUP($A80,[1]Hugst!$R$5:$W$9,MATCH(ROUNDUP((AD$1)/10,0)*10,[1]Hugst!$R$4:$W$4,0))))</f>
        <v>0</v>
      </c>
      <c r="AE80">
        <f>IF($C80-AE$1&lt;År1,0,AD79*(1-VLOOKUP($A80,[1]Hugst!$R$5:$W$9,MATCH(ROUNDUP((AE$1)/10,0)*10,[1]Hugst!$R$4:$W$4,0))))</f>
        <v>0</v>
      </c>
      <c r="AF80">
        <f>IF($C80-AF$1&lt;År1,0,AE79*(1-VLOOKUP($A80,[1]Hugst!$R$5:$W$9,MATCH(ROUNDUP((AF$1)/10,0)*10,[1]Hugst!$R$4:$W$4,0))))</f>
        <v>0</v>
      </c>
      <c r="AG80">
        <f>IF($C80-AG$1&lt;År1,0,AF79*(1-VLOOKUP($A80,[1]Hugst!$R$5:$W$9,MATCH(ROUNDUP((AG$1)/10,0)*10,[1]Hugst!$R$4:$W$4,0))))</f>
        <v>0</v>
      </c>
      <c r="AH80">
        <f>IF($C80-AH$1&lt;År1,0,AG79*(1-VLOOKUP($A80,[1]Hugst!$R$5:$W$9,MATCH(ROUNDUP((AH$1)/10,0)*10,[1]Hugst!$R$4:$W$4,0))))</f>
        <v>0</v>
      </c>
      <c r="AI80">
        <f>IF($C80-AI$1&lt;År1,0,AH79*(1-VLOOKUP($A80,[1]Hugst!$R$5:$W$9,MATCH(ROUNDUP((AI$1)/10,0)*10,[1]Hugst!$R$4:$W$4,0))))</f>
        <v>0</v>
      </c>
      <c r="AJ80">
        <f>IF($C80-AJ$1&lt;År1,0,AI79*(1-VLOOKUP($A80,[1]Hugst!$R$5:$W$9,MATCH(ROUNDUP((AJ$1)/10,0)*10,[1]Hugst!$R$4:$W$4,0))))</f>
        <v>0</v>
      </c>
    </row>
    <row r="81" spans="1:38" x14ac:dyDescent="0.25">
      <c r="A81" t="s">
        <v>177</v>
      </c>
      <c r="B81" t="s">
        <v>23</v>
      </c>
      <c r="C81">
        <v>2037</v>
      </c>
      <c r="D81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799.05383000634538</v>
      </c>
      <c r="E81">
        <f t="shared" ca="1" si="1"/>
        <v>58.278404988814145</v>
      </c>
      <c r="F81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3027.7026053655304</v>
      </c>
      <c r="G81">
        <f ca="1">IF($C81-G$1&lt;År1,0,F80*(1-VLOOKUP($A81,[1]Hugst!$R$5:$W$9,MATCH(ROUNDUP((G$1)/10,0)*10,[1]Hugst!$R$4:$W$4,0))))</f>
        <v>3024.4947643700584</v>
      </c>
      <c r="H81">
        <f ca="1">IF($C81-H$1&lt;År1,0,G80*(1-VLOOKUP($A81,[1]Hugst!$R$5:$W$9,MATCH(ROUNDUP((H$1)/10,0)*10,[1]Hugst!$R$4:$W$4,0))))</f>
        <v>3021.2896159470042</v>
      </c>
      <c r="I81">
        <f ca="1">IF($C81-I$1&lt;År1,0,H80*(1-VLOOKUP($A81,[1]Hugst!$R$5:$W$9,MATCH(ROUNDUP((I$1)/10,0)*10,[1]Hugst!$R$4:$W$4,0))))</f>
        <v>3018.0872023675552</v>
      </c>
      <c r="J81">
        <f ca="1">IF($C81-J$1&lt;År1,0,I80*(1-VLOOKUP($A81,[1]Hugst!$R$5:$W$9,MATCH(ROUNDUP((J$1)/10,0)*10,[1]Hugst!$R$4:$W$4,0))))</f>
        <v>3014.887566159236</v>
      </c>
      <c r="K81">
        <f ca="1">IF($C81-K$1&lt;År1,0,J80*(1-VLOOKUP($A81,[1]Hugst!$R$5:$W$9,MATCH(ROUNDUP((K$1)/10,0)*10,[1]Hugst!$R$4:$W$4,0))))</f>
        <v>3011.6907501073206</v>
      </c>
      <c r="L81">
        <f ca="1">IF($C81-L$1&lt;År1,0,K80*(1-VLOOKUP($A81,[1]Hugst!$R$5:$W$9,MATCH(ROUNDUP((L$1)/10,0)*10,[1]Hugst!$R$4:$W$4,0))))</f>
        <v>3008.496797255943</v>
      </c>
      <c r="M81">
        <f ca="1">IF($C81-M$1&lt;År1,0,L80*(1-VLOOKUP($A81,[1]Hugst!$R$5:$W$9,MATCH(ROUNDUP((M$1)/10,0)*10,[1]Hugst!$R$4:$W$4,0))))</f>
        <v>4781.0633266674995</v>
      </c>
      <c r="N81">
        <f ca="1">IF($C81-N$1&lt;År1,0,M80*(1-VLOOKUP($A81,[1]Hugst!$R$5:$W$9,MATCH(ROUNDUP((N$1)/10,0)*10,[1]Hugst!$R$4:$W$4,0))))</f>
        <v>4777.8752303931324</v>
      </c>
      <c r="O81">
        <f ca="1">IF($C81-O$1&lt;År1,0,N80*(1-VLOOKUP($A81,[1]Hugst!$R$5:$W$9,MATCH(ROUNDUP((O$1)/10,0)*10,[1]Hugst!$R$4:$W$4,0))))</f>
        <v>4782.0548649874681</v>
      </c>
      <c r="P81">
        <f ca="1">IF($C81-P$1&lt;År1,0,O80*(1-VLOOKUP($A81,[1]Hugst!$R$5:$W$9,MATCH(ROUNDUP((P$1)/10,0)*10,[1]Hugst!$R$4:$W$4,0))))</f>
        <v>4778.9544350545812</v>
      </c>
      <c r="Q81">
        <f ca="1">IF($C81-Q$1&lt;År1,0,P80*(1-VLOOKUP($A81,[1]Hugst!$R$5:$W$9,MATCH(ROUNDUP((Q$1)/10,0)*10,[1]Hugst!$R$4:$W$4,0))))</f>
        <v>4775.8733809952455</v>
      </c>
      <c r="R81">
        <f ca="1">IF($C81-R$1&lt;År1,0,Q80*(1-VLOOKUP($A81,[1]Hugst!$R$5:$W$9,MATCH(ROUNDUP((R$1)/10,0)*10,[1]Hugst!$R$4:$W$4,0))))</f>
        <v>4772.8117243988245</v>
      </c>
      <c r="S81">
        <f ca="1">IF($C81-S$1&lt;År1,0,R80*(1-VLOOKUP($A81,[1]Hugst!$R$5:$W$9,MATCH(ROUNDUP((S$1)/10,0)*10,[1]Hugst!$R$4:$W$4,0))))</f>
        <v>4769.7694870003525</v>
      </c>
      <c r="T81">
        <f ca="1">IF($C81-T$1&lt;År1,0,S80*(1-VLOOKUP($A81,[1]Hugst!$R$5:$W$9,MATCH(ROUNDUP((T$1)/10,0)*10,[1]Hugst!$R$4:$W$4,0))))</f>
        <v>4766.7466906809204</v>
      </c>
      <c r="U81">
        <f ca="1">IF($C81-U$1&lt;År1,0,T80*(1-VLOOKUP($A81,[1]Hugst!$R$5:$W$9,MATCH(ROUNDUP((U$1)/10,0)*10,[1]Hugst!$R$4:$W$4,0))))</f>
        <v>4763.743357468109</v>
      </c>
      <c r="V81">
        <f ca="1">IF($C81-V$1&lt;År1,0,U80*(1-VLOOKUP($A81,[1]Hugst!$R$5:$W$9,MATCH(ROUNDUP((V$1)/10,0)*10,[1]Hugst!$R$4:$W$4,0))))</f>
        <v>4760.7595095363395</v>
      </c>
      <c r="W81">
        <f ca="1">IF($C81-W$1&lt;År1,0,V80*(1-VLOOKUP($A81,[1]Hugst!$R$5:$W$9,MATCH(ROUNDUP((W$1)/10,0)*10,[1]Hugst!$R$4:$W$4,0))))</f>
        <v>4757.7951692074275</v>
      </c>
      <c r="X81">
        <f>IF($C81-X$1&lt;År1,0,W80*(1-VLOOKUP($A81,[1]Hugst!$R$5:$W$9,MATCH(ROUNDUP((X$1)/10,0)*10,[1]Hugst!$R$4:$W$4,0))))</f>
        <v>0</v>
      </c>
      <c r="Y81">
        <f>IF($C81-Y$1&lt;År1,0,X80*(1-VLOOKUP($A81,[1]Hugst!$R$5:$W$9,MATCH(ROUNDUP((Y$1)/10,0)*10,[1]Hugst!$R$4:$W$4,0))))</f>
        <v>0</v>
      </c>
      <c r="Z81">
        <f>IF($C81-Z$1&lt;År1,0,Y80*(1-VLOOKUP($A81,[1]Hugst!$R$5:$W$9,MATCH(ROUNDUP((Z$1)/10,0)*10,[1]Hugst!$R$4:$W$4,0))))</f>
        <v>0</v>
      </c>
      <c r="AA81">
        <f>IF($C81-AA$1&lt;År1,0,Z80*(1-VLOOKUP($A81,[1]Hugst!$R$5:$W$9,MATCH(ROUNDUP((AA$1)/10,0)*10,[1]Hugst!$R$4:$W$4,0))))</f>
        <v>0</v>
      </c>
      <c r="AB81">
        <f>IF($C81-AB$1&lt;År1,0,AA80*(1-VLOOKUP($A81,[1]Hugst!$R$5:$W$9,MATCH(ROUNDUP((AB$1)/10,0)*10,[1]Hugst!$R$4:$W$4,0))))</f>
        <v>0</v>
      </c>
      <c r="AC81">
        <f>IF($C81-AC$1&lt;År1,0,AB80*(1-VLOOKUP($A81,[1]Hugst!$R$5:$W$9,MATCH(ROUNDUP((AC$1)/10,0)*10,[1]Hugst!$R$4:$W$4,0))))</f>
        <v>0</v>
      </c>
      <c r="AD81">
        <f>IF($C81-AD$1&lt;År1,0,AC80*(1-VLOOKUP($A81,[1]Hugst!$R$5:$W$9,MATCH(ROUNDUP((AD$1)/10,0)*10,[1]Hugst!$R$4:$W$4,0))))</f>
        <v>0</v>
      </c>
      <c r="AE81">
        <f>IF($C81-AE$1&lt;År1,0,AD80*(1-VLOOKUP($A81,[1]Hugst!$R$5:$W$9,MATCH(ROUNDUP((AE$1)/10,0)*10,[1]Hugst!$R$4:$W$4,0))))</f>
        <v>0</v>
      </c>
      <c r="AF81">
        <f>IF($C81-AF$1&lt;År1,0,AE80*(1-VLOOKUP($A81,[1]Hugst!$R$5:$W$9,MATCH(ROUNDUP((AF$1)/10,0)*10,[1]Hugst!$R$4:$W$4,0))))</f>
        <v>0</v>
      </c>
      <c r="AG81">
        <f>IF($C81-AG$1&lt;År1,0,AF80*(1-VLOOKUP($A81,[1]Hugst!$R$5:$W$9,MATCH(ROUNDUP((AG$1)/10,0)*10,[1]Hugst!$R$4:$W$4,0))))</f>
        <v>0</v>
      </c>
      <c r="AH81">
        <f>IF($C81-AH$1&lt;År1,0,AG80*(1-VLOOKUP($A81,[1]Hugst!$R$5:$W$9,MATCH(ROUNDUP((AH$1)/10,0)*10,[1]Hugst!$R$4:$W$4,0))))</f>
        <v>0</v>
      </c>
      <c r="AI81">
        <f>IF($C81-AI$1&lt;År1,0,AH80*(1-VLOOKUP($A81,[1]Hugst!$R$5:$W$9,MATCH(ROUNDUP((AI$1)/10,0)*10,[1]Hugst!$R$4:$W$4,0))))</f>
        <v>0</v>
      </c>
      <c r="AJ81">
        <f>IF($C81-AJ$1&lt;År1,0,AI80*(1-VLOOKUP($A81,[1]Hugst!$R$5:$W$9,MATCH(ROUNDUP((AJ$1)/10,0)*10,[1]Hugst!$R$4:$W$4,0))))</f>
        <v>0</v>
      </c>
    </row>
    <row r="82" spans="1:38" x14ac:dyDescent="0.25">
      <c r="A82" t="s">
        <v>177</v>
      </c>
      <c r="B82" t="s">
        <v>23</v>
      </c>
      <c r="C82">
        <v>2038</v>
      </c>
      <c r="D82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795.05856085633968</v>
      </c>
      <c r="E82">
        <f t="shared" ca="1" si="1"/>
        <v>65.484165690504597</v>
      </c>
      <c r="F82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3030.9130969172152</v>
      </c>
      <c r="G82">
        <f ca="1">IF($C82-G$1&lt;År1,0,F81*(1-VLOOKUP($A82,[1]Hugst!$R$5:$W$9,MATCH(ROUNDUP((G$1)/10,0)*10,[1]Hugst!$R$4:$W$4,0))))</f>
        <v>3027.7026053655304</v>
      </c>
      <c r="H82">
        <f ca="1">IF($C82-H$1&lt;År1,0,G81*(1-VLOOKUP($A82,[1]Hugst!$R$5:$W$9,MATCH(ROUNDUP((H$1)/10,0)*10,[1]Hugst!$R$4:$W$4,0))))</f>
        <v>3024.4947643700584</v>
      </c>
      <c r="I82">
        <f ca="1">IF($C82-I$1&lt;År1,0,H81*(1-VLOOKUP($A82,[1]Hugst!$R$5:$W$9,MATCH(ROUNDUP((I$1)/10,0)*10,[1]Hugst!$R$4:$W$4,0))))</f>
        <v>3021.2896159470042</v>
      </c>
      <c r="J82">
        <f ca="1">IF($C82-J$1&lt;År1,0,I81*(1-VLOOKUP($A82,[1]Hugst!$R$5:$W$9,MATCH(ROUNDUP((J$1)/10,0)*10,[1]Hugst!$R$4:$W$4,0))))</f>
        <v>3018.0872023675552</v>
      </c>
      <c r="K82">
        <f ca="1">IF($C82-K$1&lt;År1,0,J81*(1-VLOOKUP($A82,[1]Hugst!$R$5:$W$9,MATCH(ROUNDUP((K$1)/10,0)*10,[1]Hugst!$R$4:$W$4,0))))</f>
        <v>3014.887566159236</v>
      </c>
      <c r="L82">
        <f ca="1">IF($C82-L$1&lt;År1,0,K81*(1-VLOOKUP($A82,[1]Hugst!$R$5:$W$9,MATCH(ROUNDUP((L$1)/10,0)*10,[1]Hugst!$R$4:$W$4,0))))</f>
        <v>3011.6907501073206</v>
      </c>
      <c r="M82">
        <f ca="1">IF($C82-M$1&lt;År1,0,L81*(1-VLOOKUP($A82,[1]Hugst!$R$5:$W$9,MATCH(ROUNDUP((M$1)/10,0)*10,[1]Hugst!$R$4:$W$4,0))))</f>
        <v>3008.496797255943</v>
      </c>
      <c r="N82">
        <f ca="1">IF($C82-N$1&lt;År1,0,M81*(1-VLOOKUP($A82,[1]Hugst!$R$5:$W$9,MATCH(ROUNDUP((N$1)/10,0)*10,[1]Hugst!$R$4:$W$4,0))))</f>
        <v>4781.0633266674995</v>
      </c>
      <c r="O82">
        <f ca="1">IF($C82-O$1&lt;År1,0,N81*(1-VLOOKUP($A82,[1]Hugst!$R$5:$W$9,MATCH(ROUNDUP((O$1)/10,0)*10,[1]Hugst!$R$4:$W$4,0))))</f>
        <v>4777.8752303931324</v>
      </c>
      <c r="P82">
        <f ca="1">IF($C82-P$1&lt;År1,0,O81*(1-VLOOKUP($A82,[1]Hugst!$R$5:$W$9,MATCH(ROUNDUP((P$1)/10,0)*10,[1]Hugst!$R$4:$W$4,0))))</f>
        <v>4774.7602050239275</v>
      </c>
      <c r="Q82">
        <f ca="1">IF($C82-Q$1&lt;År1,0,P81*(1-VLOOKUP($A82,[1]Hugst!$R$5:$W$9,MATCH(ROUNDUP((Q$1)/10,0)*10,[1]Hugst!$R$4:$W$4,0))))</f>
        <v>4771.66450456043</v>
      </c>
      <c r="R82">
        <f ca="1">IF($C82-R$1&lt;År1,0,Q81*(1-VLOOKUP($A82,[1]Hugst!$R$5:$W$9,MATCH(ROUNDUP((R$1)/10,0)*10,[1]Hugst!$R$4:$W$4,0))))</f>
        <v>4768.5881504140661</v>
      </c>
      <c r="S82">
        <f ca="1">IF($C82-S$1&lt;År1,0,R81*(1-VLOOKUP($A82,[1]Hugst!$R$5:$W$9,MATCH(ROUNDUP((S$1)/10,0)*10,[1]Hugst!$R$4:$W$4,0))))</f>
        <v>4765.5311641412673</v>
      </c>
      <c r="T82">
        <f ca="1">IF($C82-T$1&lt;År1,0,S81*(1-VLOOKUP($A82,[1]Hugst!$R$5:$W$9,MATCH(ROUNDUP((T$1)/10,0)*10,[1]Hugst!$R$4:$W$4,0))))</f>
        <v>4762.4935674439112</v>
      </c>
      <c r="U82">
        <f ca="1">IF($C82-U$1&lt;År1,0,T81*(1-VLOOKUP($A82,[1]Hugst!$R$5:$W$9,MATCH(ROUNDUP((U$1)/10,0)*10,[1]Hugst!$R$4:$W$4,0))))</f>
        <v>4759.4753821697122</v>
      </c>
      <c r="V82">
        <f ca="1">IF($C82-V$1&lt;År1,0,U81*(1-VLOOKUP($A82,[1]Hugst!$R$5:$W$9,MATCH(ROUNDUP((V$1)/10,0)*10,[1]Hugst!$R$4:$W$4,0))))</f>
        <v>4756.4766303126489</v>
      </c>
      <c r="W82">
        <f ca="1">IF($C82-W$1&lt;År1,0,V81*(1-VLOOKUP($A82,[1]Hugst!$R$5:$W$9,MATCH(ROUNDUP((W$1)/10,0)*10,[1]Hugst!$R$4:$W$4,0))))</f>
        <v>4753.4973340133174</v>
      </c>
      <c r="X82">
        <f ca="1">IF($C82-X$1&lt;År1,0,W81*(1-VLOOKUP($A82,[1]Hugst!$R$5:$W$9,MATCH(ROUNDUP((X$1)/10,0)*10,[1]Hugst!$R$4:$W$4,0))))</f>
        <v>4750.5375155594838</v>
      </c>
      <c r="Y82">
        <f>IF($C82-Y$1&lt;År1,0,X81*(1-VLOOKUP($A82,[1]Hugst!$R$5:$W$9,MATCH(ROUNDUP((Y$1)/10,0)*10,[1]Hugst!$R$4:$W$4,0))))</f>
        <v>0</v>
      </c>
      <c r="Z82">
        <f>IF($C82-Z$1&lt;År1,0,Y81*(1-VLOOKUP($A82,[1]Hugst!$R$5:$W$9,MATCH(ROUNDUP((Z$1)/10,0)*10,[1]Hugst!$R$4:$W$4,0))))</f>
        <v>0</v>
      </c>
      <c r="AA82">
        <f>IF($C82-AA$1&lt;År1,0,Z81*(1-VLOOKUP($A82,[1]Hugst!$R$5:$W$9,MATCH(ROUNDUP((AA$1)/10,0)*10,[1]Hugst!$R$4:$W$4,0))))</f>
        <v>0</v>
      </c>
      <c r="AB82">
        <f>IF($C82-AB$1&lt;År1,0,AA81*(1-VLOOKUP($A82,[1]Hugst!$R$5:$W$9,MATCH(ROUNDUP((AB$1)/10,0)*10,[1]Hugst!$R$4:$W$4,0))))</f>
        <v>0</v>
      </c>
      <c r="AC82">
        <f>IF($C82-AC$1&lt;År1,0,AB81*(1-VLOOKUP($A82,[1]Hugst!$R$5:$W$9,MATCH(ROUNDUP((AC$1)/10,0)*10,[1]Hugst!$R$4:$W$4,0))))</f>
        <v>0</v>
      </c>
      <c r="AD82">
        <f>IF($C82-AD$1&lt;År1,0,AC81*(1-VLOOKUP($A82,[1]Hugst!$R$5:$W$9,MATCH(ROUNDUP((AD$1)/10,0)*10,[1]Hugst!$R$4:$W$4,0))))</f>
        <v>0</v>
      </c>
      <c r="AE82">
        <f>IF($C82-AE$1&lt;År1,0,AD81*(1-VLOOKUP($A82,[1]Hugst!$R$5:$W$9,MATCH(ROUNDUP((AE$1)/10,0)*10,[1]Hugst!$R$4:$W$4,0))))</f>
        <v>0</v>
      </c>
      <c r="AF82">
        <f>IF($C82-AF$1&lt;År1,0,AE81*(1-VLOOKUP($A82,[1]Hugst!$R$5:$W$9,MATCH(ROUNDUP((AF$1)/10,0)*10,[1]Hugst!$R$4:$W$4,0))))</f>
        <v>0</v>
      </c>
      <c r="AG82">
        <f>IF($C82-AG$1&lt;År1,0,AF81*(1-VLOOKUP($A82,[1]Hugst!$R$5:$W$9,MATCH(ROUNDUP((AG$1)/10,0)*10,[1]Hugst!$R$4:$W$4,0))))</f>
        <v>0</v>
      </c>
      <c r="AH82">
        <f>IF($C82-AH$1&lt;År1,0,AG81*(1-VLOOKUP($A82,[1]Hugst!$R$5:$W$9,MATCH(ROUNDUP((AH$1)/10,0)*10,[1]Hugst!$R$4:$W$4,0))))</f>
        <v>0</v>
      </c>
      <c r="AI82">
        <f>IF($C82-AI$1&lt;År1,0,AH81*(1-VLOOKUP($A82,[1]Hugst!$R$5:$W$9,MATCH(ROUNDUP((AI$1)/10,0)*10,[1]Hugst!$R$4:$W$4,0))))</f>
        <v>0</v>
      </c>
      <c r="AJ82">
        <f>IF($C82-AJ$1&lt;År1,0,AI81*(1-VLOOKUP($A82,[1]Hugst!$R$5:$W$9,MATCH(ROUNDUP((AJ$1)/10,0)*10,[1]Hugst!$R$4:$W$4,0))))</f>
        <v>0</v>
      </c>
    </row>
    <row r="83" spans="1:38" x14ac:dyDescent="0.25">
      <c r="A83" t="s">
        <v>177</v>
      </c>
      <c r="B83" t="s">
        <v>23</v>
      </c>
      <c r="C83">
        <v>2039</v>
      </c>
      <c r="D83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791.0832680520125</v>
      </c>
      <c r="E83">
        <f t="shared" ca="1" si="1"/>
        <v>72.672558840044076</v>
      </c>
      <c r="F83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3034.1261972624275</v>
      </c>
      <c r="G83">
        <f ca="1">IF($C83-G$1&lt;År1,0,F82*(1-VLOOKUP($A83,[1]Hugst!$R$5:$W$9,MATCH(ROUNDUP((G$1)/10,0)*10,[1]Hugst!$R$4:$W$4,0))))</f>
        <v>3030.9130969172152</v>
      </c>
      <c r="H83">
        <f ca="1">IF($C83-H$1&lt;År1,0,G82*(1-VLOOKUP($A83,[1]Hugst!$R$5:$W$9,MATCH(ROUNDUP((H$1)/10,0)*10,[1]Hugst!$R$4:$W$4,0))))</f>
        <v>3027.7026053655304</v>
      </c>
      <c r="I83">
        <f ca="1">IF($C83-I$1&lt;År1,0,H82*(1-VLOOKUP($A83,[1]Hugst!$R$5:$W$9,MATCH(ROUNDUP((I$1)/10,0)*10,[1]Hugst!$R$4:$W$4,0))))</f>
        <v>3024.4947643700584</v>
      </c>
      <c r="J83">
        <f ca="1">IF($C83-J$1&lt;År1,0,I82*(1-VLOOKUP($A83,[1]Hugst!$R$5:$W$9,MATCH(ROUNDUP((J$1)/10,0)*10,[1]Hugst!$R$4:$W$4,0))))</f>
        <v>3021.2896159470042</v>
      </c>
      <c r="K83">
        <f ca="1">IF($C83-K$1&lt;År1,0,J82*(1-VLOOKUP($A83,[1]Hugst!$R$5:$W$9,MATCH(ROUNDUP((K$1)/10,0)*10,[1]Hugst!$R$4:$W$4,0))))</f>
        <v>3018.0872023675552</v>
      </c>
      <c r="L83">
        <f ca="1">IF($C83-L$1&lt;År1,0,K82*(1-VLOOKUP($A83,[1]Hugst!$R$5:$W$9,MATCH(ROUNDUP((L$1)/10,0)*10,[1]Hugst!$R$4:$W$4,0))))</f>
        <v>3014.887566159236</v>
      </c>
      <c r="M83">
        <f ca="1">IF($C83-M$1&lt;År1,0,L82*(1-VLOOKUP($A83,[1]Hugst!$R$5:$W$9,MATCH(ROUNDUP((M$1)/10,0)*10,[1]Hugst!$R$4:$W$4,0))))</f>
        <v>3011.6907501073206</v>
      </c>
      <c r="N83">
        <f ca="1">IF($C83-N$1&lt;År1,0,M82*(1-VLOOKUP($A83,[1]Hugst!$R$5:$W$9,MATCH(ROUNDUP((N$1)/10,0)*10,[1]Hugst!$R$4:$W$4,0))))</f>
        <v>3008.496797255943</v>
      </c>
      <c r="O83">
        <f ca="1">IF($C83-O$1&lt;År1,0,N82*(1-VLOOKUP($A83,[1]Hugst!$R$5:$W$9,MATCH(ROUNDUP((O$1)/10,0)*10,[1]Hugst!$R$4:$W$4,0))))</f>
        <v>4781.0633266674995</v>
      </c>
      <c r="P83">
        <f ca="1">IF($C83-P$1&lt;År1,0,O82*(1-VLOOKUP($A83,[1]Hugst!$R$5:$W$9,MATCH(ROUNDUP((P$1)/10,0)*10,[1]Hugst!$R$4:$W$4,0))))</f>
        <v>4770.5869461433804</v>
      </c>
      <c r="Q83">
        <f ca="1">IF($C83-Q$1&lt;År1,0,P82*(1-VLOOKUP($A83,[1]Hugst!$R$5:$W$9,MATCH(ROUNDUP((Q$1)/10,0)*10,[1]Hugst!$R$4:$W$4,0))))</f>
        <v>4767.4766725077889</v>
      </c>
      <c r="R83">
        <f ca="1">IF($C83-R$1&lt;År1,0,Q82*(1-VLOOKUP($A83,[1]Hugst!$R$5:$W$9,MATCH(ROUNDUP((R$1)/10,0)*10,[1]Hugst!$R$4:$W$4,0))))</f>
        <v>4764.3856942992361</v>
      </c>
      <c r="S83">
        <f ca="1">IF($C83-S$1&lt;År1,0,R82*(1-VLOOKUP($A83,[1]Hugst!$R$5:$W$9,MATCH(ROUNDUP((S$1)/10,0)*10,[1]Hugst!$R$4:$W$4,0))))</f>
        <v>4761.3140328964855</v>
      </c>
      <c r="T83">
        <f ca="1">IF($C83-T$1&lt;År1,0,S82*(1-VLOOKUP($A83,[1]Hugst!$R$5:$W$9,MATCH(ROUNDUP((T$1)/10,0)*10,[1]Hugst!$R$4:$W$4,0))))</f>
        <v>4758.2617098230858</v>
      </c>
      <c r="U83">
        <f ca="1">IF($C83-U$1&lt;År1,0,T82*(1-VLOOKUP($A83,[1]Hugst!$R$5:$W$9,MATCH(ROUNDUP((U$1)/10,0)*10,[1]Hugst!$R$4:$W$4,0))))</f>
        <v>4755.22874674781</v>
      </c>
      <c r="V83">
        <f ca="1">IF($C83-V$1&lt;År1,0,U82*(1-VLOOKUP($A83,[1]Hugst!$R$5:$W$9,MATCH(ROUNDUP((V$1)/10,0)*10,[1]Hugst!$R$4:$W$4,0))))</f>
        <v>4752.2151654850468</v>
      </c>
      <c r="W83">
        <f ca="1">IF($C83-W$1&lt;År1,0,V82*(1-VLOOKUP($A83,[1]Hugst!$R$5:$W$9,MATCH(ROUNDUP((W$1)/10,0)*10,[1]Hugst!$R$4:$W$4,0))))</f>
        <v>4749.2209879952225</v>
      </c>
      <c r="X83">
        <f ca="1">IF($C83-X$1&lt;År1,0,W82*(1-VLOOKUP($A83,[1]Hugst!$R$5:$W$9,MATCH(ROUNDUP((X$1)/10,0)*10,[1]Hugst!$R$4:$W$4,0))))</f>
        <v>4746.246236385161</v>
      </c>
      <c r="Y83">
        <f ca="1">IF($C83-Y$1&lt;År1,0,X82*(1-VLOOKUP($A83,[1]Hugst!$R$5:$W$9,MATCH(ROUNDUP((Y$1)/10,0)*10,[1]Hugst!$R$4:$W$4,0))))</f>
        <v>4743.2909329086306</v>
      </c>
      <c r="Z83">
        <f>IF($C83-Z$1&lt;År1,0,Y82*(1-VLOOKUP($A83,[1]Hugst!$R$5:$W$9,MATCH(ROUNDUP((Z$1)/10,0)*10,[1]Hugst!$R$4:$W$4,0))))</f>
        <v>0</v>
      </c>
      <c r="AA83">
        <f>IF($C83-AA$1&lt;År1,0,Z82*(1-VLOOKUP($A83,[1]Hugst!$R$5:$W$9,MATCH(ROUNDUP((AA$1)/10,0)*10,[1]Hugst!$R$4:$W$4,0))))</f>
        <v>0</v>
      </c>
      <c r="AB83">
        <f>IF($C83-AB$1&lt;År1,0,AA82*(1-VLOOKUP($A83,[1]Hugst!$R$5:$W$9,MATCH(ROUNDUP((AB$1)/10,0)*10,[1]Hugst!$R$4:$W$4,0))))</f>
        <v>0</v>
      </c>
      <c r="AC83">
        <f>IF($C83-AC$1&lt;År1,0,AB82*(1-VLOOKUP($A83,[1]Hugst!$R$5:$W$9,MATCH(ROUNDUP((AC$1)/10,0)*10,[1]Hugst!$R$4:$W$4,0))))</f>
        <v>0</v>
      </c>
      <c r="AD83">
        <f>IF($C83-AD$1&lt;År1,0,AC82*(1-VLOOKUP($A83,[1]Hugst!$R$5:$W$9,MATCH(ROUNDUP((AD$1)/10,0)*10,[1]Hugst!$R$4:$W$4,0))))</f>
        <v>0</v>
      </c>
      <c r="AE83">
        <f>IF($C83-AE$1&lt;År1,0,AD82*(1-VLOOKUP($A83,[1]Hugst!$R$5:$W$9,MATCH(ROUNDUP((AE$1)/10,0)*10,[1]Hugst!$R$4:$W$4,0))))</f>
        <v>0</v>
      </c>
      <c r="AF83">
        <f>IF($C83-AF$1&lt;År1,0,AE82*(1-VLOOKUP($A83,[1]Hugst!$R$5:$W$9,MATCH(ROUNDUP((AF$1)/10,0)*10,[1]Hugst!$R$4:$W$4,0))))</f>
        <v>0</v>
      </c>
      <c r="AG83">
        <f>IF($C83-AG$1&lt;År1,0,AF82*(1-VLOOKUP($A83,[1]Hugst!$R$5:$W$9,MATCH(ROUNDUP((AG$1)/10,0)*10,[1]Hugst!$R$4:$W$4,0))))</f>
        <v>0</v>
      </c>
      <c r="AH83">
        <f>IF($C83-AH$1&lt;År1,0,AG82*(1-VLOOKUP($A83,[1]Hugst!$R$5:$W$9,MATCH(ROUNDUP((AH$1)/10,0)*10,[1]Hugst!$R$4:$W$4,0))))</f>
        <v>0</v>
      </c>
      <c r="AI83">
        <f>IF($C83-AI$1&lt;År1,0,AH82*(1-VLOOKUP($A83,[1]Hugst!$R$5:$W$9,MATCH(ROUNDUP((AI$1)/10,0)*10,[1]Hugst!$R$4:$W$4,0))))</f>
        <v>0</v>
      </c>
      <c r="AJ83">
        <f>IF($C83-AJ$1&lt;År1,0,AI82*(1-VLOOKUP($A83,[1]Hugst!$R$5:$W$9,MATCH(ROUNDUP((AJ$1)/10,0)*10,[1]Hugst!$R$4:$W$4,0))))</f>
        <v>0</v>
      </c>
    </row>
    <row r="84" spans="1:38" x14ac:dyDescent="0.25">
      <c r="A84" t="s">
        <v>177</v>
      </c>
      <c r="B84" t="s">
        <v>23</v>
      </c>
      <c r="C84">
        <v>2040</v>
      </c>
      <c r="D84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787.12785171177165</v>
      </c>
      <c r="E84">
        <f t="shared" ca="1" si="1"/>
        <v>80.859784361484344</v>
      </c>
      <c r="F84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3038.3580064436269</v>
      </c>
      <c r="G84">
        <f ca="1">IF($C84-G$1&lt;År1,0,F83*(1-VLOOKUP($A84,[1]Hugst!$R$5:$W$9,MATCH(ROUNDUP((G$1)/10,0)*10,[1]Hugst!$R$4:$W$4,0))))</f>
        <v>3034.1261972624275</v>
      </c>
      <c r="H84">
        <f ca="1">IF($C84-H$1&lt;År1,0,G83*(1-VLOOKUP($A84,[1]Hugst!$R$5:$W$9,MATCH(ROUNDUP((H$1)/10,0)*10,[1]Hugst!$R$4:$W$4,0))))</f>
        <v>3030.9130969172152</v>
      </c>
      <c r="I84">
        <f ca="1">IF($C84-I$1&lt;År1,0,H83*(1-VLOOKUP($A84,[1]Hugst!$R$5:$W$9,MATCH(ROUNDUP((I$1)/10,0)*10,[1]Hugst!$R$4:$W$4,0))))</f>
        <v>3027.7026053655304</v>
      </c>
      <c r="J84">
        <f ca="1">IF($C84-J$1&lt;År1,0,I83*(1-VLOOKUP($A84,[1]Hugst!$R$5:$W$9,MATCH(ROUNDUP((J$1)/10,0)*10,[1]Hugst!$R$4:$W$4,0))))</f>
        <v>3024.4947643700584</v>
      </c>
      <c r="K84">
        <f ca="1">IF($C84-K$1&lt;År1,0,J83*(1-VLOOKUP($A84,[1]Hugst!$R$5:$W$9,MATCH(ROUNDUP((K$1)/10,0)*10,[1]Hugst!$R$4:$W$4,0))))</f>
        <v>3021.2896159470042</v>
      </c>
      <c r="L84">
        <f ca="1">IF($C84-L$1&lt;År1,0,K83*(1-VLOOKUP($A84,[1]Hugst!$R$5:$W$9,MATCH(ROUNDUP((L$1)/10,0)*10,[1]Hugst!$R$4:$W$4,0))))</f>
        <v>3018.0872023675552</v>
      </c>
      <c r="M84">
        <f ca="1">IF($C84-M$1&lt;År1,0,L83*(1-VLOOKUP($A84,[1]Hugst!$R$5:$W$9,MATCH(ROUNDUP((M$1)/10,0)*10,[1]Hugst!$R$4:$W$4,0))))</f>
        <v>3014.887566159236</v>
      </c>
      <c r="N84">
        <f ca="1">IF($C84-N$1&lt;År1,0,M83*(1-VLOOKUP($A84,[1]Hugst!$R$5:$W$9,MATCH(ROUNDUP((N$1)/10,0)*10,[1]Hugst!$R$4:$W$4,0))))</f>
        <v>3011.6907501073206</v>
      </c>
      <c r="O84">
        <f ca="1">IF($C84-O$1&lt;År1,0,N83*(1-VLOOKUP($A84,[1]Hugst!$R$5:$W$9,MATCH(ROUNDUP((O$1)/10,0)*10,[1]Hugst!$R$4:$W$4,0))))</f>
        <v>3008.496797255943</v>
      </c>
      <c r="P84">
        <f ca="1">IF($C84-P$1&lt;År1,0,O83*(1-VLOOKUP($A84,[1]Hugst!$R$5:$W$9,MATCH(ROUNDUP((P$1)/10,0)*10,[1]Hugst!$R$4:$W$4,0))))</f>
        <v>4773.7701792200405</v>
      </c>
      <c r="Q84">
        <f ca="1">IF($C84-Q$1&lt;År1,0,P83*(1-VLOOKUP($A84,[1]Hugst!$R$5:$W$9,MATCH(ROUNDUP((Q$1)/10,0)*10,[1]Hugst!$R$4:$W$4,0))))</f>
        <v>4763.3097796153652</v>
      </c>
      <c r="R84">
        <f ca="1">IF($C84-R$1&lt;År1,0,Q83*(1-VLOOKUP($A84,[1]Hugst!$R$5:$W$9,MATCH(ROUNDUP((R$1)/10,0)*10,[1]Hugst!$R$4:$W$4,0))))</f>
        <v>4760.2042504649799</v>
      </c>
      <c r="S84">
        <f ca="1">IF($C84-S$1&lt;År1,0,R83*(1-VLOOKUP($A84,[1]Hugst!$R$5:$W$9,MATCH(ROUNDUP((S$1)/10,0)*10,[1]Hugst!$R$4:$W$4,0))))</f>
        <v>4757.1179873079318</v>
      </c>
      <c r="T84">
        <f ca="1">IF($C84-T$1&lt;År1,0,S83*(1-VLOOKUP($A84,[1]Hugst!$R$5:$W$9,MATCH(ROUNDUP((T$1)/10,0)*10,[1]Hugst!$R$4:$W$4,0))))</f>
        <v>4754.0510114903718</v>
      </c>
      <c r="U84">
        <f ca="1">IF($C84-U$1&lt;År1,0,T83*(1-VLOOKUP($A84,[1]Hugst!$R$5:$W$9,MATCH(ROUNDUP((U$1)/10,0)*10,[1]Hugst!$R$4:$W$4,0))))</f>
        <v>4751.0033445030167</v>
      </c>
      <c r="V84">
        <f ca="1">IF($C84-V$1&lt;År1,0,U83*(1-VLOOKUP($A84,[1]Hugst!$R$5:$W$9,MATCH(ROUNDUP((V$1)/10,0)*10,[1]Hugst!$R$4:$W$4,0))))</f>
        <v>4747.975007981584</v>
      </c>
      <c r="W84">
        <f ca="1">IF($C84-W$1&lt;År1,0,V83*(1-VLOOKUP($A84,[1]Hugst!$R$5:$W$9,MATCH(ROUNDUP((W$1)/10,0)*10,[1]Hugst!$R$4:$W$4,0))))</f>
        <v>4744.9660237071885</v>
      </c>
      <c r="X84">
        <f ca="1">IF($C84-X$1&lt;År1,0,W83*(1-VLOOKUP($A84,[1]Hugst!$R$5:$W$9,MATCH(ROUNDUP((X$1)/10,0)*10,[1]Hugst!$R$4:$W$4,0))))</f>
        <v>4741.9764136067552</v>
      </c>
      <c r="Y84">
        <f ca="1">IF($C84-Y$1&lt;År1,0,X83*(1-VLOOKUP($A84,[1]Hugst!$R$5:$W$9,MATCH(ROUNDUP((Y$1)/10,0)*10,[1]Hugst!$R$4:$W$4,0))))</f>
        <v>4739.0061997533867</v>
      </c>
      <c r="Z84">
        <f ca="1">IF($C84-Z$1&lt;År1,0,Y83*(1-VLOOKUP($A84,[1]Hugst!$R$5:$W$9,MATCH(ROUNDUP((Z$1)/10,0)*10,[1]Hugst!$R$4:$W$4,0))))</f>
        <v>4735.0504698472214</v>
      </c>
      <c r="AA84">
        <f>IF($C84-AA$1&lt;År1,0,Z83*(1-VLOOKUP($A84,[1]Hugst!$R$5:$W$9,MATCH(ROUNDUP((AA$1)/10,0)*10,[1]Hugst!$R$4:$W$4,0))))</f>
        <v>0</v>
      </c>
      <c r="AB84">
        <f>IF($C84-AB$1&lt;År1,0,AA83*(1-VLOOKUP($A84,[1]Hugst!$R$5:$W$9,MATCH(ROUNDUP((AB$1)/10,0)*10,[1]Hugst!$R$4:$W$4,0))))</f>
        <v>0</v>
      </c>
      <c r="AC84">
        <f>IF($C84-AC$1&lt;År1,0,AB83*(1-VLOOKUP($A84,[1]Hugst!$R$5:$W$9,MATCH(ROUNDUP((AC$1)/10,0)*10,[1]Hugst!$R$4:$W$4,0))))</f>
        <v>0</v>
      </c>
      <c r="AD84">
        <f>IF($C84-AD$1&lt;År1,0,AC83*(1-VLOOKUP($A84,[1]Hugst!$R$5:$W$9,MATCH(ROUNDUP((AD$1)/10,0)*10,[1]Hugst!$R$4:$W$4,0))))</f>
        <v>0</v>
      </c>
      <c r="AE84">
        <f>IF($C84-AE$1&lt;År1,0,AD83*(1-VLOOKUP($A84,[1]Hugst!$R$5:$W$9,MATCH(ROUNDUP((AE$1)/10,0)*10,[1]Hugst!$R$4:$W$4,0))))</f>
        <v>0</v>
      </c>
      <c r="AF84">
        <f>IF($C84-AF$1&lt;År1,0,AE83*(1-VLOOKUP($A84,[1]Hugst!$R$5:$W$9,MATCH(ROUNDUP((AF$1)/10,0)*10,[1]Hugst!$R$4:$W$4,0))))</f>
        <v>0</v>
      </c>
      <c r="AG84">
        <f>IF($C84-AG$1&lt;År1,0,AF83*(1-VLOOKUP($A84,[1]Hugst!$R$5:$W$9,MATCH(ROUNDUP((AG$1)/10,0)*10,[1]Hugst!$R$4:$W$4,0))))</f>
        <v>0</v>
      </c>
      <c r="AH84">
        <f>IF($C84-AH$1&lt;År1,0,AG83*(1-VLOOKUP($A84,[1]Hugst!$R$5:$W$9,MATCH(ROUNDUP((AH$1)/10,0)*10,[1]Hugst!$R$4:$W$4,0))))</f>
        <v>0</v>
      </c>
      <c r="AI84">
        <f>IF($C84-AI$1&lt;År1,0,AH83*(1-VLOOKUP($A84,[1]Hugst!$R$5:$W$9,MATCH(ROUNDUP((AI$1)/10,0)*10,[1]Hugst!$R$4:$W$4,0))))</f>
        <v>0</v>
      </c>
      <c r="AJ84">
        <f>IF($C84-AJ$1&lt;År1,0,AI83*(1-VLOOKUP($A84,[1]Hugst!$R$5:$W$9,MATCH(ROUNDUP((AJ$1)/10,0)*10,[1]Hugst!$R$4:$W$4,0))))</f>
        <v>0</v>
      </c>
    </row>
    <row r="85" spans="1:38" x14ac:dyDescent="0.25">
      <c r="A85" t="s">
        <v>177</v>
      </c>
      <c r="B85" t="s">
        <v>23</v>
      </c>
      <c r="C85">
        <v>2041</v>
      </c>
      <c r="D85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783.19221245322842</v>
      </c>
      <c r="E85">
        <f t="shared" ca="1" si="1"/>
        <v>86.327952206760528</v>
      </c>
      <c r="F85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3039.8905350303598</v>
      </c>
      <c r="G85">
        <f ca="1">IF($C85-G$1&lt;År1,0,F84*(1-VLOOKUP($A85,[1]Hugst!$R$5:$W$9,MATCH(ROUNDUP((G$1)/10,0)*10,[1]Hugst!$R$4:$W$4,0))))</f>
        <v>3038.3580064436269</v>
      </c>
      <c r="H85">
        <f ca="1">IF($C85-H$1&lt;År1,0,G84*(1-VLOOKUP($A85,[1]Hugst!$R$5:$W$9,MATCH(ROUNDUP((H$1)/10,0)*10,[1]Hugst!$R$4:$W$4,0))))</f>
        <v>3034.1261972624275</v>
      </c>
      <c r="I85">
        <f ca="1">IF($C85-I$1&lt;År1,0,H84*(1-VLOOKUP($A85,[1]Hugst!$R$5:$W$9,MATCH(ROUNDUP((I$1)/10,0)*10,[1]Hugst!$R$4:$W$4,0))))</f>
        <v>3030.9130969172152</v>
      </c>
      <c r="J85">
        <f ca="1">IF($C85-J$1&lt;År1,0,I84*(1-VLOOKUP($A85,[1]Hugst!$R$5:$W$9,MATCH(ROUNDUP((J$1)/10,0)*10,[1]Hugst!$R$4:$W$4,0))))</f>
        <v>3027.7026053655304</v>
      </c>
      <c r="K85">
        <f ca="1">IF($C85-K$1&lt;År1,0,J84*(1-VLOOKUP($A85,[1]Hugst!$R$5:$W$9,MATCH(ROUNDUP((K$1)/10,0)*10,[1]Hugst!$R$4:$W$4,0))))</f>
        <v>3024.4947643700584</v>
      </c>
      <c r="L85">
        <f ca="1">IF($C85-L$1&lt;År1,0,K84*(1-VLOOKUP($A85,[1]Hugst!$R$5:$W$9,MATCH(ROUNDUP((L$1)/10,0)*10,[1]Hugst!$R$4:$W$4,0))))</f>
        <v>3021.2896159470042</v>
      </c>
      <c r="M85">
        <f ca="1">IF($C85-M$1&lt;År1,0,L84*(1-VLOOKUP($A85,[1]Hugst!$R$5:$W$9,MATCH(ROUNDUP((M$1)/10,0)*10,[1]Hugst!$R$4:$W$4,0))))</f>
        <v>3018.0872023675552</v>
      </c>
      <c r="N85">
        <f ca="1">IF($C85-N$1&lt;År1,0,M84*(1-VLOOKUP($A85,[1]Hugst!$R$5:$W$9,MATCH(ROUNDUP((N$1)/10,0)*10,[1]Hugst!$R$4:$W$4,0))))</f>
        <v>3014.887566159236</v>
      </c>
      <c r="O85">
        <f ca="1">IF($C85-O$1&lt;År1,0,N84*(1-VLOOKUP($A85,[1]Hugst!$R$5:$W$9,MATCH(ROUNDUP((O$1)/10,0)*10,[1]Hugst!$R$4:$W$4,0))))</f>
        <v>3011.6907501073206</v>
      </c>
      <c r="P85">
        <f ca="1">IF($C85-P$1&lt;År1,0,O84*(1-VLOOKUP($A85,[1]Hugst!$R$5:$W$9,MATCH(ROUNDUP((P$1)/10,0)*10,[1]Hugst!$R$4:$W$4,0))))</f>
        <v>3003.907564853349</v>
      </c>
      <c r="Q85">
        <f ca="1">IF($C85-Q$1&lt;År1,0,P84*(1-VLOOKUP($A85,[1]Hugst!$R$5:$W$9,MATCH(ROUNDUP((Q$1)/10,0)*10,[1]Hugst!$R$4:$W$4,0))))</f>
        <v>4766.4881569127556</v>
      </c>
      <c r="R85">
        <f ca="1">IF($C85-R$1&lt;År1,0,Q84*(1-VLOOKUP($A85,[1]Hugst!$R$5:$W$9,MATCH(ROUNDUP((R$1)/10,0)*10,[1]Hugst!$R$4:$W$4,0))))</f>
        <v>4756.0437138498501</v>
      </c>
      <c r="S85">
        <f ca="1">IF($C85-S$1&lt;År1,0,R84*(1-VLOOKUP($A85,[1]Hugst!$R$5:$W$9,MATCH(ROUNDUP((S$1)/10,0)*10,[1]Hugst!$R$4:$W$4,0))))</f>
        <v>4752.9429219473213</v>
      </c>
      <c r="T85">
        <f ca="1">IF($C85-T$1&lt;År1,0,S84*(1-VLOOKUP($A85,[1]Hugst!$R$5:$W$9,MATCH(ROUNDUP((T$1)/10,0)*10,[1]Hugst!$R$4:$W$4,0))))</f>
        <v>4749.8613666493266</v>
      </c>
      <c r="U85">
        <f ca="1">IF($C85-U$1&lt;År1,0,T84*(1-VLOOKUP($A85,[1]Hugst!$R$5:$W$9,MATCH(ROUNDUP((U$1)/10,0)*10,[1]Hugst!$R$4:$W$4,0))))</f>
        <v>4746.7990692694539</v>
      </c>
      <c r="V85">
        <f ca="1">IF($C85-V$1&lt;År1,0,U84*(1-VLOOKUP($A85,[1]Hugst!$R$5:$W$9,MATCH(ROUNDUP((V$1)/10,0)*10,[1]Hugst!$R$4:$W$4,0))))</f>
        <v>4743.7560512656391</v>
      </c>
      <c r="W85">
        <f ca="1">IF($C85-W$1&lt;År1,0,V84*(1-VLOOKUP($A85,[1]Hugst!$R$5:$W$9,MATCH(ROUNDUP((W$1)/10,0)*10,[1]Hugst!$R$4:$W$4,0))))</f>
        <v>4740.7323342405953</v>
      </c>
      <c r="X85">
        <f ca="1">IF($C85-X$1&lt;År1,0,W84*(1-VLOOKUP($A85,[1]Hugst!$R$5:$W$9,MATCH(ROUNDUP((X$1)/10,0)*10,[1]Hugst!$R$4:$W$4,0))))</f>
        <v>4737.7279399422114</v>
      </c>
      <c r="Y85">
        <f ca="1">IF($C85-Y$1&lt;År1,0,X84*(1-VLOOKUP($A85,[1]Hugst!$R$5:$W$9,MATCH(ROUNDUP((Y$1)/10,0)*10,[1]Hugst!$R$4:$W$4,0))))</f>
        <v>4734.7428902639649</v>
      </c>
      <c r="Z85">
        <f ca="1">IF($C85-Z$1&lt;År1,0,Y84*(1-VLOOKUP($A85,[1]Hugst!$R$5:$W$9,MATCH(ROUNDUP((Z$1)/10,0)*10,[1]Hugst!$R$4:$W$4,0))))</f>
        <v>4730.7731805080521</v>
      </c>
      <c r="AA85">
        <f ca="1">IF($C85-AA$1&lt;År1,0,Z84*(1-VLOOKUP($A85,[1]Hugst!$R$5:$W$9,MATCH(ROUNDUP((AA$1)/10,0)*10,[1]Hugst!$R$4:$W$4,0))))</f>
        <v>4726.8243228445208</v>
      </c>
      <c r="AB85">
        <f>IF($C85-AB$1&lt;År1,0,AA84*(1-VLOOKUP($A85,[1]Hugst!$R$5:$W$9,MATCH(ROUNDUP((AB$1)/10,0)*10,[1]Hugst!$R$4:$W$4,0))))</f>
        <v>0</v>
      </c>
      <c r="AC85">
        <f>IF($C85-AC$1&lt;År1,0,AB84*(1-VLOOKUP($A85,[1]Hugst!$R$5:$W$9,MATCH(ROUNDUP((AC$1)/10,0)*10,[1]Hugst!$R$4:$W$4,0))))</f>
        <v>0</v>
      </c>
      <c r="AD85">
        <f>IF($C85-AD$1&lt;År1,0,AC84*(1-VLOOKUP($A85,[1]Hugst!$R$5:$W$9,MATCH(ROUNDUP((AD$1)/10,0)*10,[1]Hugst!$R$4:$W$4,0))))</f>
        <v>0</v>
      </c>
      <c r="AE85">
        <f>IF($C85-AE$1&lt;År1,0,AD84*(1-VLOOKUP($A85,[1]Hugst!$R$5:$W$9,MATCH(ROUNDUP((AE$1)/10,0)*10,[1]Hugst!$R$4:$W$4,0))))</f>
        <v>0</v>
      </c>
      <c r="AF85">
        <f>IF($C85-AF$1&lt;År1,0,AE84*(1-VLOOKUP($A85,[1]Hugst!$R$5:$W$9,MATCH(ROUNDUP((AF$1)/10,0)*10,[1]Hugst!$R$4:$W$4,0))))</f>
        <v>0</v>
      </c>
      <c r="AG85">
        <f>IF($C85-AG$1&lt;År1,0,AF84*(1-VLOOKUP($A85,[1]Hugst!$R$5:$W$9,MATCH(ROUNDUP((AG$1)/10,0)*10,[1]Hugst!$R$4:$W$4,0))))</f>
        <v>0</v>
      </c>
      <c r="AH85">
        <f>IF($C85-AH$1&lt;År1,0,AG84*(1-VLOOKUP($A85,[1]Hugst!$R$5:$W$9,MATCH(ROUNDUP((AH$1)/10,0)*10,[1]Hugst!$R$4:$W$4,0))))</f>
        <v>0</v>
      </c>
      <c r="AI85">
        <f>IF($C85-AI$1&lt;År1,0,AH84*(1-VLOOKUP($A85,[1]Hugst!$R$5:$W$9,MATCH(ROUNDUP((AI$1)/10,0)*10,[1]Hugst!$R$4:$W$4,0))))</f>
        <v>0</v>
      </c>
      <c r="AJ85">
        <f>IF($C85-AJ$1&lt;År1,0,AI84*(1-VLOOKUP($A85,[1]Hugst!$R$5:$W$9,MATCH(ROUNDUP((AJ$1)/10,0)*10,[1]Hugst!$R$4:$W$4,0))))</f>
        <v>0</v>
      </c>
    </row>
    <row r="86" spans="1:38" x14ac:dyDescent="0.25">
      <c r="A86" t="s">
        <v>177</v>
      </c>
      <c r="B86" t="s">
        <v>23</v>
      </c>
      <c r="C86">
        <v>2042</v>
      </c>
      <c r="D86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779.27625139095107</v>
      </c>
      <c r="E86">
        <f t="shared" ca="1" si="1"/>
        <v>91.790006416267715</v>
      </c>
      <c r="F86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3041.4366281775897</v>
      </c>
      <c r="G86">
        <f ca="1">IF($C86-G$1&lt;År1,0,F85*(1-VLOOKUP($A86,[1]Hugst!$R$5:$W$9,MATCH(ROUNDUP((G$1)/10,0)*10,[1]Hugst!$R$4:$W$4,0))))</f>
        <v>3039.8905350303598</v>
      </c>
      <c r="H86">
        <f ca="1">IF($C86-H$1&lt;År1,0,G85*(1-VLOOKUP($A86,[1]Hugst!$R$5:$W$9,MATCH(ROUNDUP((H$1)/10,0)*10,[1]Hugst!$R$4:$W$4,0))))</f>
        <v>3038.3580064436269</v>
      </c>
      <c r="I86">
        <f ca="1">IF($C86-I$1&lt;År1,0,H85*(1-VLOOKUP($A86,[1]Hugst!$R$5:$W$9,MATCH(ROUNDUP((I$1)/10,0)*10,[1]Hugst!$R$4:$W$4,0))))</f>
        <v>3034.1261972624275</v>
      </c>
      <c r="J86">
        <f ca="1">IF($C86-J$1&lt;År1,0,I85*(1-VLOOKUP($A86,[1]Hugst!$R$5:$W$9,MATCH(ROUNDUP((J$1)/10,0)*10,[1]Hugst!$R$4:$W$4,0))))</f>
        <v>3030.9130969172152</v>
      </c>
      <c r="K86">
        <f ca="1">IF($C86-K$1&lt;År1,0,J85*(1-VLOOKUP($A86,[1]Hugst!$R$5:$W$9,MATCH(ROUNDUP((K$1)/10,0)*10,[1]Hugst!$R$4:$W$4,0))))</f>
        <v>3027.7026053655304</v>
      </c>
      <c r="L86">
        <f ca="1">IF($C86-L$1&lt;År1,0,K85*(1-VLOOKUP($A86,[1]Hugst!$R$5:$W$9,MATCH(ROUNDUP((L$1)/10,0)*10,[1]Hugst!$R$4:$W$4,0))))</f>
        <v>3024.4947643700584</v>
      </c>
      <c r="M86">
        <f ca="1">IF($C86-M$1&lt;År1,0,L85*(1-VLOOKUP($A86,[1]Hugst!$R$5:$W$9,MATCH(ROUNDUP((M$1)/10,0)*10,[1]Hugst!$R$4:$W$4,0))))</f>
        <v>3021.2896159470042</v>
      </c>
      <c r="N86">
        <f ca="1">IF($C86-N$1&lt;År1,0,M85*(1-VLOOKUP($A86,[1]Hugst!$R$5:$W$9,MATCH(ROUNDUP((N$1)/10,0)*10,[1]Hugst!$R$4:$W$4,0))))</f>
        <v>3018.0872023675552</v>
      </c>
      <c r="O86">
        <f ca="1">IF($C86-O$1&lt;År1,0,N85*(1-VLOOKUP($A86,[1]Hugst!$R$5:$W$9,MATCH(ROUNDUP((O$1)/10,0)*10,[1]Hugst!$R$4:$W$4,0))))</f>
        <v>3014.887566159236</v>
      </c>
      <c r="P86">
        <f ca="1">IF($C86-P$1&lt;År1,0,O85*(1-VLOOKUP($A86,[1]Hugst!$R$5:$W$9,MATCH(ROUNDUP((P$1)/10,0)*10,[1]Hugst!$R$4:$W$4,0))))</f>
        <v>3007.0966455732587</v>
      </c>
      <c r="Q86">
        <f ca="1">IF($C86-Q$1&lt;År1,0,P85*(1-VLOOKUP($A86,[1]Hugst!$R$5:$W$9,MATCH(ROUNDUP((Q$1)/10,0)*10,[1]Hugst!$R$4:$W$4,0))))</f>
        <v>2999.325332974759</v>
      </c>
      <c r="R86">
        <f ca="1">IF($C86-R$1&lt;År1,0,Q85*(1-VLOOKUP($A86,[1]Hugst!$R$5:$W$9,MATCH(ROUNDUP((R$1)/10,0)*10,[1]Hugst!$R$4:$W$4,0))))</f>
        <v>4759.217242775092</v>
      </c>
      <c r="S86">
        <f ca="1">IF($C86-S$1&lt;År1,0,R85*(1-VLOOKUP($A86,[1]Hugst!$R$5:$W$9,MATCH(ROUNDUP((S$1)/10,0)*10,[1]Hugst!$R$4:$W$4,0))))</f>
        <v>4748.7887319134688</v>
      </c>
      <c r="T86">
        <f ca="1">IF($C86-T$1&lt;År1,0,S85*(1-VLOOKUP($A86,[1]Hugst!$R$5:$W$9,MATCH(ROUNDUP((T$1)/10,0)*10,[1]Hugst!$R$4:$W$4,0))))</f>
        <v>4745.6926700324866</v>
      </c>
      <c r="U86">
        <f ca="1">IF($C86-U$1&lt;År1,0,T85*(1-VLOOKUP($A86,[1]Hugst!$R$5:$W$9,MATCH(ROUNDUP((U$1)/10,0)*10,[1]Hugst!$R$4:$W$4,0))))</f>
        <v>4742.6158154120649</v>
      </c>
      <c r="V86">
        <f ca="1">IF($C86-V$1&lt;År1,0,U85*(1-VLOOKUP($A86,[1]Hugst!$R$5:$W$9,MATCH(ROUNDUP((V$1)/10,0)*10,[1]Hugst!$R$4:$W$4,0))))</f>
        <v>4739.5581893332801</v>
      </c>
      <c r="W86">
        <f ca="1">IF($C86-W$1&lt;År1,0,V85*(1-VLOOKUP($A86,[1]Hugst!$R$5:$W$9,MATCH(ROUNDUP((W$1)/10,0)*10,[1]Hugst!$R$4:$W$4,0))))</f>
        <v>4736.5198132213354</v>
      </c>
      <c r="X86">
        <f ca="1">IF($C86-X$1&lt;År1,0,W85*(1-VLOOKUP($A86,[1]Hugst!$R$5:$W$9,MATCH(ROUNDUP((X$1)/10,0)*10,[1]Hugst!$R$4:$W$4,0))))</f>
        <v>4733.5007086459909</v>
      </c>
      <c r="Y86">
        <f ca="1">IF($C86-Y$1&lt;År1,0,X85*(1-VLOOKUP($A86,[1]Hugst!$R$5:$W$9,MATCH(ROUNDUP((Y$1)/10,0)*10,[1]Hugst!$R$4:$W$4,0))))</f>
        <v>4730.5008973219601</v>
      </c>
      <c r="Z86">
        <f ca="1">IF($C86-Z$1&lt;År1,0,Y85*(1-VLOOKUP($A86,[1]Hugst!$R$5:$W$9,MATCH(ROUNDUP((Z$1)/10,0)*10,[1]Hugst!$R$4:$W$4,0))))</f>
        <v>4726.5172776156251</v>
      </c>
      <c r="AA86">
        <f ca="1">IF($C86-AA$1&lt;År1,0,Z85*(1-VLOOKUP($A86,[1]Hugst!$R$5:$W$9,MATCH(ROUNDUP((AA$1)/10,0)*10,[1]Hugst!$R$4:$W$4,0))))</f>
        <v>4722.5544643893727</v>
      </c>
      <c r="AB86">
        <f ca="1">IF($C86-AB$1&lt;År1,0,AA85*(1-VLOOKUP($A86,[1]Hugst!$R$5:$W$9,MATCH(ROUNDUP((AB$1)/10,0)*10,[1]Hugst!$R$4:$W$4,0))))</f>
        <v>4718.6124670294093</v>
      </c>
      <c r="AC86">
        <f>IF($C86-AC$1&lt;År1,0,AB85*(1-VLOOKUP($A86,[1]Hugst!$R$5:$W$9,MATCH(ROUNDUP((AC$1)/10,0)*10,[1]Hugst!$R$4:$W$4,0))))</f>
        <v>0</v>
      </c>
      <c r="AD86">
        <f>IF($C86-AD$1&lt;År1,0,AC85*(1-VLOOKUP($A86,[1]Hugst!$R$5:$W$9,MATCH(ROUNDUP((AD$1)/10,0)*10,[1]Hugst!$R$4:$W$4,0))))</f>
        <v>0</v>
      </c>
      <c r="AE86">
        <f>IF($C86-AE$1&lt;År1,0,AD85*(1-VLOOKUP($A86,[1]Hugst!$R$5:$W$9,MATCH(ROUNDUP((AE$1)/10,0)*10,[1]Hugst!$R$4:$W$4,0))))</f>
        <v>0</v>
      </c>
      <c r="AF86">
        <f>IF($C86-AF$1&lt;År1,0,AE85*(1-VLOOKUP($A86,[1]Hugst!$R$5:$W$9,MATCH(ROUNDUP((AF$1)/10,0)*10,[1]Hugst!$R$4:$W$4,0))))</f>
        <v>0</v>
      </c>
      <c r="AG86">
        <f>IF($C86-AG$1&lt;År1,0,AF85*(1-VLOOKUP($A86,[1]Hugst!$R$5:$W$9,MATCH(ROUNDUP((AG$1)/10,0)*10,[1]Hugst!$R$4:$W$4,0))))</f>
        <v>0</v>
      </c>
      <c r="AH86">
        <f>IF($C86-AH$1&lt;År1,0,AG85*(1-VLOOKUP($A86,[1]Hugst!$R$5:$W$9,MATCH(ROUNDUP((AH$1)/10,0)*10,[1]Hugst!$R$4:$W$4,0))))</f>
        <v>0</v>
      </c>
      <c r="AI86">
        <f>IF($C86-AI$1&lt;År1,0,AH85*(1-VLOOKUP($A86,[1]Hugst!$R$5:$W$9,MATCH(ROUNDUP((AI$1)/10,0)*10,[1]Hugst!$R$4:$W$4,0))))</f>
        <v>0</v>
      </c>
      <c r="AJ86">
        <f>IF($C86-AJ$1&lt;År1,0,AI85*(1-VLOOKUP($A86,[1]Hugst!$R$5:$W$9,MATCH(ROUNDUP((AJ$1)/10,0)*10,[1]Hugst!$R$4:$W$4,0))))</f>
        <v>0</v>
      </c>
    </row>
    <row r="87" spans="1:38" x14ac:dyDescent="0.25">
      <c r="A87" t="s">
        <v>177</v>
      </c>
      <c r="B87" t="s">
        <v>23</v>
      </c>
      <c r="C87">
        <v>2043</v>
      </c>
      <c r="D87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775.37987013398742</v>
      </c>
      <c r="E87">
        <f t="shared" ca="1" si="1"/>
        <v>97.245969793992117</v>
      </c>
      <c r="F87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3042.9962102983504</v>
      </c>
      <c r="G87">
        <f ca="1">IF($C87-G$1&lt;År1,0,F86*(1-VLOOKUP($A87,[1]Hugst!$R$5:$W$9,MATCH(ROUNDUP((G$1)/10,0)*10,[1]Hugst!$R$4:$W$4,0))))</f>
        <v>3041.4366281775897</v>
      </c>
      <c r="H87">
        <f ca="1">IF($C87-H$1&lt;År1,0,G86*(1-VLOOKUP($A87,[1]Hugst!$R$5:$W$9,MATCH(ROUNDUP((H$1)/10,0)*10,[1]Hugst!$R$4:$W$4,0))))</f>
        <v>3039.8905350303598</v>
      </c>
      <c r="I87">
        <f ca="1">IF($C87-I$1&lt;År1,0,H86*(1-VLOOKUP($A87,[1]Hugst!$R$5:$W$9,MATCH(ROUNDUP((I$1)/10,0)*10,[1]Hugst!$R$4:$W$4,0))))</f>
        <v>3038.3580064436269</v>
      </c>
      <c r="J87">
        <f ca="1">IF($C87-J$1&lt;År1,0,I86*(1-VLOOKUP($A87,[1]Hugst!$R$5:$W$9,MATCH(ROUNDUP((J$1)/10,0)*10,[1]Hugst!$R$4:$W$4,0))))</f>
        <v>3034.1261972624275</v>
      </c>
      <c r="K87">
        <f ca="1">IF($C87-K$1&lt;År1,0,J86*(1-VLOOKUP($A87,[1]Hugst!$R$5:$W$9,MATCH(ROUNDUP((K$1)/10,0)*10,[1]Hugst!$R$4:$W$4,0))))</f>
        <v>3030.9130969172152</v>
      </c>
      <c r="L87">
        <f ca="1">IF($C87-L$1&lt;År1,0,K86*(1-VLOOKUP($A87,[1]Hugst!$R$5:$W$9,MATCH(ROUNDUP((L$1)/10,0)*10,[1]Hugst!$R$4:$W$4,0))))</f>
        <v>3027.7026053655304</v>
      </c>
      <c r="M87">
        <f ca="1">IF($C87-M$1&lt;År1,0,L86*(1-VLOOKUP($A87,[1]Hugst!$R$5:$W$9,MATCH(ROUNDUP((M$1)/10,0)*10,[1]Hugst!$R$4:$W$4,0))))</f>
        <v>3024.4947643700584</v>
      </c>
      <c r="N87">
        <f ca="1">IF($C87-N$1&lt;År1,0,M86*(1-VLOOKUP($A87,[1]Hugst!$R$5:$W$9,MATCH(ROUNDUP((N$1)/10,0)*10,[1]Hugst!$R$4:$W$4,0))))</f>
        <v>3021.2896159470042</v>
      </c>
      <c r="O87">
        <f ca="1">IF($C87-O$1&lt;År1,0,N86*(1-VLOOKUP($A87,[1]Hugst!$R$5:$W$9,MATCH(ROUNDUP((O$1)/10,0)*10,[1]Hugst!$R$4:$W$4,0))))</f>
        <v>3018.0872023675552</v>
      </c>
      <c r="P87">
        <f ca="1">IF($C87-P$1&lt;År1,0,O86*(1-VLOOKUP($A87,[1]Hugst!$R$5:$W$9,MATCH(ROUNDUP((P$1)/10,0)*10,[1]Hugst!$R$4:$W$4,0))))</f>
        <v>3010.2885851261117</v>
      </c>
      <c r="Q87">
        <f ca="1">IF($C87-Q$1&lt;År1,0,P86*(1-VLOOKUP($A87,[1]Hugst!$R$5:$W$9,MATCH(ROUNDUP((Q$1)/10,0)*10,[1]Hugst!$R$4:$W$4,0))))</f>
        <v>3002.5095489952655</v>
      </c>
      <c r="R87">
        <f ca="1">IF($C87-R$1&lt;År1,0,Q86*(1-VLOOKUP($A87,[1]Hugst!$R$5:$W$9,MATCH(ROUNDUP((R$1)/10,0)*10,[1]Hugst!$R$4:$W$4,0))))</f>
        <v>2994.7500909414075</v>
      </c>
      <c r="S87">
        <f ca="1">IF($C87-S$1&lt;År1,0,R86*(1-VLOOKUP($A87,[1]Hugst!$R$5:$W$9,MATCH(ROUNDUP((S$1)/10,0)*10,[1]Hugst!$R$4:$W$4,0))))</f>
        <v>4751.9574198623841</v>
      </c>
      <c r="T87">
        <f ca="1">IF($C87-T$1&lt;År1,0,S86*(1-VLOOKUP($A87,[1]Hugst!$R$5:$W$9,MATCH(ROUNDUP((T$1)/10,0)*10,[1]Hugst!$R$4:$W$4,0))))</f>
        <v>4741.544816898685</v>
      </c>
      <c r="U87">
        <f ca="1">IF($C87-U$1&lt;År1,0,T86*(1-VLOOKUP($A87,[1]Hugst!$R$5:$W$9,MATCH(ROUNDUP((U$1)/10,0)*10,[1]Hugst!$R$4:$W$4,0))))</f>
        <v>4738.4534778239622</v>
      </c>
      <c r="V87">
        <f ca="1">IF($C87-V$1&lt;År1,0,U86*(1-VLOOKUP($A87,[1]Hugst!$R$5:$W$9,MATCH(ROUNDUP((V$1)/10,0)*10,[1]Hugst!$R$4:$W$4,0))))</f>
        <v>4735.3813167105891</v>
      </c>
      <c r="W87">
        <f ca="1">IF($C87-W$1&lt;År1,0,V86*(1-VLOOKUP($A87,[1]Hugst!$R$5:$W$9,MATCH(ROUNDUP((W$1)/10,0)*10,[1]Hugst!$R$4:$W$4,0))))</f>
        <v>4732.3283548071786</v>
      </c>
      <c r="X87">
        <f ca="1">IF($C87-X$1&lt;År1,0,W86*(1-VLOOKUP($A87,[1]Hugst!$R$5:$W$9,MATCH(ROUNDUP((X$1)/10,0)*10,[1]Hugst!$R$4:$W$4,0))))</f>
        <v>4729.2946135062521</v>
      </c>
      <c r="Y87">
        <f ca="1">IF($C87-Y$1&lt;År1,0,X86*(1-VLOOKUP($A87,[1]Hugst!$R$5:$W$9,MATCH(ROUNDUP((Y$1)/10,0)*10,[1]Hugst!$R$4:$W$4,0))))</f>
        <v>4726.2801143446668</v>
      </c>
      <c r="Z87">
        <f ca="1">IF($C87-Z$1&lt;År1,0,Y86*(1-VLOOKUP($A87,[1]Hugst!$R$5:$W$9,MATCH(ROUNDUP((Z$1)/10,0)*10,[1]Hugst!$R$4:$W$4,0))))</f>
        <v>4722.2826542376297</v>
      </c>
      <c r="AA87">
        <f ca="1">IF($C87-AA$1&lt;År1,0,Z86*(1-VLOOKUP($A87,[1]Hugst!$R$5:$W$9,MATCH(ROUNDUP((AA$1)/10,0)*10,[1]Hugst!$R$4:$W$4,0))))</f>
        <v>4718.3059552265468</v>
      </c>
      <c r="AB87">
        <f ca="1">IF($C87-AB$1&lt;År1,0,AA86*(1-VLOOKUP($A87,[1]Hugst!$R$5:$W$9,MATCH(ROUNDUP((AB$1)/10,0)*10,[1]Hugst!$R$4:$W$4,0))))</f>
        <v>4714.3500265486964</v>
      </c>
      <c r="AC87">
        <f ca="1">IF($C87-AC$1&lt;År1,0,AB86*(1-VLOOKUP($A87,[1]Hugst!$R$5:$W$9,MATCH(ROUNDUP((AC$1)/10,0)*10,[1]Hugst!$R$4:$W$4,0))))</f>
        <v>4710.4148775739768</v>
      </c>
      <c r="AD87">
        <f>IF($C87-AD$1&lt;År1,0,AC86*(1-VLOOKUP($A87,[1]Hugst!$R$5:$W$9,MATCH(ROUNDUP((AD$1)/10,0)*10,[1]Hugst!$R$4:$W$4,0))))</f>
        <v>0</v>
      </c>
      <c r="AE87">
        <f>IF($C87-AE$1&lt;År1,0,AD86*(1-VLOOKUP($A87,[1]Hugst!$R$5:$W$9,MATCH(ROUNDUP((AE$1)/10,0)*10,[1]Hugst!$R$4:$W$4,0))))</f>
        <v>0</v>
      </c>
      <c r="AF87">
        <f>IF($C87-AF$1&lt;År1,0,AE86*(1-VLOOKUP($A87,[1]Hugst!$R$5:$W$9,MATCH(ROUNDUP((AF$1)/10,0)*10,[1]Hugst!$R$4:$W$4,0))))</f>
        <v>0</v>
      </c>
      <c r="AG87">
        <f>IF($C87-AG$1&lt;År1,0,AF86*(1-VLOOKUP($A87,[1]Hugst!$R$5:$W$9,MATCH(ROUNDUP((AG$1)/10,0)*10,[1]Hugst!$R$4:$W$4,0))))</f>
        <v>0</v>
      </c>
      <c r="AH87">
        <f>IF($C87-AH$1&lt;År1,0,AG86*(1-VLOOKUP($A87,[1]Hugst!$R$5:$W$9,MATCH(ROUNDUP((AH$1)/10,0)*10,[1]Hugst!$R$4:$W$4,0))))</f>
        <v>0</v>
      </c>
      <c r="AI87">
        <f>IF($C87-AI$1&lt;År1,0,AH86*(1-VLOOKUP($A87,[1]Hugst!$R$5:$W$9,MATCH(ROUNDUP((AI$1)/10,0)*10,[1]Hugst!$R$4:$W$4,0))))</f>
        <v>0</v>
      </c>
      <c r="AJ87">
        <f>IF($C87-AJ$1&lt;År1,0,AI86*(1-VLOOKUP($A87,[1]Hugst!$R$5:$W$9,MATCH(ROUNDUP((AJ$1)/10,0)*10,[1]Hugst!$R$4:$W$4,0))))</f>
        <v>0</v>
      </c>
    </row>
    <row r="88" spans="1:38" x14ac:dyDescent="0.25">
      <c r="A88" t="s">
        <v>177</v>
      </c>
      <c r="B88" t="s">
        <v>23</v>
      </c>
      <c r="C88">
        <v>2044</v>
      </c>
      <c r="D8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771.50297078332005</v>
      </c>
      <c r="E88">
        <f t="shared" ca="1" si="1"/>
        <v>102.69586500502191</v>
      </c>
      <c r="F8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3044.5692061587129</v>
      </c>
      <c r="G88">
        <f ca="1">IF($C88-G$1&lt;År1,0,F87*(1-VLOOKUP($A88,[1]Hugst!$R$5:$W$9,MATCH(ROUNDUP((G$1)/10,0)*10,[1]Hugst!$R$4:$W$4,0))))</f>
        <v>3042.9962102983504</v>
      </c>
      <c r="H88">
        <f ca="1">IF($C88-H$1&lt;År1,0,G87*(1-VLOOKUP($A88,[1]Hugst!$R$5:$W$9,MATCH(ROUNDUP((H$1)/10,0)*10,[1]Hugst!$R$4:$W$4,0))))</f>
        <v>3041.4366281775897</v>
      </c>
      <c r="I88">
        <f ca="1">IF($C88-I$1&lt;År1,0,H87*(1-VLOOKUP($A88,[1]Hugst!$R$5:$W$9,MATCH(ROUNDUP((I$1)/10,0)*10,[1]Hugst!$R$4:$W$4,0))))</f>
        <v>3039.8905350303598</v>
      </c>
      <c r="J88">
        <f ca="1">IF($C88-J$1&lt;År1,0,I87*(1-VLOOKUP($A88,[1]Hugst!$R$5:$W$9,MATCH(ROUNDUP((J$1)/10,0)*10,[1]Hugst!$R$4:$W$4,0))))</f>
        <v>3038.3580064436269</v>
      </c>
      <c r="K88">
        <f ca="1">IF($C88-K$1&lt;År1,0,J87*(1-VLOOKUP($A88,[1]Hugst!$R$5:$W$9,MATCH(ROUNDUP((K$1)/10,0)*10,[1]Hugst!$R$4:$W$4,0))))</f>
        <v>3034.1261972624275</v>
      </c>
      <c r="L88">
        <f ca="1">IF($C88-L$1&lt;År1,0,K87*(1-VLOOKUP($A88,[1]Hugst!$R$5:$W$9,MATCH(ROUNDUP((L$1)/10,0)*10,[1]Hugst!$R$4:$W$4,0))))</f>
        <v>3030.9130969172152</v>
      </c>
      <c r="M88">
        <f ca="1">IF($C88-M$1&lt;År1,0,L87*(1-VLOOKUP($A88,[1]Hugst!$R$5:$W$9,MATCH(ROUNDUP((M$1)/10,0)*10,[1]Hugst!$R$4:$W$4,0))))</f>
        <v>3027.7026053655304</v>
      </c>
      <c r="N88">
        <f ca="1">IF($C88-N$1&lt;År1,0,M87*(1-VLOOKUP($A88,[1]Hugst!$R$5:$W$9,MATCH(ROUNDUP((N$1)/10,0)*10,[1]Hugst!$R$4:$W$4,0))))</f>
        <v>3024.4947643700584</v>
      </c>
      <c r="O88">
        <f ca="1">IF($C88-O$1&lt;År1,0,N87*(1-VLOOKUP($A88,[1]Hugst!$R$5:$W$9,MATCH(ROUNDUP((O$1)/10,0)*10,[1]Hugst!$R$4:$W$4,0))))</f>
        <v>3021.2896159470042</v>
      </c>
      <c r="P88">
        <f ca="1">IF($C88-P$1&lt;År1,0,O87*(1-VLOOKUP($A88,[1]Hugst!$R$5:$W$9,MATCH(ROUNDUP((P$1)/10,0)*10,[1]Hugst!$R$4:$W$4,0))))</f>
        <v>3013.4833405334352</v>
      </c>
      <c r="Q88">
        <f ca="1">IF($C88-Q$1&lt;År1,0,P87*(1-VLOOKUP($A88,[1]Hugst!$R$5:$W$9,MATCH(ROUNDUP((Q$1)/10,0)*10,[1]Hugst!$R$4:$W$4,0))))</f>
        <v>3005.6966194877837</v>
      </c>
      <c r="R88">
        <f ca="1">IF($C88-R$1&lt;År1,0,Q87*(1-VLOOKUP($A88,[1]Hugst!$R$5:$W$9,MATCH(ROUNDUP((R$1)/10,0)*10,[1]Hugst!$R$4:$W$4,0))))</f>
        <v>2997.9294496832385</v>
      </c>
      <c r="S88">
        <f ca="1">IF($C88-S$1&lt;År1,0,R87*(1-VLOOKUP($A88,[1]Hugst!$R$5:$W$9,MATCH(ROUNDUP((S$1)/10,0)*10,[1]Hugst!$R$4:$W$4,0))))</f>
        <v>2990.1818280908187</v>
      </c>
      <c r="T88">
        <f ca="1">IF($C88-T$1&lt;År1,0,S87*(1-VLOOKUP($A88,[1]Hugst!$R$5:$W$9,MATCH(ROUNDUP((T$1)/10,0)*10,[1]Hugst!$R$4:$W$4,0))))</f>
        <v>4744.7086712558139</v>
      </c>
      <c r="U88">
        <f ca="1">IF($C88-U$1&lt;År1,0,T87*(1-VLOOKUP($A88,[1]Hugst!$R$5:$W$9,MATCH(ROUNDUP((U$1)/10,0)*10,[1]Hugst!$R$4:$W$4,0))))</f>
        <v>4734.3119519237543</v>
      </c>
      <c r="V88">
        <f ca="1">IF($C88-V$1&lt;År1,0,U87*(1-VLOOKUP($A88,[1]Hugst!$R$5:$W$9,MATCH(ROUNDUP((V$1)/10,0)*10,[1]Hugst!$R$4:$W$4,0))))</f>
        <v>4731.2253284510107</v>
      </c>
      <c r="W88">
        <f ca="1">IF($C88-W$1&lt;År1,0,V87*(1-VLOOKUP($A88,[1]Hugst!$R$5:$W$9,MATCH(ROUNDUP((W$1)/10,0)*10,[1]Hugst!$R$4:$W$4,0))))</f>
        <v>4728.1578536850984</v>
      </c>
      <c r="X88">
        <f ca="1">IF($C88-X$1&lt;År1,0,W87*(1-VLOOKUP($A88,[1]Hugst!$R$5:$W$9,MATCH(ROUNDUP((X$1)/10,0)*10,[1]Hugst!$R$4:$W$4,0))))</f>
        <v>4725.1095488422179</v>
      </c>
      <c r="Y88">
        <f ca="1">IF($C88-Y$1&lt;År1,0,X87*(1-VLOOKUP($A88,[1]Hugst!$R$5:$W$9,MATCH(ROUNDUP((Y$1)/10,0)*10,[1]Hugst!$R$4:$W$4,0))))</f>
        <v>4722.0804352822597</v>
      </c>
      <c r="Z88">
        <f ca="1">IF($C88-Z$1&lt;År1,0,Y87*(1-VLOOKUP($A88,[1]Hugst!$R$5:$W$9,MATCH(ROUNDUP((Z$1)/10,0)*10,[1]Hugst!$R$4:$W$4,0))))</f>
        <v>4718.0692039765254</v>
      </c>
      <c r="AA88">
        <f ca="1">IF($C88-AA$1&lt;År1,0,Z87*(1-VLOOKUP($A88,[1]Hugst!$R$5:$W$9,MATCH(ROUNDUP((AA$1)/10,0)*10,[1]Hugst!$R$4:$W$4,0))))</f>
        <v>4714.0786886095048</v>
      </c>
      <c r="AB88">
        <f ca="1">IF($C88-AB$1&lt;År1,0,AA87*(1-VLOOKUP($A88,[1]Hugst!$R$5:$W$9,MATCH(ROUNDUP((AB$1)/10,0)*10,[1]Hugst!$R$4:$W$4,0))))</f>
        <v>4710.1088982704323</v>
      </c>
      <c r="AC88">
        <f ca="1">IF($C88-AC$1&lt;År1,0,AB87*(1-VLOOKUP($A88,[1]Hugst!$R$5:$W$9,MATCH(ROUNDUP((AC$1)/10,0)*10,[1]Hugst!$R$4:$W$4,0))))</f>
        <v>4706.1598421805393</v>
      </c>
      <c r="AD88">
        <f ca="1">IF($C88-AD$1&lt;År1,0,AC87*(1-VLOOKUP($A88,[1]Hugst!$R$5:$W$9,MATCH(ROUNDUP((AD$1)/10,0)*10,[1]Hugst!$R$4:$W$4,0))))</f>
        <v>4702.2315296934457</v>
      </c>
      <c r="AE88">
        <f>IF($C88-AE$1&lt;År1,0,AD87*(1-VLOOKUP($A88,[1]Hugst!$R$5:$W$9,MATCH(ROUNDUP((AE$1)/10,0)*10,[1]Hugst!$R$4:$W$4,0))))</f>
        <v>0</v>
      </c>
      <c r="AF88">
        <f>IF($C88-AF$1&lt;År1,0,AE87*(1-VLOOKUP($A88,[1]Hugst!$R$5:$W$9,MATCH(ROUNDUP((AF$1)/10,0)*10,[1]Hugst!$R$4:$W$4,0))))</f>
        <v>0</v>
      </c>
      <c r="AG88">
        <f>IF($C88-AG$1&lt;År1,0,AF87*(1-VLOOKUP($A88,[1]Hugst!$R$5:$W$9,MATCH(ROUNDUP((AG$1)/10,0)*10,[1]Hugst!$R$4:$W$4,0))))</f>
        <v>0</v>
      </c>
      <c r="AH88">
        <f>IF($C88-AH$1&lt;År1,0,AG87*(1-VLOOKUP($A88,[1]Hugst!$R$5:$W$9,MATCH(ROUNDUP((AH$1)/10,0)*10,[1]Hugst!$R$4:$W$4,0))))</f>
        <v>0</v>
      </c>
      <c r="AI88">
        <f>IF($C88-AI$1&lt;År1,0,AH87*(1-VLOOKUP($A88,[1]Hugst!$R$5:$W$9,MATCH(ROUNDUP((AI$1)/10,0)*10,[1]Hugst!$R$4:$W$4,0))))</f>
        <v>0</v>
      </c>
      <c r="AJ88">
        <f>IF($C88-AJ$1&lt;År1,0,AI87*(1-VLOOKUP($A88,[1]Hugst!$R$5:$W$9,MATCH(ROUNDUP((AJ$1)/10,0)*10,[1]Hugst!$R$4:$W$4,0))))</f>
        <v>0</v>
      </c>
    </row>
    <row r="89" spans="1:38" x14ac:dyDescent="0.25">
      <c r="A89" t="s">
        <v>177</v>
      </c>
      <c r="B89" t="s">
        <v>23</v>
      </c>
      <c r="C89">
        <v>2045</v>
      </c>
      <c r="D89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767.6454559294034</v>
      </c>
      <c r="E89">
        <f t="shared" ca="1" si="1"/>
        <v>108.13971457637672</v>
      </c>
      <c r="F8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3046.155540876151</v>
      </c>
      <c r="G89">
        <f ca="1">IF($C89-G$1&lt;År1,0,F88*(1-VLOOKUP($A89,[1]Hugst!$R$5:$W$9,MATCH(ROUNDUP((G$1)/10,0)*10,[1]Hugst!$R$4:$W$4,0))))</f>
        <v>3044.5692061587129</v>
      </c>
      <c r="H89">
        <f ca="1">IF($C89-H$1&lt;År1,0,G88*(1-VLOOKUP($A89,[1]Hugst!$R$5:$W$9,MATCH(ROUNDUP((H$1)/10,0)*10,[1]Hugst!$R$4:$W$4,0))))</f>
        <v>3042.9962102983504</v>
      </c>
      <c r="I89">
        <f ca="1">IF($C89-I$1&lt;År1,0,H88*(1-VLOOKUP($A89,[1]Hugst!$R$5:$W$9,MATCH(ROUNDUP((I$1)/10,0)*10,[1]Hugst!$R$4:$W$4,0))))</f>
        <v>3041.4366281775897</v>
      </c>
      <c r="J89">
        <f ca="1">IF($C89-J$1&lt;År1,0,I88*(1-VLOOKUP($A89,[1]Hugst!$R$5:$W$9,MATCH(ROUNDUP((J$1)/10,0)*10,[1]Hugst!$R$4:$W$4,0))))</f>
        <v>3039.8905350303598</v>
      </c>
      <c r="K89">
        <f ca="1">IF($C89-K$1&lt;År1,0,J88*(1-VLOOKUP($A89,[1]Hugst!$R$5:$W$9,MATCH(ROUNDUP((K$1)/10,0)*10,[1]Hugst!$R$4:$W$4,0))))</f>
        <v>3038.3580064436269</v>
      </c>
      <c r="L89">
        <f ca="1">IF($C89-L$1&lt;År1,0,K88*(1-VLOOKUP($A89,[1]Hugst!$R$5:$W$9,MATCH(ROUNDUP((L$1)/10,0)*10,[1]Hugst!$R$4:$W$4,0))))</f>
        <v>3034.1261972624275</v>
      </c>
      <c r="M89">
        <f ca="1">IF($C89-M$1&lt;År1,0,L88*(1-VLOOKUP($A89,[1]Hugst!$R$5:$W$9,MATCH(ROUNDUP((M$1)/10,0)*10,[1]Hugst!$R$4:$W$4,0))))</f>
        <v>3030.9130969172152</v>
      </c>
      <c r="N89">
        <f ca="1">IF($C89-N$1&lt;År1,0,M88*(1-VLOOKUP($A89,[1]Hugst!$R$5:$W$9,MATCH(ROUNDUP((N$1)/10,0)*10,[1]Hugst!$R$4:$W$4,0))))</f>
        <v>3027.7026053655304</v>
      </c>
      <c r="O89">
        <f ca="1">IF($C89-O$1&lt;År1,0,N88*(1-VLOOKUP($A89,[1]Hugst!$R$5:$W$9,MATCH(ROUNDUP((O$1)/10,0)*10,[1]Hugst!$R$4:$W$4,0))))</f>
        <v>3024.4947643700584</v>
      </c>
      <c r="P89">
        <f ca="1">IF($C89-P$1&lt;År1,0,O88*(1-VLOOKUP($A89,[1]Hugst!$R$5:$W$9,MATCH(ROUNDUP((P$1)/10,0)*10,[1]Hugst!$R$4:$W$4,0))))</f>
        <v>3016.6808690752205</v>
      </c>
      <c r="Q89">
        <f ca="1">IF($C89-Q$1&lt;År1,0,P88*(1-VLOOKUP($A89,[1]Hugst!$R$5:$W$9,MATCH(ROUNDUP((Q$1)/10,0)*10,[1]Hugst!$R$4:$W$4,0))))</f>
        <v>3008.8865015394013</v>
      </c>
      <c r="R89">
        <f ca="1">IF($C89-R$1&lt;År1,0,Q88*(1-VLOOKUP($A89,[1]Hugst!$R$5:$W$9,MATCH(ROUNDUP((R$1)/10,0)*10,[1]Hugst!$R$4:$W$4,0))))</f>
        <v>3001.1116585428022</v>
      </c>
      <c r="S89">
        <f ca="1">IF($C89-S$1&lt;År1,0,R88*(1-VLOOKUP($A89,[1]Hugst!$R$5:$W$9,MATCH(ROUNDUP((S$1)/10,0)*10,[1]Hugst!$R$4:$W$4,0))))</f>
        <v>2993.3563369633825</v>
      </c>
      <c r="T89">
        <f ca="1">IF($C89-T$1&lt;År1,0,S88*(1-VLOOKUP($A89,[1]Hugst!$R$5:$W$9,MATCH(ROUNDUP((T$1)/10,0)*10,[1]Hugst!$R$4:$W$4,0))))</f>
        <v>2985.6205337767819</v>
      </c>
      <c r="U89">
        <f ca="1">IF($C89-U$1&lt;År1,0,T88*(1-VLOOKUP($A89,[1]Hugst!$R$5:$W$9,MATCH(ROUNDUP((U$1)/10,0)*10,[1]Hugst!$R$4:$W$4,0))))</f>
        <v>4737.4709800623723</v>
      </c>
      <c r="V89">
        <f ca="1">IF($C89-V$1&lt;År1,0,U88*(1-VLOOKUP($A89,[1]Hugst!$R$5:$W$9,MATCH(ROUNDUP((V$1)/10,0)*10,[1]Hugst!$R$4:$W$4,0))))</f>
        <v>4727.0901201326842</v>
      </c>
      <c r="W89">
        <f ca="1">IF($C89-W$1&lt;År1,0,V88*(1-VLOOKUP($A89,[1]Hugst!$R$5:$W$9,MATCH(ROUNDUP((W$1)/10,0)*10,[1]Hugst!$R$4:$W$4,0))))</f>
        <v>4724.0082050686278</v>
      </c>
      <c r="X89">
        <f ca="1">IF($C89-X$1&lt;År1,0,W88*(1-VLOOKUP($A89,[1]Hugst!$R$5:$W$9,MATCH(ROUNDUP((X$1)/10,0)*10,[1]Hugst!$R$4:$W$4,0))))</f>
        <v>4720.9454095015108</v>
      </c>
      <c r="Y89">
        <f ca="1">IF($C89-Y$1&lt;År1,0,X88*(1-VLOOKUP($A89,[1]Hugst!$R$5:$W$9,MATCH(ROUNDUP((Y$1)/10,0)*10,[1]Hugst!$R$4:$W$4,0))))</f>
        <v>4717.9017546151699</v>
      </c>
      <c r="Z89">
        <f ca="1">IF($C89-Z$1&lt;År1,0,Y88*(1-VLOOKUP($A89,[1]Hugst!$R$5:$W$9,MATCH(ROUNDUP((Z$1)/10,0)*10,[1]Hugst!$R$4:$W$4,0))))</f>
        <v>4713.8768209667269</v>
      </c>
      <c r="AA89">
        <f ca="1">IF($C89-AA$1&lt;År1,0,Z88*(1-VLOOKUP($A89,[1]Hugst!$R$5:$W$9,MATCH(ROUNDUP((AA$1)/10,0)*10,[1]Hugst!$R$4:$W$4,0))))</f>
        <v>4709.8725583255491</v>
      </c>
      <c r="AB89">
        <f ca="1">IF($C89-AB$1&lt;År1,0,AA88*(1-VLOOKUP($A89,[1]Hugst!$R$5:$W$9,MATCH(ROUNDUP((AB$1)/10,0)*10,[1]Hugst!$R$4:$W$4,0))))</f>
        <v>4705.8889756335302</v>
      </c>
      <c r="AC89">
        <f ca="1">IF($C89-AC$1&lt;År1,0,AB88*(1-VLOOKUP($A89,[1]Hugst!$R$5:$W$9,MATCH(ROUNDUP((AC$1)/10,0)*10,[1]Hugst!$R$4:$W$4,0))))</f>
        <v>4701.9260819641149</v>
      </c>
      <c r="AD89">
        <f ca="1">IF($C89-AD$1&lt;År1,0,AC88*(1-VLOOKUP($A89,[1]Hugst!$R$5:$W$9,MATCH(ROUNDUP((AD$1)/10,0)*10,[1]Hugst!$R$4:$W$4,0))))</f>
        <v>4697.9838865225138</v>
      </c>
      <c r="AE89">
        <f ca="1">IF($C89-AE$1&lt;År1,0,AD88*(1-VLOOKUP($A89,[1]Hugst!$R$5:$W$9,MATCH(ROUNDUP((AE$1)/10,0)*10,[1]Hugst!$R$4:$W$4,0))))</f>
        <v>4694.0623986460969</v>
      </c>
      <c r="AF89">
        <f>IF($C89-AF$1&lt;År1,0,AE88*(1-VLOOKUP($A89,[1]Hugst!$R$5:$W$9,MATCH(ROUNDUP((AF$1)/10,0)*10,[1]Hugst!$R$4:$W$4,0))))</f>
        <v>0</v>
      </c>
      <c r="AG89">
        <f>IF($C89-AG$1&lt;År1,0,AF88*(1-VLOOKUP($A89,[1]Hugst!$R$5:$W$9,MATCH(ROUNDUP((AG$1)/10,0)*10,[1]Hugst!$R$4:$W$4,0))))</f>
        <v>0</v>
      </c>
      <c r="AH89">
        <f>IF($C89-AH$1&lt;År1,0,AG88*(1-VLOOKUP($A89,[1]Hugst!$R$5:$W$9,MATCH(ROUNDUP((AH$1)/10,0)*10,[1]Hugst!$R$4:$W$4,0))))</f>
        <v>0</v>
      </c>
      <c r="AI89">
        <f>IF($C89-AI$1&lt;År1,0,AH88*(1-VLOOKUP($A89,[1]Hugst!$R$5:$W$9,MATCH(ROUNDUP((AI$1)/10,0)*10,[1]Hugst!$R$4:$W$4,0))))</f>
        <v>0</v>
      </c>
      <c r="AJ89">
        <f>IF($C89-AJ$1&lt;År1,0,AI88*(1-VLOOKUP($A89,[1]Hugst!$R$5:$W$9,MATCH(ROUNDUP((AJ$1)/10,0)*10,[1]Hugst!$R$4:$W$4,0))))</f>
        <v>0</v>
      </c>
    </row>
    <row r="90" spans="1:38" x14ac:dyDescent="0.25">
      <c r="A90" t="s">
        <v>177</v>
      </c>
      <c r="B90" t="s">
        <v>23</v>
      </c>
      <c r="C90">
        <v>2046</v>
      </c>
      <c r="D90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763.80722864978088</v>
      </c>
      <c r="E90">
        <f t="shared" ca="1" si="1"/>
        <v>113.57754089783703</v>
      </c>
      <c r="F90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3047.7551399179888</v>
      </c>
      <c r="G90">
        <f ca="1">IF($C90-G$1&lt;År1,0,F89*(1-VLOOKUP($A90,[1]Hugst!$R$5:$W$9,MATCH(ROUNDUP((G$1)/10,0)*10,[1]Hugst!$R$4:$W$4,0))))</f>
        <v>3046.155540876151</v>
      </c>
      <c r="H90">
        <f ca="1">IF($C90-H$1&lt;År1,0,G89*(1-VLOOKUP($A90,[1]Hugst!$R$5:$W$9,MATCH(ROUNDUP((H$1)/10,0)*10,[1]Hugst!$R$4:$W$4,0))))</f>
        <v>3044.5692061587129</v>
      </c>
      <c r="I90">
        <f ca="1">IF($C90-I$1&lt;År1,0,H89*(1-VLOOKUP($A90,[1]Hugst!$R$5:$W$9,MATCH(ROUNDUP((I$1)/10,0)*10,[1]Hugst!$R$4:$W$4,0))))</f>
        <v>3042.9962102983504</v>
      </c>
      <c r="J90">
        <f ca="1">IF($C90-J$1&lt;År1,0,I89*(1-VLOOKUP($A90,[1]Hugst!$R$5:$W$9,MATCH(ROUNDUP((J$1)/10,0)*10,[1]Hugst!$R$4:$W$4,0))))</f>
        <v>3041.4366281775897</v>
      </c>
      <c r="K90">
        <f ca="1">IF($C90-K$1&lt;År1,0,J89*(1-VLOOKUP($A90,[1]Hugst!$R$5:$W$9,MATCH(ROUNDUP((K$1)/10,0)*10,[1]Hugst!$R$4:$W$4,0))))</f>
        <v>3039.8905350303598</v>
      </c>
      <c r="L90">
        <f ca="1">IF($C90-L$1&lt;År1,0,K89*(1-VLOOKUP($A90,[1]Hugst!$R$5:$W$9,MATCH(ROUNDUP((L$1)/10,0)*10,[1]Hugst!$R$4:$W$4,0))))</f>
        <v>3038.3580064436269</v>
      </c>
      <c r="M90">
        <f ca="1">IF($C90-M$1&lt;År1,0,L89*(1-VLOOKUP($A90,[1]Hugst!$R$5:$W$9,MATCH(ROUNDUP((M$1)/10,0)*10,[1]Hugst!$R$4:$W$4,0))))</f>
        <v>3034.1261972624275</v>
      </c>
      <c r="N90">
        <f ca="1">IF($C90-N$1&lt;År1,0,M89*(1-VLOOKUP($A90,[1]Hugst!$R$5:$W$9,MATCH(ROUNDUP((N$1)/10,0)*10,[1]Hugst!$R$4:$W$4,0))))</f>
        <v>3030.9130969172152</v>
      </c>
      <c r="O90">
        <f ca="1">IF($C90-O$1&lt;År1,0,N89*(1-VLOOKUP($A90,[1]Hugst!$R$5:$W$9,MATCH(ROUNDUP((O$1)/10,0)*10,[1]Hugst!$R$4:$W$4,0))))</f>
        <v>3027.7026053655304</v>
      </c>
      <c r="P90">
        <f ca="1">IF($C90-P$1&lt;År1,0,O89*(1-VLOOKUP($A90,[1]Hugst!$R$5:$W$9,MATCH(ROUNDUP((P$1)/10,0)*10,[1]Hugst!$R$4:$W$4,0))))</f>
        <v>3019.8811282888159</v>
      </c>
      <c r="Q90">
        <f ca="1">IF($C90-Q$1&lt;År1,0,P89*(1-VLOOKUP($A90,[1]Hugst!$R$5:$W$9,MATCH(ROUNDUP((Q$1)/10,0)*10,[1]Hugst!$R$4:$W$4,0))))</f>
        <v>3012.0791524952751</v>
      </c>
      <c r="R90">
        <f ca="1">IF($C90-R$1&lt;År1,0,Q89*(1-VLOOKUP($A90,[1]Hugst!$R$5:$W$9,MATCH(ROUNDUP((R$1)/10,0)*10,[1]Hugst!$R$4:$W$4,0))))</f>
        <v>3004.2966746726461</v>
      </c>
      <c r="S90">
        <f ca="1">IF($C90-S$1&lt;År1,0,R89*(1-VLOOKUP($A90,[1]Hugst!$R$5:$W$9,MATCH(ROUNDUP((S$1)/10,0)*10,[1]Hugst!$R$4:$W$4,0))))</f>
        <v>2996.5336916060419</v>
      </c>
      <c r="T90">
        <f ca="1">IF($C90-T$1&lt;År1,0,S89*(1-VLOOKUP($A90,[1]Hugst!$R$5:$W$9,MATCH(ROUNDUP((T$1)/10,0)*10,[1]Hugst!$R$4:$W$4,0))))</f>
        <v>2988.790200178184</v>
      </c>
      <c r="U90">
        <f ca="1">IF($C90-U$1&lt;År1,0,T89*(1-VLOOKUP($A90,[1]Hugst!$R$5:$W$9,MATCH(ROUNDUP((U$1)/10,0)*10,[1]Hugst!$R$4:$W$4,0))))</f>
        <v>2981.0661973693259</v>
      </c>
      <c r="V90">
        <f ca="1">IF($C90-V$1&lt;År1,0,U89*(1-VLOOKUP($A90,[1]Hugst!$R$5:$W$9,MATCH(ROUNDUP((V$1)/10,0)*10,[1]Hugst!$R$4:$W$4,0))))</f>
        <v>4730.2443294148197</v>
      </c>
      <c r="W90">
        <f ca="1">IF($C90-W$1&lt;År1,0,V89*(1-VLOOKUP($A90,[1]Hugst!$R$5:$W$9,MATCH(ROUNDUP((W$1)/10,0)*10,[1]Hugst!$R$4:$W$4,0))))</f>
        <v>4719.8793046951932</v>
      </c>
      <c r="X90">
        <f ca="1">IF($C90-X$1&lt;År1,0,W89*(1-VLOOKUP($A90,[1]Hugst!$R$5:$W$9,MATCH(ROUNDUP((X$1)/10,0)*10,[1]Hugst!$R$4:$W$4,0))))</f>
        <v>4716.8020908575063</v>
      </c>
      <c r="Y90">
        <f ca="1">IF($C90-Y$1&lt;År1,0,X89*(1-VLOOKUP($A90,[1]Hugst!$R$5:$W$9,MATCH(ROUNDUP((Y$1)/10,0)*10,[1]Hugst!$R$4:$W$4,0))))</f>
        <v>4713.7439673514236</v>
      </c>
      <c r="Z90">
        <f ca="1">IF($C90-Z$1&lt;År1,0,Y89*(1-VLOOKUP($A90,[1]Hugst!$R$5:$W$9,MATCH(ROUNDUP((Z$1)/10,0)*10,[1]Hugst!$R$4:$W$4,0))))</f>
        <v>4709.7053998719821</v>
      </c>
      <c r="AA90">
        <f ca="1">IF($C90-AA$1&lt;År1,0,Z89*(1-VLOOKUP($A90,[1]Hugst!$R$5:$W$9,MATCH(ROUNDUP((AA$1)/10,0)*10,[1]Hugst!$R$4:$W$4,0))))</f>
        <v>4705.6874586930135</v>
      </c>
      <c r="AB90">
        <f ca="1">IF($C90-AB$1&lt;År1,0,AA89*(1-VLOOKUP($A90,[1]Hugst!$R$5:$W$9,MATCH(ROUNDUP((AB$1)/10,0)*10,[1]Hugst!$R$4:$W$4,0))))</f>
        <v>4701.6901526098136</v>
      </c>
      <c r="AC90">
        <f ca="1">IF($C90-AC$1&lt;År1,0,AB89*(1-VLOOKUP($A90,[1]Hugst!$R$5:$W$9,MATCH(ROUNDUP((AC$1)/10,0)*10,[1]Hugst!$R$4:$W$4,0))))</f>
        <v>4697.7134905487428</v>
      </c>
      <c r="AD90">
        <f ca="1">IF($C90-AD$1&lt;År1,0,AC89*(1-VLOOKUP($A90,[1]Hugst!$R$5:$W$9,MATCH(ROUNDUP((AD$1)/10,0)*10,[1]Hugst!$R$4:$W$4,0))))</f>
        <v>4693.7574815674825</v>
      </c>
      <c r="AE90">
        <f ca="1">IF($C90-AE$1&lt;År1,0,AD89*(1-VLOOKUP($A90,[1]Hugst!$R$5:$W$9,MATCH(ROUNDUP((AE$1)/10,0)*10,[1]Hugst!$R$4:$W$4,0))))</f>
        <v>4689.8221348552497</v>
      </c>
      <c r="AF90">
        <f ca="1">IF($C90-AF$1&lt;År1,0,AE89*(1-VLOOKUP($A90,[1]Hugst!$R$5:$W$9,MATCH(ROUNDUP((AF$1)/10,0)*10,[1]Hugst!$R$4:$W$4,0))))</f>
        <v>4685.9074597331946</v>
      </c>
      <c r="AG90">
        <f>IF($C90-AG$1&lt;År1,0,AF89*(1-VLOOKUP($A90,[1]Hugst!$R$5:$W$9,MATCH(ROUNDUP((AG$1)/10,0)*10,[1]Hugst!$R$4:$W$4,0))))</f>
        <v>0</v>
      </c>
      <c r="AH90">
        <f>IF($C90-AH$1&lt;År1,0,AG89*(1-VLOOKUP($A90,[1]Hugst!$R$5:$W$9,MATCH(ROUNDUP((AH$1)/10,0)*10,[1]Hugst!$R$4:$W$4,0))))</f>
        <v>0</v>
      </c>
      <c r="AI90">
        <f>IF($C90-AI$1&lt;År1,0,AH89*(1-VLOOKUP($A90,[1]Hugst!$R$5:$W$9,MATCH(ROUNDUP((AI$1)/10,0)*10,[1]Hugst!$R$4:$W$4,0))))</f>
        <v>0</v>
      </c>
      <c r="AJ90">
        <f>IF($C90-AJ$1&lt;År1,0,AI89*(1-VLOOKUP($A90,[1]Hugst!$R$5:$W$9,MATCH(ROUNDUP((AJ$1)/10,0)*10,[1]Hugst!$R$4:$W$4,0))))</f>
        <v>0</v>
      </c>
    </row>
    <row r="91" spans="1:38" x14ac:dyDescent="0.25">
      <c r="A91" t="s">
        <v>177</v>
      </c>
      <c r="B91" t="s">
        <v>23</v>
      </c>
      <c r="C91">
        <v>2047</v>
      </c>
      <c r="D91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759.98819250648376</v>
      </c>
      <c r="E91">
        <f t="shared" ca="1" si="1"/>
        <v>119.00936622256995</v>
      </c>
      <c r="F91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3049.3679290994246</v>
      </c>
      <c r="G91">
        <f ca="1">IF($C91-G$1&lt;År1,0,F90*(1-VLOOKUP($A91,[1]Hugst!$R$5:$W$9,MATCH(ROUNDUP((G$1)/10,0)*10,[1]Hugst!$R$4:$W$4,0))))</f>
        <v>3047.7551399179888</v>
      </c>
      <c r="H91">
        <f ca="1">IF($C91-H$1&lt;År1,0,G90*(1-VLOOKUP($A91,[1]Hugst!$R$5:$W$9,MATCH(ROUNDUP((H$1)/10,0)*10,[1]Hugst!$R$4:$W$4,0))))</f>
        <v>3046.155540876151</v>
      </c>
      <c r="I91">
        <f ca="1">IF($C91-I$1&lt;År1,0,H90*(1-VLOOKUP($A91,[1]Hugst!$R$5:$W$9,MATCH(ROUNDUP((I$1)/10,0)*10,[1]Hugst!$R$4:$W$4,0))))</f>
        <v>3044.5692061587129</v>
      </c>
      <c r="J91">
        <f ca="1">IF($C91-J$1&lt;År1,0,I90*(1-VLOOKUP($A91,[1]Hugst!$R$5:$W$9,MATCH(ROUNDUP((J$1)/10,0)*10,[1]Hugst!$R$4:$W$4,0))))</f>
        <v>3042.9962102983504</v>
      </c>
      <c r="K91">
        <f ca="1">IF($C91-K$1&lt;År1,0,J90*(1-VLOOKUP($A91,[1]Hugst!$R$5:$W$9,MATCH(ROUNDUP((K$1)/10,0)*10,[1]Hugst!$R$4:$W$4,0))))</f>
        <v>3041.4366281775897</v>
      </c>
      <c r="L91">
        <f ca="1">IF($C91-L$1&lt;År1,0,K90*(1-VLOOKUP($A91,[1]Hugst!$R$5:$W$9,MATCH(ROUNDUP((L$1)/10,0)*10,[1]Hugst!$R$4:$W$4,0))))</f>
        <v>3039.8905350303598</v>
      </c>
      <c r="M91">
        <f ca="1">IF($C91-M$1&lt;År1,0,L90*(1-VLOOKUP($A91,[1]Hugst!$R$5:$W$9,MATCH(ROUNDUP((M$1)/10,0)*10,[1]Hugst!$R$4:$W$4,0))))</f>
        <v>3038.3580064436269</v>
      </c>
      <c r="N91">
        <f ca="1">IF($C91-N$1&lt;År1,0,M90*(1-VLOOKUP($A91,[1]Hugst!$R$5:$W$9,MATCH(ROUNDUP((N$1)/10,0)*10,[1]Hugst!$R$4:$W$4,0))))</f>
        <v>3034.1261972624275</v>
      </c>
      <c r="O91">
        <f ca="1">IF($C91-O$1&lt;År1,0,N90*(1-VLOOKUP($A91,[1]Hugst!$R$5:$W$9,MATCH(ROUNDUP((O$1)/10,0)*10,[1]Hugst!$R$4:$W$4,0))))</f>
        <v>3030.9130969172152</v>
      </c>
      <c r="P91">
        <f ca="1">IF($C91-P$1&lt;År1,0,O90*(1-VLOOKUP($A91,[1]Hugst!$R$5:$W$9,MATCH(ROUNDUP((P$1)/10,0)*10,[1]Hugst!$R$4:$W$4,0))))</f>
        <v>3023.0840759675152</v>
      </c>
      <c r="Q91">
        <f ca="1">IF($C91-Q$1&lt;År1,0,P90*(1-VLOOKUP($A91,[1]Hugst!$R$5:$W$9,MATCH(ROUNDUP((Q$1)/10,0)*10,[1]Hugst!$R$4:$W$4,0))))</f>
        <v>3015.2745299575276</v>
      </c>
      <c r="R91">
        <f ca="1">IF($C91-R$1&lt;År1,0,Q90*(1-VLOOKUP($A91,[1]Hugst!$R$5:$W$9,MATCH(ROUNDUP((R$1)/10,0)*10,[1]Hugst!$R$4:$W$4,0))))</f>
        <v>3007.4844554829942</v>
      </c>
      <c r="S91">
        <f ca="1">IF($C91-S$1&lt;År1,0,R90*(1-VLOOKUP($A91,[1]Hugst!$R$5:$W$9,MATCH(ROUNDUP((S$1)/10,0)*10,[1]Hugst!$R$4:$W$4,0))))</f>
        <v>2999.7138492367048</v>
      </c>
      <c r="T91">
        <f ca="1">IF($C91-T$1&lt;År1,0,S90*(1-VLOOKUP($A91,[1]Hugst!$R$5:$W$9,MATCH(ROUNDUP((T$1)/10,0)*10,[1]Hugst!$R$4:$W$4,0))))</f>
        <v>2991.9627080086766</v>
      </c>
      <c r="U91">
        <f ca="1">IF($C91-U$1&lt;År1,0,T90*(1-VLOOKUP($A91,[1]Hugst!$R$5:$W$9,MATCH(ROUNDUP((U$1)/10,0)*10,[1]Hugst!$R$4:$W$4,0))))</f>
        <v>2984.2310286863867</v>
      </c>
      <c r="V91">
        <f ca="1">IF($C91-V$1&lt;År1,0,U90*(1-VLOOKUP($A91,[1]Hugst!$R$5:$W$9,MATCH(ROUNDUP((V$1)/10,0)*10,[1]Hugst!$R$4:$W$4,0))))</f>
        <v>2976.5188082546947</v>
      </c>
      <c r="W91">
        <f ca="1">IF($C91-W$1&lt;År1,0,V90*(1-VLOOKUP($A91,[1]Hugst!$R$5:$W$9,MATCH(ROUNDUP((W$1)/10,0)*10,[1]Hugst!$R$4:$W$4,0))))</f>
        <v>4723.0287024716445</v>
      </c>
      <c r="X91">
        <f ca="1">IF($C91-X$1&lt;År1,0,W90*(1-VLOOKUP($A91,[1]Hugst!$R$5:$W$9,MATCH(ROUNDUP((X$1)/10,0)*10,[1]Hugst!$R$4:$W$4,0))))</f>
        <v>4712.6794888066752</v>
      </c>
      <c r="Y91">
        <f ca="1">IF($C91-Y$1&lt;År1,0,X90*(1-VLOOKUP($A91,[1]Hugst!$R$5:$W$9,MATCH(ROUNDUP((Y$1)/10,0)*10,[1]Hugst!$R$4:$W$4,0))))</f>
        <v>4709.6069690239947</v>
      </c>
      <c r="Z91">
        <f ca="1">IF($C91-Z$1&lt;År1,0,Y90*(1-VLOOKUP($A91,[1]Hugst!$R$5:$W$9,MATCH(ROUNDUP((Z$1)/10,0)*10,[1]Hugst!$R$4:$W$4,0))))</f>
        <v>4705.55483588272</v>
      </c>
      <c r="AA91">
        <f ca="1">IF($C91-AA$1&lt;År1,0,Z90*(1-VLOOKUP($A91,[1]Hugst!$R$5:$W$9,MATCH(ROUNDUP((AA$1)/10,0)*10,[1]Hugst!$R$4:$W$4,0))))</f>
        <v>4701.5232845586452</v>
      </c>
      <c r="AB91">
        <f ca="1">IF($C91-AB$1&lt;År1,0,AA90*(1-VLOOKUP($A91,[1]Hugst!$R$5:$W$9,MATCH(ROUNDUP((AB$1)/10,0)*10,[1]Hugst!$R$4:$W$4,0))))</f>
        <v>4697.5123237012158</v>
      </c>
      <c r="AC91">
        <f ca="1">IF($C91-AC$1&lt;År1,0,AB90*(1-VLOOKUP($A91,[1]Hugst!$R$5:$W$9,MATCH(ROUNDUP((AC$1)/10,0)*10,[1]Hugst!$R$4:$W$4,0))))</f>
        <v>4693.5219620904491</v>
      </c>
      <c r="AD91">
        <f ca="1">IF($C91-AD$1&lt;År1,0,AC90*(1-VLOOKUP($A91,[1]Hugst!$R$5:$W$9,MATCH(ROUNDUP((AD$1)/10,0)*10,[1]Hugst!$R$4:$W$4,0))))</f>
        <v>4689.5522086371957</v>
      </c>
      <c r="AE91">
        <f ca="1">IF($C91-AE$1&lt;År1,0,AD90*(1-VLOOKUP($A91,[1]Hugst!$R$5:$W$9,MATCH(ROUNDUP((AE$1)/10,0)*10,[1]Hugst!$R$4:$W$4,0))))</f>
        <v>4685.6030723834028</v>
      </c>
      <c r="AF91">
        <f ca="1">IF($C91-AF$1&lt;År1,0,AE90*(1-VLOOKUP($A91,[1]Hugst!$R$5:$W$9,MATCH(ROUNDUP((AF$1)/10,0)*10,[1]Hugst!$R$4:$W$4,0))))</f>
        <v>4681.6745625023232</v>
      </c>
      <c r="AG91">
        <f ca="1">IF($C91-AG$1&lt;År1,0,AF90*(1-VLOOKUP($A91,[1]Hugst!$R$5:$W$9,MATCH(ROUNDUP((AG$1)/10,0)*10,[1]Hugst!$R$4:$W$4,0))))</f>
        <v>4677.7666882989124</v>
      </c>
      <c r="AH91">
        <f>IF($C91-AH$1&lt;År1,0,AG90*(1-VLOOKUP($A91,[1]Hugst!$R$5:$W$9,MATCH(ROUNDUP((AH$1)/10,0)*10,[1]Hugst!$R$4:$W$4,0))))</f>
        <v>0</v>
      </c>
      <c r="AI91">
        <f>IF($C91-AI$1&lt;År1,0,AH90*(1-VLOOKUP($A91,[1]Hugst!$R$5:$W$9,MATCH(ROUNDUP((AI$1)/10,0)*10,[1]Hugst!$R$4:$W$4,0))))</f>
        <v>0</v>
      </c>
      <c r="AJ91">
        <f>IF($C91-AJ$1&lt;År1,0,AI90*(1-VLOOKUP($A91,[1]Hugst!$R$5:$W$9,MATCH(ROUNDUP((AJ$1)/10,0)*10,[1]Hugst!$R$4:$W$4,0))))</f>
        <v>0</v>
      </c>
    </row>
    <row r="92" spans="1:38" x14ac:dyDescent="0.25">
      <c r="A92" t="s">
        <v>177</v>
      </c>
      <c r="B92" t="s">
        <v>23</v>
      </c>
      <c r="C92">
        <v>2048</v>
      </c>
      <c r="D92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756.18825154397564</v>
      </c>
      <c r="E92">
        <f t="shared" ca="1" si="1"/>
        <v>124.43521266808966</v>
      </c>
      <c r="F92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3050.9938345824362</v>
      </c>
      <c r="G92">
        <f ca="1">IF($C92-G$1&lt;År1,0,F91*(1-VLOOKUP($A92,[1]Hugst!$R$5:$W$9,MATCH(ROUNDUP((G$1)/10,0)*10,[1]Hugst!$R$4:$W$4,0))))</f>
        <v>3049.3679290994246</v>
      </c>
      <c r="H92">
        <f ca="1">IF($C92-H$1&lt;År1,0,G91*(1-VLOOKUP($A92,[1]Hugst!$R$5:$W$9,MATCH(ROUNDUP((H$1)/10,0)*10,[1]Hugst!$R$4:$W$4,0))))</f>
        <v>3047.7551399179888</v>
      </c>
      <c r="I92">
        <f ca="1">IF($C92-I$1&lt;År1,0,H91*(1-VLOOKUP($A92,[1]Hugst!$R$5:$W$9,MATCH(ROUNDUP((I$1)/10,0)*10,[1]Hugst!$R$4:$W$4,0))))</f>
        <v>3046.155540876151</v>
      </c>
      <c r="J92">
        <f ca="1">IF($C92-J$1&lt;År1,0,I91*(1-VLOOKUP($A92,[1]Hugst!$R$5:$W$9,MATCH(ROUNDUP((J$1)/10,0)*10,[1]Hugst!$R$4:$W$4,0))))</f>
        <v>3044.5692061587129</v>
      </c>
      <c r="K92">
        <f ca="1">IF($C92-K$1&lt;År1,0,J91*(1-VLOOKUP($A92,[1]Hugst!$R$5:$W$9,MATCH(ROUNDUP((K$1)/10,0)*10,[1]Hugst!$R$4:$W$4,0))))</f>
        <v>3042.9962102983504</v>
      </c>
      <c r="L92">
        <f ca="1">IF($C92-L$1&lt;År1,0,K91*(1-VLOOKUP($A92,[1]Hugst!$R$5:$W$9,MATCH(ROUNDUP((L$1)/10,0)*10,[1]Hugst!$R$4:$W$4,0))))</f>
        <v>3041.4366281775897</v>
      </c>
      <c r="M92">
        <f ca="1">IF($C92-M$1&lt;År1,0,L91*(1-VLOOKUP($A92,[1]Hugst!$R$5:$W$9,MATCH(ROUNDUP((M$1)/10,0)*10,[1]Hugst!$R$4:$W$4,0))))</f>
        <v>3039.8905350303598</v>
      </c>
      <c r="N92">
        <f ca="1">IF($C92-N$1&lt;År1,0,M91*(1-VLOOKUP($A92,[1]Hugst!$R$5:$W$9,MATCH(ROUNDUP((N$1)/10,0)*10,[1]Hugst!$R$4:$W$4,0))))</f>
        <v>3038.3580064436269</v>
      </c>
      <c r="O92">
        <f ca="1">IF($C92-O$1&lt;År1,0,N91*(1-VLOOKUP($A92,[1]Hugst!$R$5:$W$9,MATCH(ROUNDUP((O$1)/10,0)*10,[1]Hugst!$R$4:$W$4,0))))</f>
        <v>3034.1261972624275</v>
      </c>
      <c r="P92">
        <f ca="1">IF($C92-P$1&lt;År1,0,O91*(1-VLOOKUP($A92,[1]Hugst!$R$5:$W$9,MATCH(ROUNDUP((P$1)/10,0)*10,[1]Hugst!$R$4:$W$4,0))))</f>
        <v>3026.2896701592058</v>
      </c>
      <c r="Q92">
        <f ca="1">IF($C92-Q$1&lt;År1,0,P91*(1-VLOOKUP($A92,[1]Hugst!$R$5:$W$9,MATCH(ROUNDUP((Q$1)/10,0)*10,[1]Hugst!$R$4:$W$4,0))))</f>
        <v>3018.4725917838359</v>
      </c>
      <c r="R92">
        <f ca="1">IF($C92-R$1&lt;År1,0,Q91*(1-VLOOKUP($A92,[1]Hugst!$R$5:$W$9,MATCH(ROUNDUP((R$1)/10,0)*10,[1]Hugst!$R$4:$W$4,0))))</f>
        <v>3010.6749586406431</v>
      </c>
      <c r="S92">
        <f ca="1">IF($C92-S$1&lt;År1,0,R91*(1-VLOOKUP($A92,[1]Hugst!$R$5:$W$9,MATCH(ROUNDUP((S$1)/10,0)*10,[1]Hugst!$R$4:$W$4,0))))</f>
        <v>3002.8967673305624</v>
      </c>
      <c r="T92">
        <f ca="1">IF($C92-T$1&lt;År1,0,S91*(1-VLOOKUP($A92,[1]Hugst!$R$5:$W$9,MATCH(ROUNDUP((T$1)/10,0)*10,[1]Hugst!$R$4:$W$4,0))))</f>
        <v>2995.1380145514286</v>
      </c>
      <c r="U92">
        <f ca="1">IF($C92-U$1&lt;År1,0,T91*(1-VLOOKUP($A92,[1]Hugst!$R$5:$W$9,MATCH(ROUNDUP((U$1)/10,0)*10,[1]Hugst!$R$4:$W$4,0))))</f>
        <v>2987.3986970981546</v>
      </c>
      <c r="V92">
        <f ca="1">IF($C92-V$1&lt;År1,0,U91*(1-VLOOKUP($A92,[1]Hugst!$R$5:$W$9,MATCH(ROUNDUP((V$1)/10,0)*10,[1]Hugst!$R$4:$W$4,0))))</f>
        <v>2979.6788118629665</v>
      </c>
      <c r="W92">
        <f ca="1">IF($C92-W$1&lt;År1,0,V91*(1-VLOOKUP($A92,[1]Hugst!$R$5:$W$9,MATCH(ROUNDUP((W$1)/10,0)*10,[1]Hugst!$R$4:$W$4,0))))</f>
        <v>2971.9783558353229</v>
      </c>
      <c r="X92">
        <f ca="1">IF($C92-X$1&lt;År1,0,W91*(1-VLOOKUP($A92,[1]Hugst!$R$5:$W$9,MATCH(ROUNDUP((X$1)/10,0)*10,[1]Hugst!$R$4:$W$4,0))))</f>
        <v>4715.8240824170261</v>
      </c>
      <c r="Y92">
        <f ca="1">IF($C92-Y$1&lt;År1,0,X91*(1-VLOOKUP($A92,[1]Hugst!$R$5:$W$9,MATCH(ROUNDUP((Y$1)/10,0)*10,[1]Hugst!$R$4:$W$4,0))))</f>
        <v>4705.490655688156</v>
      </c>
      <c r="Z92">
        <f ca="1">IF($C92-Z$1&lt;År1,0,Y91*(1-VLOOKUP($A92,[1]Hugst!$R$5:$W$9,MATCH(ROUNDUP((Z$1)/10,0)*10,[1]Hugst!$R$4:$W$4,0))))</f>
        <v>4701.4250247134023</v>
      </c>
      <c r="AA92">
        <f ca="1">IF($C92-AA$1&lt;År1,0,Z91*(1-VLOOKUP($A92,[1]Hugst!$R$5:$W$9,MATCH(ROUNDUP((AA$1)/10,0)*10,[1]Hugst!$R$4:$W$4,0))))</f>
        <v>4697.3799312949577</v>
      </c>
      <c r="AB92">
        <f ca="1">IF($C92-AB$1&lt;År1,0,AA91*(1-VLOOKUP($A92,[1]Hugst!$R$5:$W$9,MATCH(ROUNDUP((AB$1)/10,0)*10,[1]Hugst!$R$4:$W$4,0))))</f>
        <v>4693.3553839371662</v>
      </c>
      <c r="AC92">
        <f ca="1">IF($C92-AC$1&lt;År1,0,AB91*(1-VLOOKUP($A92,[1]Hugst!$R$5:$W$9,MATCH(ROUNDUP((AC$1)/10,0)*10,[1]Hugst!$R$4:$W$4,0))))</f>
        <v>4689.3513912744465</v>
      </c>
      <c r="AD92">
        <f ca="1">IF($C92-AD$1&lt;År1,0,AC91*(1-VLOOKUP($A92,[1]Hugst!$R$5:$W$9,MATCH(ROUNDUP((AD$1)/10,0)*10,[1]Hugst!$R$4:$W$4,0))))</f>
        <v>4685.3679620715629</v>
      </c>
      <c r="AE92">
        <f ca="1">IF($C92-AE$1&lt;År1,0,AD91*(1-VLOOKUP($A92,[1]Hugst!$R$5:$W$9,MATCH(ROUNDUP((AE$1)/10,0)*10,[1]Hugst!$R$4:$W$4,0))))</f>
        <v>4681.4051052238847</v>
      </c>
      <c r="AF92">
        <f ca="1">IF($C92-AF$1&lt;År1,0,AE91*(1-VLOOKUP($A92,[1]Hugst!$R$5:$W$9,MATCH(ROUNDUP((AF$1)/10,0)*10,[1]Hugst!$R$4:$W$4,0))))</f>
        <v>4677.4628297576519</v>
      </c>
      <c r="AG92">
        <f ca="1">IF($C92-AG$1&lt;År1,0,AF91*(1-VLOOKUP($A92,[1]Hugst!$R$5:$W$9,MATCH(ROUNDUP((AG$1)/10,0)*10,[1]Hugst!$R$4:$W$4,0))))</f>
        <v>4673.5411448301793</v>
      </c>
      <c r="AH92">
        <f ca="1">IF($C92-AH$1&lt;År1,0,AG91*(1-VLOOKUP($A92,[1]Hugst!$R$5:$W$9,MATCH(ROUNDUP((AH$1)/10,0)*10,[1]Hugst!$R$4:$W$4,0))))</f>
        <v>4669.6400597302572</v>
      </c>
      <c r="AI92">
        <f>IF($C92-AI$1&lt;År1,0,AH91*(1-VLOOKUP($A92,[1]Hugst!$R$5:$W$9,MATCH(ROUNDUP((AI$1)/10,0)*10,[1]Hugst!$R$4:$W$4,0))))</f>
        <v>0</v>
      </c>
      <c r="AJ92">
        <f>IF($C92-AJ$1&lt;År1,0,AI91*(1-VLOOKUP($A92,[1]Hugst!$R$5:$W$9,MATCH(ROUNDUP((AJ$1)/10,0)*10,[1]Hugst!$R$4:$W$4,0))))</f>
        <v>0</v>
      </c>
    </row>
    <row r="93" spans="1:38" x14ac:dyDescent="0.25">
      <c r="A93" t="s">
        <v>177</v>
      </c>
      <c r="B93" t="s">
        <v>23</v>
      </c>
      <c r="C93">
        <v>2049</v>
      </c>
      <c r="D93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752.40731028625669</v>
      </c>
      <c r="E93">
        <f t="shared" ca="1" si="1"/>
        <v>129.8551022169122</v>
      </c>
      <c r="F93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3052.6327828735398</v>
      </c>
      <c r="G93">
        <f ca="1">IF($C93-G$1&lt;År1,0,F92*(1-VLOOKUP($A93,[1]Hugst!$R$5:$W$9,MATCH(ROUNDUP((G$1)/10,0)*10,[1]Hugst!$R$4:$W$4,0))))</f>
        <v>3050.9938345824362</v>
      </c>
      <c r="H93">
        <f ca="1">IF($C93-H$1&lt;År1,0,G92*(1-VLOOKUP($A93,[1]Hugst!$R$5:$W$9,MATCH(ROUNDUP((H$1)/10,0)*10,[1]Hugst!$R$4:$W$4,0))))</f>
        <v>3049.3679290994246</v>
      </c>
      <c r="I93">
        <f ca="1">IF($C93-I$1&lt;År1,0,H92*(1-VLOOKUP($A93,[1]Hugst!$R$5:$W$9,MATCH(ROUNDUP((I$1)/10,0)*10,[1]Hugst!$R$4:$W$4,0))))</f>
        <v>3047.7551399179888</v>
      </c>
      <c r="J93">
        <f ca="1">IF($C93-J$1&lt;År1,0,I92*(1-VLOOKUP($A93,[1]Hugst!$R$5:$W$9,MATCH(ROUNDUP((J$1)/10,0)*10,[1]Hugst!$R$4:$W$4,0))))</f>
        <v>3046.155540876151</v>
      </c>
      <c r="K93">
        <f ca="1">IF($C93-K$1&lt;År1,0,J92*(1-VLOOKUP($A93,[1]Hugst!$R$5:$W$9,MATCH(ROUNDUP((K$1)/10,0)*10,[1]Hugst!$R$4:$W$4,0))))</f>
        <v>3044.5692061587129</v>
      </c>
      <c r="L93">
        <f ca="1">IF($C93-L$1&lt;År1,0,K92*(1-VLOOKUP($A93,[1]Hugst!$R$5:$W$9,MATCH(ROUNDUP((L$1)/10,0)*10,[1]Hugst!$R$4:$W$4,0))))</f>
        <v>3042.9962102983504</v>
      </c>
      <c r="M93">
        <f ca="1">IF($C93-M$1&lt;År1,0,L92*(1-VLOOKUP($A93,[1]Hugst!$R$5:$W$9,MATCH(ROUNDUP((M$1)/10,0)*10,[1]Hugst!$R$4:$W$4,0))))</f>
        <v>3041.4366281775897</v>
      </c>
      <c r="N93">
        <f ca="1">IF($C93-N$1&lt;År1,0,M92*(1-VLOOKUP($A93,[1]Hugst!$R$5:$W$9,MATCH(ROUNDUP((N$1)/10,0)*10,[1]Hugst!$R$4:$W$4,0))))</f>
        <v>3039.8905350303598</v>
      </c>
      <c r="O93">
        <f ca="1">IF($C93-O$1&lt;År1,0,N92*(1-VLOOKUP($A93,[1]Hugst!$R$5:$W$9,MATCH(ROUNDUP((O$1)/10,0)*10,[1]Hugst!$R$4:$W$4,0))))</f>
        <v>3038.3580064436269</v>
      </c>
      <c r="P93">
        <f ca="1">IF($C93-P$1&lt;År1,0,O92*(1-VLOOKUP($A93,[1]Hugst!$R$5:$W$9,MATCH(ROUNDUP((P$1)/10,0)*10,[1]Hugst!$R$4:$W$4,0))))</f>
        <v>3029.4978691649085</v>
      </c>
      <c r="Q93">
        <f ca="1">IF($C93-Q$1&lt;År1,0,P92*(1-VLOOKUP($A93,[1]Hugst!$R$5:$W$9,MATCH(ROUNDUP((Q$1)/10,0)*10,[1]Hugst!$R$4:$W$4,0))))</f>
        <v>3021.6732960860813</v>
      </c>
      <c r="R93">
        <f ca="1">IF($C93-R$1&lt;År1,0,Q92*(1-VLOOKUP($A93,[1]Hugst!$R$5:$W$9,MATCH(ROUNDUP((R$1)/10,0)*10,[1]Hugst!$R$4:$W$4,0))))</f>
        <v>3013.8681420675553</v>
      </c>
      <c r="S93">
        <f ca="1">IF($C93-S$1&lt;År1,0,R92*(1-VLOOKUP($A93,[1]Hugst!$R$5:$W$9,MATCH(ROUNDUP((S$1)/10,0)*10,[1]Hugst!$R$4:$W$4,0))))</f>
        <v>3006.0824036189879</v>
      </c>
      <c r="T93">
        <f ca="1">IF($C93-T$1&lt;År1,0,S92*(1-VLOOKUP($A93,[1]Hugst!$R$5:$W$9,MATCH(ROUNDUP((T$1)/10,0)*10,[1]Hugst!$R$4:$W$4,0))))</f>
        <v>2998.3160773464988</v>
      </c>
      <c r="U93">
        <f ca="1">IF($C93-U$1&lt;År1,0,T92*(1-VLOOKUP($A93,[1]Hugst!$R$5:$W$9,MATCH(ROUNDUP((U$1)/10,0)*10,[1]Hugst!$R$4:$W$4,0))))</f>
        <v>2990.56915995296</v>
      </c>
      <c r="V93">
        <f ca="1">IF($C93-V$1&lt;År1,0,U92*(1-VLOOKUP($A93,[1]Hugst!$R$5:$W$9,MATCH(ROUNDUP((V$1)/10,0)*10,[1]Hugst!$R$4:$W$4,0))))</f>
        <v>2982.8416482381745</v>
      </c>
      <c r="W93">
        <f ca="1">IF($C93-W$1&lt;År1,0,V92*(1-VLOOKUP($A93,[1]Hugst!$R$5:$W$9,MATCH(ROUNDUP((W$1)/10,0)*10,[1]Hugst!$R$4:$W$4,0))))</f>
        <v>2975.1335390991076</v>
      </c>
      <c r="X93">
        <f ca="1">IF($C93-X$1&lt;År1,0,W92*(1-VLOOKUP($A93,[1]Hugst!$R$5:$W$9,MATCH(ROUNDUP((X$1)/10,0)*10,[1]Hugst!$R$4:$W$4,0))))</f>
        <v>2967.4448295298112</v>
      </c>
      <c r="Y93">
        <f ca="1">IF($C93-Y$1&lt;År1,0,X92*(1-VLOOKUP($A93,[1]Hugst!$R$5:$W$9,MATCH(ROUNDUP((Y$1)/10,0)*10,[1]Hugst!$R$4:$W$4,0))))</f>
        <v>4708.6304524607967</v>
      </c>
      <c r="Z93">
        <f ca="1">IF($C93-Z$1&lt;År1,0,Y92*(1-VLOOKUP($A93,[1]Hugst!$R$5:$W$9,MATCH(ROUNDUP((Z$1)/10,0)*10,[1]Hugst!$R$4:$W$4,0))))</f>
        <v>4697.315862599884</v>
      </c>
      <c r="AA93">
        <f ca="1">IF($C93-AA$1&lt;År1,0,Z92*(1-VLOOKUP($A93,[1]Hugst!$R$5:$W$9,MATCH(ROUNDUP((AA$1)/10,0)*10,[1]Hugst!$R$4:$W$4,0))))</f>
        <v>4693.2572947975868</v>
      </c>
      <c r="AB93">
        <f ca="1">IF($C93-AB$1&lt;År1,0,AA92*(1-VLOOKUP($A93,[1]Hugst!$R$5:$W$9,MATCH(ROUNDUP((AB$1)/10,0)*10,[1]Hugst!$R$4:$W$4,0))))</f>
        <v>4689.2192288719452</v>
      </c>
      <c r="AC93">
        <f ca="1">IF($C93-AC$1&lt;År1,0,AB92*(1-VLOOKUP($A93,[1]Hugst!$R$5:$W$9,MATCH(ROUNDUP((AC$1)/10,0)*10,[1]Hugst!$R$4:$W$4,0))))</f>
        <v>4685.2016733125292</v>
      </c>
      <c r="AD93">
        <f ca="1">IF($C93-AD$1&lt;År1,0,AC92*(1-VLOOKUP($A93,[1]Hugst!$R$5:$W$9,MATCH(ROUNDUP((AD$1)/10,0)*10,[1]Hugst!$R$4:$W$4,0))))</f>
        <v>4681.2046367387575</v>
      </c>
      <c r="AE93">
        <f ca="1">IF($C93-AE$1&lt;År1,0,AD92*(1-VLOOKUP($A93,[1]Hugst!$R$5:$W$9,MATCH(ROUNDUP((AE$1)/10,0)*10,[1]Hugst!$R$4:$W$4,0))))</f>
        <v>4677.2281279001672</v>
      </c>
      <c r="AF93">
        <f ca="1">IF($C93-AF$1&lt;År1,0,AE92*(1-VLOOKUP($A93,[1]Hugst!$R$5:$W$9,MATCH(ROUNDUP((AF$1)/10,0)*10,[1]Hugst!$R$4:$W$4,0))))</f>
        <v>4673.2721556766737</v>
      </c>
      <c r="AG93">
        <f ca="1">IF($C93-AG$1&lt;År1,0,AF92*(1-VLOOKUP($A93,[1]Hugst!$R$5:$W$9,MATCH(ROUNDUP((AG$1)/10,0)*10,[1]Hugst!$R$4:$W$4,0))))</f>
        <v>4669.3367290788356</v>
      </c>
      <c r="AH93">
        <f ca="1">IF($C93-AH$1&lt;År1,0,AG92*(1-VLOOKUP($A93,[1]Hugst!$R$5:$W$9,MATCH(ROUNDUP((AH$1)/10,0)*10,[1]Hugst!$R$4:$W$4,0))))</f>
        <v>4665.4218572480586</v>
      </c>
      <c r="AI93">
        <f ca="1">IF($C93-AI$1&lt;År1,0,AH92*(1-VLOOKUP($A93,[1]Hugst!$R$5:$W$9,MATCH(ROUNDUP((AI$1)/10,0)*10,[1]Hugst!$R$4:$W$4,0))))</f>
        <v>4661.5275494569969</v>
      </c>
      <c r="AJ93">
        <f>IF($C93-AJ$1&lt;År1,0,AI92*(1-VLOOKUP($A93,[1]Hugst!$R$5:$W$9,MATCH(ROUNDUP((AJ$1)/10,0)*10,[1]Hugst!$R$4:$W$4,0))))</f>
        <v>0</v>
      </c>
    </row>
    <row r="94" spans="1:38" x14ac:dyDescent="0.25">
      <c r="A94" t="s">
        <v>177</v>
      </c>
      <c r="B94" t="s">
        <v>23</v>
      </c>
      <c r="C94">
        <v>2050</v>
      </c>
      <c r="D94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748.64527373483725</v>
      </c>
      <c r="E94">
        <f t="shared" ca="1" si="1"/>
        <v>131.32169263900141</v>
      </c>
      <c r="F94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3050.3373367442096</v>
      </c>
      <c r="G94">
        <f ca="1">IF($C94-G$1&lt;År1,0,F93*(1-VLOOKUP($A94,[1]Hugst!$R$5:$W$9,MATCH(ROUNDUP((G$1)/10,0)*10,[1]Hugst!$R$4:$W$4,0))))</f>
        <v>3052.6327828735398</v>
      </c>
      <c r="H94">
        <f ca="1">IF($C94-H$1&lt;År1,0,G93*(1-VLOOKUP($A94,[1]Hugst!$R$5:$W$9,MATCH(ROUNDUP((H$1)/10,0)*10,[1]Hugst!$R$4:$W$4,0))))</f>
        <v>3050.9938345824362</v>
      </c>
      <c r="I94">
        <f ca="1">IF($C94-I$1&lt;År1,0,H93*(1-VLOOKUP($A94,[1]Hugst!$R$5:$W$9,MATCH(ROUNDUP((I$1)/10,0)*10,[1]Hugst!$R$4:$W$4,0))))</f>
        <v>3049.3679290994246</v>
      </c>
      <c r="J94">
        <f ca="1">IF($C94-J$1&lt;År1,0,I93*(1-VLOOKUP($A94,[1]Hugst!$R$5:$W$9,MATCH(ROUNDUP((J$1)/10,0)*10,[1]Hugst!$R$4:$W$4,0))))</f>
        <v>3047.7551399179888</v>
      </c>
      <c r="K94">
        <f ca="1">IF($C94-K$1&lt;År1,0,J93*(1-VLOOKUP($A94,[1]Hugst!$R$5:$W$9,MATCH(ROUNDUP((K$1)/10,0)*10,[1]Hugst!$R$4:$W$4,0))))</f>
        <v>3046.155540876151</v>
      </c>
      <c r="L94">
        <f ca="1">IF($C94-L$1&lt;År1,0,K93*(1-VLOOKUP($A94,[1]Hugst!$R$5:$W$9,MATCH(ROUNDUP((L$1)/10,0)*10,[1]Hugst!$R$4:$W$4,0))))</f>
        <v>3044.5692061587129</v>
      </c>
      <c r="M94">
        <f ca="1">IF($C94-M$1&lt;År1,0,L93*(1-VLOOKUP($A94,[1]Hugst!$R$5:$W$9,MATCH(ROUNDUP((M$1)/10,0)*10,[1]Hugst!$R$4:$W$4,0))))</f>
        <v>3042.9962102983504</v>
      </c>
      <c r="N94">
        <f ca="1">IF($C94-N$1&lt;År1,0,M93*(1-VLOOKUP($A94,[1]Hugst!$R$5:$W$9,MATCH(ROUNDUP((N$1)/10,0)*10,[1]Hugst!$R$4:$W$4,0))))</f>
        <v>3041.4366281775897</v>
      </c>
      <c r="O94">
        <f ca="1">IF($C94-O$1&lt;År1,0,N93*(1-VLOOKUP($A94,[1]Hugst!$R$5:$W$9,MATCH(ROUNDUP((O$1)/10,0)*10,[1]Hugst!$R$4:$W$4,0))))</f>
        <v>3039.8905350303598</v>
      </c>
      <c r="P94">
        <f ca="1">IF($C94-P$1&lt;År1,0,O93*(1-VLOOKUP($A94,[1]Hugst!$R$5:$W$9,MATCH(ROUNDUP((P$1)/10,0)*10,[1]Hugst!$R$4:$W$4,0))))</f>
        <v>3033.7232230439672</v>
      </c>
      <c r="Q94">
        <f ca="1">IF($C94-Q$1&lt;År1,0,P93*(1-VLOOKUP($A94,[1]Hugst!$R$5:$W$9,MATCH(ROUNDUP((Q$1)/10,0)*10,[1]Hugst!$R$4:$W$4,0))))</f>
        <v>3024.8766012288943</v>
      </c>
      <c r="R94">
        <f ca="1">IF($C94-R$1&lt;År1,0,Q93*(1-VLOOKUP($A94,[1]Hugst!$R$5:$W$9,MATCH(ROUNDUP((R$1)/10,0)*10,[1]Hugst!$R$4:$W$4,0))))</f>
        <v>3017.0639639395094</v>
      </c>
      <c r="S94">
        <f ca="1">IF($C94-S$1&lt;År1,0,R93*(1-VLOOKUP($A94,[1]Hugst!$R$5:$W$9,MATCH(ROUNDUP((S$1)/10,0)*10,[1]Hugst!$R$4:$W$4,0))))</f>
        <v>3009.27071608813</v>
      </c>
      <c r="T94">
        <f ca="1">IF($C94-T$1&lt;År1,0,S93*(1-VLOOKUP($A94,[1]Hugst!$R$5:$W$9,MATCH(ROUNDUP((T$1)/10,0)*10,[1]Hugst!$R$4:$W$4,0))))</f>
        <v>3001.4968541897383</v>
      </c>
      <c r="U94">
        <f ca="1">IF($C94-U$1&lt;År1,0,T93*(1-VLOOKUP($A94,[1]Hugst!$R$5:$W$9,MATCH(ROUNDUP((U$1)/10,0)*10,[1]Hugst!$R$4:$W$4,0))))</f>
        <v>2993.7423748556312</v>
      </c>
      <c r="V94">
        <f ca="1">IF($C94-V$1&lt;År1,0,U93*(1-VLOOKUP($A94,[1]Hugst!$R$5:$W$9,MATCH(ROUNDUP((V$1)/10,0)*10,[1]Hugst!$R$4:$W$4,0))))</f>
        <v>2986.0072747937097</v>
      </c>
      <c r="W94">
        <f ca="1">IF($C94-W$1&lt;År1,0,V93*(1-VLOOKUP($A94,[1]Hugst!$R$5:$W$9,MATCH(ROUNDUP((W$1)/10,0)*10,[1]Hugst!$R$4:$W$4,0))))</f>
        <v>2978.2915508086585</v>
      </c>
      <c r="X94">
        <f ca="1">IF($C94-X$1&lt;År1,0,W93*(1-VLOOKUP($A94,[1]Hugst!$R$5:$W$9,MATCH(ROUNDUP((X$1)/10,0)*10,[1]Hugst!$R$4:$W$4,0))))</f>
        <v>2970.5951998021765</v>
      </c>
      <c r="Y94">
        <f ca="1">IF($C94-Y$1&lt;År1,0,X93*(1-VLOOKUP($A94,[1]Hugst!$R$5:$W$9,MATCH(ROUNDUP((Y$1)/10,0)*10,[1]Hugst!$R$4:$W$4,0))))</f>
        <v>2962.9182187729011</v>
      </c>
      <c r="Z94">
        <f ca="1">IF($C94-Z$1&lt;År1,0,Y93*(1-VLOOKUP($A94,[1]Hugst!$R$5:$W$9,MATCH(ROUNDUP((Z$1)/10,0)*10,[1]Hugst!$R$4:$W$4,0))))</f>
        <v>4700.4502046408434</v>
      </c>
      <c r="AA94">
        <f ca="1">IF($C94-AA$1&lt;År1,0,Z93*(1-VLOOKUP($A94,[1]Hugst!$R$5:$W$9,MATCH(ROUNDUP((AA$1)/10,0)*10,[1]Hugst!$R$4:$W$4,0))))</f>
        <v>4689.1552714826548</v>
      </c>
      <c r="AB94">
        <f ca="1">IF($C94-AB$1&lt;År1,0,AA93*(1-VLOOKUP($A94,[1]Hugst!$R$5:$W$9,MATCH(ROUNDUP((AB$1)/10,0)*10,[1]Hugst!$R$4:$W$4,0))))</f>
        <v>4685.1037545820482</v>
      </c>
      <c r="AC94">
        <f ca="1">IF($C94-AC$1&lt;År1,0,AB93*(1-VLOOKUP($A94,[1]Hugst!$R$5:$W$9,MATCH(ROUNDUP((AC$1)/10,0)*10,[1]Hugst!$R$4:$W$4,0))))</f>
        <v>4681.0727039404301</v>
      </c>
      <c r="AD94">
        <f ca="1">IF($C94-AD$1&lt;År1,0,AC93*(1-VLOOKUP($A94,[1]Hugst!$R$5:$W$9,MATCH(ROUNDUP((AD$1)/10,0)*10,[1]Hugst!$R$4:$W$4,0))))</f>
        <v>4677.0621280326213</v>
      </c>
      <c r="AE94">
        <f ca="1">IF($C94-AE$1&lt;År1,0,AD93*(1-VLOOKUP($A94,[1]Hugst!$R$5:$W$9,MATCH(ROUNDUP((AE$1)/10,0)*10,[1]Hugst!$R$4:$W$4,0))))</f>
        <v>4673.0720354630666</v>
      </c>
      <c r="AF94">
        <f ca="1">IF($C94-AF$1&lt;År1,0,AE93*(1-VLOOKUP($A94,[1]Hugst!$R$5:$W$9,MATCH(ROUNDUP((AF$1)/10,0)*10,[1]Hugst!$R$4:$W$4,0))))</f>
        <v>4669.1024349661029</v>
      </c>
      <c r="AG94">
        <f ca="1">IF($C94-AG$1&lt;År1,0,AF93*(1-VLOOKUP($A94,[1]Hugst!$R$5:$W$9,MATCH(ROUNDUP((AG$1)/10,0)*10,[1]Hugst!$R$4:$W$4,0))))</f>
        <v>4665.1533354062185</v>
      </c>
      <c r="AH94">
        <f ca="1">IF($C94-AH$1&lt;År1,0,AG93*(1-VLOOKUP($A94,[1]Hugst!$R$5:$W$9,MATCH(ROUNDUP((AH$1)/10,0)*10,[1]Hugst!$R$4:$W$4,0))))</f>
        <v>4661.2247457783169</v>
      </c>
      <c r="AI94">
        <f ca="1">IF($C94-AI$1&lt;År1,0,AH93*(1-VLOOKUP($A94,[1]Hugst!$R$5:$W$9,MATCH(ROUNDUP((AI$1)/10,0)*10,[1]Hugst!$R$4:$W$4,0))))</f>
        <v>4657.3166752079242</v>
      </c>
      <c r="AJ94">
        <f ca="1">IF($C94-AJ$1&lt;År1,0,AI93*(1-VLOOKUP($A94,[1]Hugst!$R$5:$W$9,MATCH(ROUNDUP((AJ$1)/10,0)*10,[1]Hugst!$R$4:$W$4,0))))</f>
        <v>4657.3795800273956</v>
      </c>
      <c r="AL94">
        <f ca="1">SUM(F94:AJ94)</f>
        <v>111860.2139908097</v>
      </c>
    </row>
    <row r="95" spans="1:38" x14ac:dyDescent="0.25">
      <c r="A95" t="s">
        <v>177</v>
      </c>
      <c r="B95" t="s">
        <v>24</v>
      </c>
      <c r="C95">
        <v>2020</v>
      </c>
      <c r="D95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254.69095675387072</v>
      </c>
      <c r="E95">
        <f>IF(C95=2020,SUM(G95:AJ95),SUM(F94:AJ94)-SUM(G95:AJ95))</f>
        <v>0</v>
      </c>
      <c r="F95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854.01755608046983</v>
      </c>
      <c r="G95">
        <f>IF($C95-G$1&lt;År1,0,F94*(1-VLOOKUP($A95,[1]Hugst!$R$5:$W$9,MATCH(ROUNDUP((G$1)/10,0)*10,[1]Hugst!$R$4:$W$4,0))))</f>
        <v>0</v>
      </c>
      <c r="H95">
        <f>IF($C95-H$1&lt;År1,0,G94*(1-VLOOKUP($A95,[1]Hugst!$R$5:$W$9,MATCH(ROUNDUP((H$1)/10,0)*10,[1]Hugst!$R$4:$W$4,0))))</f>
        <v>0</v>
      </c>
      <c r="I95">
        <f>IF($C95-I$1&lt;År1,0,H94*(1-VLOOKUP($A95,[1]Hugst!$R$5:$W$9,MATCH(ROUNDUP((I$1)/10,0)*10,[1]Hugst!$R$4:$W$4,0))))</f>
        <v>0</v>
      </c>
      <c r="J95">
        <f>IF($C95-J$1&lt;År1,0,I94*(1-VLOOKUP($A95,[1]Hugst!$R$5:$W$9,MATCH(ROUNDUP((J$1)/10,0)*10,[1]Hugst!$R$4:$W$4,0))))</f>
        <v>0</v>
      </c>
      <c r="K95">
        <f>IF($C95-K$1&lt;År1,0,J94*(1-VLOOKUP($A95,[1]Hugst!$R$5:$W$9,MATCH(ROUNDUP((K$1)/10,0)*10,[1]Hugst!$R$4:$W$4,0))))</f>
        <v>0</v>
      </c>
      <c r="L95">
        <f>IF($C95-L$1&lt;År1,0,K94*(1-VLOOKUP($A95,[1]Hugst!$R$5:$W$9,MATCH(ROUNDUP((L$1)/10,0)*10,[1]Hugst!$R$4:$W$4,0))))</f>
        <v>0</v>
      </c>
      <c r="M95">
        <f>IF($C95-M$1&lt;År1,0,L94*(1-VLOOKUP($A95,[1]Hugst!$R$5:$W$9,MATCH(ROUNDUP((M$1)/10,0)*10,[1]Hugst!$R$4:$W$4,0))))</f>
        <v>0</v>
      </c>
      <c r="N95">
        <f>IF($C95-N$1&lt;År1,0,M94*(1-VLOOKUP($A95,[1]Hugst!$R$5:$W$9,MATCH(ROUNDUP((N$1)/10,0)*10,[1]Hugst!$R$4:$W$4,0))))</f>
        <v>0</v>
      </c>
      <c r="O95">
        <f>IF($C95-O$1&lt;År1,0,N94*(1-VLOOKUP($A95,[1]Hugst!$R$5:$W$9,MATCH(ROUNDUP((O$1)/10,0)*10,[1]Hugst!$R$4:$W$4,0))))</f>
        <v>0</v>
      </c>
      <c r="P95">
        <f>IF($C95-P$1&lt;År1,0,O94*(1-VLOOKUP($A95,[1]Hugst!$R$5:$W$9,MATCH(ROUNDUP((P$1)/10,0)*10,[1]Hugst!$R$4:$W$4,0))))</f>
        <v>0</v>
      </c>
      <c r="Q95">
        <f>IF($C95-Q$1&lt;År1,0,P94*(1-VLOOKUP($A95,[1]Hugst!$R$5:$W$9,MATCH(ROUNDUP((Q$1)/10,0)*10,[1]Hugst!$R$4:$W$4,0))))</f>
        <v>0</v>
      </c>
      <c r="R95">
        <f>IF($C95-R$1&lt;År1,0,Q94*(1-VLOOKUP($A95,[1]Hugst!$R$5:$W$9,MATCH(ROUNDUP((R$1)/10,0)*10,[1]Hugst!$R$4:$W$4,0))))</f>
        <v>0</v>
      </c>
      <c r="S95">
        <f>IF($C95-S$1&lt;År1,0,R94*(1-VLOOKUP($A95,[1]Hugst!$R$5:$W$9,MATCH(ROUNDUP((S$1)/10,0)*10,[1]Hugst!$R$4:$W$4,0))))</f>
        <v>0</v>
      </c>
      <c r="T95">
        <f>IF($C95-T$1&lt;År1,0,S94*(1-VLOOKUP($A95,[1]Hugst!$R$5:$W$9,MATCH(ROUNDUP((T$1)/10,0)*10,[1]Hugst!$R$4:$W$4,0))))</f>
        <v>0</v>
      </c>
      <c r="U95">
        <f>IF($C95-U$1&lt;År1,0,T94*(1-VLOOKUP($A95,[1]Hugst!$R$5:$W$9,MATCH(ROUNDUP((U$1)/10,0)*10,[1]Hugst!$R$4:$W$4,0))))</f>
        <v>0</v>
      </c>
      <c r="V95">
        <f>IF($C95-V$1&lt;År1,0,U94*(1-VLOOKUP($A95,[1]Hugst!$R$5:$W$9,MATCH(ROUNDUP((V$1)/10,0)*10,[1]Hugst!$R$4:$W$4,0))))</f>
        <v>0</v>
      </c>
      <c r="W95">
        <f>IF($C95-W$1&lt;År1,0,V94*(1-VLOOKUP($A95,[1]Hugst!$R$5:$W$9,MATCH(ROUNDUP((W$1)/10,0)*10,[1]Hugst!$R$4:$W$4,0))))</f>
        <v>0</v>
      </c>
      <c r="X95">
        <f>IF($C95-X$1&lt;År1,0,W94*(1-VLOOKUP($A95,[1]Hugst!$R$5:$W$9,MATCH(ROUNDUP((X$1)/10,0)*10,[1]Hugst!$R$4:$W$4,0))))</f>
        <v>0</v>
      </c>
      <c r="Y95">
        <f>IF($C95-Y$1&lt;År1,0,X94*(1-VLOOKUP($A95,[1]Hugst!$R$5:$W$9,MATCH(ROUNDUP((Y$1)/10,0)*10,[1]Hugst!$R$4:$W$4,0))))</f>
        <v>0</v>
      </c>
      <c r="Z95">
        <f>IF($C95-Z$1&lt;År1,0,Y94*(1-VLOOKUP($A95,[1]Hugst!$R$5:$W$9,MATCH(ROUNDUP((Z$1)/10,0)*10,[1]Hugst!$R$4:$W$4,0))))</f>
        <v>0</v>
      </c>
      <c r="AA95">
        <f>IF($C95-AA$1&lt;År1,0,Z94*(1-VLOOKUP($A95,[1]Hugst!$R$5:$W$9,MATCH(ROUNDUP((AA$1)/10,0)*10,[1]Hugst!$R$4:$W$4,0))))</f>
        <v>0</v>
      </c>
      <c r="AB95">
        <f>IF($C95-AB$1&lt;År1,0,AA94*(1-VLOOKUP($A95,[1]Hugst!$R$5:$W$9,MATCH(ROUNDUP((AB$1)/10,0)*10,[1]Hugst!$R$4:$W$4,0))))</f>
        <v>0</v>
      </c>
      <c r="AC95">
        <f>IF($C95-AC$1&lt;År1,0,AB94*(1-VLOOKUP($A95,[1]Hugst!$R$5:$W$9,MATCH(ROUNDUP((AC$1)/10,0)*10,[1]Hugst!$R$4:$W$4,0))))</f>
        <v>0</v>
      </c>
      <c r="AD95">
        <f>IF($C95-AD$1&lt;År1,0,AC94*(1-VLOOKUP($A95,[1]Hugst!$R$5:$W$9,MATCH(ROUNDUP((AD$1)/10,0)*10,[1]Hugst!$R$4:$W$4,0))))</f>
        <v>0</v>
      </c>
      <c r="AE95">
        <f>IF($C95-AE$1&lt;År1,0,AD94*(1-VLOOKUP($A95,[1]Hugst!$R$5:$W$9,MATCH(ROUNDUP((AE$1)/10,0)*10,[1]Hugst!$R$4:$W$4,0))))</f>
        <v>0</v>
      </c>
      <c r="AF95">
        <f>IF($C95-AF$1&lt;År1,0,AE94*(1-VLOOKUP($A95,[1]Hugst!$R$5:$W$9,MATCH(ROUNDUP((AF$1)/10,0)*10,[1]Hugst!$R$4:$W$4,0))))</f>
        <v>0</v>
      </c>
      <c r="AG95">
        <f>IF($C95-AG$1&lt;År1,0,AF94*(1-VLOOKUP($A95,[1]Hugst!$R$5:$W$9,MATCH(ROUNDUP((AG$1)/10,0)*10,[1]Hugst!$R$4:$W$4,0))))</f>
        <v>0</v>
      </c>
      <c r="AH95">
        <f>IF($C95-AH$1&lt;År1,0,AG94*(1-VLOOKUP($A95,[1]Hugst!$R$5:$W$9,MATCH(ROUNDUP((AH$1)/10,0)*10,[1]Hugst!$R$4:$W$4,0))))</f>
        <v>0</v>
      </c>
      <c r="AI95">
        <f>IF($C95-AI$1&lt;År1,0,AH94*(1-VLOOKUP($A95,[1]Hugst!$R$5:$W$9,MATCH(ROUNDUP((AI$1)/10,0)*10,[1]Hugst!$R$4:$W$4,0))))</f>
        <v>0</v>
      </c>
      <c r="AJ95">
        <f>IF($C95-AJ$1&lt;År1,0,AI94*(1-VLOOKUP($A95,[1]Hugst!$R$5:$W$9,MATCH(ROUNDUP((AJ$1)/10,0)*10,[1]Hugst!$R$4:$W$4,0))))</f>
        <v>0</v>
      </c>
    </row>
    <row r="96" spans="1:38" x14ac:dyDescent="0.25">
      <c r="A96" t="s">
        <v>177</v>
      </c>
      <c r="B96" t="s">
        <v>24</v>
      </c>
      <c r="C96">
        <v>2021</v>
      </c>
      <c r="D96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253.41750197010114</v>
      </c>
      <c r="E96">
        <f t="shared" ref="E96:E124" ca="1" si="2">IF(C96=2020,SUM(G96:AJ96),SUM(F95:AJ95)-SUM(G96:AJ96))</f>
        <v>0</v>
      </c>
      <c r="F96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852.74410129670025</v>
      </c>
      <c r="G96">
        <f ca="1">IF($C96-G$1&lt;År1,0,F95*(1-VLOOKUP($A96,[1]Hugst!$R$5:$W$9,MATCH(ROUNDUP((G$1)/10,0)*10,[1]Hugst!$R$4:$W$4,0))))</f>
        <v>854.01755608046983</v>
      </c>
      <c r="H96">
        <f>IF($C96-H$1&lt;År1,0,G95*(1-VLOOKUP($A96,[1]Hugst!$R$5:$W$9,MATCH(ROUNDUP((H$1)/10,0)*10,[1]Hugst!$R$4:$W$4,0))))</f>
        <v>0</v>
      </c>
      <c r="I96">
        <f>IF($C96-I$1&lt;År1,0,H95*(1-VLOOKUP($A96,[1]Hugst!$R$5:$W$9,MATCH(ROUNDUP((I$1)/10,0)*10,[1]Hugst!$R$4:$W$4,0))))</f>
        <v>0</v>
      </c>
      <c r="J96">
        <f>IF($C96-J$1&lt;År1,0,I95*(1-VLOOKUP($A96,[1]Hugst!$R$5:$W$9,MATCH(ROUNDUP((J$1)/10,0)*10,[1]Hugst!$R$4:$W$4,0))))</f>
        <v>0</v>
      </c>
      <c r="K96">
        <f>IF($C96-K$1&lt;År1,0,J95*(1-VLOOKUP($A96,[1]Hugst!$R$5:$W$9,MATCH(ROUNDUP((K$1)/10,0)*10,[1]Hugst!$R$4:$W$4,0))))</f>
        <v>0</v>
      </c>
      <c r="L96">
        <f>IF($C96-L$1&lt;År1,0,K95*(1-VLOOKUP($A96,[1]Hugst!$R$5:$W$9,MATCH(ROUNDUP((L$1)/10,0)*10,[1]Hugst!$R$4:$W$4,0))))</f>
        <v>0</v>
      </c>
      <c r="M96">
        <f>IF($C96-M$1&lt;År1,0,L95*(1-VLOOKUP($A96,[1]Hugst!$R$5:$W$9,MATCH(ROUNDUP((M$1)/10,0)*10,[1]Hugst!$R$4:$W$4,0))))</f>
        <v>0</v>
      </c>
      <c r="N96">
        <f>IF($C96-N$1&lt;År1,0,M95*(1-VLOOKUP($A96,[1]Hugst!$R$5:$W$9,MATCH(ROUNDUP((N$1)/10,0)*10,[1]Hugst!$R$4:$W$4,0))))</f>
        <v>0</v>
      </c>
      <c r="O96">
        <f>IF($C96-O$1&lt;År1,0,N95*(1-VLOOKUP($A96,[1]Hugst!$R$5:$W$9,MATCH(ROUNDUP((O$1)/10,0)*10,[1]Hugst!$R$4:$W$4,0))))</f>
        <v>0</v>
      </c>
      <c r="P96">
        <f>IF($C96-P$1&lt;År1,0,O95*(1-VLOOKUP($A96,[1]Hugst!$R$5:$W$9,MATCH(ROUNDUP((P$1)/10,0)*10,[1]Hugst!$R$4:$W$4,0))))</f>
        <v>0</v>
      </c>
      <c r="Q96">
        <f>IF($C96-Q$1&lt;År1,0,P95*(1-VLOOKUP($A96,[1]Hugst!$R$5:$W$9,MATCH(ROUNDUP((Q$1)/10,0)*10,[1]Hugst!$R$4:$W$4,0))))</f>
        <v>0</v>
      </c>
      <c r="R96">
        <f>IF($C96-R$1&lt;År1,0,Q95*(1-VLOOKUP($A96,[1]Hugst!$R$5:$W$9,MATCH(ROUNDUP((R$1)/10,0)*10,[1]Hugst!$R$4:$W$4,0))))</f>
        <v>0</v>
      </c>
      <c r="S96">
        <f>IF($C96-S$1&lt;År1,0,R95*(1-VLOOKUP($A96,[1]Hugst!$R$5:$W$9,MATCH(ROUNDUP((S$1)/10,0)*10,[1]Hugst!$R$4:$W$4,0))))</f>
        <v>0</v>
      </c>
      <c r="T96">
        <f>IF($C96-T$1&lt;År1,0,S95*(1-VLOOKUP($A96,[1]Hugst!$R$5:$W$9,MATCH(ROUNDUP((T$1)/10,0)*10,[1]Hugst!$R$4:$W$4,0))))</f>
        <v>0</v>
      </c>
      <c r="U96">
        <f>IF($C96-U$1&lt;År1,0,T95*(1-VLOOKUP($A96,[1]Hugst!$R$5:$W$9,MATCH(ROUNDUP((U$1)/10,0)*10,[1]Hugst!$R$4:$W$4,0))))</f>
        <v>0</v>
      </c>
      <c r="V96">
        <f>IF($C96-V$1&lt;År1,0,U95*(1-VLOOKUP($A96,[1]Hugst!$R$5:$W$9,MATCH(ROUNDUP((V$1)/10,0)*10,[1]Hugst!$R$4:$W$4,0))))</f>
        <v>0</v>
      </c>
      <c r="W96">
        <f>IF($C96-W$1&lt;År1,0,V95*(1-VLOOKUP($A96,[1]Hugst!$R$5:$W$9,MATCH(ROUNDUP((W$1)/10,0)*10,[1]Hugst!$R$4:$W$4,0))))</f>
        <v>0</v>
      </c>
      <c r="X96">
        <f>IF($C96-X$1&lt;År1,0,W95*(1-VLOOKUP($A96,[1]Hugst!$R$5:$W$9,MATCH(ROUNDUP((X$1)/10,0)*10,[1]Hugst!$R$4:$W$4,0))))</f>
        <v>0</v>
      </c>
      <c r="Y96">
        <f>IF($C96-Y$1&lt;År1,0,X95*(1-VLOOKUP($A96,[1]Hugst!$R$5:$W$9,MATCH(ROUNDUP((Y$1)/10,0)*10,[1]Hugst!$R$4:$W$4,0))))</f>
        <v>0</v>
      </c>
      <c r="Z96">
        <f>IF($C96-Z$1&lt;År1,0,Y95*(1-VLOOKUP($A96,[1]Hugst!$R$5:$W$9,MATCH(ROUNDUP((Z$1)/10,0)*10,[1]Hugst!$R$4:$W$4,0))))</f>
        <v>0</v>
      </c>
      <c r="AA96">
        <f>IF($C96-AA$1&lt;År1,0,Z95*(1-VLOOKUP($A96,[1]Hugst!$R$5:$W$9,MATCH(ROUNDUP((AA$1)/10,0)*10,[1]Hugst!$R$4:$W$4,0))))</f>
        <v>0</v>
      </c>
      <c r="AB96">
        <f>IF($C96-AB$1&lt;År1,0,AA95*(1-VLOOKUP($A96,[1]Hugst!$R$5:$W$9,MATCH(ROUNDUP((AB$1)/10,0)*10,[1]Hugst!$R$4:$W$4,0))))</f>
        <v>0</v>
      </c>
      <c r="AC96">
        <f>IF($C96-AC$1&lt;År1,0,AB95*(1-VLOOKUP($A96,[1]Hugst!$R$5:$W$9,MATCH(ROUNDUP((AC$1)/10,0)*10,[1]Hugst!$R$4:$W$4,0))))</f>
        <v>0</v>
      </c>
      <c r="AD96">
        <f>IF($C96-AD$1&lt;År1,0,AC95*(1-VLOOKUP($A96,[1]Hugst!$R$5:$W$9,MATCH(ROUNDUP((AD$1)/10,0)*10,[1]Hugst!$R$4:$W$4,0))))</f>
        <v>0</v>
      </c>
      <c r="AE96">
        <f>IF($C96-AE$1&lt;År1,0,AD95*(1-VLOOKUP($A96,[1]Hugst!$R$5:$W$9,MATCH(ROUNDUP((AE$1)/10,0)*10,[1]Hugst!$R$4:$W$4,0))))</f>
        <v>0</v>
      </c>
      <c r="AF96">
        <f>IF($C96-AF$1&lt;År1,0,AE95*(1-VLOOKUP($A96,[1]Hugst!$R$5:$W$9,MATCH(ROUNDUP((AF$1)/10,0)*10,[1]Hugst!$R$4:$W$4,0))))</f>
        <v>0</v>
      </c>
      <c r="AG96">
        <f>IF($C96-AG$1&lt;År1,0,AF95*(1-VLOOKUP($A96,[1]Hugst!$R$5:$W$9,MATCH(ROUNDUP((AG$1)/10,0)*10,[1]Hugst!$R$4:$W$4,0))))</f>
        <v>0</v>
      </c>
      <c r="AH96">
        <f>IF($C96-AH$1&lt;År1,0,AG95*(1-VLOOKUP($A96,[1]Hugst!$R$5:$W$9,MATCH(ROUNDUP((AH$1)/10,0)*10,[1]Hugst!$R$4:$W$4,0))))</f>
        <v>0</v>
      </c>
      <c r="AI96">
        <f>IF($C96-AI$1&lt;År1,0,AH95*(1-VLOOKUP($A96,[1]Hugst!$R$5:$W$9,MATCH(ROUNDUP((AI$1)/10,0)*10,[1]Hugst!$R$4:$W$4,0))))</f>
        <v>0</v>
      </c>
      <c r="AJ96">
        <f>IF($C96-AJ$1&lt;År1,0,AI95*(1-VLOOKUP($A96,[1]Hugst!$R$5:$W$9,MATCH(ROUNDUP((AJ$1)/10,0)*10,[1]Hugst!$R$4:$W$4,0))))</f>
        <v>0</v>
      </c>
    </row>
    <row r="97" spans="1:36" x14ac:dyDescent="0.25">
      <c r="A97" t="s">
        <v>177</v>
      </c>
      <c r="B97" t="s">
        <v>24</v>
      </c>
      <c r="C97">
        <v>2022</v>
      </c>
      <c r="D97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252.1504144602514</v>
      </c>
      <c r="E97">
        <f t="shared" ca="1" si="2"/>
        <v>0</v>
      </c>
      <c r="F97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851.47701378685042</v>
      </c>
      <c r="G97">
        <f ca="1">IF($C97-G$1&lt;År1,0,F96*(1-VLOOKUP($A97,[1]Hugst!$R$5:$W$9,MATCH(ROUNDUP((G$1)/10,0)*10,[1]Hugst!$R$4:$W$4,0))))</f>
        <v>852.74410129670025</v>
      </c>
      <c r="H97">
        <f ca="1">IF($C97-H$1&lt;År1,0,G96*(1-VLOOKUP($A97,[1]Hugst!$R$5:$W$9,MATCH(ROUNDUP((H$1)/10,0)*10,[1]Hugst!$R$4:$W$4,0))))</f>
        <v>854.01755608046983</v>
      </c>
      <c r="I97">
        <f>IF($C97-I$1&lt;År1,0,H96*(1-VLOOKUP($A97,[1]Hugst!$R$5:$W$9,MATCH(ROUNDUP((I$1)/10,0)*10,[1]Hugst!$R$4:$W$4,0))))</f>
        <v>0</v>
      </c>
      <c r="J97">
        <f>IF($C97-J$1&lt;År1,0,I96*(1-VLOOKUP($A97,[1]Hugst!$R$5:$W$9,MATCH(ROUNDUP((J$1)/10,0)*10,[1]Hugst!$R$4:$W$4,0))))</f>
        <v>0</v>
      </c>
      <c r="K97">
        <f>IF($C97-K$1&lt;År1,0,J96*(1-VLOOKUP($A97,[1]Hugst!$R$5:$W$9,MATCH(ROUNDUP((K$1)/10,0)*10,[1]Hugst!$R$4:$W$4,0))))</f>
        <v>0</v>
      </c>
      <c r="L97">
        <f>IF($C97-L$1&lt;År1,0,K96*(1-VLOOKUP($A97,[1]Hugst!$R$5:$W$9,MATCH(ROUNDUP((L$1)/10,0)*10,[1]Hugst!$R$4:$W$4,0))))</f>
        <v>0</v>
      </c>
      <c r="M97">
        <f>IF($C97-M$1&lt;År1,0,L96*(1-VLOOKUP($A97,[1]Hugst!$R$5:$W$9,MATCH(ROUNDUP((M$1)/10,0)*10,[1]Hugst!$R$4:$W$4,0))))</f>
        <v>0</v>
      </c>
      <c r="N97">
        <f>IF($C97-N$1&lt;År1,0,M96*(1-VLOOKUP($A97,[1]Hugst!$R$5:$W$9,MATCH(ROUNDUP((N$1)/10,0)*10,[1]Hugst!$R$4:$W$4,0))))</f>
        <v>0</v>
      </c>
      <c r="O97">
        <f>IF($C97-O$1&lt;År1,0,N96*(1-VLOOKUP($A97,[1]Hugst!$R$5:$W$9,MATCH(ROUNDUP((O$1)/10,0)*10,[1]Hugst!$R$4:$W$4,0))))</f>
        <v>0</v>
      </c>
      <c r="P97">
        <f>IF($C97-P$1&lt;År1,0,O96*(1-VLOOKUP($A97,[1]Hugst!$R$5:$W$9,MATCH(ROUNDUP((P$1)/10,0)*10,[1]Hugst!$R$4:$W$4,0))))</f>
        <v>0</v>
      </c>
      <c r="Q97">
        <f>IF($C97-Q$1&lt;År1,0,P96*(1-VLOOKUP($A97,[1]Hugst!$R$5:$W$9,MATCH(ROUNDUP((Q$1)/10,0)*10,[1]Hugst!$R$4:$W$4,0))))</f>
        <v>0</v>
      </c>
      <c r="R97">
        <f>IF($C97-R$1&lt;År1,0,Q96*(1-VLOOKUP($A97,[1]Hugst!$R$5:$W$9,MATCH(ROUNDUP((R$1)/10,0)*10,[1]Hugst!$R$4:$W$4,0))))</f>
        <v>0</v>
      </c>
      <c r="S97">
        <f>IF($C97-S$1&lt;År1,0,R96*(1-VLOOKUP($A97,[1]Hugst!$R$5:$W$9,MATCH(ROUNDUP((S$1)/10,0)*10,[1]Hugst!$R$4:$W$4,0))))</f>
        <v>0</v>
      </c>
      <c r="T97">
        <f>IF($C97-T$1&lt;År1,0,S96*(1-VLOOKUP($A97,[1]Hugst!$R$5:$W$9,MATCH(ROUNDUP((T$1)/10,0)*10,[1]Hugst!$R$4:$W$4,0))))</f>
        <v>0</v>
      </c>
      <c r="U97">
        <f>IF($C97-U$1&lt;År1,0,T96*(1-VLOOKUP($A97,[1]Hugst!$R$5:$W$9,MATCH(ROUNDUP((U$1)/10,0)*10,[1]Hugst!$R$4:$W$4,0))))</f>
        <v>0</v>
      </c>
      <c r="V97">
        <f>IF($C97-V$1&lt;År1,0,U96*(1-VLOOKUP($A97,[1]Hugst!$R$5:$W$9,MATCH(ROUNDUP((V$1)/10,0)*10,[1]Hugst!$R$4:$W$4,0))))</f>
        <v>0</v>
      </c>
      <c r="W97">
        <f>IF($C97-W$1&lt;År1,0,V96*(1-VLOOKUP($A97,[1]Hugst!$R$5:$W$9,MATCH(ROUNDUP((W$1)/10,0)*10,[1]Hugst!$R$4:$W$4,0))))</f>
        <v>0</v>
      </c>
      <c r="X97">
        <f>IF($C97-X$1&lt;År1,0,W96*(1-VLOOKUP($A97,[1]Hugst!$R$5:$W$9,MATCH(ROUNDUP((X$1)/10,0)*10,[1]Hugst!$R$4:$W$4,0))))</f>
        <v>0</v>
      </c>
      <c r="Y97">
        <f>IF($C97-Y$1&lt;År1,0,X96*(1-VLOOKUP($A97,[1]Hugst!$R$5:$W$9,MATCH(ROUNDUP((Y$1)/10,0)*10,[1]Hugst!$R$4:$W$4,0))))</f>
        <v>0</v>
      </c>
      <c r="Z97">
        <f>IF($C97-Z$1&lt;År1,0,Y96*(1-VLOOKUP($A97,[1]Hugst!$R$5:$W$9,MATCH(ROUNDUP((Z$1)/10,0)*10,[1]Hugst!$R$4:$W$4,0))))</f>
        <v>0</v>
      </c>
      <c r="AA97">
        <f>IF($C97-AA$1&lt;År1,0,Z96*(1-VLOOKUP($A97,[1]Hugst!$R$5:$W$9,MATCH(ROUNDUP((AA$1)/10,0)*10,[1]Hugst!$R$4:$W$4,0))))</f>
        <v>0</v>
      </c>
      <c r="AB97">
        <f>IF($C97-AB$1&lt;År1,0,AA96*(1-VLOOKUP($A97,[1]Hugst!$R$5:$W$9,MATCH(ROUNDUP((AB$1)/10,0)*10,[1]Hugst!$R$4:$W$4,0))))</f>
        <v>0</v>
      </c>
      <c r="AC97">
        <f>IF($C97-AC$1&lt;År1,0,AB96*(1-VLOOKUP($A97,[1]Hugst!$R$5:$W$9,MATCH(ROUNDUP((AC$1)/10,0)*10,[1]Hugst!$R$4:$W$4,0))))</f>
        <v>0</v>
      </c>
      <c r="AD97">
        <f>IF($C97-AD$1&lt;År1,0,AC96*(1-VLOOKUP($A97,[1]Hugst!$R$5:$W$9,MATCH(ROUNDUP((AD$1)/10,0)*10,[1]Hugst!$R$4:$W$4,0))))</f>
        <v>0</v>
      </c>
      <c r="AE97">
        <f>IF($C97-AE$1&lt;År1,0,AD96*(1-VLOOKUP($A97,[1]Hugst!$R$5:$W$9,MATCH(ROUNDUP((AE$1)/10,0)*10,[1]Hugst!$R$4:$W$4,0))))</f>
        <v>0</v>
      </c>
      <c r="AF97">
        <f>IF($C97-AF$1&lt;År1,0,AE96*(1-VLOOKUP($A97,[1]Hugst!$R$5:$W$9,MATCH(ROUNDUP((AF$1)/10,0)*10,[1]Hugst!$R$4:$W$4,0))))</f>
        <v>0</v>
      </c>
      <c r="AG97">
        <f>IF($C97-AG$1&lt;År1,0,AF96*(1-VLOOKUP($A97,[1]Hugst!$R$5:$W$9,MATCH(ROUNDUP((AG$1)/10,0)*10,[1]Hugst!$R$4:$W$4,0))))</f>
        <v>0</v>
      </c>
      <c r="AH97">
        <f>IF($C97-AH$1&lt;År1,0,AG96*(1-VLOOKUP($A97,[1]Hugst!$R$5:$W$9,MATCH(ROUNDUP((AH$1)/10,0)*10,[1]Hugst!$R$4:$W$4,0))))</f>
        <v>0</v>
      </c>
      <c r="AI97">
        <f>IF($C97-AI$1&lt;År1,0,AH96*(1-VLOOKUP($A97,[1]Hugst!$R$5:$W$9,MATCH(ROUNDUP((AI$1)/10,0)*10,[1]Hugst!$R$4:$W$4,0))))</f>
        <v>0</v>
      </c>
      <c r="AJ97">
        <f>IF($C97-AJ$1&lt;År1,0,AI96*(1-VLOOKUP($A97,[1]Hugst!$R$5:$W$9,MATCH(ROUNDUP((AJ$1)/10,0)*10,[1]Hugst!$R$4:$W$4,0))))</f>
        <v>0</v>
      </c>
    </row>
    <row r="98" spans="1:36" x14ac:dyDescent="0.25">
      <c r="A98" t="s">
        <v>177</v>
      </c>
      <c r="B98" t="s">
        <v>24</v>
      </c>
      <c r="C98">
        <v>2023</v>
      </c>
      <c r="D9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250.88966238794376</v>
      </c>
      <c r="E98">
        <f t="shared" ca="1" si="2"/>
        <v>0</v>
      </c>
      <c r="F9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850.21626171454284</v>
      </c>
      <c r="G98">
        <f ca="1">IF($C98-G$1&lt;År1,0,F97*(1-VLOOKUP($A98,[1]Hugst!$R$5:$W$9,MATCH(ROUNDUP((G$1)/10,0)*10,[1]Hugst!$R$4:$W$4,0))))</f>
        <v>851.47701378685042</v>
      </c>
      <c r="H98">
        <f ca="1">IF($C98-H$1&lt;År1,0,G97*(1-VLOOKUP($A98,[1]Hugst!$R$5:$W$9,MATCH(ROUNDUP((H$1)/10,0)*10,[1]Hugst!$R$4:$W$4,0))))</f>
        <v>852.74410129670025</v>
      </c>
      <c r="I98">
        <f ca="1">IF($C98-I$1&lt;År1,0,H97*(1-VLOOKUP($A98,[1]Hugst!$R$5:$W$9,MATCH(ROUNDUP((I$1)/10,0)*10,[1]Hugst!$R$4:$W$4,0))))</f>
        <v>854.01755608046983</v>
      </c>
      <c r="J98">
        <f>IF($C98-J$1&lt;År1,0,I97*(1-VLOOKUP($A98,[1]Hugst!$R$5:$W$9,MATCH(ROUNDUP((J$1)/10,0)*10,[1]Hugst!$R$4:$W$4,0))))</f>
        <v>0</v>
      </c>
      <c r="K98">
        <f>IF($C98-K$1&lt;År1,0,J97*(1-VLOOKUP($A98,[1]Hugst!$R$5:$W$9,MATCH(ROUNDUP((K$1)/10,0)*10,[1]Hugst!$R$4:$W$4,0))))</f>
        <v>0</v>
      </c>
      <c r="L98">
        <f>IF($C98-L$1&lt;År1,0,K97*(1-VLOOKUP($A98,[1]Hugst!$R$5:$W$9,MATCH(ROUNDUP((L$1)/10,0)*10,[1]Hugst!$R$4:$W$4,0))))</f>
        <v>0</v>
      </c>
      <c r="M98">
        <f>IF($C98-M$1&lt;År1,0,L97*(1-VLOOKUP($A98,[1]Hugst!$R$5:$W$9,MATCH(ROUNDUP((M$1)/10,0)*10,[1]Hugst!$R$4:$W$4,0))))</f>
        <v>0</v>
      </c>
      <c r="N98">
        <f>IF($C98-N$1&lt;År1,0,M97*(1-VLOOKUP($A98,[1]Hugst!$R$5:$W$9,MATCH(ROUNDUP((N$1)/10,0)*10,[1]Hugst!$R$4:$W$4,0))))</f>
        <v>0</v>
      </c>
      <c r="O98">
        <f>IF($C98-O$1&lt;År1,0,N97*(1-VLOOKUP($A98,[1]Hugst!$R$5:$W$9,MATCH(ROUNDUP((O$1)/10,0)*10,[1]Hugst!$R$4:$W$4,0))))</f>
        <v>0</v>
      </c>
      <c r="P98">
        <f>IF($C98-P$1&lt;År1,0,O97*(1-VLOOKUP($A98,[1]Hugst!$R$5:$W$9,MATCH(ROUNDUP((P$1)/10,0)*10,[1]Hugst!$R$4:$W$4,0))))</f>
        <v>0</v>
      </c>
      <c r="Q98">
        <f>IF($C98-Q$1&lt;År1,0,P97*(1-VLOOKUP($A98,[1]Hugst!$R$5:$W$9,MATCH(ROUNDUP((Q$1)/10,0)*10,[1]Hugst!$R$4:$W$4,0))))</f>
        <v>0</v>
      </c>
      <c r="R98">
        <f>IF($C98-R$1&lt;År1,0,Q97*(1-VLOOKUP($A98,[1]Hugst!$R$5:$W$9,MATCH(ROUNDUP((R$1)/10,0)*10,[1]Hugst!$R$4:$W$4,0))))</f>
        <v>0</v>
      </c>
      <c r="S98">
        <f>IF($C98-S$1&lt;År1,0,R97*(1-VLOOKUP($A98,[1]Hugst!$R$5:$W$9,MATCH(ROUNDUP((S$1)/10,0)*10,[1]Hugst!$R$4:$W$4,0))))</f>
        <v>0</v>
      </c>
      <c r="T98">
        <f>IF($C98-T$1&lt;År1,0,S97*(1-VLOOKUP($A98,[1]Hugst!$R$5:$W$9,MATCH(ROUNDUP((T$1)/10,0)*10,[1]Hugst!$R$4:$W$4,0))))</f>
        <v>0</v>
      </c>
      <c r="U98">
        <f>IF($C98-U$1&lt;År1,0,T97*(1-VLOOKUP($A98,[1]Hugst!$R$5:$W$9,MATCH(ROUNDUP((U$1)/10,0)*10,[1]Hugst!$R$4:$W$4,0))))</f>
        <v>0</v>
      </c>
      <c r="V98">
        <f>IF($C98-V$1&lt;År1,0,U97*(1-VLOOKUP($A98,[1]Hugst!$R$5:$W$9,MATCH(ROUNDUP((V$1)/10,0)*10,[1]Hugst!$R$4:$W$4,0))))</f>
        <v>0</v>
      </c>
      <c r="W98">
        <f>IF($C98-W$1&lt;År1,0,V97*(1-VLOOKUP($A98,[1]Hugst!$R$5:$W$9,MATCH(ROUNDUP((W$1)/10,0)*10,[1]Hugst!$R$4:$W$4,0))))</f>
        <v>0</v>
      </c>
      <c r="X98">
        <f>IF($C98-X$1&lt;År1,0,W97*(1-VLOOKUP($A98,[1]Hugst!$R$5:$W$9,MATCH(ROUNDUP((X$1)/10,0)*10,[1]Hugst!$R$4:$W$4,0))))</f>
        <v>0</v>
      </c>
      <c r="Y98">
        <f>IF($C98-Y$1&lt;År1,0,X97*(1-VLOOKUP($A98,[1]Hugst!$R$5:$W$9,MATCH(ROUNDUP((Y$1)/10,0)*10,[1]Hugst!$R$4:$W$4,0))))</f>
        <v>0</v>
      </c>
      <c r="Z98">
        <f>IF($C98-Z$1&lt;År1,0,Y97*(1-VLOOKUP($A98,[1]Hugst!$R$5:$W$9,MATCH(ROUNDUP((Z$1)/10,0)*10,[1]Hugst!$R$4:$W$4,0))))</f>
        <v>0</v>
      </c>
      <c r="AA98">
        <f>IF($C98-AA$1&lt;År1,0,Z97*(1-VLOOKUP($A98,[1]Hugst!$R$5:$W$9,MATCH(ROUNDUP((AA$1)/10,0)*10,[1]Hugst!$R$4:$W$4,0))))</f>
        <v>0</v>
      </c>
      <c r="AB98">
        <f>IF($C98-AB$1&lt;År1,0,AA97*(1-VLOOKUP($A98,[1]Hugst!$R$5:$W$9,MATCH(ROUNDUP((AB$1)/10,0)*10,[1]Hugst!$R$4:$W$4,0))))</f>
        <v>0</v>
      </c>
      <c r="AC98">
        <f>IF($C98-AC$1&lt;År1,0,AB97*(1-VLOOKUP($A98,[1]Hugst!$R$5:$W$9,MATCH(ROUNDUP((AC$1)/10,0)*10,[1]Hugst!$R$4:$W$4,0))))</f>
        <v>0</v>
      </c>
      <c r="AD98">
        <f>IF($C98-AD$1&lt;År1,0,AC97*(1-VLOOKUP($A98,[1]Hugst!$R$5:$W$9,MATCH(ROUNDUP((AD$1)/10,0)*10,[1]Hugst!$R$4:$W$4,0))))</f>
        <v>0</v>
      </c>
      <c r="AE98">
        <f>IF($C98-AE$1&lt;År1,0,AD97*(1-VLOOKUP($A98,[1]Hugst!$R$5:$W$9,MATCH(ROUNDUP((AE$1)/10,0)*10,[1]Hugst!$R$4:$W$4,0))))</f>
        <v>0</v>
      </c>
      <c r="AF98">
        <f>IF($C98-AF$1&lt;År1,0,AE97*(1-VLOOKUP($A98,[1]Hugst!$R$5:$W$9,MATCH(ROUNDUP((AF$1)/10,0)*10,[1]Hugst!$R$4:$W$4,0))))</f>
        <v>0</v>
      </c>
      <c r="AG98">
        <f>IF($C98-AG$1&lt;År1,0,AF97*(1-VLOOKUP($A98,[1]Hugst!$R$5:$W$9,MATCH(ROUNDUP((AG$1)/10,0)*10,[1]Hugst!$R$4:$W$4,0))))</f>
        <v>0</v>
      </c>
      <c r="AH98">
        <f>IF($C98-AH$1&lt;År1,0,AG97*(1-VLOOKUP($A98,[1]Hugst!$R$5:$W$9,MATCH(ROUNDUP((AH$1)/10,0)*10,[1]Hugst!$R$4:$W$4,0))))</f>
        <v>0</v>
      </c>
      <c r="AI98">
        <f>IF($C98-AI$1&lt;År1,0,AH97*(1-VLOOKUP($A98,[1]Hugst!$R$5:$W$9,MATCH(ROUNDUP((AI$1)/10,0)*10,[1]Hugst!$R$4:$W$4,0))))</f>
        <v>0</v>
      </c>
      <c r="AJ98">
        <f>IF($C98-AJ$1&lt;År1,0,AI97*(1-VLOOKUP($A98,[1]Hugst!$R$5:$W$9,MATCH(ROUNDUP((AJ$1)/10,0)*10,[1]Hugst!$R$4:$W$4,0))))</f>
        <v>0</v>
      </c>
    </row>
    <row r="99" spans="1:36" x14ac:dyDescent="0.25">
      <c r="A99" t="s">
        <v>177</v>
      </c>
      <c r="B99" t="s">
        <v>24</v>
      </c>
      <c r="C99">
        <v>2024</v>
      </c>
      <c r="D99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249.63521407601093</v>
      </c>
      <c r="E99">
        <f t="shared" ca="1" si="2"/>
        <v>0</v>
      </c>
      <c r="F9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848.96181340261001</v>
      </c>
      <c r="G99">
        <f ca="1">IF($C99-G$1&lt;År1,0,F98*(1-VLOOKUP($A99,[1]Hugst!$R$5:$W$9,MATCH(ROUNDUP((G$1)/10,0)*10,[1]Hugst!$R$4:$W$4,0))))</f>
        <v>850.21626171454284</v>
      </c>
      <c r="H99">
        <f ca="1">IF($C99-H$1&lt;År1,0,G98*(1-VLOOKUP($A99,[1]Hugst!$R$5:$W$9,MATCH(ROUNDUP((H$1)/10,0)*10,[1]Hugst!$R$4:$W$4,0))))</f>
        <v>851.47701378685042</v>
      </c>
      <c r="I99">
        <f ca="1">IF($C99-I$1&lt;År1,0,H98*(1-VLOOKUP($A99,[1]Hugst!$R$5:$W$9,MATCH(ROUNDUP((I$1)/10,0)*10,[1]Hugst!$R$4:$W$4,0))))</f>
        <v>852.74410129670025</v>
      </c>
      <c r="J99">
        <f ca="1">IF($C99-J$1&lt;År1,0,I98*(1-VLOOKUP($A99,[1]Hugst!$R$5:$W$9,MATCH(ROUNDUP((J$1)/10,0)*10,[1]Hugst!$R$4:$W$4,0))))</f>
        <v>854.01755608046983</v>
      </c>
      <c r="K99">
        <f>IF($C99-K$1&lt;År1,0,J98*(1-VLOOKUP($A99,[1]Hugst!$R$5:$W$9,MATCH(ROUNDUP((K$1)/10,0)*10,[1]Hugst!$R$4:$W$4,0))))</f>
        <v>0</v>
      </c>
      <c r="L99">
        <f>IF($C99-L$1&lt;År1,0,K98*(1-VLOOKUP($A99,[1]Hugst!$R$5:$W$9,MATCH(ROUNDUP((L$1)/10,0)*10,[1]Hugst!$R$4:$W$4,0))))</f>
        <v>0</v>
      </c>
      <c r="M99">
        <f>IF($C99-M$1&lt;År1,0,L98*(1-VLOOKUP($A99,[1]Hugst!$R$5:$W$9,MATCH(ROUNDUP((M$1)/10,0)*10,[1]Hugst!$R$4:$W$4,0))))</f>
        <v>0</v>
      </c>
      <c r="N99">
        <f>IF($C99-N$1&lt;År1,0,M98*(1-VLOOKUP($A99,[1]Hugst!$R$5:$W$9,MATCH(ROUNDUP((N$1)/10,0)*10,[1]Hugst!$R$4:$W$4,0))))</f>
        <v>0</v>
      </c>
      <c r="O99">
        <f>IF($C99-O$1&lt;År1,0,N98*(1-VLOOKUP($A99,[1]Hugst!$R$5:$W$9,MATCH(ROUNDUP((O$1)/10,0)*10,[1]Hugst!$R$4:$W$4,0))))</f>
        <v>0</v>
      </c>
      <c r="P99">
        <f>IF($C99-P$1&lt;År1,0,O98*(1-VLOOKUP($A99,[1]Hugst!$R$5:$W$9,MATCH(ROUNDUP((P$1)/10,0)*10,[1]Hugst!$R$4:$W$4,0))))</f>
        <v>0</v>
      </c>
      <c r="Q99">
        <f>IF($C99-Q$1&lt;År1,0,P98*(1-VLOOKUP($A99,[1]Hugst!$R$5:$W$9,MATCH(ROUNDUP((Q$1)/10,0)*10,[1]Hugst!$R$4:$W$4,0))))</f>
        <v>0</v>
      </c>
      <c r="R99">
        <f>IF($C99-R$1&lt;År1,0,Q98*(1-VLOOKUP($A99,[1]Hugst!$R$5:$W$9,MATCH(ROUNDUP((R$1)/10,0)*10,[1]Hugst!$R$4:$W$4,0))))</f>
        <v>0</v>
      </c>
      <c r="S99">
        <f>IF($C99-S$1&lt;År1,0,R98*(1-VLOOKUP($A99,[1]Hugst!$R$5:$W$9,MATCH(ROUNDUP((S$1)/10,0)*10,[1]Hugst!$R$4:$W$4,0))))</f>
        <v>0</v>
      </c>
      <c r="T99">
        <f>IF($C99-T$1&lt;År1,0,S98*(1-VLOOKUP($A99,[1]Hugst!$R$5:$W$9,MATCH(ROUNDUP((T$1)/10,0)*10,[1]Hugst!$R$4:$W$4,0))))</f>
        <v>0</v>
      </c>
      <c r="U99">
        <f>IF($C99-U$1&lt;År1,0,T98*(1-VLOOKUP($A99,[1]Hugst!$R$5:$W$9,MATCH(ROUNDUP((U$1)/10,0)*10,[1]Hugst!$R$4:$W$4,0))))</f>
        <v>0</v>
      </c>
      <c r="V99">
        <f>IF($C99-V$1&lt;År1,0,U98*(1-VLOOKUP($A99,[1]Hugst!$R$5:$W$9,MATCH(ROUNDUP((V$1)/10,0)*10,[1]Hugst!$R$4:$W$4,0))))</f>
        <v>0</v>
      </c>
      <c r="W99">
        <f>IF($C99-W$1&lt;År1,0,V98*(1-VLOOKUP($A99,[1]Hugst!$R$5:$W$9,MATCH(ROUNDUP((W$1)/10,0)*10,[1]Hugst!$R$4:$W$4,0))))</f>
        <v>0</v>
      </c>
      <c r="X99">
        <f>IF($C99-X$1&lt;År1,0,W98*(1-VLOOKUP($A99,[1]Hugst!$R$5:$W$9,MATCH(ROUNDUP((X$1)/10,0)*10,[1]Hugst!$R$4:$W$4,0))))</f>
        <v>0</v>
      </c>
      <c r="Y99">
        <f>IF($C99-Y$1&lt;År1,0,X98*(1-VLOOKUP($A99,[1]Hugst!$R$5:$W$9,MATCH(ROUNDUP((Y$1)/10,0)*10,[1]Hugst!$R$4:$W$4,0))))</f>
        <v>0</v>
      </c>
      <c r="Z99">
        <f>IF($C99-Z$1&lt;År1,0,Y98*(1-VLOOKUP($A99,[1]Hugst!$R$5:$W$9,MATCH(ROUNDUP((Z$1)/10,0)*10,[1]Hugst!$R$4:$W$4,0))))</f>
        <v>0</v>
      </c>
      <c r="AA99">
        <f>IF($C99-AA$1&lt;År1,0,Z98*(1-VLOOKUP($A99,[1]Hugst!$R$5:$W$9,MATCH(ROUNDUP((AA$1)/10,0)*10,[1]Hugst!$R$4:$W$4,0))))</f>
        <v>0</v>
      </c>
      <c r="AB99">
        <f>IF($C99-AB$1&lt;År1,0,AA98*(1-VLOOKUP($A99,[1]Hugst!$R$5:$W$9,MATCH(ROUNDUP((AB$1)/10,0)*10,[1]Hugst!$R$4:$W$4,0))))</f>
        <v>0</v>
      </c>
      <c r="AC99">
        <f>IF($C99-AC$1&lt;År1,0,AB98*(1-VLOOKUP($A99,[1]Hugst!$R$5:$W$9,MATCH(ROUNDUP((AC$1)/10,0)*10,[1]Hugst!$R$4:$W$4,0))))</f>
        <v>0</v>
      </c>
      <c r="AD99">
        <f>IF($C99-AD$1&lt;År1,0,AC98*(1-VLOOKUP($A99,[1]Hugst!$R$5:$W$9,MATCH(ROUNDUP((AD$1)/10,0)*10,[1]Hugst!$R$4:$W$4,0))))</f>
        <v>0</v>
      </c>
      <c r="AE99">
        <f>IF($C99-AE$1&lt;År1,0,AD98*(1-VLOOKUP($A99,[1]Hugst!$R$5:$W$9,MATCH(ROUNDUP((AE$1)/10,0)*10,[1]Hugst!$R$4:$W$4,0))))</f>
        <v>0</v>
      </c>
      <c r="AF99">
        <f>IF($C99-AF$1&lt;År1,0,AE98*(1-VLOOKUP($A99,[1]Hugst!$R$5:$W$9,MATCH(ROUNDUP((AF$1)/10,0)*10,[1]Hugst!$R$4:$W$4,0))))</f>
        <v>0</v>
      </c>
      <c r="AG99">
        <f>IF($C99-AG$1&lt;År1,0,AF98*(1-VLOOKUP($A99,[1]Hugst!$R$5:$W$9,MATCH(ROUNDUP((AG$1)/10,0)*10,[1]Hugst!$R$4:$W$4,0))))</f>
        <v>0</v>
      </c>
      <c r="AH99">
        <f>IF($C99-AH$1&lt;År1,0,AG98*(1-VLOOKUP($A99,[1]Hugst!$R$5:$W$9,MATCH(ROUNDUP((AH$1)/10,0)*10,[1]Hugst!$R$4:$W$4,0))))</f>
        <v>0</v>
      </c>
      <c r="AI99">
        <f>IF($C99-AI$1&lt;År1,0,AH98*(1-VLOOKUP($A99,[1]Hugst!$R$5:$W$9,MATCH(ROUNDUP((AI$1)/10,0)*10,[1]Hugst!$R$4:$W$4,0))))</f>
        <v>0</v>
      </c>
      <c r="AJ99">
        <f>IF($C99-AJ$1&lt;År1,0,AI98*(1-VLOOKUP($A99,[1]Hugst!$R$5:$W$9,MATCH(ROUNDUP((AJ$1)/10,0)*10,[1]Hugst!$R$4:$W$4,0))))</f>
        <v>0</v>
      </c>
    </row>
    <row r="100" spans="1:36" x14ac:dyDescent="0.25">
      <c r="A100" t="s">
        <v>177</v>
      </c>
      <c r="B100" t="s">
        <v>24</v>
      </c>
      <c r="C100">
        <v>2025</v>
      </c>
      <c r="D100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248.38703800562644</v>
      </c>
      <c r="E100">
        <f t="shared" ca="1" si="2"/>
        <v>0</v>
      </c>
      <c r="F100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847.71363733222552</v>
      </c>
      <c r="G100">
        <f ca="1">IF($C100-G$1&lt;År1,0,F99*(1-VLOOKUP($A100,[1]Hugst!$R$5:$W$9,MATCH(ROUNDUP((G$1)/10,0)*10,[1]Hugst!$R$4:$W$4,0))))</f>
        <v>848.96181340261001</v>
      </c>
      <c r="H100">
        <f ca="1">IF($C100-H$1&lt;År1,0,G99*(1-VLOOKUP($A100,[1]Hugst!$R$5:$W$9,MATCH(ROUNDUP((H$1)/10,0)*10,[1]Hugst!$R$4:$W$4,0))))</f>
        <v>850.21626171454284</v>
      </c>
      <c r="I100">
        <f ca="1">IF($C100-I$1&lt;År1,0,H99*(1-VLOOKUP($A100,[1]Hugst!$R$5:$W$9,MATCH(ROUNDUP((I$1)/10,0)*10,[1]Hugst!$R$4:$W$4,0))))</f>
        <v>851.47701378685042</v>
      </c>
      <c r="J100">
        <f ca="1">IF($C100-J$1&lt;År1,0,I99*(1-VLOOKUP($A100,[1]Hugst!$R$5:$W$9,MATCH(ROUNDUP((J$1)/10,0)*10,[1]Hugst!$R$4:$W$4,0))))</f>
        <v>852.74410129670025</v>
      </c>
      <c r="K100">
        <f ca="1">IF($C100-K$1&lt;År1,0,J99*(1-VLOOKUP($A100,[1]Hugst!$R$5:$W$9,MATCH(ROUNDUP((K$1)/10,0)*10,[1]Hugst!$R$4:$W$4,0))))</f>
        <v>854.01755608046983</v>
      </c>
      <c r="L100">
        <f>IF($C100-L$1&lt;År1,0,K99*(1-VLOOKUP($A100,[1]Hugst!$R$5:$W$9,MATCH(ROUNDUP((L$1)/10,0)*10,[1]Hugst!$R$4:$W$4,0))))</f>
        <v>0</v>
      </c>
      <c r="M100">
        <f>IF($C100-M$1&lt;År1,0,L99*(1-VLOOKUP($A100,[1]Hugst!$R$5:$W$9,MATCH(ROUNDUP((M$1)/10,0)*10,[1]Hugst!$R$4:$W$4,0))))</f>
        <v>0</v>
      </c>
      <c r="N100">
        <f>IF($C100-N$1&lt;År1,0,M99*(1-VLOOKUP($A100,[1]Hugst!$R$5:$W$9,MATCH(ROUNDUP((N$1)/10,0)*10,[1]Hugst!$R$4:$W$4,0))))</f>
        <v>0</v>
      </c>
      <c r="O100">
        <f>IF($C100-O$1&lt;År1,0,N99*(1-VLOOKUP($A100,[1]Hugst!$R$5:$W$9,MATCH(ROUNDUP((O$1)/10,0)*10,[1]Hugst!$R$4:$W$4,0))))</f>
        <v>0</v>
      </c>
      <c r="P100">
        <f>IF($C100-P$1&lt;År1,0,O99*(1-VLOOKUP($A100,[1]Hugst!$R$5:$W$9,MATCH(ROUNDUP((P$1)/10,0)*10,[1]Hugst!$R$4:$W$4,0))))</f>
        <v>0</v>
      </c>
      <c r="Q100">
        <f>IF($C100-Q$1&lt;År1,0,P99*(1-VLOOKUP($A100,[1]Hugst!$R$5:$W$9,MATCH(ROUNDUP((Q$1)/10,0)*10,[1]Hugst!$R$4:$W$4,0))))</f>
        <v>0</v>
      </c>
      <c r="R100">
        <f>IF($C100-R$1&lt;År1,0,Q99*(1-VLOOKUP($A100,[1]Hugst!$R$5:$W$9,MATCH(ROUNDUP((R$1)/10,0)*10,[1]Hugst!$R$4:$W$4,0))))</f>
        <v>0</v>
      </c>
      <c r="S100">
        <f>IF($C100-S$1&lt;År1,0,R99*(1-VLOOKUP($A100,[1]Hugst!$R$5:$W$9,MATCH(ROUNDUP((S$1)/10,0)*10,[1]Hugst!$R$4:$W$4,0))))</f>
        <v>0</v>
      </c>
      <c r="T100">
        <f>IF($C100-T$1&lt;År1,0,S99*(1-VLOOKUP($A100,[1]Hugst!$R$5:$W$9,MATCH(ROUNDUP((T$1)/10,0)*10,[1]Hugst!$R$4:$W$4,0))))</f>
        <v>0</v>
      </c>
      <c r="U100">
        <f>IF($C100-U$1&lt;År1,0,T99*(1-VLOOKUP($A100,[1]Hugst!$R$5:$W$9,MATCH(ROUNDUP((U$1)/10,0)*10,[1]Hugst!$R$4:$W$4,0))))</f>
        <v>0</v>
      </c>
      <c r="V100">
        <f>IF($C100-V$1&lt;År1,0,U99*(1-VLOOKUP($A100,[1]Hugst!$R$5:$W$9,MATCH(ROUNDUP((V$1)/10,0)*10,[1]Hugst!$R$4:$W$4,0))))</f>
        <v>0</v>
      </c>
      <c r="W100">
        <f>IF($C100-W$1&lt;År1,0,V99*(1-VLOOKUP($A100,[1]Hugst!$R$5:$W$9,MATCH(ROUNDUP((W$1)/10,0)*10,[1]Hugst!$R$4:$W$4,0))))</f>
        <v>0</v>
      </c>
      <c r="X100">
        <f>IF($C100-X$1&lt;År1,0,W99*(1-VLOOKUP($A100,[1]Hugst!$R$5:$W$9,MATCH(ROUNDUP((X$1)/10,0)*10,[1]Hugst!$R$4:$W$4,0))))</f>
        <v>0</v>
      </c>
      <c r="Y100">
        <f>IF($C100-Y$1&lt;År1,0,X99*(1-VLOOKUP($A100,[1]Hugst!$R$5:$W$9,MATCH(ROUNDUP((Y$1)/10,0)*10,[1]Hugst!$R$4:$W$4,0))))</f>
        <v>0</v>
      </c>
      <c r="Z100">
        <f>IF($C100-Z$1&lt;År1,0,Y99*(1-VLOOKUP($A100,[1]Hugst!$R$5:$W$9,MATCH(ROUNDUP((Z$1)/10,0)*10,[1]Hugst!$R$4:$W$4,0))))</f>
        <v>0</v>
      </c>
      <c r="AA100">
        <f>IF($C100-AA$1&lt;År1,0,Z99*(1-VLOOKUP($A100,[1]Hugst!$R$5:$W$9,MATCH(ROUNDUP((AA$1)/10,0)*10,[1]Hugst!$R$4:$W$4,0))))</f>
        <v>0</v>
      </c>
      <c r="AB100">
        <f>IF($C100-AB$1&lt;År1,0,AA99*(1-VLOOKUP($A100,[1]Hugst!$R$5:$W$9,MATCH(ROUNDUP((AB$1)/10,0)*10,[1]Hugst!$R$4:$W$4,0))))</f>
        <v>0</v>
      </c>
      <c r="AC100">
        <f>IF($C100-AC$1&lt;År1,0,AB99*(1-VLOOKUP($A100,[1]Hugst!$R$5:$W$9,MATCH(ROUNDUP((AC$1)/10,0)*10,[1]Hugst!$R$4:$W$4,0))))</f>
        <v>0</v>
      </c>
      <c r="AD100">
        <f>IF($C100-AD$1&lt;År1,0,AC99*(1-VLOOKUP($A100,[1]Hugst!$R$5:$W$9,MATCH(ROUNDUP((AD$1)/10,0)*10,[1]Hugst!$R$4:$W$4,0))))</f>
        <v>0</v>
      </c>
      <c r="AE100">
        <f>IF($C100-AE$1&lt;År1,0,AD99*(1-VLOOKUP($A100,[1]Hugst!$R$5:$W$9,MATCH(ROUNDUP((AE$1)/10,0)*10,[1]Hugst!$R$4:$W$4,0))))</f>
        <v>0</v>
      </c>
      <c r="AF100">
        <f>IF($C100-AF$1&lt;År1,0,AE99*(1-VLOOKUP($A100,[1]Hugst!$R$5:$W$9,MATCH(ROUNDUP((AF$1)/10,0)*10,[1]Hugst!$R$4:$W$4,0))))</f>
        <v>0</v>
      </c>
      <c r="AG100">
        <f>IF($C100-AG$1&lt;År1,0,AF99*(1-VLOOKUP($A100,[1]Hugst!$R$5:$W$9,MATCH(ROUNDUP((AG$1)/10,0)*10,[1]Hugst!$R$4:$W$4,0))))</f>
        <v>0</v>
      </c>
      <c r="AH100">
        <f>IF($C100-AH$1&lt;År1,0,AG99*(1-VLOOKUP($A100,[1]Hugst!$R$5:$W$9,MATCH(ROUNDUP((AH$1)/10,0)*10,[1]Hugst!$R$4:$W$4,0))))</f>
        <v>0</v>
      </c>
      <c r="AI100">
        <f>IF($C100-AI$1&lt;År1,0,AH99*(1-VLOOKUP($A100,[1]Hugst!$R$5:$W$9,MATCH(ROUNDUP((AI$1)/10,0)*10,[1]Hugst!$R$4:$W$4,0))))</f>
        <v>0</v>
      </c>
      <c r="AJ100">
        <f>IF($C100-AJ$1&lt;År1,0,AI99*(1-VLOOKUP($A100,[1]Hugst!$R$5:$W$9,MATCH(ROUNDUP((AJ$1)/10,0)*10,[1]Hugst!$R$4:$W$4,0))))</f>
        <v>0</v>
      </c>
    </row>
    <row r="101" spans="1:36" x14ac:dyDescent="0.25">
      <c r="A101" t="s">
        <v>177</v>
      </c>
      <c r="B101" t="s">
        <v>24</v>
      </c>
      <c r="C101">
        <v>2026</v>
      </c>
      <c r="D101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247.14510281560933</v>
      </c>
      <c r="E101">
        <f t="shared" ca="1" si="2"/>
        <v>0</v>
      </c>
      <c r="F101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846.47170214220841</v>
      </c>
      <c r="G101">
        <f ca="1">IF($C101-G$1&lt;År1,0,F100*(1-VLOOKUP($A101,[1]Hugst!$R$5:$W$9,MATCH(ROUNDUP((G$1)/10,0)*10,[1]Hugst!$R$4:$W$4,0))))</f>
        <v>847.71363733222552</v>
      </c>
      <c r="H101">
        <f ca="1">IF($C101-H$1&lt;År1,0,G100*(1-VLOOKUP($A101,[1]Hugst!$R$5:$W$9,MATCH(ROUNDUP((H$1)/10,0)*10,[1]Hugst!$R$4:$W$4,0))))</f>
        <v>848.96181340261001</v>
      </c>
      <c r="I101">
        <f ca="1">IF($C101-I$1&lt;År1,0,H100*(1-VLOOKUP($A101,[1]Hugst!$R$5:$W$9,MATCH(ROUNDUP((I$1)/10,0)*10,[1]Hugst!$R$4:$W$4,0))))</f>
        <v>850.21626171454284</v>
      </c>
      <c r="J101">
        <f ca="1">IF($C101-J$1&lt;År1,0,I100*(1-VLOOKUP($A101,[1]Hugst!$R$5:$W$9,MATCH(ROUNDUP((J$1)/10,0)*10,[1]Hugst!$R$4:$W$4,0))))</f>
        <v>851.47701378685042</v>
      </c>
      <c r="K101">
        <f ca="1">IF($C101-K$1&lt;År1,0,J100*(1-VLOOKUP($A101,[1]Hugst!$R$5:$W$9,MATCH(ROUNDUP((K$1)/10,0)*10,[1]Hugst!$R$4:$W$4,0))))</f>
        <v>852.74410129670025</v>
      </c>
      <c r="L101">
        <f ca="1">IF($C101-L$1&lt;År1,0,K100*(1-VLOOKUP($A101,[1]Hugst!$R$5:$W$9,MATCH(ROUNDUP((L$1)/10,0)*10,[1]Hugst!$R$4:$W$4,0))))</f>
        <v>854.01755608046983</v>
      </c>
      <c r="M101">
        <f>IF($C101-M$1&lt;År1,0,L100*(1-VLOOKUP($A101,[1]Hugst!$R$5:$W$9,MATCH(ROUNDUP((M$1)/10,0)*10,[1]Hugst!$R$4:$W$4,0))))</f>
        <v>0</v>
      </c>
      <c r="N101">
        <f>IF($C101-N$1&lt;År1,0,M100*(1-VLOOKUP($A101,[1]Hugst!$R$5:$W$9,MATCH(ROUNDUP((N$1)/10,0)*10,[1]Hugst!$R$4:$W$4,0))))</f>
        <v>0</v>
      </c>
      <c r="O101">
        <f>IF($C101-O$1&lt;År1,0,N100*(1-VLOOKUP($A101,[1]Hugst!$R$5:$W$9,MATCH(ROUNDUP((O$1)/10,0)*10,[1]Hugst!$R$4:$W$4,0))))</f>
        <v>0</v>
      </c>
      <c r="P101">
        <f>IF($C101-P$1&lt;År1,0,O100*(1-VLOOKUP($A101,[1]Hugst!$R$5:$W$9,MATCH(ROUNDUP((P$1)/10,0)*10,[1]Hugst!$R$4:$W$4,0))))</f>
        <v>0</v>
      </c>
      <c r="Q101">
        <f>IF($C101-Q$1&lt;År1,0,P100*(1-VLOOKUP($A101,[1]Hugst!$R$5:$W$9,MATCH(ROUNDUP((Q$1)/10,0)*10,[1]Hugst!$R$4:$W$4,0))))</f>
        <v>0</v>
      </c>
      <c r="R101">
        <f>IF($C101-R$1&lt;År1,0,Q100*(1-VLOOKUP($A101,[1]Hugst!$R$5:$W$9,MATCH(ROUNDUP((R$1)/10,0)*10,[1]Hugst!$R$4:$W$4,0))))</f>
        <v>0</v>
      </c>
      <c r="S101">
        <f>IF($C101-S$1&lt;År1,0,R100*(1-VLOOKUP($A101,[1]Hugst!$R$5:$W$9,MATCH(ROUNDUP((S$1)/10,0)*10,[1]Hugst!$R$4:$W$4,0))))</f>
        <v>0</v>
      </c>
      <c r="T101">
        <f>IF($C101-T$1&lt;År1,0,S100*(1-VLOOKUP($A101,[1]Hugst!$R$5:$W$9,MATCH(ROUNDUP((T$1)/10,0)*10,[1]Hugst!$R$4:$W$4,0))))</f>
        <v>0</v>
      </c>
      <c r="U101">
        <f>IF($C101-U$1&lt;År1,0,T100*(1-VLOOKUP($A101,[1]Hugst!$R$5:$W$9,MATCH(ROUNDUP((U$1)/10,0)*10,[1]Hugst!$R$4:$W$4,0))))</f>
        <v>0</v>
      </c>
      <c r="V101">
        <f>IF($C101-V$1&lt;År1,0,U100*(1-VLOOKUP($A101,[1]Hugst!$R$5:$W$9,MATCH(ROUNDUP((V$1)/10,0)*10,[1]Hugst!$R$4:$W$4,0))))</f>
        <v>0</v>
      </c>
      <c r="W101">
        <f>IF($C101-W$1&lt;År1,0,V100*(1-VLOOKUP($A101,[1]Hugst!$R$5:$W$9,MATCH(ROUNDUP((W$1)/10,0)*10,[1]Hugst!$R$4:$W$4,0))))</f>
        <v>0</v>
      </c>
      <c r="X101">
        <f>IF($C101-X$1&lt;År1,0,W100*(1-VLOOKUP($A101,[1]Hugst!$R$5:$W$9,MATCH(ROUNDUP((X$1)/10,0)*10,[1]Hugst!$R$4:$W$4,0))))</f>
        <v>0</v>
      </c>
      <c r="Y101">
        <f>IF($C101-Y$1&lt;År1,0,X100*(1-VLOOKUP($A101,[1]Hugst!$R$5:$W$9,MATCH(ROUNDUP((Y$1)/10,0)*10,[1]Hugst!$R$4:$W$4,0))))</f>
        <v>0</v>
      </c>
      <c r="Z101">
        <f>IF($C101-Z$1&lt;År1,0,Y100*(1-VLOOKUP($A101,[1]Hugst!$R$5:$W$9,MATCH(ROUNDUP((Z$1)/10,0)*10,[1]Hugst!$R$4:$W$4,0))))</f>
        <v>0</v>
      </c>
      <c r="AA101">
        <f>IF($C101-AA$1&lt;År1,0,Z100*(1-VLOOKUP($A101,[1]Hugst!$R$5:$W$9,MATCH(ROUNDUP((AA$1)/10,0)*10,[1]Hugst!$R$4:$W$4,0))))</f>
        <v>0</v>
      </c>
      <c r="AB101">
        <f>IF($C101-AB$1&lt;År1,0,AA100*(1-VLOOKUP($A101,[1]Hugst!$R$5:$W$9,MATCH(ROUNDUP((AB$1)/10,0)*10,[1]Hugst!$R$4:$W$4,0))))</f>
        <v>0</v>
      </c>
      <c r="AC101">
        <f>IF($C101-AC$1&lt;År1,0,AB100*(1-VLOOKUP($A101,[1]Hugst!$R$5:$W$9,MATCH(ROUNDUP((AC$1)/10,0)*10,[1]Hugst!$R$4:$W$4,0))))</f>
        <v>0</v>
      </c>
      <c r="AD101">
        <f>IF($C101-AD$1&lt;År1,0,AC100*(1-VLOOKUP($A101,[1]Hugst!$R$5:$W$9,MATCH(ROUNDUP((AD$1)/10,0)*10,[1]Hugst!$R$4:$W$4,0))))</f>
        <v>0</v>
      </c>
      <c r="AE101">
        <f>IF($C101-AE$1&lt;År1,0,AD100*(1-VLOOKUP($A101,[1]Hugst!$R$5:$W$9,MATCH(ROUNDUP((AE$1)/10,0)*10,[1]Hugst!$R$4:$W$4,0))))</f>
        <v>0</v>
      </c>
      <c r="AF101">
        <f>IF($C101-AF$1&lt;År1,0,AE100*(1-VLOOKUP($A101,[1]Hugst!$R$5:$W$9,MATCH(ROUNDUP((AF$1)/10,0)*10,[1]Hugst!$R$4:$W$4,0))))</f>
        <v>0</v>
      </c>
      <c r="AG101">
        <f>IF($C101-AG$1&lt;År1,0,AF100*(1-VLOOKUP($A101,[1]Hugst!$R$5:$W$9,MATCH(ROUNDUP((AG$1)/10,0)*10,[1]Hugst!$R$4:$W$4,0))))</f>
        <v>0</v>
      </c>
      <c r="AH101">
        <f>IF($C101-AH$1&lt;År1,0,AG100*(1-VLOOKUP($A101,[1]Hugst!$R$5:$W$9,MATCH(ROUNDUP((AH$1)/10,0)*10,[1]Hugst!$R$4:$W$4,0))))</f>
        <v>0</v>
      </c>
      <c r="AI101">
        <f>IF($C101-AI$1&lt;År1,0,AH100*(1-VLOOKUP($A101,[1]Hugst!$R$5:$W$9,MATCH(ROUNDUP((AI$1)/10,0)*10,[1]Hugst!$R$4:$W$4,0))))</f>
        <v>0</v>
      </c>
      <c r="AJ101">
        <f>IF($C101-AJ$1&lt;År1,0,AI100*(1-VLOOKUP($A101,[1]Hugst!$R$5:$W$9,MATCH(ROUNDUP((AJ$1)/10,0)*10,[1]Hugst!$R$4:$W$4,0))))</f>
        <v>0</v>
      </c>
    </row>
    <row r="102" spans="1:36" x14ac:dyDescent="0.25">
      <c r="A102" t="s">
        <v>177</v>
      </c>
      <c r="B102" t="s">
        <v>24</v>
      </c>
      <c r="C102">
        <v>2027</v>
      </c>
      <c r="D102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245.90937730151927</v>
      </c>
      <c r="E102">
        <f t="shared" ca="1" si="2"/>
        <v>0</v>
      </c>
      <c r="F102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845.23597662811835</v>
      </c>
      <c r="G102">
        <f ca="1">IF($C102-G$1&lt;År1,0,F101*(1-VLOOKUP($A102,[1]Hugst!$R$5:$W$9,MATCH(ROUNDUP((G$1)/10,0)*10,[1]Hugst!$R$4:$W$4,0))))</f>
        <v>846.47170214220841</v>
      </c>
      <c r="H102">
        <f ca="1">IF($C102-H$1&lt;År1,0,G101*(1-VLOOKUP($A102,[1]Hugst!$R$5:$W$9,MATCH(ROUNDUP((H$1)/10,0)*10,[1]Hugst!$R$4:$W$4,0))))</f>
        <v>847.71363733222552</v>
      </c>
      <c r="I102">
        <f ca="1">IF($C102-I$1&lt;År1,0,H101*(1-VLOOKUP($A102,[1]Hugst!$R$5:$W$9,MATCH(ROUNDUP((I$1)/10,0)*10,[1]Hugst!$R$4:$W$4,0))))</f>
        <v>848.96181340261001</v>
      </c>
      <c r="J102">
        <f ca="1">IF($C102-J$1&lt;År1,0,I101*(1-VLOOKUP($A102,[1]Hugst!$R$5:$W$9,MATCH(ROUNDUP((J$1)/10,0)*10,[1]Hugst!$R$4:$W$4,0))))</f>
        <v>850.21626171454284</v>
      </c>
      <c r="K102">
        <f ca="1">IF($C102-K$1&lt;År1,0,J101*(1-VLOOKUP($A102,[1]Hugst!$R$5:$W$9,MATCH(ROUNDUP((K$1)/10,0)*10,[1]Hugst!$R$4:$W$4,0))))</f>
        <v>851.47701378685042</v>
      </c>
      <c r="L102">
        <f ca="1">IF($C102-L$1&lt;År1,0,K101*(1-VLOOKUP($A102,[1]Hugst!$R$5:$W$9,MATCH(ROUNDUP((L$1)/10,0)*10,[1]Hugst!$R$4:$W$4,0))))</f>
        <v>852.74410129670025</v>
      </c>
      <c r="M102">
        <f ca="1">IF($C102-M$1&lt;År1,0,L101*(1-VLOOKUP($A102,[1]Hugst!$R$5:$W$9,MATCH(ROUNDUP((M$1)/10,0)*10,[1]Hugst!$R$4:$W$4,0))))</f>
        <v>854.01755608046983</v>
      </c>
      <c r="N102">
        <f>IF($C102-N$1&lt;År1,0,M101*(1-VLOOKUP($A102,[1]Hugst!$R$5:$W$9,MATCH(ROUNDUP((N$1)/10,0)*10,[1]Hugst!$R$4:$W$4,0))))</f>
        <v>0</v>
      </c>
      <c r="O102">
        <f>IF($C102-O$1&lt;År1,0,N101*(1-VLOOKUP($A102,[1]Hugst!$R$5:$W$9,MATCH(ROUNDUP((O$1)/10,0)*10,[1]Hugst!$R$4:$W$4,0))))</f>
        <v>0</v>
      </c>
      <c r="P102">
        <f>IF($C102-P$1&lt;År1,0,O101*(1-VLOOKUP($A102,[1]Hugst!$R$5:$W$9,MATCH(ROUNDUP((P$1)/10,0)*10,[1]Hugst!$R$4:$W$4,0))))</f>
        <v>0</v>
      </c>
      <c r="Q102">
        <f>IF($C102-Q$1&lt;År1,0,P101*(1-VLOOKUP($A102,[1]Hugst!$R$5:$W$9,MATCH(ROUNDUP((Q$1)/10,0)*10,[1]Hugst!$R$4:$W$4,0))))</f>
        <v>0</v>
      </c>
      <c r="R102">
        <f>IF($C102-R$1&lt;År1,0,Q101*(1-VLOOKUP($A102,[1]Hugst!$R$5:$W$9,MATCH(ROUNDUP((R$1)/10,0)*10,[1]Hugst!$R$4:$W$4,0))))</f>
        <v>0</v>
      </c>
      <c r="S102">
        <f>IF($C102-S$1&lt;År1,0,R101*(1-VLOOKUP($A102,[1]Hugst!$R$5:$W$9,MATCH(ROUNDUP((S$1)/10,0)*10,[1]Hugst!$R$4:$W$4,0))))</f>
        <v>0</v>
      </c>
      <c r="T102">
        <f>IF($C102-T$1&lt;År1,0,S101*(1-VLOOKUP($A102,[1]Hugst!$R$5:$W$9,MATCH(ROUNDUP((T$1)/10,0)*10,[1]Hugst!$R$4:$W$4,0))))</f>
        <v>0</v>
      </c>
      <c r="U102">
        <f>IF($C102-U$1&lt;År1,0,T101*(1-VLOOKUP($A102,[1]Hugst!$R$5:$W$9,MATCH(ROUNDUP((U$1)/10,0)*10,[1]Hugst!$R$4:$W$4,0))))</f>
        <v>0</v>
      </c>
      <c r="V102">
        <f>IF($C102-V$1&lt;År1,0,U101*(1-VLOOKUP($A102,[1]Hugst!$R$5:$W$9,MATCH(ROUNDUP((V$1)/10,0)*10,[1]Hugst!$R$4:$W$4,0))))</f>
        <v>0</v>
      </c>
      <c r="W102">
        <f>IF($C102-W$1&lt;År1,0,V101*(1-VLOOKUP($A102,[1]Hugst!$R$5:$W$9,MATCH(ROUNDUP((W$1)/10,0)*10,[1]Hugst!$R$4:$W$4,0))))</f>
        <v>0</v>
      </c>
      <c r="X102">
        <f>IF($C102-X$1&lt;År1,0,W101*(1-VLOOKUP($A102,[1]Hugst!$R$5:$W$9,MATCH(ROUNDUP((X$1)/10,0)*10,[1]Hugst!$R$4:$W$4,0))))</f>
        <v>0</v>
      </c>
      <c r="Y102">
        <f>IF($C102-Y$1&lt;År1,0,X101*(1-VLOOKUP($A102,[1]Hugst!$R$5:$W$9,MATCH(ROUNDUP((Y$1)/10,0)*10,[1]Hugst!$R$4:$W$4,0))))</f>
        <v>0</v>
      </c>
      <c r="Z102">
        <f>IF($C102-Z$1&lt;År1,0,Y101*(1-VLOOKUP($A102,[1]Hugst!$R$5:$W$9,MATCH(ROUNDUP((Z$1)/10,0)*10,[1]Hugst!$R$4:$W$4,0))))</f>
        <v>0</v>
      </c>
      <c r="AA102">
        <f>IF($C102-AA$1&lt;År1,0,Z101*(1-VLOOKUP($A102,[1]Hugst!$R$5:$W$9,MATCH(ROUNDUP((AA$1)/10,0)*10,[1]Hugst!$R$4:$W$4,0))))</f>
        <v>0</v>
      </c>
      <c r="AB102">
        <f>IF($C102-AB$1&lt;År1,0,AA101*(1-VLOOKUP($A102,[1]Hugst!$R$5:$W$9,MATCH(ROUNDUP((AB$1)/10,0)*10,[1]Hugst!$R$4:$W$4,0))))</f>
        <v>0</v>
      </c>
      <c r="AC102">
        <f>IF($C102-AC$1&lt;År1,0,AB101*(1-VLOOKUP($A102,[1]Hugst!$R$5:$W$9,MATCH(ROUNDUP((AC$1)/10,0)*10,[1]Hugst!$R$4:$W$4,0))))</f>
        <v>0</v>
      </c>
      <c r="AD102">
        <f>IF($C102-AD$1&lt;År1,0,AC101*(1-VLOOKUP($A102,[1]Hugst!$R$5:$W$9,MATCH(ROUNDUP((AD$1)/10,0)*10,[1]Hugst!$R$4:$W$4,0))))</f>
        <v>0</v>
      </c>
      <c r="AE102">
        <f>IF($C102-AE$1&lt;År1,0,AD101*(1-VLOOKUP($A102,[1]Hugst!$R$5:$W$9,MATCH(ROUNDUP((AE$1)/10,0)*10,[1]Hugst!$R$4:$W$4,0))))</f>
        <v>0</v>
      </c>
      <c r="AF102">
        <f>IF($C102-AF$1&lt;År1,0,AE101*(1-VLOOKUP($A102,[1]Hugst!$R$5:$W$9,MATCH(ROUNDUP((AF$1)/10,0)*10,[1]Hugst!$R$4:$W$4,0))))</f>
        <v>0</v>
      </c>
      <c r="AG102">
        <f>IF($C102-AG$1&lt;År1,0,AF101*(1-VLOOKUP($A102,[1]Hugst!$R$5:$W$9,MATCH(ROUNDUP((AG$1)/10,0)*10,[1]Hugst!$R$4:$W$4,0))))</f>
        <v>0</v>
      </c>
      <c r="AH102">
        <f>IF($C102-AH$1&lt;År1,0,AG101*(1-VLOOKUP($A102,[1]Hugst!$R$5:$W$9,MATCH(ROUNDUP((AH$1)/10,0)*10,[1]Hugst!$R$4:$W$4,0))))</f>
        <v>0</v>
      </c>
      <c r="AI102">
        <f>IF($C102-AI$1&lt;År1,0,AH101*(1-VLOOKUP($A102,[1]Hugst!$R$5:$W$9,MATCH(ROUNDUP((AI$1)/10,0)*10,[1]Hugst!$R$4:$W$4,0))))</f>
        <v>0</v>
      </c>
      <c r="AJ102">
        <f>IF($C102-AJ$1&lt;År1,0,AI101*(1-VLOOKUP($A102,[1]Hugst!$R$5:$W$9,MATCH(ROUNDUP((AJ$1)/10,0)*10,[1]Hugst!$R$4:$W$4,0))))</f>
        <v>0</v>
      </c>
    </row>
    <row r="103" spans="1:36" x14ac:dyDescent="0.25">
      <c r="A103" t="s">
        <v>177</v>
      </c>
      <c r="B103" t="s">
        <v>24</v>
      </c>
      <c r="C103">
        <v>2028</v>
      </c>
      <c r="D103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244.67983041501748</v>
      </c>
      <c r="E103">
        <f t="shared" ca="1" si="2"/>
        <v>0</v>
      </c>
      <c r="F103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844.00642974161656</v>
      </c>
      <c r="G103">
        <f ca="1">IF($C103-G$1&lt;År1,0,F102*(1-VLOOKUP($A103,[1]Hugst!$R$5:$W$9,MATCH(ROUNDUP((G$1)/10,0)*10,[1]Hugst!$R$4:$W$4,0))))</f>
        <v>845.23597662811835</v>
      </c>
      <c r="H103">
        <f ca="1">IF($C103-H$1&lt;År1,0,G102*(1-VLOOKUP($A103,[1]Hugst!$R$5:$W$9,MATCH(ROUNDUP((H$1)/10,0)*10,[1]Hugst!$R$4:$W$4,0))))</f>
        <v>846.47170214220841</v>
      </c>
      <c r="I103">
        <f ca="1">IF($C103-I$1&lt;År1,0,H102*(1-VLOOKUP($A103,[1]Hugst!$R$5:$W$9,MATCH(ROUNDUP((I$1)/10,0)*10,[1]Hugst!$R$4:$W$4,0))))</f>
        <v>847.71363733222552</v>
      </c>
      <c r="J103">
        <f ca="1">IF($C103-J$1&lt;År1,0,I102*(1-VLOOKUP($A103,[1]Hugst!$R$5:$W$9,MATCH(ROUNDUP((J$1)/10,0)*10,[1]Hugst!$R$4:$W$4,0))))</f>
        <v>848.96181340261001</v>
      </c>
      <c r="K103">
        <f ca="1">IF($C103-K$1&lt;År1,0,J102*(1-VLOOKUP($A103,[1]Hugst!$R$5:$W$9,MATCH(ROUNDUP((K$1)/10,0)*10,[1]Hugst!$R$4:$W$4,0))))</f>
        <v>850.21626171454284</v>
      </c>
      <c r="L103">
        <f ca="1">IF($C103-L$1&lt;År1,0,K102*(1-VLOOKUP($A103,[1]Hugst!$R$5:$W$9,MATCH(ROUNDUP((L$1)/10,0)*10,[1]Hugst!$R$4:$W$4,0))))</f>
        <v>851.47701378685042</v>
      </c>
      <c r="M103">
        <f ca="1">IF($C103-M$1&lt;År1,0,L102*(1-VLOOKUP($A103,[1]Hugst!$R$5:$W$9,MATCH(ROUNDUP((M$1)/10,0)*10,[1]Hugst!$R$4:$W$4,0))))</f>
        <v>852.74410129670025</v>
      </c>
      <c r="N103">
        <f ca="1">IF($C103-N$1&lt;År1,0,M102*(1-VLOOKUP($A103,[1]Hugst!$R$5:$W$9,MATCH(ROUNDUP((N$1)/10,0)*10,[1]Hugst!$R$4:$W$4,0))))</f>
        <v>854.01755608046983</v>
      </c>
      <c r="O103">
        <f>IF($C103-O$1&lt;År1,0,N102*(1-VLOOKUP($A103,[1]Hugst!$R$5:$W$9,MATCH(ROUNDUP((O$1)/10,0)*10,[1]Hugst!$R$4:$W$4,0))))</f>
        <v>0</v>
      </c>
      <c r="P103">
        <f>IF($C103-P$1&lt;År1,0,O102*(1-VLOOKUP($A103,[1]Hugst!$R$5:$W$9,MATCH(ROUNDUP((P$1)/10,0)*10,[1]Hugst!$R$4:$W$4,0))))</f>
        <v>0</v>
      </c>
      <c r="Q103">
        <f>IF($C103-Q$1&lt;År1,0,P102*(1-VLOOKUP($A103,[1]Hugst!$R$5:$W$9,MATCH(ROUNDUP((Q$1)/10,0)*10,[1]Hugst!$R$4:$W$4,0))))</f>
        <v>0</v>
      </c>
      <c r="R103">
        <f>IF($C103-R$1&lt;År1,0,Q102*(1-VLOOKUP($A103,[1]Hugst!$R$5:$W$9,MATCH(ROUNDUP((R$1)/10,0)*10,[1]Hugst!$R$4:$W$4,0))))</f>
        <v>0</v>
      </c>
      <c r="S103">
        <f>IF($C103-S$1&lt;År1,0,R102*(1-VLOOKUP($A103,[1]Hugst!$R$5:$W$9,MATCH(ROUNDUP((S$1)/10,0)*10,[1]Hugst!$R$4:$W$4,0))))</f>
        <v>0</v>
      </c>
      <c r="T103">
        <f>IF($C103-T$1&lt;År1,0,S102*(1-VLOOKUP($A103,[1]Hugst!$R$5:$W$9,MATCH(ROUNDUP((T$1)/10,0)*10,[1]Hugst!$R$4:$W$4,0))))</f>
        <v>0</v>
      </c>
      <c r="U103">
        <f>IF($C103-U$1&lt;År1,0,T102*(1-VLOOKUP($A103,[1]Hugst!$R$5:$W$9,MATCH(ROUNDUP((U$1)/10,0)*10,[1]Hugst!$R$4:$W$4,0))))</f>
        <v>0</v>
      </c>
      <c r="V103">
        <f>IF($C103-V$1&lt;År1,0,U102*(1-VLOOKUP($A103,[1]Hugst!$R$5:$W$9,MATCH(ROUNDUP((V$1)/10,0)*10,[1]Hugst!$R$4:$W$4,0))))</f>
        <v>0</v>
      </c>
      <c r="W103">
        <f>IF($C103-W$1&lt;År1,0,V102*(1-VLOOKUP($A103,[1]Hugst!$R$5:$W$9,MATCH(ROUNDUP((W$1)/10,0)*10,[1]Hugst!$R$4:$W$4,0))))</f>
        <v>0</v>
      </c>
      <c r="X103">
        <f>IF($C103-X$1&lt;År1,0,W102*(1-VLOOKUP($A103,[1]Hugst!$R$5:$W$9,MATCH(ROUNDUP((X$1)/10,0)*10,[1]Hugst!$R$4:$W$4,0))))</f>
        <v>0</v>
      </c>
      <c r="Y103">
        <f>IF($C103-Y$1&lt;År1,0,X102*(1-VLOOKUP($A103,[1]Hugst!$R$5:$W$9,MATCH(ROUNDUP((Y$1)/10,0)*10,[1]Hugst!$R$4:$W$4,0))))</f>
        <v>0</v>
      </c>
      <c r="Z103">
        <f>IF($C103-Z$1&lt;År1,0,Y102*(1-VLOOKUP($A103,[1]Hugst!$R$5:$W$9,MATCH(ROUNDUP((Z$1)/10,0)*10,[1]Hugst!$R$4:$W$4,0))))</f>
        <v>0</v>
      </c>
      <c r="AA103">
        <f>IF($C103-AA$1&lt;År1,0,Z102*(1-VLOOKUP($A103,[1]Hugst!$R$5:$W$9,MATCH(ROUNDUP((AA$1)/10,0)*10,[1]Hugst!$R$4:$W$4,0))))</f>
        <v>0</v>
      </c>
      <c r="AB103">
        <f>IF($C103-AB$1&lt;År1,0,AA102*(1-VLOOKUP($A103,[1]Hugst!$R$5:$W$9,MATCH(ROUNDUP((AB$1)/10,0)*10,[1]Hugst!$R$4:$W$4,0))))</f>
        <v>0</v>
      </c>
      <c r="AC103">
        <f>IF($C103-AC$1&lt;År1,0,AB102*(1-VLOOKUP($A103,[1]Hugst!$R$5:$W$9,MATCH(ROUNDUP((AC$1)/10,0)*10,[1]Hugst!$R$4:$W$4,0))))</f>
        <v>0</v>
      </c>
      <c r="AD103">
        <f>IF($C103-AD$1&lt;År1,0,AC102*(1-VLOOKUP($A103,[1]Hugst!$R$5:$W$9,MATCH(ROUNDUP((AD$1)/10,0)*10,[1]Hugst!$R$4:$W$4,0))))</f>
        <v>0</v>
      </c>
      <c r="AE103">
        <f>IF($C103-AE$1&lt;År1,0,AD102*(1-VLOOKUP($A103,[1]Hugst!$R$5:$W$9,MATCH(ROUNDUP((AE$1)/10,0)*10,[1]Hugst!$R$4:$W$4,0))))</f>
        <v>0</v>
      </c>
      <c r="AF103">
        <f>IF($C103-AF$1&lt;År1,0,AE102*(1-VLOOKUP($A103,[1]Hugst!$R$5:$W$9,MATCH(ROUNDUP((AF$1)/10,0)*10,[1]Hugst!$R$4:$W$4,0))))</f>
        <v>0</v>
      </c>
      <c r="AG103">
        <f>IF($C103-AG$1&lt;År1,0,AF102*(1-VLOOKUP($A103,[1]Hugst!$R$5:$W$9,MATCH(ROUNDUP((AG$1)/10,0)*10,[1]Hugst!$R$4:$W$4,0))))</f>
        <v>0</v>
      </c>
      <c r="AH103">
        <f>IF($C103-AH$1&lt;År1,0,AG102*(1-VLOOKUP($A103,[1]Hugst!$R$5:$W$9,MATCH(ROUNDUP((AH$1)/10,0)*10,[1]Hugst!$R$4:$W$4,0))))</f>
        <v>0</v>
      </c>
      <c r="AI103">
        <f>IF($C103-AI$1&lt;År1,0,AH102*(1-VLOOKUP($A103,[1]Hugst!$R$5:$W$9,MATCH(ROUNDUP((AI$1)/10,0)*10,[1]Hugst!$R$4:$W$4,0))))</f>
        <v>0</v>
      </c>
      <c r="AJ103">
        <f>IF($C103-AJ$1&lt;År1,0,AI102*(1-VLOOKUP($A103,[1]Hugst!$R$5:$W$9,MATCH(ROUNDUP((AJ$1)/10,0)*10,[1]Hugst!$R$4:$W$4,0))))</f>
        <v>0</v>
      </c>
    </row>
    <row r="104" spans="1:36" x14ac:dyDescent="0.25">
      <c r="A104" t="s">
        <v>177</v>
      </c>
      <c r="B104" t="s">
        <v>24</v>
      </c>
      <c r="C104">
        <v>2029</v>
      </c>
      <c r="D104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243.45643126293999</v>
      </c>
      <c r="E104">
        <f ca="1">IF(C104=2020,SUM(G104:AJ104),SUM(F103:AJ103)-SUM(G104:AJ104))</f>
        <v>0</v>
      </c>
      <c r="F104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842.78303058953907</v>
      </c>
      <c r="G104">
        <f ca="1">IF($C104-G$1&lt;År1,0,F103*(1-VLOOKUP($A104,[1]Hugst!$R$5:$W$9,MATCH(ROUNDUP((G$1)/10,0)*10,[1]Hugst!$R$4:$W$4,0))))</f>
        <v>844.00642974161656</v>
      </c>
      <c r="H104">
        <f ca="1">IF($C104-H$1&lt;År1,0,G103*(1-VLOOKUP($A104,[1]Hugst!$R$5:$W$9,MATCH(ROUNDUP((H$1)/10,0)*10,[1]Hugst!$R$4:$W$4,0))))</f>
        <v>845.23597662811835</v>
      </c>
      <c r="I104">
        <f ca="1">IF($C104-I$1&lt;År1,0,H103*(1-VLOOKUP($A104,[1]Hugst!$R$5:$W$9,MATCH(ROUNDUP((I$1)/10,0)*10,[1]Hugst!$R$4:$W$4,0))))</f>
        <v>846.47170214220841</v>
      </c>
      <c r="J104">
        <f ca="1">IF($C104-J$1&lt;År1,0,I103*(1-VLOOKUP($A104,[1]Hugst!$R$5:$W$9,MATCH(ROUNDUP((J$1)/10,0)*10,[1]Hugst!$R$4:$W$4,0))))</f>
        <v>847.71363733222552</v>
      </c>
      <c r="K104">
        <f ca="1">IF($C104-K$1&lt;År1,0,J103*(1-VLOOKUP($A104,[1]Hugst!$R$5:$W$9,MATCH(ROUNDUP((K$1)/10,0)*10,[1]Hugst!$R$4:$W$4,0))))</f>
        <v>848.96181340261001</v>
      </c>
      <c r="L104">
        <f ca="1">IF($C104-L$1&lt;År1,0,K103*(1-VLOOKUP($A104,[1]Hugst!$R$5:$W$9,MATCH(ROUNDUP((L$1)/10,0)*10,[1]Hugst!$R$4:$W$4,0))))</f>
        <v>850.21626171454284</v>
      </c>
      <c r="M104">
        <f ca="1">IF($C104-M$1&lt;År1,0,L103*(1-VLOOKUP($A104,[1]Hugst!$R$5:$W$9,MATCH(ROUNDUP((M$1)/10,0)*10,[1]Hugst!$R$4:$W$4,0))))</f>
        <v>851.47701378685042</v>
      </c>
      <c r="N104">
        <f ca="1">IF($C104-N$1&lt;År1,0,M103*(1-VLOOKUP($A104,[1]Hugst!$R$5:$W$9,MATCH(ROUNDUP((N$1)/10,0)*10,[1]Hugst!$R$4:$W$4,0))))</f>
        <v>852.74410129670025</v>
      </c>
      <c r="O104">
        <f ca="1">IF($C104-O$1&lt;År1,0,N103*(1-VLOOKUP($A104,[1]Hugst!$R$5:$W$9,MATCH(ROUNDUP((O$1)/10,0)*10,[1]Hugst!$R$4:$W$4,0))))</f>
        <v>854.01755608046983</v>
      </c>
      <c r="P104">
        <f>IF($C104-P$1&lt;År1,0,O103*(1-VLOOKUP($A104,[1]Hugst!$R$5:$W$9,MATCH(ROUNDUP((P$1)/10,0)*10,[1]Hugst!$R$4:$W$4,0))))</f>
        <v>0</v>
      </c>
      <c r="Q104">
        <f>IF($C104-Q$1&lt;År1,0,P103*(1-VLOOKUP($A104,[1]Hugst!$R$5:$W$9,MATCH(ROUNDUP((Q$1)/10,0)*10,[1]Hugst!$R$4:$W$4,0))))</f>
        <v>0</v>
      </c>
      <c r="R104">
        <f>IF($C104-R$1&lt;År1,0,Q103*(1-VLOOKUP($A104,[1]Hugst!$R$5:$W$9,MATCH(ROUNDUP((R$1)/10,0)*10,[1]Hugst!$R$4:$W$4,0))))</f>
        <v>0</v>
      </c>
      <c r="S104">
        <f>IF($C104-S$1&lt;År1,0,R103*(1-VLOOKUP($A104,[1]Hugst!$R$5:$W$9,MATCH(ROUNDUP((S$1)/10,0)*10,[1]Hugst!$R$4:$W$4,0))))</f>
        <v>0</v>
      </c>
      <c r="T104">
        <f>IF($C104-T$1&lt;År1,0,S103*(1-VLOOKUP($A104,[1]Hugst!$R$5:$W$9,MATCH(ROUNDUP((T$1)/10,0)*10,[1]Hugst!$R$4:$W$4,0))))</f>
        <v>0</v>
      </c>
      <c r="U104">
        <f>IF($C104-U$1&lt;År1,0,T103*(1-VLOOKUP($A104,[1]Hugst!$R$5:$W$9,MATCH(ROUNDUP((U$1)/10,0)*10,[1]Hugst!$R$4:$W$4,0))))</f>
        <v>0</v>
      </c>
      <c r="V104">
        <f>IF($C104-V$1&lt;År1,0,U103*(1-VLOOKUP($A104,[1]Hugst!$R$5:$W$9,MATCH(ROUNDUP((V$1)/10,0)*10,[1]Hugst!$R$4:$W$4,0))))</f>
        <v>0</v>
      </c>
      <c r="W104">
        <f>IF($C104-W$1&lt;År1,0,V103*(1-VLOOKUP($A104,[1]Hugst!$R$5:$W$9,MATCH(ROUNDUP((W$1)/10,0)*10,[1]Hugst!$R$4:$W$4,0))))</f>
        <v>0</v>
      </c>
      <c r="X104">
        <f>IF($C104-X$1&lt;År1,0,W103*(1-VLOOKUP($A104,[1]Hugst!$R$5:$W$9,MATCH(ROUNDUP((X$1)/10,0)*10,[1]Hugst!$R$4:$W$4,0))))</f>
        <v>0</v>
      </c>
      <c r="Y104">
        <f>IF($C104-Y$1&lt;År1,0,X103*(1-VLOOKUP($A104,[1]Hugst!$R$5:$W$9,MATCH(ROUNDUP((Y$1)/10,0)*10,[1]Hugst!$R$4:$W$4,0))))</f>
        <v>0</v>
      </c>
      <c r="Z104">
        <f>IF($C104-Z$1&lt;År1,0,Y103*(1-VLOOKUP($A104,[1]Hugst!$R$5:$W$9,MATCH(ROUNDUP((Z$1)/10,0)*10,[1]Hugst!$R$4:$W$4,0))))</f>
        <v>0</v>
      </c>
      <c r="AA104">
        <f>IF($C104-AA$1&lt;År1,0,Z103*(1-VLOOKUP($A104,[1]Hugst!$R$5:$W$9,MATCH(ROUNDUP((AA$1)/10,0)*10,[1]Hugst!$R$4:$W$4,0))))</f>
        <v>0</v>
      </c>
      <c r="AB104">
        <f>IF($C104-AB$1&lt;År1,0,AA103*(1-VLOOKUP($A104,[1]Hugst!$R$5:$W$9,MATCH(ROUNDUP((AB$1)/10,0)*10,[1]Hugst!$R$4:$W$4,0))))</f>
        <v>0</v>
      </c>
      <c r="AC104">
        <f>IF($C104-AC$1&lt;År1,0,AB103*(1-VLOOKUP($A104,[1]Hugst!$R$5:$W$9,MATCH(ROUNDUP((AC$1)/10,0)*10,[1]Hugst!$R$4:$W$4,0))))</f>
        <v>0</v>
      </c>
      <c r="AD104">
        <f>IF($C104-AD$1&lt;År1,0,AC103*(1-VLOOKUP($A104,[1]Hugst!$R$5:$W$9,MATCH(ROUNDUP((AD$1)/10,0)*10,[1]Hugst!$R$4:$W$4,0))))</f>
        <v>0</v>
      </c>
      <c r="AE104">
        <f>IF($C104-AE$1&lt;År1,0,AD103*(1-VLOOKUP($A104,[1]Hugst!$R$5:$W$9,MATCH(ROUNDUP((AE$1)/10,0)*10,[1]Hugst!$R$4:$W$4,0))))</f>
        <v>0</v>
      </c>
      <c r="AF104">
        <f>IF($C104-AF$1&lt;År1,0,AE103*(1-VLOOKUP($A104,[1]Hugst!$R$5:$W$9,MATCH(ROUNDUP((AF$1)/10,0)*10,[1]Hugst!$R$4:$W$4,0))))</f>
        <v>0</v>
      </c>
      <c r="AG104">
        <f>IF($C104-AG$1&lt;År1,0,AF103*(1-VLOOKUP($A104,[1]Hugst!$R$5:$W$9,MATCH(ROUNDUP((AG$1)/10,0)*10,[1]Hugst!$R$4:$W$4,0))))</f>
        <v>0</v>
      </c>
      <c r="AH104">
        <f>IF($C104-AH$1&lt;År1,0,AG103*(1-VLOOKUP($A104,[1]Hugst!$R$5:$W$9,MATCH(ROUNDUP((AH$1)/10,0)*10,[1]Hugst!$R$4:$W$4,0))))</f>
        <v>0</v>
      </c>
      <c r="AI104">
        <f>IF($C104-AI$1&lt;År1,0,AH103*(1-VLOOKUP($A104,[1]Hugst!$R$5:$W$9,MATCH(ROUNDUP((AI$1)/10,0)*10,[1]Hugst!$R$4:$W$4,0))))</f>
        <v>0</v>
      </c>
      <c r="AJ104">
        <f>IF($C104-AJ$1&lt;År1,0,AI103*(1-VLOOKUP($A104,[1]Hugst!$R$5:$W$9,MATCH(ROUNDUP((AJ$1)/10,0)*10,[1]Hugst!$R$4:$W$4,0))))</f>
        <v>0</v>
      </c>
    </row>
    <row r="105" spans="1:36" x14ac:dyDescent="0.25">
      <c r="A105" t="s">
        <v>177</v>
      </c>
      <c r="B105" t="s">
        <v>24</v>
      </c>
      <c r="C105">
        <v>2030</v>
      </c>
      <c r="D105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242.23914910663143</v>
      </c>
      <c r="E105">
        <f t="shared" ca="1" si="2"/>
        <v>1.302738644868441</v>
      </c>
      <c r="F105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842.86848707809895</v>
      </c>
      <c r="G105">
        <f ca="1">IF($C105-G$1&lt;År1,0,F104*(1-VLOOKUP($A105,[1]Hugst!$R$5:$W$9,MATCH(ROUNDUP((G$1)/10,0)*10,[1]Hugst!$R$4:$W$4,0))))</f>
        <v>842.78303058953907</v>
      </c>
      <c r="H105">
        <f ca="1">IF($C105-H$1&lt;År1,0,G104*(1-VLOOKUP($A105,[1]Hugst!$R$5:$W$9,MATCH(ROUNDUP((H$1)/10,0)*10,[1]Hugst!$R$4:$W$4,0))))</f>
        <v>844.00642974161656</v>
      </c>
      <c r="I105">
        <f ca="1">IF($C105-I$1&lt;År1,0,H104*(1-VLOOKUP($A105,[1]Hugst!$R$5:$W$9,MATCH(ROUNDUP((I$1)/10,0)*10,[1]Hugst!$R$4:$W$4,0))))</f>
        <v>845.23597662811835</v>
      </c>
      <c r="J105">
        <f ca="1">IF($C105-J$1&lt;År1,0,I104*(1-VLOOKUP($A105,[1]Hugst!$R$5:$W$9,MATCH(ROUNDUP((J$1)/10,0)*10,[1]Hugst!$R$4:$W$4,0))))</f>
        <v>846.47170214220841</v>
      </c>
      <c r="K105">
        <f ca="1">IF($C105-K$1&lt;År1,0,J104*(1-VLOOKUP($A105,[1]Hugst!$R$5:$W$9,MATCH(ROUNDUP((K$1)/10,0)*10,[1]Hugst!$R$4:$W$4,0))))</f>
        <v>847.71363733222552</v>
      </c>
      <c r="L105">
        <f ca="1">IF($C105-L$1&lt;År1,0,K104*(1-VLOOKUP($A105,[1]Hugst!$R$5:$W$9,MATCH(ROUNDUP((L$1)/10,0)*10,[1]Hugst!$R$4:$W$4,0))))</f>
        <v>848.96181340261001</v>
      </c>
      <c r="M105">
        <f ca="1">IF($C105-M$1&lt;År1,0,L104*(1-VLOOKUP($A105,[1]Hugst!$R$5:$W$9,MATCH(ROUNDUP((M$1)/10,0)*10,[1]Hugst!$R$4:$W$4,0))))</f>
        <v>850.21626171454284</v>
      </c>
      <c r="N105">
        <f ca="1">IF($C105-N$1&lt;År1,0,M104*(1-VLOOKUP($A105,[1]Hugst!$R$5:$W$9,MATCH(ROUNDUP((N$1)/10,0)*10,[1]Hugst!$R$4:$W$4,0))))</f>
        <v>851.47701378685042</v>
      </c>
      <c r="O105">
        <f ca="1">IF($C105-O$1&lt;År1,0,N104*(1-VLOOKUP($A105,[1]Hugst!$R$5:$W$9,MATCH(ROUNDUP((O$1)/10,0)*10,[1]Hugst!$R$4:$W$4,0))))</f>
        <v>852.74410129670025</v>
      </c>
      <c r="P105">
        <f ca="1">IF($C105-P$1&lt;År1,0,O104*(1-VLOOKUP($A105,[1]Hugst!$R$5:$W$9,MATCH(ROUNDUP((P$1)/10,0)*10,[1]Hugst!$R$4:$W$4,0))))</f>
        <v>852.71481743560128</v>
      </c>
      <c r="Q105">
        <f>IF($C105-Q$1&lt;År1,0,P104*(1-VLOOKUP($A105,[1]Hugst!$R$5:$W$9,MATCH(ROUNDUP((Q$1)/10,0)*10,[1]Hugst!$R$4:$W$4,0))))</f>
        <v>0</v>
      </c>
      <c r="R105">
        <f>IF($C105-R$1&lt;År1,0,Q104*(1-VLOOKUP($A105,[1]Hugst!$R$5:$W$9,MATCH(ROUNDUP((R$1)/10,0)*10,[1]Hugst!$R$4:$W$4,0))))</f>
        <v>0</v>
      </c>
      <c r="S105">
        <f>IF($C105-S$1&lt;År1,0,R104*(1-VLOOKUP($A105,[1]Hugst!$R$5:$W$9,MATCH(ROUNDUP((S$1)/10,0)*10,[1]Hugst!$R$4:$W$4,0))))</f>
        <v>0</v>
      </c>
      <c r="T105">
        <f>IF($C105-T$1&lt;År1,0,S104*(1-VLOOKUP($A105,[1]Hugst!$R$5:$W$9,MATCH(ROUNDUP((T$1)/10,0)*10,[1]Hugst!$R$4:$W$4,0))))</f>
        <v>0</v>
      </c>
      <c r="U105">
        <f>IF($C105-U$1&lt;År1,0,T104*(1-VLOOKUP($A105,[1]Hugst!$R$5:$W$9,MATCH(ROUNDUP((U$1)/10,0)*10,[1]Hugst!$R$4:$W$4,0))))</f>
        <v>0</v>
      </c>
      <c r="V105">
        <f>IF($C105-V$1&lt;År1,0,U104*(1-VLOOKUP($A105,[1]Hugst!$R$5:$W$9,MATCH(ROUNDUP((V$1)/10,0)*10,[1]Hugst!$R$4:$W$4,0))))</f>
        <v>0</v>
      </c>
      <c r="W105">
        <f>IF($C105-W$1&lt;År1,0,V104*(1-VLOOKUP($A105,[1]Hugst!$R$5:$W$9,MATCH(ROUNDUP((W$1)/10,0)*10,[1]Hugst!$R$4:$W$4,0))))</f>
        <v>0</v>
      </c>
      <c r="X105">
        <f>IF($C105-X$1&lt;År1,0,W104*(1-VLOOKUP($A105,[1]Hugst!$R$5:$W$9,MATCH(ROUNDUP((X$1)/10,0)*10,[1]Hugst!$R$4:$W$4,0))))</f>
        <v>0</v>
      </c>
      <c r="Y105">
        <f>IF($C105-Y$1&lt;År1,0,X104*(1-VLOOKUP($A105,[1]Hugst!$R$5:$W$9,MATCH(ROUNDUP((Y$1)/10,0)*10,[1]Hugst!$R$4:$W$4,0))))</f>
        <v>0</v>
      </c>
      <c r="Z105">
        <f>IF($C105-Z$1&lt;År1,0,Y104*(1-VLOOKUP($A105,[1]Hugst!$R$5:$W$9,MATCH(ROUNDUP((Z$1)/10,0)*10,[1]Hugst!$R$4:$W$4,0))))</f>
        <v>0</v>
      </c>
      <c r="AA105">
        <f>IF($C105-AA$1&lt;År1,0,Z104*(1-VLOOKUP($A105,[1]Hugst!$R$5:$W$9,MATCH(ROUNDUP((AA$1)/10,0)*10,[1]Hugst!$R$4:$W$4,0))))</f>
        <v>0</v>
      </c>
      <c r="AB105">
        <f>IF($C105-AB$1&lt;År1,0,AA104*(1-VLOOKUP($A105,[1]Hugst!$R$5:$W$9,MATCH(ROUNDUP((AB$1)/10,0)*10,[1]Hugst!$R$4:$W$4,0))))</f>
        <v>0</v>
      </c>
      <c r="AC105">
        <f>IF($C105-AC$1&lt;År1,0,AB104*(1-VLOOKUP($A105,[1]Hugst!$R$5:$W$9,MATCH(ROUNDUP((AC$1)/10,0)*10,[1]Hugst!$R$4:$W$4,0))))</f>
        <v>0</v>
      </c>
      <c r="AD105">
        <f>IF($C105-AD$1&lt;År1,0,AC104*(1-VLOOKUP($A105,[1]Hugst!$R$5:$W$9,MATCH(ROUNDUP((AD$1)/10,0)*10,[1]Hugst!$R$4:$W$4,0))))</f>
        <v>0</v>
      </c>
      <c r="AE105">
        <f>IF($C105-AE$1&lt;År1,0,AD104*(1-VLOOKUP($A105,[1]Hugst!$R$5:$W$9,MATCH(ROUNDUP((AE$1)/10,0)*10,[1]Hugst!$R$4:$W$4,0))))</f>
        <v>0</v>
      </c>
      <c r="AF105">
        <f>IF($C105-AF$1&lt;År1,0,AE104*(1-VLOOKUP($A105,[1]Hugst!$R$5:$W$9,MATCH(ROUNDUP((AF$1)/10,0)*10,[1]Hugst!$R$4:$W$4,0))))</f>
        <v>0</v>
      </c>
      <c r="AG105">
        <f>IF($C105-AG$1&lt;År1,0,AF104*(1-VLOOKUP($A105,[1]Hugst!$R$5:$W$9,MATCH(ROUNDUP((AG$1)/10,0)*10,[1]Hugst!$R$4:$W$4,0))))</f>
        <v>0</v>
      </c>
      <c r="AH105">
        <f>IF($C105-AH$1&lt;År1,0,AG104*(1-VLOOKUP($A105,[1]Hugst!$R$5:$W$9,MATCH(ROUNDUP((AH$1)/10,0)*10,[1]Hugst!$R$4:$W$4,0))))</f>
        <v>0</v>
      </c>
      <c r="AI105">
        <f>IF($C105-AI$1&lt;År1,0,AH104*(1-VLOOKUP($A105,[1]Hugst!$R$5:$W$9,MATCH(ROUNDUP((AI$1)/10,0)*10,[1]Hugst!$R$4:$W$4,0))))</f>
        <v>0</v>
      </c>
      <c r="AJ105">
        <f>IF($C105-AJ$1&lt;År1,0,AI104*(1-VLOOKUP($A105,[1]Hugst!$R$5:$W$9,MATCH(ROUNDUP((AJ$1)/10,0)*10,[1]Hugst!$R$4:$W$4,0))))</f>
        <v>0</v>
      </c>
    </row>
    <row r="106" spans="1:36" x14ac:dyDescent="0.25">
      <c r="A106" t="s">
        <v>177</v>
      </c>
      <c r="B106" t="s">
        <v>24</v>
      </c>
      <c r="C106">
        <v>2031</v>
      </c>
      <c r="D106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241.02795336108557</v>
      </c>
      <c r="E106">
        <f t="shared" ca="1" si="2"/>
        <v>2.6015475031526876</v>
      </c>
      <c r="F106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573.25913049386804</v>
      </c>
      <c r="G106">
        <f ca="1">IF($C106-G$1&lt;År1,0,F105*(1-VLOOKUP($A106,[1]Hugst!$R$5:$W$9,MATCH(ROUNDUP((G$1)/10,0)*10,[1]Hugst!$R$4:$W$4,0))))</f>
        <v>842.86848707809895</v>
      </c>
      <c r="H106">
        <f ca="1">IF($C106-H$1&lt;År1,0,G105*(1-VLOOKUP($A106,[1]Hugst!$R$5:$W$9,MATCH(ROUNDUP((H$1)/10,0)*10,[1]Hugst!$R$4:$W$4,0))))</f>
        <v>842.78303058953907</v>
      </c>
      <c r="I106">
        <f ca="1">IF($C106-I$1&lt;År1,0,H105*(1-VLOOKUP($A106,[1]Hugst!$R$5:$W$9,MATCH(ROUNDUP((I$1)/10,0)*10,[1]Hugst!$R$4:$W$4,0))))</f>
        <v>844.00642974161656</v>
      </c>
      <c r="J106">
        <f ca="1">IF($C106-J$1&lt;År1,0,I105*(1-VLOOKUP($A106,[1]Hugst!$R$5:$W$9,MATCH(ROUNDUP((J$1)/10,0)*10,[1]Hugst!$R$4:$W$4,0))))</f>
        <v>845.23597662811835</v>
      </c>
      <c r="K106">
        <f ca="1">IF($C106-K$1&lt;År1,0,J105*(1-VLOOKUP($A106,[1]Hugst!$R$5:$W$9,MATCH(ROUNDUP((K$1)/10,0)*10,[1]Hugst!$R$4:$W$4,0))))</f>
        <v>846.47170214220841</v>
      </c>
      <c r="L106">
        <f ca="1">IF($C106-L$1&lt;År1,0,K105*(1-VLOOKUP($A106,[1]Hugst!$R$5:$W$9,MATCH(ROUNDUP((L$1)/10,0)*10,[1]Hugst!$R$4:$W$4,0))))</f>
        <v>847.71363733222552</v>
      </c>
      <c r="M106">
        <f ca="1">IF($C106-M$1&lt;År1,0,L105*(1-VLOOKUP($A106,[1]Hugst!$R$5:$W$9,MATCH(ROUNDUP((M$1)/10,0)*10,[1]Hugst!$R$4:$W$4,0))))</f>
        <v>848.96181340261001</v>
      </c>
      <c r="N106">
        <f ca="1">IF($C106-N$1&lt;År1,0,M105*(1-VLOOKUP($A106,[1]Hugst!$R$5:$W$9,MATCH(ROUNDUP((N$1)/10,0)*10,[1]Hugst!$R$4:$W$4,0))))</f>
        <v>850.21626171454284</v>
      </c>
      <c r="O106">
        <f ca="1">IF($C106-O$1&lt;År1,0,N105*(1-VLOOKUP($A106,[1]Hugst!$R$5:$W$9,MATCH(ROUNDUP((O$1)/10,0)*10,[1]Hugst!$R$4:$W$4,0))))</f>
        <v>851.47701378685042</v>
      </c>
      <c r="P106">
        <f ca="1">IF($C106-P$1&lt;År1,0,O105*(1-VLOOKUP($A106,[1]Hugst!$R$5:$W$9,MATCH(ROUNDUP((P$1)/10,0)*10,[1]Hugst!$R$4:$W$4,0))))</f>
        <v>851.44330520997642</v>
      </c>
      <c r="Q106">
        <f ca="1">IF($C106-Q$1&lt;År1,0,P105*(1-VLOOKUP($A106,[1]Hugst!$R$5:$W$9,MATCH(ROUNDUP((Q$1)/10,0)*10,[1]Hugst!$R$4:$W$4,0))))</f>
        <v>851.41406601917402</v>
      </c>
      <c r="R106">
        <f>IF($C106-R$1&lt;År1,0,Q105*(1-VLOOKUP($A106,[1]Hugst!$R$5:$W$9,MATCH(ROUNDUP((R$1)/10,0)*10,[1]Hugst!$R$4:$W$4,0))))</f>
        <v>0</v>
      </c>
      <c r="S106">
        <f>IF($C106-S$1&lt;År1,0,R105*(1-VLOOKUP($A106,[1]Hugst!$R$5:$W$9,MATCH(ROUNDUP((S$1)/10,0)*10,[1]Hugst!$R$4:$W$4,0))))</f>
        <v>0</v>
      </c>
      <c r="T106">
        <f>IF($C106-T$1&lt;År1,0,S105*(1-VLOOKUP($A106,[1]Hugst!$R$5:$W$9,MATCH(ROUNDUP((T$1)/10,0)*10,[1]Hugst!$R$4:$W$4,0))))</f>
        <v>0</v>
      </c>
      <c r="U106">
        <f>IF($C106-U$1&lt;År1,0,T105*(1-VLOOKUP($A106,[1]Hugst!$R$5:$W$9,MATCH(ROUNDUP((U$1)/10,0)*10,[1]Hugst!$R$4:$W$4,0))))</f>
        <v>0</v>
      </c>
      <c r="V106">
        <f>IF($C106-V$1&lt;År1,0,U105*(1-VLOOKUP($A106,[1]Hugst!$R$5:$W$9,MATCH(ROUNDUP((V$1)/10,0)*10,[1]Hugst!$R$4:$W$4,0))))</f>
        <v>0</v>
      </c>
      <c r="W106">
        <f>IF($C106-W$1&lt;År1,0,V105*(1-VLOOKUP($A106,[1]Hugst!$R$5:$W$9,MATCH(ROUNDUP((W$1)/10,0)*10,[1]Hugst!$R$4:$W$4,0))))</f>
        <v>0</v>
      </c>
      <c r="X106">
        <f>IF($C106-X$1&lt;År1,0,W105*(1-VLOOKUP($A106,[1]Hugst!$R$5:$W$9,MATCH(ROUNDUP((X$1)/10,0)*10,[1]Hugst!$R$4:$W$4,0))))</f>
        <v>0</v>
      </c>
      <c r="Y106">
        <f>IF($C106-Y$1&lt;År1,0,X105*(1-VLOOKUP($A106,[1]Hugst!$R$5:$W$9,MATCH(ROUNDUP((Y$1)/10,0)*10,[1]Hugst!$R$4:$W$4,0))))</f>
        <v>0</v>
      </c>
      <c r="Z106">
        <f>IF($C106-Z$1&lt;År1,0,Y105*(1-VLOOKUP($A106,[1]Hugst!$R$5:$W$9,MATCH(ROUNDUP((Z$1)/10,0)*10,[1]Hugst!$R$4:$W$4,0))))</f>
        <v>0</v>
      </c>
      <c r="AA106">
        <f>IF($C106-AA$1&lt;År1,0,Z105*(1-VLOOKUP($A106,[1]Hugst!$R$5:$W$9,MATCH(ROUNDUP((AA$1)/10,0)*10,[1]Hugst!$R$4:$W$4,0))))</f>
        <v>0</v>
      </c>
      <c r="AB106">
        <f>IF($C106-AB$1&lt;År1,0,AA105*(1-VLOOKUP($A106,[1]Hugst!$R$5:$W$9,MATCH(ROUNDUP((AB$1)/10,0)*10,[1]Hugst!$R$4:$W$4,0))))</f>
        <v>0</v>
      </c>
      <c r="AC106">
        <f>IF($C106-AC$1&lt;År1,0,AB105*(1-VLOOKUP($A106,[1]Hugst!$R$5:$W$9,MATCH(ROUNDUP((AC$1)/10,0)*10,[1]Hugst!$R$4:$W$4,0))))</f>
        <v>0</v>
      </c>
      <c r="AD106">
        <f>IF($C106-AD$1&lt;År1,0,AC105*(1-VLOOKUP($A106,[1]Hugst!$R$5:$W$9,MATCH(ROUNDUP((AD$1)/10,0)*10,[1]Hugst!$R$4:$W$4,0))))</f>
        <v>0</v>
      </c>
      <c r="AE106">
        <f>IF($C106-AE$1&lt;År1,0,AD105*(1-VLOOKUP($A106,[1]Hugst!$R$5:$W$9,MATCH(ROUNDUP((AE$1)/10,0)*10,[1]Hugst!$R$4:$W$4,0))))</f>
        <v>0</v>
      </c>
      <c r="AF106">
        <f>IF($C106-AF$1&lt;År1,0,AE105*(1-VLOOKUP($A106,[1]Hugst!$R$5:$W$9,MATCH(ROUNDUP((AF$1)/10,0)*10,[1]Hugst!$R$4:$W$4,0))))</f>
        <v>0</v>
      </c>
      <c r="AG106">
        <f>IF($C106-AG$1&lt;År1,0,AF105*(1-VLOOKUP($A106,[1]Hugst!$R$5:$W$9,MATCH(ROUNDUP((AG$1)/10,0)*10,[1]Hugst!$R$4:$W$4,0))))</f>
        <v>0</v>
      </c>
      <c r="AH106">
        <f>IF($C106-AH$1&lt;År1,0,AG105*(1-VLOOKUP($A106,[1]Hugst!$R$5:$W$9,MATCH(ROUNDUP((AH$1)/10,0)*10,[1]Hugst!$R$4:$W$4,0))))</f>
        <v>0</v>
      </c>
      <c r="AI106">
        <f>IF($C106-AI$1&lt;År1,0,AH105*(1-VLOOKUP($A106,[1]Hugst!$R$5:$W$9,MATCH(ROUNDUP((AI$1)/10,0)*10,[1]Hugst!$R$4:$W$4,0))))</f>
        <v>0</v>
      </c>
      <c r="AJ106">
        <f>IF($C106-AJ$1&lt;År1,0,AI105*(1-VLOOKUP($A106,[1]Hugst!$R$5:$W$9,MATCH(ROUNDUP((AJ$1)/10,0)*10,[1]Hugst!$R$4:$W$4,0))))</f>
        <v>0</v>
      </c>
    </row>
    <row r="107" spans="1:36" x14ac:dyDescent="0.25">
      <c r="A107" t="s">
        <v>177</v>
      </c>
      <c r="B107" t="s">
        <v>24</v>
      </c>
      <c r="C107">
        <v>2032</v>
      </c>
      <c r="D107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239.82281359428907</v>
      </c>
      <c r="E107">
        <f t="shared" ca="1" si="2"/>
        <v>3.8964422822245979</v>
      </c>
      <c r="F107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573.34888550614346</v>
      </c>
      <c r="G107">
        <f ca="1">IF($C107-G$1&lt;År1,0,F106*(1-VLOOKUP($A107,[1]Hugst!$R$5:$W$9,MATCH(ROUNDUP((G$1)/10,0)*10,[1]Hugst!$R$4:$W$4,0))))</f>
        <v>573.25913049386804</v>
      </c>
      <c r="H107">
        <f ca="1">IF($C107-H$1&lt;År1,0,G106*(1-VLOOKUP($A107,[1]Hugst!$R$5:$W$9,MATCH(ROUNDUP((H$1)/10,0)*10,[1]Hugst!$R$4:$W$4,0))))</f>
        <v>842.86848707809895</v>
      </c>
      <c r="I107">
        <f ca="1">IF($C107-I$1&lt;År1,0,H106*(1-VLOOKUP($A107,[1]Hugst!$R$5:$W$9,MATCH(ROUNDUP((I$1)/10,0)*10,[1]Hugst!$R$4:$W$4,0))))</f>
        <v>842.78303058953907</v>
      </c>
      <c r="J107">
        <f ca="1">IF($C107-J$1&lt;År1,0,I106*(1-VLOOKUP($A107,[1]Hugst!$R$5:$W$9,MATCH(ROUNDUP((J$1)/10,0)*10,[1]Hugst!$R$4:$W$4,0))))</f>
        <v>844.00642974161656</v>
      </c>
      <c r="K107">
        <f ca="1">IF($C107-K$1&lt;År1,0,J106*(1-VLOOKUP($A107,[1]Hugst!$R$5:$W$9,MATCH(ROUNDUP((K$1)/10,0)*10,[1]Hugst!$R$4:$W$4,0))))</f>
        <v>845.23597662811835</v>
      </c>
      <c r="L107">
        <f ca="1">IF($C107-L$1&lt;År1,0,K106*(1-VLOOKUP($A107,[1]Hugst!$R$5:$W$9,MATCH(ROUNDUP((L$1)/10,0)*10,[1]Hugst!$R$4:$W$4,0))))</f>
        <v>846.47170214220841</v>
      </c>
      <c r="M107">
        <f ca="1">IF($C107-M$1&lt;År1,0,L106*(1-VLOOKUP($A107,[1]Hugst!$R$5:$W$9,MATCH(ROUNDUP((M$1)/10,0)*10,[1]Hugst!$R$4:$W$4,0))))</f>
        <v>847.71363733222552</v>
      </c>
      <c r="N107">
        <f ca="1">IF($C107-N$1&lt;År1,0,M106*(1-VLOOKUP($A107,[1]Hugst!$R$5:$W$9,MATCH(ROUNDUP((N$1)/10,0)*10,[1]Hugst!$R$4:$W$4,0))))</f>
        <v>848.96181340261001</v>
      </c>
      <c r="O107">
        <f ca="1">IF($C107-O$1&lt;År1,0,N106*(1-VLOOKUP($A107,[1]Hugst!$R$5:$W$9,MATCH(ROUNDUP((O$1)/10,0)*10,[1]Hugst!$R$4:$W$4,0))))</f>
        <v>850.21626171454284</v>
      </c>
      <c r="P107">
        <f ca="1">IF($C107-P$1&lt;År1,0,O106*(1-VLOOKUP($A107,[1]Hugst!$R$5:$W$9,MATCH(ROUNDUP((P$1)/10,0)*10,[1]Hugst!$R$4:$W$4,0))))</f>
        <v>850.17815054548066</v>
      </c>
      <c r="Q107">
        <f ca="1">IF($C107-Q$1&lt;År1,0,P106*(1-VLOOKUP($A107,[1]Hugst!$R$5:$W$9,MATCH(ROUNDUP((Q$1)/10,0)*10,[1]Hugst!$R$4:$W$4,0))))</f>
        <v>850.14449338846964</v>
      </c>
      <c r="R107">
        <f ca="1">IF($C107-R$1&lt;År1,0,Q106*(1-VLOOKUP($A107,[1]Hugst!$R$5:$W$9,MATCH(ROUNDUP((R$1)/10,0)*10,[1]Hugst!$R$4:$W$4,0))))</f>
        <v>850.11529879982265</v>
      </c>
      <c r="S107">
        <f>IF($C107-S$1&lt;År1,0,R106*(1-VLOOKUP($A107,[1]Hugst!$R$5:$W$9,MATCH(ROUNDUP((S$1)/10,0)*10,[1]Hugst!$R$4:$W$4,0))))</f>
        <v>0</v>
      </c>
      <c r="T107">
        <f>IF($C107-T$1&lt;År1,0,S106*(1-VLOOKUP($A107,[1]Hugst!$R$5:$W$9,MATCH(ROUNDUP((T$1)/10,0)*10,[1]Hugst!$R$4:$W$4,0))))</f>
        <v>0</v>
      </c>
      <c r="U107">
        <f>IF($C107-U$1&lt;År1,0,T106*(1-VLOOKUP($A107,[1]Hugst!$R$5:$W$9,MATCH(ROUNDUP((U$1)/10,0)*10,[1]Hugst!$R$4:$W$4,0))))</f>
        <v>0</v>
      </c>
      <c r="V107">
        <f>IF($C107-V$1&lt;År1,0,U106*(1-VLOOKUP($A107,[1]Hugst!$R$5:$W$9,MATCH(ROUNDUP((V$1)/10,0)*10,[1]Hugst!$R$4:$W$4,0))))</f>
        <v>0</v>
      </c>
      <c r="W107">
        <f>IF($C107-W$1&lt;År1,0,V106*(1-VLOOKUP($A107,[1]Hugst!$R$5:$W$9,MATCH(ROUNDUP((W$1)/10,0)*10,[1]Hugst!$R$4:$W$4,0))))</f>
        <v>0</v>
      </c>
      <c r="X107">
        <f>IF($C107-X$1&lt;År1,0,W106*(1-VLOOKUP($A107,[1]Hugst!$R$5:$W$9,MATCH(ROUNDUP((X$1)/10,0)*10,[1]Hugst!$R$4:$W$4,0))))</f>
        <v>0</v>
      </c>
      <c r="Y107">
        <f>IF($C107-Y$1&lt;År1,0,X106*(1-VLOOKUP($A107,[1]Hugst!$R$5:$W$9,MATCH(ROUNDUP((Y$1)/10,0)*10,[1]Hugst!$R$4:$W$4,0))))</f>
        <v>0</v>
      </c>
      <c r="Z107">
        <f>IF($C107-Z$1&lt;År1,0,Y106*(1-VLOOKUP($A107,[1]Hugst!$R$5:$W$9,MATCH(ROUNDUP((Z$1)/10,0)*10,[1]Hugst!$R$4:$W$4,0))))</f>
        <v>0</v>
      </c>
      <c r="AA107">
        <f>IF($C107-AA$1&lt;År1,0,Z106*(1-VLOOKUP($A107,[1]Hugst!$R$5:$W$9,MATCH(ROUNDUP((AA$1)/10,0)*10,[1]Hugst!$R$4:$W$4,0))))</f>
        <v>0</v>
      </c>
      <c r="AB107">
        <f>IF($C107-AB$1&lt;År1,0,AA106*(1-VLOOKUP($A107,[1]Hugst!$R$5:$W$9,MATCH(ROUNDUP((AB$1)/10,0)*10,[1]Hugst!$R$4:$W$4,0))))</f>
        <v>0</v>
      </c>
      <c r="AC107">
        <f>IF($C107-AC$1&lt;År1,0,AB106*(1-VLOOKUP($A107,[1]Hugst!$R$5:$W$9,MATCH(ROUNDUP((AC$1)/10,0)*10,[1]Hugst!$R$4:$W$4,0))))</f>
        <v>0</v>
      </c>
      <c r="AD107">
        <f>IF($C107-AD$1&lt;År1,0,AC106*(1-VLOOKUP($A107,[1]Hugst!$R$5:$W$9,MATCH(ROUNDUP((AD$1)/10,0)*10,[1]Hugst!$R$4:$W$4,0))))</f>
        <v>0</v>
      </c>
      <c r="AE107">
        <f>IF($C107-AE$1&lt;År1,0,AD106*(1-VLOOKUP($A107,[1]Hugst!$R$5:$W$9,MATCH(ROUNDUP((AE$1)/10,0)*10,[1]Hugst!$R$4:$W$4,0))))</f>
        <v>0</v>
      </c>
      <c r="AF107">
        <f>IF($C107-AF$1&lt;År1,0,AE106*(1-VLOOKUP($A107,[1]Hugst!$R$5:$W$9,MATCH(ROUNDUP((AF$1)/10,0)*10,[1]Hugst!$R$4:$W$4,0))))</f>
        <v>0</v>
      </c>
      <c r="AG107">
        <f>IF($C107-AG$1&lt;År1,0,AF106*(1-VLOOKUP($A107,[1]Hugst!$R$5:$W$9,MATCH(ROUNDUP((AG$1)/10,0)*10,[1]Hugst!$R$4:$W$4,0))))</f>
        <v>0</v>
      </c>
      <c r="AH107">
        <f>IF($C107-AH$1&lt;År1,0,AG106*(1-VLOOKUP($A107,[1]Hugst!$R$5:$W$9,MATCH(ROUNDUP((AH$1)/10,0)*10,[1]Hugst!$R$4:$W$4,0))))</f>
        <v>0</v>
      </c>
      <c r="AI107">
        <f>IF($C107-AI$1&lt;År1,0,AH106*(1-VLOOKUP($A107,[1]Hugst!$R$5:$W$9,MATCH(ROUNDUP((AI$1)/10,0)*10,[1]Hugst!$R$4:$W$4,0))))</f>
        <v>0</v>
      </c>
      <c r="AJ107">
        <f>IF($C107-AJ$1&lt;År1,0,AI106*(1-VLOOKUP($A107,[1]Hugst!$R$5:$W$9,MATCH(ROUNDUP((AJ$1)/10,0)*10,[1]Hugst!$R$4:$W$4,0))))</f>
        <v>0</v>
      </c>
    </row>
    <row r="108" spans="1:36" x14ac:dyDescent="0.25">
      <c r="A108" t="s">
        <v>177</v>
      </c>
      <c r="B108" t="s">
        <v>24</v>
      </c>
      <c r="C108">
        <v>2033</v>
      </c>
      <c r="D10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238.62369952631389</v>
      </c>
      <c r="E108">
        <f t="shared" ca="1" si="2"/>
        <v>5.1874386169583886</v>
      </c>
      <c r="F10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573.44076777290206</v>
      </c>
      <c r="G108">
        <f ca="1">IF($C108-G$1&lt;År1,0,F107*(1-VLOOKUP($A108,[1]Hugst!$R$5:$W$9,MATCH(ROUNDUP((G$1)/10,0)*10,[1]Hugst!$R$4:$W$4,0))))</f>
        <v>573.34888550614346</v>
      </c>
      <c r="H108">
        <f ca="1">IF($C108-H$1&lt;År1,0,G107*(1-VLOOKUP($A108,[1]Hugst!$R$5:$W$9,MATCH(ROUNDUP((H$1)/10,0)*10,[1]Hugst!$R$4:$W$4,0))))</f>
        <v>573.25913049386804</v>
      </c>
      <c r="I108">
        <f ca="1">IF($C108-I$1&lt;År1,0,H107*(1-VLOOKUP($A108,[1]Hugst!$R$5:$W$9,MATCH(ROUNDUP((I$1)/10,0)*10,[1]Hugst!$R$4:$W$4,0))))</f>
        <v>842.86848707809895</v>
      </c>
      <c r="J108">
        <f ca="1">IF($C108-J$1&lt;År1,0,I107*(1-VLOOKUP($A108,[1]Hugst!$R$5:$W$9,MATCH(ROUNDUP((J$1)/10,0)*10,[1]Hugst!$R$4:$W$4,0))))</f>
        <v>842.78303058953907</v>
      </c>
      <c r="K108">
        <f ca="1">IF($C108-K$1&lt;År1,0,J107*(1-VLOOKUP($A108,[1]Hugst!$R$5:$W$9,MATCH(ROUNDUP((K$1)/10,0)*10,[1]Hugst!$R$4:$W$4,0))))</f>
        <v>844.00642974161656</v>
      </c>
      <c r="L108">
        <f ca="1">IF($C108-L$1&lt;År1,0,K107*(1-VLOOKUP($A108,[1]Hugst!$R$5:$W$9,MATCH(ROUNDUP((L$1)/10,0)*10,[1]Hugst!$R$4:$W$4,0))))</f>
        <v>845.23597662811835</v>
      </c>
      <c r="M108">
        <f ca="1">IF($C108-M$1&lt;År1,0,L107*(1-VLOOKUP($A108,[1]Hugst!$R$5:$W$9,MATCH(ROUNDUP((M$1)/10,0)*10,[1]Hugst!$R$4:$W$4,0))))</f>
        <v>846.47170214220841</v>
      </c>
      <c r="N108">
        <f ca="1">IF($C108-N$1&lt;År1,0,M107*(1-VLOOKUP($A108,[1]Hugst!$R$5:$W$9,MATCH(ROUNDUP((N$1)/10,0)*10,[1]Hugst!$R$4:$W$4,0))))</f>
        <v>847.71363733222552</v>
      </c>
      <c r="O108">
        <f ca="1">IF($C108-O$1&lt;År1,0,N107*(1-VLOOKUP($A108,[1]Hugst!$R$5:$W$9,MATCH(ROUNDUP((O$1)/10,0)*10,[1]Hugst!$R$4:$W$4,0))))</f>
        <v>848.96181340261001</v>
      </c>
      <c r="P108">
        <f ca="1">IF($C108-P$1&lt;År1,0,O107*(1-VLOOKUP($A108,[1]Hugst!$R$5:$W$9,MATCH(ROUNDUP((P$1)/10,0)*10,[1]Hugst!$R$4:$W$4,0))))</f>
        <v>848.91932165430023</v>
      </c>
      <c r="Q108">
        <f ca="1">IF($C108-Q$1&lt;År1,0,P107*(1-VLOOKUP($A108,[1]Hugst!$R$5:$W$9,MATCH(ROUNDUP((Q$1)/10,0)*10,[1]Hugst!$R$4:$W$4,0))))</f>
        <v>848.88126862091974</v>
      </c>
      <c r="R108">
        <f ca="1">IF($C108-R$1&lt;År1,0,Q107*(1-VLOOKUP($A108,[1]Hugst!$R$5:$W$9,MATCH(ROUNDUP((R$1)/10,0)*10,[1]Hugst!$R$4:$W$4,0))))</f>
        <v>848.84766280533461</v>
      </c>
      <c r="S108">
        <f ca="1">IF($C108-S$1&lt;År1,0,R107*(1-VLOOKUP($A108,[1]Hugst!$R$5:$W$9,MATCH(ROUNDUP((S$1)/10,0)*10,[1]Hugst!$R$4:$W$4,0))))</f>
        <v>848.81851275080589</v>
      </c>
      <c r="T108">
        <f>IF($C108-T$1&lt;År1,0,S107*(1-VLOOKUP($A108,[1]Hugst!$R$5:$W$9,MATCH(ROUNDUP((T$1)/10,0)*10,[1]Hugst!$R$4:$W$4,0))))</f>
        <v>0</v>
      </c>
      <c r="U108">
        <f>IF($C108-U$1&lt;År1,0,T107*(1-VLOOKUP($A108,[1]Hugst!$R$5:$W$9,MATCH(ROUNDUP((U$1)/10,0)*10,[1]Hugst!$R$4:$W$4,0))))</f>
        <v>0</v>
      </c>
      <c r="V108">
        <f>IF($C108-V$1&lt;År1,0,U107*(1-VLOOKUP($A108,[1]Hugst!$R$5:$W$9,MATCH(ROUNDUP((V$1)/10,0)*10,[1]Hugst!$R$4:$W$4,0))))</f>
        <v>0</v>
      </c>
      <c r="W108">
        <f>IF($C108-W$1&lt;År1,0,V107*(1-VLOOKUP($A108,[1]Hugst!$R$5:$W$9,MATCH(ROUNDUP((W$1)/10,0)*10,[1]Hugst!$R$4:$W$4,0))))</f>
        <v>0</v>
      </c>
      <c r="X108">
        <f>IF($C108-X$1&lt;År1,0,W107*(1-VLOOKUP($A108,[1]Hugst!$R$5:$W$9,MATCH(ROUNDUP((X$1)/10,0)*10,[1]Hugst!$R$4:$W$4,0))))</f>
        <v>0</v>
      </c>
      <c r="Y108">
        <f>IF($C108-Y$1&lt;År1,0,X107*(1-VLOOKUP($A108,[1]Hugst!$R$5:$W$9,MATCH(ROUNDUP((Y$1)/10,0)*10,[1]Hugst!$R$4:$W$4,0))))</f>
        <v>0</v>
      </c>
      <c r="Z108">
        <f>IF($C108-Z$1&lt;År1,0,Y107*(1-VLOOKUP($A108,[1]Hugst!$R$5:$W$9,MATCH(ROUNDUP((Z$1)/10,0)*10,[1]Hugst!$R$4:$W$4,0))))</f>
        <v>0</v>
      </c>
      <c r="AA108">
        <f>IF($C108-AA$1&lt;År1,0,Z107*(1-VLOOKUP($A108,[1]Hugst!$R$5:$W$9,MATCH(ROUNDUP((AA$1)/10,0)*10,[1]Hugst!$R$4:$W$4,0))))</f>
        <v>0</v>
      </c>
      <c r="AB108">
        <f>IF($C108-AB$1&lt;År1,0,AA107*(1-VLOOKUP($A108,[1]Hugst!$R$5:$W$9,MATCH(ROUNDUP((AB$1)/10,0)*10,[1]Hugst!$R$4:$W$4,0))))</f>
        <v>0</v>
      </c>
      <c r="AC108">
        <f>IF($C108-AC$1&lt;År1,0,AB107*(1-VLOOKUP($A108,[1]Hugst!$R$5:$W$9,MATCH(ROUNDUP((AC$1)/10,0)*10,[1]Hugst!$R$4:$W$4,0))))</f>
        <v>0</v>
      </c>
      <c r="AD108">
        <f>IF($C108-AD$1&lt;År1,0,AC107*(1-VLOOKUP($A108,[1]Hugst!$R$5:$W$9,MATCH(ROUNDUP((AD$1)/10,0)*10,[1]Hugst!$R$4:$W$4,0))))</f>
        <v>0</v>
      </c>
      <c r="AE108">
        <f>IF($C108-AE$1&lt;År1,0,AD107*(1-VLOOKUP($A108,[1]Hugst!$R$5:$W$9,MATCH(ROUNDUP((AE$1)/10,0)*10,[1]Hugst!$R$4:$W$4,0))))</f>
        <v>0</v>
      </c>
      <c r="AF108">
        <f>IF($C108-AF$1&lt;År1,0,AE107*(1-VLOOKUP($A108,[1]Hugst!$R$5:$W$9,MATCH(ROUNDUP((AF$1)/10,0)*10,[1]Hugst!$R$4:$W$4,0))))</f>
        <v>0</v>
      </c>
      <c r="AG108">
        <f>IF($C108-AG$1&lt;År1,0,AF107*(1-VLOOKUP($A108,[1]Hugst!$R$5:$W$9,MATCH(ROUNDUP((AG$1)/10,0)*10,[1]Hugst!$R$4:$W$4,0))))</f>
        <v>0</v>
      </c>
      <c r="AH108">
        <f>IF($C108-AH$1&lt;År1,0,AG107*(1-VLOOKUP($A108,[1]Hugst!$R$5:$W$9,MATCH(ROUNDUP((AH$1)/10,0)*10,[1]Hugst!$R$4:$W$4,0))))</f>
        <v>0</v>
      </c>
      <c r="AI108">
        <f>IF($C108-AI$1&lt;År1,0,AH107*(1-VLOOKUP($A108,[1]Hugst!$R$5:$W$9,MATCH(ROUNDUP((AI$1)/10,0)*10,[1]Hugst!$R$4:$W$4,0))))</f>
        <v>0</v>
      </c>
      <c r="AJ108">
        <f>IF($C108-AJ$1&lt;År1,0,AI107*(1-VLOOKUP($A108,[1]Hugst!$R$5:$W$9,MATCH(ROUNDUP((AJ$1)/10,0)*10,[1]Hugst!$R$4:$W$4,0))))</f>
        <v>0</v>
      </c>
    </row>
    <row r="109" spans="1:36" x14ac:dyDescent="0.25">
      <c r="A109" t="s">
        <v>177</v>
      </c>
      <c r="B109" t="s">
        <v>24</v>
      </c>
      <c r="C109">
        <v>2034</v>
      </c>
      <c r="D109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237.43058102868372</v>
      </c>
      <c r="E109">
        <f t="shared" ca="1" si="2"/>
        <v>6.474552070018035</v>
      </c>
      <c r="F10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573.53476272833154</v>
      </c>
      <c r="G109">
        <f ca="1">IF($C109-G$1&lt;År1,0,F108*(1-VLOOKUP($A109,[1]Hugst!$R$5:$W$9,MATCH(ROUNDUP((G$1)/10,0)*10,[1]Hugst!$R$4:$W$4,0))))</f>
        <v>573.44076777290206</v>
      </c>
      <c r="H109">
        <f ca="1">IF($C109-H$1&lt;År1,0,G108*(1-VLOOKUP($A109,[1]Hugst!$R$5:$W$9,MATCH(ROUNDUP((H$1)/10,0)*10,[1]Hugst!$R$4:$W$4,0))))</f>
        <v>573.34888550614346</v>
      </c>
      <c r="I109">
        <f ca="1">IF($C109-I$1&lt;År1,0,H108*(1-VLOOKUP($A109,[1]Hugst!$R$5:$W$9,MATCH(ROUNDUP((I$1)/10,0)*10,[1]Hugst!$R$4:$W$4,0))))</f>
        <v>573.25913049386804</v>
      </c>
      <c r="J109">
        <f ca="1">IF($C109-J$1&lt;År1,0,I108*(1-VLOOKUP($A109,[1]Hugst!$R$5:$W$9,MATCH(ROUNDUP((J$1)/10,0)*10,[1]Hugst!$R$4:$W$4,0))))</f>
        <v>842.86848707809895</v>
      </c>
      <c r="K109">
        <f ca="1">IF($C109-K$1&lt;År1,0,J108*(1-VLOOKUP($A109,[1]Hugst!$R$5:$W$9,MATCH(ROUNDUP((K$1)/10,0)*10,[1]Hugst!$R$4:$W$4,0))))</f>
        <v>842.78303058953907</v>
      </c>
      <c r="L109">
        <f ca="1">IF($C109-L$1&lt;År1,0,K108*(1-VLOOKUP($A109,[1]Hugst!$R$5:$W$9,MATCH(ROUNDUP((L$1)/10,0)*10,[1]Hugst!$R$4:$W$4,0))))</f>
        <v>844.00642974161656</v>
      </c>
      <c r="M109">
        <f ca="1">IF($C109-M$1&lt;År1,0,L108*(1-VLOOKUP($A109,[1]Hugst!$R$5:$W$9,MATCH(ROUNDUP((M$1)/10,0)*10,[1]Hugst!$R$4:$W$4,0))))</f>
        <v>845.23597662811835</v>
      </c>
      <c r="N109">
        <f ca="1">IF($C109-N$1&lt;År1,0,M108*(1-VLOOKUP($A109,[1]Hugst!$R$5:$W$9,MATCH(ROUNDUP((N$1)/10,0)*10,[1]Hugst!$R$4:$W$4,0))))</f>
        <v>846.47170214220841</v>
      </c>
      <c r="O109">
        <f ca="1">IF($C109-O$1&lt;År1,0,N108*(1-VLOOKUP($A109,[1]Hugst!$R$5:$W$9,MATCH(ROUNDUP((O$1)/10,0)*10,[1]Hugst!$R$4:$W$4,0))))</f>
        <v>847.71363733222552</v>
      </c>
      <c r="P109">
        <f ca="1">IF($C109-P$1&lt;År1,0,O108*(1-VLOOKUP($A109,[1]Hugst!$R$5:$W$9,MATCH(ROUNDUP((P$1)/10,0)*10,[1]Hugst!$R$4:$W$4,0))))</f>
        <v>847.66678690758908</v>
      </c>
      <c r="Q109">
        <f ca="1">IF($C109-Q$1&lt;År1,0,P108*(1-VLOOKUP($A109,[1]Hugst!$R$5:$W$9,MATCH(ROUNDUP((Q$1)/10,0)*10,[1]Hugst!$R$4:$W$4,0))))</f>
        <v>847.62435997720047</v>
      </c>
      <c r="R109">
        <f ca="1">IF($C109-R$1&lt;År1,0,Q108*(1-VLOOKUP($A109,[1]Hugst!$R$5:$W$9,MATCH(ROUNDUP((R$1)/10,0)*10,[1]Hugst!$R$4:$W$4,0))))</f>
        <v>847.58636499082002</v>
      </c>
      <c r="S109">
        <f ca="1">IF($C109-S$1&lt;År1,0,R108*(1-VLOOKUP($A109,[1]Hugst!$R$5:$W$9,MATCH(ROUNDUP((S$1)/10,0)*10,[1]Hugst!$R$4:$W$4,0))))</f>
        <v>847.55281043834339</v>
      </c>
      <c r="T109">
        <f ca="1">IF($C109-T$1&lt;År1,0,S108*(1-VLOOKUP($A109,[1]Hugst!$R$5:$W$9,MATCH(ROUNDUP((T$1)/10,0)*10,[1]Hugst!$R$4:$W$4,0))))</f>
        <v>847.5237048499996</v>
      </c>
      <c r="U109">
        <f>IF($C109-U$1&lt;År1,0,T108*(1-VLOOKUP($A109,[1]Hugst!$R$5:$W$9,MATCH(ROUNDUP((U$1)/10,0)*10,[1]Hugst!$R$4:$W$4,0))))</f>
        <v>0</v>
      </c>
      <c r="V109">
        <f>IF($C109-V$1&lt;År1,0,U108*(1-VLOOKUP($A109,[1]Hugst!$R$5:$W$9,MATCH(ROUNDUP((V$1)/10,0)*10,[1]Hugst!$R$4:$W$4,0))))</f>
        <v>0</v>
      </c>
      <c r="W109">
        <f>IF($C109-W$1&lt;År1,0,V108*(1-VLOOKUP($A109,[1]Hugst!$R$5:$W$9,MATCH(ROUNDUP((W$1)/10,0)*10,[1]Hugst!$R$4:$W$4,0))))</f>
        <v>0</v>
      </c>
      <c r="X109">
        <f>IF($C109-X$1&lt;År1,0,W108*(1-VLOOKUP($A109,[1]Hugst!$R$5:$W$9,MATCH(ROUNDUP((X$1)/10,0)*10,[1]Hugst!$R$4:$W$4,0))))</f>
        <v>0</v>
      </c>
      <c r="Y109">
        <f>IF($C109-Y$1&lt;År1,0,X108*(1-VLOOKUP($A109,[1]Hugst!$R$5:$W$9,MATCH(ROUNDUP((Y$1)/10,0)*10,[1]Hugst!$R$4:$W$4,0))))</f>
        <v>0</v>
      </c>
      <c r="Z109">
        <f>IF($C109-Z$1&lt;År1,0,Y108*(1-VLOOKUP($A109,[1]Hugst!$R$5:$W$9,MATCH(ROUNDUP((Z$1)/10,0)*10,[1]Hugst!$R$4:$W$4,0))))</f>
        <v>0</v>
      </c>
      <c r="AA109">
        <f>IF($C109-AA$1&lt;År1,0,Z108*(1-VLOOKUP($A109,[1]Hugst!$R$5:$W$9,MATCH(ROUNDUP((AA$1)/10,0)*10,[1]Hugst!$R$4:$W$4,0))))</f>
        <v>0</v>
      </c>
      <c r="AB109">
        <f>IF($C109-AB$1&lt;År1,0,AA108*(1-VLOOKUP($A109,[1]Hugst!$R$5:$W$9,MATCH(ROUNDUP((AB$1)/10,0)*10,[1]Hugst!$R$4:$W$4,0))))</f>
        <v>0</v>
      </c>
      <c r="AC109">
        <f>IF($C109-AC$1&lt;År1,0,AB108*(1-VLOOKUP($A109,[1]Hugst!$R$5:$W$9,MATCH(ROUNDUP((AC$1)/10,0)*10,[1]Hugst!$R$4:$W$4,0))))</f>
        <v>0</v>
      </c>
      <c r="AD109">
        <f>IF($C109-AD$1&lt;År1,0,AC108*(1-VLOOKUP($A109,[1]Hugst!$R$5:$W$9,MATCH(ROUNDUP((AD$1)/10,0)*10,[1]Hugst!$R$4:$W$4,0))))</f>
        <v>0</v>
      </c>
      <c r="AE109">
        <f>IF($C109-AE$1&lt;År1,0,AD108*(1-VLOOKUP($A109,[1]Hugst!$R$5:$W$9,MATCH(ROUNDUP((AE$1)/10,0)*10,[1]Hugst!$R$4:$W$4,0))))</f>
        <v>0</v>
      </c>
      <c r="AF109">
        <f>IF($C109-AF$1&lt;År1,0,AE108*(1-VLOOKUP($A109,[1]Hugst!$R$5:$W$9,MATCH(ROUNDUP((AF$1)/10,0)*10,[1]Hugst!$R$4:$W$4,0))))</f>
        <v>0</v>
      </c>
      <c r="AG109">
        <f>IF($C109-AG$1&lt;År1,0,AF108*(1-VLOOKUP($A109,[1]Hugst!$R$5:$W$9,MATCH(ROUNDUP((AG$1)/10,0)*10,[1]Hugst!$R$4:$W$4,0))))</f>
        <v>0</v>
      </c>
      <c r="AH109">
        <f>IF($C109-AH$1&lt;År1,0,AG108*(1-VLOOKUP($A109,[1]Hugst!$R$5:$W$9,MATCH(ROUNDUP((AH$1)/10,0)*10,[1]Hugst!$R$4:$W$4,0))))</f>
        <v>0</v>
      </c>
      <c r="AI109">
        <f>IF($C109-AI$1&lt;År1,0,AH108*(1-VLOOKUP($A109,[1]Hugst!$R$5:$W$9,MATCH(ROUNDUP((AI$1)/10,0)*10,[1]Hugst!$R$4:$W$4,0))))</f>
        <v>0</v>
      </c>
      <c r="AJ109">
        <f>IF($C109-AJ$1&lt;År1,0,AI108*(1-VLOOKUP($A109,[1]Hugst!$R$5:$W$9,MATCH(ROUNDUP((AJ$1)/10,0)*10,[1]Hugst!$R$4:$W$4,0))))</f>
        <v>0</v>
      </c>
    </row>
    <row r="110" spans="1:36" x14ac:dyDescent="0.25">
      <c r="A110" t="s">
        <v>177</v>
      </c>
      <c r="B110" t="s">
        <v>24</v>
      </c>
      <c r="C110">
        <v>2035</v>
      </c>
      <c r="D110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236.24342812354462</v>
      </c>
      <c r="E110">
        <f t="shared" ca="1" si="2"/>
        <v>7.7577981322810956</v>
      </c>
      <c r="F110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573.6308558854555</v>
      </c>
      <c r="G110">
        <f ca="1">IF($C110-G$1&lt;År1,0,F109*(1-VLOOKUP($A110,[1]Hugst!$R$5:$W$9,MATCH(ROUNDUP((G$1)/10,0)*10,[1]Hugst!$R$4:$W$4,0))))</f>
        <v>573.53476272833154</v>
      </c>
      <c r="H110">
        <f ca="1">IF($C110-H$1&lt;År1,0,G109*(1-VLOOKUP($A110,[1]Hugst!$R$5:$W$9,MATCH(ROUNDUP((H$1)/10,0)*10,[1]Hugst!$R$4:$W$4,0))))</f>
        <v>573.44076777290206</v>
      </c>
      <c r="I110">
        <f ca="1">IF($C110-I$1&lt;År1,0,H109*(1-VLOOKUP($A110,[1]Hugst!$R$5:$W$9,MATCH(ROUNDUP((I$1)/10,0)*10,[1]Hugst!$R$4:$W$4,0))))</f>
        <v>573.34888550614346</v>
      </c>
      <c r="J110">
        <f ca="1">IF($C110-J$1&lt;År1,0,I109*(1-VLOOKUP($A110,[1]Hugst!$R$5:$W$9,MATCH(ROUNDUP((J$1)/10,0)*10,[1]Hugst!$R$4:$W$4,0))))</f>
        <v>573.25913049386804</v>
      </c>
      <c r="K110">
        <f ca="1">IF($C110-K$1&lt;År1,0,J109*(1-VLOOKUP($A110,[1]Hugst!$R$5:$W$9,MATCH(ROUNDUP((K$1)/10,0)*10,[1]Hugst!$R$4:$W$4,0))))</f>
        <v>842.86848707809895</v>
      </c>
      <c r="L110">
        <f ca="1">IF($C110-L$1&lt;År1,0,K109*(1-VLOOKUP($A110,[1]Hugst!$R$5:$W$9,MATCH(ROUNDUP((L$1)/10,0)*10,[1]Hugst!$R$4:$W$4,0))))</f>
        <v>842.78303058953907</v>
      </c>
      <c r="M110">
        <f ca="1">IF($C110-M$1&lt;År1,0,L109*(1-VLOOKUP($A110,[1]Hugst!$R$5:$W$9,MATCH(ROUNDUP((M$1)/10,0)*10,[1]Hugst!$R$4:$W$4,0))))</f>
        <v>844.00642974161656</v>
      </c>
      <c r="N110">
        <f ca="1">IF($C110-N$1&lt;År1,0,M109*(1-VLOOKUP($A110,[1]Hugst!$R$5:$W$9,MATCH(ROUNDUP((N$1)/10,0)*10,[1]Hugst!$R$4:$W$4,0))))</f>
        <v>845.23597662811835</v>
      </c>
      <c r="O110">
        <f ca="1">IF($C110-O$1&lt;År1,0,N109*(1-VLOOKUP($A110,[1]Hugst!$R$5:$W$9,MATCH(ROUNDUP((O$1)/10,0)*10,[1]Hugst!$R$4:$W$4,0))))</f>
        <v>846.47170214220841</v>
      </c>
      <c r="P110">
        <f ca="1">IF($C110-P$1&lt;År1,0,O109*(1-VLOOKUP($A110,[1]Hugst!$R$5:$W$9,MATCH(ROUNDUP((P$1)/10,0)*10,[1]Hugst!$R$4:$W$4,0))))</f>
        <v>846.42051483460011</v>
      </c>
      <c r="Q110">
        <f ca="1">IF($C110-Q$1&lt;År1,0,P109*(1-VLOOKUP($A110,[1]Hugst!$R$5:$W$9,MATCH(ROUNDUP((Q$1)/10,0)*10,[1]Hugst!$R$4:$W$4,0))))</f>
        <v>846.37373587671311</v>
      </c>
      <c r="R110">
        <f ca="1">IF($C110-R$1&lt;År1,0,Q109*(1-VLOOKUP($A110,[1]Hugst!$R$5:$W$9,MATCH(ROUNDUP((R$1)/10,0)*10,[1]Hugst!$R$4:$W$4,0))))</f>
        <v>846.33137366537085</v>
      </c>
      <c r="S110">
        <f ca="1">IF($C110-S$1&lt;År1,0,R109*(1-VLOOKUP($A110,[1]Hugst!$R$5:$W$9,MATCH(ROUNDUP((S$1)/10,0)*10,[1]Hugst!$R$4:$W$4,0))))</f>
        <v>846.29343663744419</v>
      </c>
      <c r="T110">
        <f ca="1">IF($C110-T$1&lt;År1,0,S109*(1-VLOOKUP($A110,[1]Hugst!$R$5:$W$9,MATCH(ROUNDUP((T$1)/10,0)*10,[1]Hugst!$R$4:$W$4,0))))</f>
        <v>846.25993326987805</v>
      </c>
      <c r="U110">
        <f ca="1">IF($C110-U$1&lt;År1,0,T109*(1-VLOOKUP($A110,[1]Hugst!$R$5:$W$9,MATCH(ROUNDUP((U$1)/10,0)*10,[1]Hugst!$R$4:$W$4,0))))</f>
        <v>846.23087207988942</v>
      </c>
      <c r="V110">
        <f>IF($C110-V$1&lt;År1,0,U109*(1-VLOOKUP($A110,[1]Hugst!$R$5:$W$9,MATCH(ROUNDUP((V$1)/10,0)*10,[1]Hugst!$R$4:$W$4,0))))</f>
        <v>0</v>
      </c>
      <c r="W110">
        <f>IF($C110-W$1&lt;År1,0,V109*(1-VLOOKUP($A110,[1]Hugst!$R$5:$W$9,MATCH(ROUNDUP((W$1)/10,0)*10,[1]Hugst!$R$4:$W$4,0))))</f>
        <v>0</v>
      </c>
      <c r="X110">
        <f>IF($C110-X$1&lt;År1,0,W109*(1-VLOOKUP($A110,[1]Hugst!$R$5:$W$9,MATCH(ROUNDUP((X$1)/10,0)*10,[1]Hugst!$R$4:$W$4,0))))</f>
        <v>0</v>
      </c>
      <c r="Y110">
        <f>IF($C110-Y$1&lt;År1,0,X109*(1-VLOOKUP($A110,[1]Hugst!$R$5:$W$9,MATCH(ROUNDUP((Y$1)/10,0)*10,[1]Hugst!$R$4:$W$4,0))))</f>
        <v>0</v>
      </c>
      <c r="Z110">
        <f>IF($C110-Z$1&lt;År1,0,Y109*(1-VLOOKUP($A110,[1]Hugst!$R$5:$W$9,MATCH(ROUNDUP((Z$1)/10,0)*10,[1]Hugst!$R$4:$W$4,0))))</f>
        <v>0</v>
      </c>
      <c r="AA110">
        <f>IF($C110-AA$1&lt;År1,0,Z109*(1-VLOOKUP($A110,[1]Hugst!$R$5:$W$9,MATCH(ROUNDUP((AA$1)/10,0)*10,[1]Hugst!$R$4:$W$4,0))))</f>
        <v>0</v>
      </c>
      <c r="AB110">
        <f>IF($C110-AB$1&lt;År1,0,AA109*(1-VLOOKUP($A110,[1]Hugst!$R$5:$W$9,MATCH(ROUNDUP((AB$1)/10,0)*10,[1]Hugst!$R$4:$W$4,0))))</f>
        <v>0</v>
      </c>
      <c r="AC110">
        <f>IF($C110-AC$1&lt;År1,0,AB109*(1-VLOOKUP($A110,[1]Hugst!$R$5:$W$9,MATCH(ROUNDUP((AC$1)/10,0)*10,[1]Hugst!$R$4:$W$4,0))))</f>
        <v>0</v>
      </c>
      <c r="AD110">
        <f>IF($C110-AD$1&lt;År1,0,AC109*(1-VLOOKUP($A110,[1]Hugst!$R$5:$W$9,MATCH(ROUNDUP((AD$1)/10,0)*10,[1]Hugst!$R$4:$W$4,0))))</f>
        <v>0</v>
      </c>
      <c r="AE110">
        <f>IF($C110-AE$1&lt;År1,0,AD109*(1-VLOOKUP($A110,[1]Hugst!$R$5:$W$9,MATCH(ROUNDUP((AE$1)/10,0)*10,[1]Hugst!$R$4:$W$4,0))))</f>
        <v>0</v>
      </c>
      <c r="AF110">
        <f>IF($C110-AF$1&lt;År1,0,AE109*(1-VLOOKUP($A110,[1]Hugst!$R$5:$W$9,MATCH(ROUNDUP((AF$1)/10,0)*10,[1]Hugst!$R$4:$W$4,0))))</f>
        <v>0</v>
      </c>
      <c r="AG110">
        <f>IF($C110-AG$1&lt;År1,0,AF109*(1-VLOOKUP($A110,[1]Hugst!$R$5:$W$9,MATCH(ROUNDUP((AG$1)/10,0)*10,[1]Hugst!$R$4:$W$4,0))))</f>
        <v>0</v>
      </c>
      <c r="AH110">
        <f>IF($C110-AH$1&lt;År1,0,AG109*(1-VLOOKUP($A110,[1]Hugst!$R$5:$W$9,MATCH(ROUNDUP((AH$1)/10,0)*10,[1]Hugst!$R$4:$W$4,0))))</f>
        <v>0</v>
      </c>
      <c r="AI110">
        <f>IF($C110-AI$1&lt;År1,0,AH109*(1-VLOOKUP($A110,[1]Hugst!$R$5:$W$9,MATCH(ROUNDUP((AI$1)/10,0)*10,[1]Hugst!$R$4:$W$4,0))))</f>
        <v>0</v>
      </c>
      <c r="AJ110">
        <f>IF($C110-AJ$1&lt;År1,0,AI109*(1-VLOOKUP($A110,[1]Hugst!$R$5:$W$9,MATCH(ROUNDUP((AJ$1)/10,0)*10,[1]Hugst!$R$4:$W$4,0))))</f>
        <v>0</v>
      </c>
    </row>
    <row r="111" spans="1:36" x14ac:dyDescent="0.25">
      <c r="A111" t="s">
        <v>177</v>
      </c>
      <c r="B111" t="s">
        <v>24</v>
      </c>
      <c r="C111">
        <v>2036</v>
      </c>
      <c r="D111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235.0622109829219</v>
      </c>
      <c r="E111">
        <f t="shared" ca="1" si="2"/>
        <v>9.0371922231461213</v>
      </c>
      <c r="F111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573.72903283569781</v>
      </c>
      <c r="G111">
        <f ca="1">IF($C111-G$1&lt;År1,0,F110*(1-VLOOKUP($A111,[1]Hugst!$R$5:$W$9,MATCH(ROUNDUP((G$1)/10,0)*10,[1]Hugst!$R$4:$W$4,0))))</f>
        <v>573.6308558854555</v>
      </c>
      <c r="H111">
        <f ca="1">IF($C111-H$1&lt;År1,0,G110*(1-VLOOKUP($A111,[1]Hugst!$R$5:$W$9,MATCH(ROUNDUP((H$1)/10,0)*10,[1]Hugst!$R$4:$W$4,0))))</f>
        <v>573.53476272833154</v>
      </c>
      <c r="I111">
        <f ca="1">IF($C111-I$1&lt;År1,0,H110*(1-VLOOKUP($A111,[1]Hugst!$R$5:$W$9,MATCH(ROUNDUP((I$1)/10,0)*10,[1]Hugst!$R$4:$W$4,0))))</f>
        <v>573.44076777290206</v>
      </c>
      <c r="J111">
        <f ca="1">IF($C111-J$1&lt;År1,0,I110*(1-VLOOKUP($A111,[1]Hugst!$R$5:$W$9,MATCH(ROUNDUP((J$1)/10,0)*10,[1]Hugst!$R$4:$W$4,0))))</f>
        <v>573.34888550614346</v>
      </c>
      <c r="K111">
        <f ca="1">IF($C111-K$1&lt;År1,0,J110*(1-VLOOKUP($A111,[1]Hugst!$R$5:$W$9,MATCH(ROUNDUP((K$1)/10,0)*10,[1]Hugst!$R$4:$W$4,0))))</f>
        <v>573.25913049386804</v>
      </c>
      <c r="L111">
        <f ca="1">IF($C111-L$1&lt;År1,0,K110*(1-VLOOKUP($A111,[1]Hugst!$R$5:$W$9,MATCH(ROUNDUP((L$1)/10,0)*10,[1]Hugst!$R$4:$W$4,0))))</f>
        <v>842.86848707809895</v>
      </c>
      <c r="M111">
        <f ca="1">IF($C111-M$1&lt;År1,0,L110*(1-VLOOKUP($A111,[1]Hugst!$R$5:$W$9,MATCH(ROUNDUP((M$1)/10,0)*10,[1]Hugst!$R$4:$W$4,0))))</f>
        <v>842.78303058953907</v>
      </c>
      <c r="N111">
        <f ca="1">IF($C111-N$1&lt;År1,0,M110*(1-VLOOKUP($A111,[1]Hugst!$R$5:$W$9,MATCH(ROUNDUP((N$1)/10,0)*10,[1]Hugst!$R$4:$W$4,0))))</f>
        <v>844.00642974161656</v>
      </c>
      <c r="O111">
        <f ca="1">IF($C111-O$1&lt;År1,0,N110*(1-VLOOKUP($A111,[1]Hugst!$R$5:$W$9,MATCH(ROUNDUP((O$1)/10,0)*10,[1]Hugst!$R$4:$W$4,0))))</f>
        <v>845.23597662811835</v>
      </c>
      <c r="P111">
        <f ca="1">IF($C111-P$1&lt;År1,0,O110*(1-VLOOKUP($A111,[1]Hugst!$R$5:$W$9,MATCH(ROUNDUP((P$1)/10,0)*10,[1]Hugst!$R$4:$W$4,0))))</f>
        <v>845.18047412199144</v>
      </c>
      <c r="Q111">
        <f ca="1">IF($C111-Q$1&lt;År1,0,P110*(1-VLOOKUP($A111,[1]Hugst!$R$5:$W$9,MATCH(ROUNDUP((Q$1)/10,0)*10,[1]Hugst!$R$4:$W$4,0))))</f>
        <v>845.12936489671677</v>
      </c>
      <c r="R111">
        <f ca="1">IF($C111-R$1&lt;År1,0,Q110*(1-VLOOKUP($A111,[1]Hugst!$R$5:$W$9,MATCH(ROUNDUP((R$1)/10,0)*10,[1]Hugst!$R$4:$W$4,0))))</f>
        <v>845.08265729656216</v>
      </c>
      <c r="S111">
        <f ca="1">IF($C111-S$1&lt;År1,0,R110*(1-VLOOKUP($A111,[1]Hugst!$R$5:$W$9,MATCH(ROUNDUP((S$1)/10,0)*10,[1]Hugst!$R$4:$W$4,0))))</f>
        <v>845.0403597055423</v>
      </c>
      <c r="T111">
        <f ca="1">IF($C111-T$1&lt;År1,0,S110*(1-VLOOKUP($A111,[1]Hugst!$R$5:$W$9,MATCH(ROUNDUP((T$1)/10,0)*10,[1]Hugst!$R$4:$W$4,0))))</f>
        <v>845.00248054765825</v>
      </c>
      <c r="U111">
        <f ca="1">IF($C111-U$1&lt;År1,0,T110*(1-VLOOKUP($A111,[1]Hugst!$R$5:$W$9,MATCH(ROUNDUP((U$1)/10,0)*10,[1]Hugst!$R$4:$W$4,0))))</f>
        <v>844.96902828692396</v>
      </c>
      <c r="V111">
        <f ca="1">IF($C111-V$1&lt;År1,0,U110*(1-VLOOKUP($A111,[1]Hugst!$R$5:$W$9,MATCH(ROUNDUP((V$1)/10,0)*10,[1]Hugst!$R$4:$W$4,0))))</f>
        <v>844.94001142756417</v>
      </c>
      <c r="W111">
        <f>IF($C111-W$1&lt;År1,0,V110*(1-VLOOKUP($A111,[1]Hugst!$R$5:$W$9,MATCH(ROUNDUP((W$1)/10,0)*10,[1]Hugst!$R$4:$W$4,0))))</f>
        <v>0</v>
      </c>
      <c r="X111">
        <f>IF($C111-X$1&lt;År1,0,W110*(1-VLOOKUP($A111,[1]Hugst!$R$5:$W$9,MATCH(ROUNDUP((X$1)/10,0)*10,[1]Hugst!$R$4:$W$4,0))))</f>
        <v>0</v>
      </c>
      <c r="Y111">
        <f>IF($C111-Y$1&lt;År1,0,X110*(1-VLOOKUP($A111,[1]Hugst!$R$5:$W$9,MATCH(ROUNDUP((Y$1)/10,0)*10,[1]Hugst!$R$4:$W$4,0))))</f>
        <v>0</v>
      </c>
      <c r="Z111">
        <f>IF($C111-Z$1&lt;År1,0,Y110*(1-VLOOKUP($A111,[1]Hugst!$R$5:$W$9,MATCH(ROUNDUP((Z$1)/10,0)*10,[1]Hugst!$R$4:$W$4,0))))</f>
        <v>0</v>
      </c>
      <c r="AA111">
        <f>IF($C111-AA$1&lt;År1,0,Z110*(1-VLOOKUP($A111,[1]Hugst!$R$5:$W$9,MATCH(ROUNDUP((AA$1)/10,0)*10,[1]Hugst!$R$4:$W$4,0))))</f>
        <v>0</v>
      </c>
      <c r="AB111">
        <f>IF($C111-AB$1&lt;År1,0,AA110*(1-VLOOKUP($A111,[1]Hugst!$R$5:$W$9,MATCH(ROUNDUP((AB$1)/10,0)*10,[1]Hugst!$R$4:$W$4,0))))</f>
        <v>0</v>
      </c>
      <c r="AC111">
        <f>IF($C111-AC$1&lt;År1,0,AB110*(1-VLOOKUP($A111,[1]Hugst!$R$5:$W$9,MATCH(ROUNDUP((AC$1)/10,0)*10,[1]Hugst!$R$4:$W$4,0))))</f>
        <v>0</v>
      </c>
      <c r="AD111">
        <f>IF($C111-AD$1&lt;År1,0,AC110*(1-VLOOKUP($A111,[1]Hugst!$R$5:$W$9,MATCH(ROUNDUP((AD$1)/10,0)*10,[1]Hugst!$R$4:$W$4,0))))</f>
        <v>0</v>
      </c>
      <c r="AE111">
        <f>IF($C111-AE$1&lt;År1,0,AD110*(1-VLOOKUP($A111,[1]Hugst!$R$5:$W$9,MATCH(ROUNDUP((AE$1)/10,0)*10,[1]Hugst!$R$4:$W$4,0))))</f>
        <v>0</v>
      </c>
      <c r="AF111">
        <f>IF($C111-AF$1&lt;År1,0,AE110*(1-VLOOKUP($A111,[1]Hugst!$R$5:$W$9,MATCH(ROUNDUP((AF$1)/10,0)*10,[1]Hugst!$R$4:$W$4,0))))</f>
        <v>0</v>
      </c>
      <c r="AG111">
        <f>IF($C111-AG$1&lt;År1,0,AF110*(1-VLOOKUP($A111,[1]Hugst!$R$5:$W$9,MATCH(ROUNDUP((AG$1)/10,0)*10,[1]Hugst!$R$4:$W$4,0))))</f>
        <v>0</v>
      </c>
      <c r="AH111">
        <f>IF($C111-AH$1&lt;År1,0,AG110*(1-VLOOKUP($A111,[1]Hugst!$R$5:$W$9,MATCH(ROUNDUP((AH$1)/10,0)*10,[1]Hugst!$R$4:$W$4,0))))</f>
        <v>0</v>
      </c>
      <c r="AI111">
        <f>IF($C111-AI$1&lt;År1,0,AH110*(1-VLOOKUP($A111,[1]Hugst!$R$5:$W$9,MATCH(ROUNDUP((AI$1)/10,0)*10,[1]Hugst!$R$4:$W$4,0))))</f>
        <v>0</v>
      </c>
      <c r="AJ111">
        <f>IF($C111-AJ$1&lt;År1,0,AI110*(1-VLOOKUP($A111,[1]Hugst!$R$5:$W$9,MATCH(ROUNDUP((AJ$1)/10,0)*10,[1]Hugst!$R$4:$W$4,0))))</f>
        <v>0</v>
      </c>
    </row>
    <row r="112" spans="1:36" x14ac:dyDescent="0.25">
      <c r="A112" t="s">
        <v>177</v>
      </c>
      <c r="B112" t="s">
        <v>24</v>
      </c>
      <c r="C112">
        <v>2037</v>
      </c>
      <c r="D112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233.88689992800937</v>
      </c>
      <c r="E112">
        <f t="shared" ca="1" si="2"/>
        <v>10.312749690878263</v>
      </c>
      <c r="F112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573.82927924851742</v>
      </c>
      <c r="G112">
        <f ca="1">IF($C112-G$1&lt;År1,0,F111*(1-VLOOKUP($A112,[1]Hugst!$R$5:$W$9,MATCH(ROUNDUP((G$1)/10,0)*10,[1]Hugst!$R$4:$W$4,0))))</f>
        <v>573.72903283569781</v>
      </c>
      <c r="H112">
        <f ca="1">IF($C112-H$1&lt;År1,0,G111*(1-VLOOKUP($A112,[1]Hugst!$R$5:$W$9,MATCH(ROUNDUP((H$1)/10,0)*10,[1]Hugst!$R$4:$W$4,0))))</f>
        <v>573.6308558854555</v>
      </c>
      <c r="I112">
        <f ca="1">IF($C112-I$1&lt;År1,0,H111*(1-VLOOKUP($A112,[1]Hugst!$R$5:$W$9,MATCH(ROUNDUP((I$1)/10,0)*10,[1]Hugst!$R$4:$W$4,0))))</f>
        <v>573.53476272833154</v>
      </c>
      <c r="J112">
        <f ca="1">IF($C112-J$1&lt;År1,0,I111*(1-VLOOKUP($A112,[1]Hugst!$R$5:$W$9,MATCH(ROUNDUP((J$1)/10,0)*10,[1]Hugst!$R$4:$W$4,0))))</f>
        <v>573.44076777290206</v>
      </c>
      <c r="K112">
        <f ca="1">IF($C112-K$1&lt;År1,0,J111*(1-VLOOKUP($A112,[1]Hugst!$R$5:$W$9,MATCH(ROUNDUP((K$1)/10,0)*10,[1]Hugst!$R$4:$W$4,0))))</f>
        <v>573.34888550614346</v>
      </c>
      <c r="L112">
        <f ca="1">IF($C112-L$1&lt;År1,0,K111*(1-VLOOKUP($A112,[1]Hugst!$R$5:$W$9,MATCH(ROUNDUP((L$1)/10,0)*10,[1]Hugst!$R$4:$W$4,0))))</f>
        <v>573.25913049386804</v>
      </c>
      <c r="M112">
        <f ca="1">IF($C112-M$1&lt;År1,0,L111*(1-VLOOKUP($A112,[1]Hugst!$R$5:$W$9,MATCH(ROUNDUP((M$1)/10,0)*10,[1]Hugst!$R$4:$W$4,0))))</f>
        <v>842.86848707809895</v>
      </c>
      <c r="N112">
        <f ca="1">IF($C112-N$1&lt;År1,0,M111*(1-VLOOKUP($A112,[1]Hugst!$R$5:$W$9,MATCH(ROUNDUP((N$1)/10,0)*10,[1]Hugst!$R$4:$W$4,0))))</f>
        <v>842.78303058953907</v>
      </c>
      <c r="O112">
        <f ca="1">IF($C112-O$1&lt;År1,0,N111*(1-VLOOKUP($A112,[1]Hugst!$R$5:$W$9,MATCH(ROUNDUP((O$1)/10,0)*10,[1]Hugst!$R$4:$W$4,0))))</f>
        <v>844.00642974161656</v>
      </c>
      <c r="P112">
        <f ca="1">IF($C112-P$1&lt;År1,0,O111*(1-VLOOKUP($A112,[1]Hugst!$R$5:$W$9,MATCH(ROUNDUP((P$1)/10,0)*10,[1]Hugst!$R$4:$W$4,0))))</f>
        <v>843.94663361292294</v>
      </c>
      <c r="Q112">
        <f ca="1">IF($C112-Q$1&lt;År1,0,P111*(1-VLOOKUP($A112,[1]Hugst!$R$5:$W$9,MATCH(ROUNDUP((Q$1)/10,0)*10,[1]Hugst!$R$4:$W$4,0))))</f>
        <v>843.89121577163587</v>
      </c>
      <c r="R112">
        <f ca="1">IF($C112-R$1&lt;År1,0,Q111*(1-VLOOKUP($A112,[1]Hugst!$R$5:$W$9,MATCH(ROUNDUP((R$1)/10,0)*10,[1]Hugst!$R$4:$W$4,0))))</f>
        <v>843.84018450958615</v>
      </c>
      <c r="S112">
        <f ca="1">IF($C112-S$1&lt;År1,0,R111*(1-VLOOKUP($A112,[1]Hugst!$R$5:$W$9,MATCH(ROUNDUP((S$1)/10,0)*10,[1]Hugst!$R$4:$W$4,0))))</f>
        <v>843.79354815831311</v>
      </c>
      <c r="T112">
        <f ca="1">IF($C112-T$1&lt;År1,0,S111*(1-VLOOKUP($A112,[1]Hugst!$R$5:$W$9,MATCH(ROUNDUP((T$1)/10,0)*10,[1]Hugst!$R$4:$W$4,0))))</f>
        <v>843.75131508904235</v>
      </c>
      <c r="U112">
        <f ca="1">IF($C112-U$1&lt;År1,0,T111*(1-VLOOKUP($A112,[1]Hugst!$R$5:$W$9,MATCH(ROUNDUP((U$1)/10,0)*10,[1]Hugst!$R$4:$W$4,0))))</f>
        <v>843.71349371292456</v>
      </c>
      <c r="V112">
        <f ca="1">IF($C112-V$1&lt;År1,0,U111*(1-VLOOKUP($A112,[1]Hugst!$R$5:$W$9,MATCH(ROUNDUP((V$1)/10,0)*10,[1]Hugst!$R$4:$W$4,0))))</f>
        <v>843.6800924810625</v>
      </c>
      <c r="W112">
        <f ca="1">IF($C112-W$1&lt;År1,0,V111*(1-VLOOKUP($A112,[1]Hugst!$R$5:$W$9,MATCH(ROUNDUP((W$1)/10,0)*10,[1]Hugst!$R$4:$W$4,0))))</f>
        <v>843.65111988470858</v>
      </c>
      <c r="X112">
        <f>IF($C112-X$1&lt;År1,0,W111*(1-VLOOKUP($A112,[1]Hugst!$R$5:$W$9,MATCH(ROUNDUP((X$1)/10,0)*10,[1]Hugst!$R$4:$W$4,0))))</f>
        <v>0</v>
      </c>
      <c r="Y112">
        <f>IF($C112-Y$1&lt;År1,0,X111*(1-VLOOKUP($A112,[1]Hugst!$R$5:$W$9,MATCH(ROUNDUP((Y$1)/10,0)*10,[1]Hugst!$R$4:$W$4,0))))</f>
        <v>0</v>
      </c>
      <c r="Z112">
        <f>IF($C112-Z$1&lt;År1,0,Y111*(1-VLOOKUP($A112,[1]Hugst!$R$5:$W$9,MATCH(ROUNDUP((Z$1)/10,0)*10,[1]Hugst!$R$4:$W$4,0))))</f>
        <v>0</v>
      </c>
      <c r="AA112">
        <f>IF($C112-AA$1&lt;År1,0,Z111*(1-VLOOKUP($A112,[1]Hugst!$R$5:$W$9,MATCH(ROUNDUP((AA$1)/10,0)*10,[1]Hugst!$R$4:$W$4,0))))</f>
        <v>0</v>
      </c>
      <c r="AB112">
        <f>IF($C112-AB$1&lt;År1,0,AA111*(1-VLOOKUP($A112,[1]Hugst!$R$5:$W$9,MATCH(ROUNDUP((AB$1)/10,0)*10,[1]Hugst!$R$4:$W$4,0))))</f>
        <v>0</v>
      </c>
      <c r="AC112">
        <f>IF($C112-AC$1&lt;År1,0,AB111*(1-VLOOKUP($A112,[1]Hugst!$R$5:$W$9,MATCH(ROUNDUP((AC$1)/10,0)*10,[1]Hugst!$R$4:$W$4,0))))</f>
        <v>0</v>
      </c>
      <c r="AD112">
        <f>IF($C112-AD$1&lt;År1,0,AC111*(1-VLOOKUP($A112,[1]Hugst!$R$5:$W$9,MATCH(ROUNDUP((AD$1)/10,0)*10,[1]Hugst!$R$4:$W$4,0))))</f>
        <v>0</v>
      </c>
      <c r="AE112">
        <f>IF($C112-AE$1&lt;År1,0,AD111*(1-VLOOKUP($A112,[1]Hugst!$R$5:$W$9,MATCH(ROUNDUP((AE$1)/10,0)*10,[1]Hugst!$R$4:$W$4,0))))</f>
        <v>0</v>
      </c>
      <c r="AF112">
        <f>IF($C112-AF$1&lt;År1,0,AE111*(1-VLOOKUP($A112,[1]Hugst!$R$5:$W$9,MATCH(ROUNDUP((AF$1)/10,0)*10,[1]Hugst!$R$4:$W$4,0))))</f>
        <v>0</v>
      </c>
      <c r="AG112">
        <f>IF($C112-AG$1&lt;År1,0,AF111*(1-VLOOKUP($A112,[1]Hugst!$R$5:$W$9,MATCH(ROUNDUP((AG$1)/10,0)*10,[1]Hugst!$R$4:$W$4,0))))</f>
        <v>0</v>
      </c>
      <c r="AH112">
        <f>IF($C112-AH$1&lt;År1,0,AG111*(1-VLOOKUP($A112,[1]Hugst!$R$5:$W$9,MATCH(ROUNDUP((AH$1)/10,0)*10,[1]Hugst!$R$4:$W$4,0))))</f>
        <v>0</v>
      </c>
      <c r="AI112">
        <f>IF($C112-AI$1&lt;År1,0,AH111*(1-VLOOKUP($A112,[1]Hugst!$R$5:$W$9,MATCH(ROUNDUP((AI$1)/10,0)*10,[1]Hugst!$R$4:$W$4,0))))</f>
        <v>0</v>
      </c>
      <c r="AJ112">
        <f>IF($C112-AJ$1&lt;År1,0,AI111*(1-VLOOKUP($A112,[1]Hugst!$R$5:$W$9,MATCH(ROUNDUP((AJ$1)/10,0)*10,[1]Hugst!$R$4:$W$4,0))))</f>
        <v>0</v>
      </c>
    </row>
    <row r="113" spans="1:38" x14ac:dyDescent="0.25">
      <c r="A113" t="s">
        <v>177</v>
      </c>
      <c r="B113" t="s">
        <v>24</v>
      </c>
      <c r="C113">
        <v>2038</v>
      </c>
      <c r="D113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232.71746542837354</v>
      </c>
      <c r="E113">
        <f t="shared" ca="1" si="2"/>
        <v>11.584485812996718</v>
      </c>
      <c r="F113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573.93158087100005</v>
      </c>
      <c r="G113">
        <f ca="1">IF($C113-G$1&lt;År1,0,F112*(1-VLOOKUP($A113,[1]Hugst!$R$5:$W$9,MATCH(ROUNDUP((G$1)/10,0)*10,[1]Hugst!$R$4:$W$4,0))))</f>
        <v>573.82927924851742</v>
      </c>
      <c r="H113">
        <f ca="1">IF($C113-H$1&lt;År1,0,G112*(1-VLOOKUP($A113,[1]Hugst!$R$5:$W$9,MATCH(ROUNDUP((H$1)/10,0)*10,[1]Hugst!$R$4:$W$4,0))))</f>
        <v>573.72903283569781</v>
      </c>
      <c r="I113">
        <f ca="1">IF($C113-I$1&lt;År1,0,H112*(1-VLOOKUP($A113,[1]Hugst!$R$5:$W$9,MATCH(ROUNDUP((I$1)/10,0)*10,[1]Hugst!$R$4:$W$4,0))))</f>
        <v>573.6308558854555</v>
      </c>
      <c r="J113">
        <f ca="1">IF($C113-J$1&lt;År1,0,I112*(1-VLOOKUP($A113,[1]Hugst!$R$5:$W$9,MATCH(ROUNDUP((J$1)/10,0)*10,[1]Hugst!$R$4:$W$4,0))))</f>
        <v>573.53476272833154</v>
      </c>
      <c r="K113">
        <f ca="1">IF($C113-K$1&lt;År1,0,J112*(1-VLOOKUP($A113,[1]Hugst!$R$5:$W$9,MATCH(ROUNDUP((K$1)/10,0)*10,[1]Hugst!$R$4:$W$4,0))))</f>
        <v>573.44076777290206</v>
      </c>
      <c r="L113">
        <f ca="1">IF($C113-L$1&lt;År1,0,K112*(1-VLOOKUP($A113,[1]Hugst!$R$5:$W$9,MATCH(ROUNDUP((L$1)/10,0)*10,[1]Hugst!$R$4:$W$4,0))))</f>
        <v>573.34888550614346</v>
      </c>
      <c r="M113">
        <f ca="1">IF($C113-M$1&lt;År1,0,L112*(1-VLOOKUP($A113,[1]Hugst!$R$5:$W$9,MATCH(ROUNDUP((M$1)/10,0)*10,[1]Hugst!$R$4:$W$4,0))))</f>
        <v>573.25913049386804</v>
      </c>
      <c r="N113">
        <f ca="1">IF($C113-N$1&lt;År1,0,M112*(1-VLOOKUP($A113,[1]Hugst!$R$5:$W$9,MATCH(ROUNDUP((N$1)/10,0)*10,[1]Hugst!$R$4:$W$4,0))))</f>
        <v>842.86848707809895</v>
      </c>
      <c r="O113">
        <f ca="1">IF($C113-O$1&lt;År1,0,N112*(1-VLOOKUP($A113,[1]Hugst!$R$5:$W$9,MATCH(ROUNDUP((O$1)/10,0)*10,[1]Hugst!$R$4:$W$4,0))))</f>
        <v>842.78303058953907</v>
      </c>
      <c r="P113">
        <f ca="1">IF($C113-P$1&lt;År1,0,O112*(1-VLOOKUP($A113,[1]Hugst!$R$5:$W$9,MATCH(ROUNDUP((P$1)/10,0)*10,[1]Hugst!$R$4:$W$4,0))))</f>
        <v>842.71896230641744</v>
      </c>
      <c r="Q113">
        <f ca="1">IF($C113-Q$1&lt;År1,0,P112*(1-VLOOKUP($A113,[1]Hugst!$R$5:$W$9,MATCH(ROUNDUP((Q$1)/10,0)*10,[1]Hugst!$R$4:$W$4,0))))</f>
        <v>842.65925739215743</v>
      </c>
      <c r="R113">
        <f ca="1">IF($C113-R$1&lt;År1,0,Q112*(1-VLOOKUP($A113,[1]Hugst!$R$5:$W$9,MATCH(ROUNDUP((R$1)/10,0)*10,[1]Hugst!$R$4:$W$4,0))))</f>
        <v>842.60392408656048</v>
      </c>
      <c r="S113">
        <f ca="1">IF($C113-S$1&lt;År1,0,R112*(1-VLOOKUP($A113,[1]Hugst!$R$5:$W$9,MATCH(ROUNDUP((S$1)/10,0)*10,[1]Hugst!$R$4:$W$4,0))))</f>
        <v>842.55297066880883</v>
      </c>
      <c r="T113">
        <f ca="1">IF($C113-T$1&lt;År1,0,S112*(1-VLOOKUP($A113,[1]Hugst!$R$5:$W$9,MATCH(ROUNDUP((T$1)/10,0)*10,[1]Hugst!$R$4:$W$4,0))))</f>
        <v>842.50640545773263</v>
      </c>
      <c r="U113">
        <f ca="1">IF($C113-U$1&lt;År1,0,T112*(1-VLOOKUP($A113,[1]Hugst!$R$5:$W$9,MATCH(ROUNDUP((U$1)/10,0)*10,[1]Hugst!$R$4:$W$4,0))))</f>
        <v>842.46423681178783</v>
      </c>
      <c r="V113">
        <f ca="1">IF($C113-V$1&lt;År1,0,U112*(1-VLOOKUP($A113,[1]Hugst!$R$5:$W$9,MATCH(ROUNDUP((V$1)/10,0)*10,[1]Hugst!$R$4:$W$4,0))))</f>
        <v>842.42647312929466</v>
      </c>
      <c r="W113">
        <f ca="1">IF($C113-W$1&lt;År1,0,V112*(1-VLOOKUP($A113,[1]Hugst!$R$5:$W$9,MATCH(ROUNDUP((W$1)/10,0)*10,[1]Hugst!$R$4:$W$4,0))))</f>
        <v>842.39312284846426</v>
      </c>
      <c r="X113">
        <f ca="1">IF($C113-X$1&lt;År1,0,W112*(1-VLOOKUP($A113,[1]Hugst!$R$5:$W$9,MATCH(ROUNDUP((X$1)/10,0)*10,[1]Hugst!$R$4:$W$4,0))))</f>
        <v>842.36419444759633</v>
      </c>
      <c r="Y113">
        <f>IF($C113-Y$1&lt;År1,0,X112*(1-VLOOKUP($A113,[1]Hugst!$R$5:$W$9,MATCH(ROUNDUP((Y$1)/10,0)*10,[1]Hugst!$R$4:$W$4,0))))</f>
        <v>0</v>
      </c>
      <c r="Z113">
        <f>IF($C113-Z$1&lt;År1,0,Y112*(1-VLOOKUP($A113,[1]Hugst!$R$5:$W$9,MATCH(ROUNDUP((Z$1)/10,0)*10,[1]Hugst!$R$4:$W$4,0))))</f>
        <v>0</v>
      </c>
      <c r="AA113">
        <f>IF($C113-AA$1&lt;År1,0,Z112*(1-VLOOKUP($A113,[1]Hugst!$R$5:$W$9,MATCH(ROUNDUP((AA$1)/10,0)*10,[1]Hugst!$R$4:$W$4,0))))</f>
        <v>0</v>
      </c>
      <c r="AB113">
        <f>IF($C113-AB$1&lt;År1,0,AA112*(1-VLOOKUP($A113,[1]Hugst!$R$5:$W$9,MATCH(ROUNDUP((AB$1)/10,0)*10,[1]Hugst!$R$4:$W$4,0))))</f>
        <v>0</v>
      </c>
      <c r="AC113">
        <f>IF($C113-AC$1&lt;År1,0,AB112*(1-VLOOKUP($A113,[1]Hugst!$R$5:$W$9,MATCH(ROUNDUP((AC$1)/10,0)*10,[1]Hugst!$R$4:$W$4,0))))</f>
        <v>0</v>
      </c>
      <c r="AD113">
        <f>IF($C113-AD$1&lt;År1,0,AC112*(1-VLOOKUP($A113,[1]Hugst!$R$5:$W$9,MATCH(ROUNDUP((AD$1)/10,0)*10,[1]Hugst!$R$4:$W$4,0))))</f>
        <v>0</v>
      </c>
      <c r="AE113">
        <f>IF($C113-AE$1&lt;År1,0,AD112*(1-VLOOKUP($A113,[1]Hugst!$R$5:$W$9,MATCH(ROUNDUP((AE$1)/10,0)*10,[1]Hugst!$R$4:$W$4,0))))</f>
        <v>0</v>
      </c>
      <c r="AF113">
        <f>IF($C113-AF$1&lt;År1,0,AE112*(1-VLOOKUP($A113,[1]Hugst!$R$5:$W$9,MATCH(ROUNDUP((AF$1)/10,0)*10,[1]Hugst!$R$4:$W$4,0))))</f>
        <v>0</v>
      </c>
      <c r="AG113">
        <f>IF($C113-AG$1&lt;År1,0,AF112*(1-VLOOKUP($A113,[1]Hugst!$R$5:$W$9,MATCH(ROUNDUP((AG$1)/10,0)*10,[1]Hugst!$R$4:$W$4,0))))</f>
        <v>0</v>
      </c>
      <c r="AH113">
        <f>IF($C113-AH$1&lt;År1,0,AG112*(1-VLOOKUP($A113,[1]Hugst!$R$5:$W$9,MATCH(ROUNDUP((AH$1)/10,0)*10,[1]Hugst!$R$4:$W$4,0))))</f>
        <v>0</v>
      </c>
      <c r="AI113">
        <f>IF($C113-AI$1&lt;År1,0,AH112*(1-VLOOKUP($A113,[1]Hugst!$R$5:$W$9,MATCH(ROUNDUP((AI$1)/10,0)*10,[1]Hugst!$R$4:$W$4,0))))</f>
        <v>0</v>
      </c>
      <c r="AJ113">
        <f>IF($C113-AJ$1&lt;År1,0,AI112*(1-VLOOKUP($A113,[1]Hugst!$R$5:$W$9,MATCH(ROUNDUP((AJ$1)/10,0)*10,[1]Hugst!$R$4:$W$4,0))))</f>
        <v>0</v>
      </c>
    </row>
    <row r="114" spans="1:38" x14ac:dyDescent="0.25">
      <c r="A114" t="s">
        <v>177</v>
      </c>
      <c r="B114" t="s">
        <v>24</v>
      </c>
      <c r="C114">
        <v>2039</v>
      </c>
      <c r="D114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231.55387810122284</v>
      </c>
      <c r="E114">
        <f t="shared" ca="1" si="2"/>
        <v>12.852415796549394</v>
      </c>
      <c r="F114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574.03592352740202</v>
      </c>
      <c r="G114">
        <f ca="1">IF($C114-G$1&lt;År1,0,F113*(1-VLOOKUP($A114,[1]Hugst!$R$5:$W$9,MATCH(ROUNDUP((G$1)/10,0)*10,[1]Hugst!$R$4:$W$4,0))))</f>
        <v>573.93158087100005</v>
      </c>
      <c r="H114">
        <f ca="1">IF($C114-H$1&lt;År1,0,G113*(1-VLOOKUP($A114,[1]Hugst!$R$5:$W$9,MATCH(ROUNDUP((H$1)/10,0)*10,[1]Hugst!$R$4:$W$4,0))))</f>
        <v>573.82927924851742</v>
      </c>
      <c r="I114">
        <f ca="1">IF($C114-I$1&lt;År1,0,H113*(1-VLOOKUP($A114,[1]Hugst!$R$5:$W$9,MATCH(ROUNDUP((I$1)/10,0)*10,[1]Hugst!$R$4:$W$4,0))))</f>
        <v>573.72903283569781</v>
      </c>
      <c r="J114">
        <f ca="1">IF($C114-J$1&lt;År1,0,I113*(1-VLOOKUP($A114,[1]Hugst!$R$5:$W$9,MATCH(ROUNDUP((J$1)/10,0)*10,[1]Hugst!$R$4:$W$4,0))))</f>
        <v>573.6308558854555</v>
      </c>
      <c r="K114">
        <f ca="1">IF($C114-K$1&lt;År1,0,J113*(1-VLOOKUP($A114,[1]Hugst!$R$5:$W$9,MATCH(ROUNDUP((K$1)/10,0)*10,[1]Hugst!$R$4:$W$4,0))))</f>
        <v>573.53476272833154</v>
      </c>
      <c r="L114">
        <f ca="1">IF($C114-L$1&lt;År1,0,K113*(1-VLOOKUP($A114,[1]Hugst!$R$5:$W$9,MATCH(ROUNDUP((L$1)/10,0)*10,[1]Hugst!$R$4:$W$4,0))))</f>
        <v>573.44076777290206</v>
      </c>
      <c r="M114">
        <f ca="1">IF($C114-M$1&lt;År1,0,L113*(1-VLOOKUP($A114,[1]Hugst!$R$5:$W$9,MATCH(ROUNDUP((M$1)/10,0)*10,[1]Hugst!$R$4:$W$4,0))))</f>
        <v>573.34888550614346</v>
      </c>
      <c r="N114">
        <f ca="1">IF($C114-N$1&lt;År1,0,M113*(1-VLOOKUP($A114,[1]Hugst!$R$5:$W$9,MATCH(ROUNDUP((N$1)/10,0)*10,[1]Hugst!$R$4:$W$4,0))))</f>
        <v>573.25913049386804</v>
      </c>
      <c r="O114">
        <f ca="1">IF($C114-O$1&lt;År1,0,N113*(1-VLOOKUP($A114,[1]Hugst!$R$5:$W$9,MATCH(ROUNDUP((O$1)/10,0)*10,[1]Hugst!$R$4:$W$4,0))))</f>
        <v>842.86848707809895</v>
      </c>
      <c r="P114">
        <f ca="1">IF($C114-P$1&lt;År1,0,O113*(1-VLOOKUP($A114,[1]Hugst!$R$5:$W$9,MATCH(ROUNDUP((P$1)/10,0)*10,[1]Hugst!$R$4:$W$4,0))))</f>
        <v>841.49742935643633</v>
      </c>
      <c r="Q114">
        <f ca="1">IF($C114-Q$1&lt;År1,0,P113*(1-VLOOKUP($A114,[1]Hugst!$R$5:$W$9,MATCH(ROUNDUP((Q$1)/10,0)*10,[1]Hugst!$R$4:$W$4,0))))</f>
        <v>841.43345880459401</v>
      </c>
      <c r="R114">
        <f ca="1">IF($C114-R$1&lt;År1,0,Q113*(1-VLOOKUP($A114,[1]Hugst!$R$5:$W$9,MATCH(ROUNDUP((R$1)/10,0)*10,[1]Hugst!$R$4:$W$4,0))))</f>
        <v>841.37384496562697</v>
      </c>
      <c r="S114">
        <f ca="1">IF($C114-S$1&lt;År1,0,R113*(1-VLOOKUP($A114,[1]Hugst!$R$5:$W$9,MATCH(ROUNDUP((S$1)/10,0)*10,[1]Hugst!$R$4:$W$4,0))))</f>
        <v>841.31859606676744</v>
      </c>
      <c r="T114">
        <f ca="1">IF($C114-T$1&lt;År1,0,S113*(1-VLOOKUP($A114,[1]Hugst!$R$5:$W$9,MATCH(ROUNDUP((T$1)/10,0)*10,[1]Hugst!$R$4:$W$4,0))))</f>
        <v>841.26772037456828</v>
      </c>
      <c r="U114">
        <f ca="1">IF($C114-U$1&lt;År1,0,T113*(1-VLOOKUP($A114,[1]Hugst!$R$5:$W$9,MATCH(ROUNDUP((U$1)/10,0)*10,[1]Hugst!$R$4:$W$4,0))))</f>
        <v>841.22122619516995</v>
      </c>
      <c r="V114">
        <f ca="1">IF($C114-V$1&lt;År1,0,U113*(1-VLOOKUP($A114,[1]Hugst!$R$5:$W$9,MATCH(ROUNDUP((V$1)/10,0)*10,[1]Hugst!$R$4:$W$4,0))))</f>
        <v>841.17912187427828</v>
      </c>
      <c r="W114">
        <f ca="1">IF($C114-W$1&lt;År1,0,V113*(1-VLOOKUP($A114,[1]Hugst!$R$5:$W$9,MATCH(ROUNDUP((W$1)/10,0)*10,[1]Hugst!$R$4:$W$4,0))))</f>
        <v>841.14141579740249</v>
      </c>
      <c r="X114">
        <f ca="1">IF($C114-X$1&lt;År1,0,W113*(1-VLOOKUP($A114,[1]Hugst!$R$5:$W$9,MATCH(ROUNDUP((X$1)/10,0)*10,[1]Hugst!$R$4:$W$4,0))))</f>
        <v>841.10811638988184</v>
      </c>
      <c r="Y114">
        <f ca="1">IF($C114-Y$1&lt;År1,0,X113*(1-VLOOKUP($A114,[1]Hugst!$R$5:$W$9,MATCH(ROUNDUP((Y$1)/10,0)*10,[1]Hugst!$R$4:$W$4,0))))</f>
        <v>841.07923211708305</v>
      </c>
      <c r="Z114">
        <f>IF($C114-Z$1&lt;År1,0,Y113*(1-VLOOKUP($A114,[1]Hugst!$R$5:$W$9,MATCH(ROUNDUP((Z$1)/10,0)*10,[1]Hugst!$R$4:$W$4,0))))</f>
        <v>0</v>
      </c>
      <c r="AA114">
        <f>IF($C114-AA$1&lt;År1,0,Z113*(1-VLOOKUP($A114,[1]Hugst!$R$5:$W$9,MATCH(ROUNDUP((AA$1)/10,0)*10,[1]Hugst!$R$4:$W$4,0))))</f>
        <v>0</v>
      </c>
      <c r="AB114">
        <f>IF($C114-AB$1&lt;År1,0,AA113*(1-VLOOKUP($A114,[1]Hugst!$R$5:$W$9,MATCH(ROUNDUP((AB$1)/10,0)*10,[1]Hugst!$R$4:$W$4,0))))</f>
        <v>0</v>
      </c>
      <c r="AC114">
        <f>IF($C114-AC$1&lt;År1,0,AB113*(1-VLOOKUP($A114,[1]Hugst!$R$5:$W$9,MATCH(ROUNDUP((AC$1)/10,0)*10,[1]Hugst!$R$4:$W$4,0))))</f>
        <v>0</v>
      </c>
      <c r="AD114">
        <f>IF($C114-AD$1&lt;År1,0,AC113*(1-VLOOKUP($A114,[1]Hugst!$R$5:$W$9,MATCH(ROUNDUP((AD$1)/10,0)*10,[1]Hugst!$R$4:$W$4,0))))</f>
        <v>0</v>
      </c>
      <c r="AE114">
        <f>IF($C114-AE$1&lt;År1,0,AD113*(1-VLOOKUP($A114,[1]Hugst!$R$5:$W$9,MATCH(ROUNDUP((AE$1)/10,0)*10,[1]Hugst!$R$4:$W$4,0))))</f>
        <v>0</v>
      </c>
      <c r="AF114">
        <f>IF($C114-AF$1&lt;År1,0,AE113*(1-VLOOKUP($A114,[1]Hugst!$R$5:$W$9,MATCH(ROUNDUP((AF$1)/10,0)*10,[1]Hugst!$R$4:$W$4,0))))</f>
        <v>0</v>
      </c>
      <c r="AG114">
        <f>IF($C114-AG$1&lt;År1,0,AF113*(1-VLOOKUP($A114,[1]Hugst!$R$5:$W$9,MATCH(ROUNDUP((AG$1)/10,0)*10,[1]Hugst!$R$4:$W$4,0))))</f>
        <v>0</v>
      </c>
      <c r="AH114">
        <f>IF($C114-AH$1&lt;År1,0,AG113*(1-VLOOKUP($A114,[1]Hugst!$R$5:$W$9,MATCH(ROUNDUP((AH$1)/10,0)*10,[1]Hugst!$R$4:$W$4,0))))</f>
        <v>0</v>
      </c>
      <c r="AI114">
        <f>IF($C114-AI$1&lt;År1,0,AH113*(1-VLOOKUP($A114,[1]Hugst!$R$5:$W$9,MATCH(ROUNDUP((AI$1)/10,0)*10,[1]Hugst!$R$4:$W$4,0))))</f>
        <v>0</v>
      </c>
      <c r="AJ114">
        <f>IF($C114-AJ$1&lt;År1,0,AI113*(1-VLOOKUP($A114,[1]Hugst!$R$5:$W$9,MATCH(ROUNDUP((AJ$1)/10,0)*10,[1]Hugst!$R$4:$W$4,0))))</f>
        <v>0</v>
      </c>
    </row>
    <row r="115" spans="1:38" x14ac:dyDescent="0.25">
      <c r="A115" t="s">
        <v>177</v>
      </c>
      <c r="B115" t="s">
        <v>24</v>
      </c>
      <c r="C115">
        <v>2040</v>
      </c>
      <c r="D115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230.39610871072</v>
      </c>
      <c r="E115">
        <f t="shared" ca="1" si="2"/>
        <v>14.296736759544729</v>
      </c>
      <c r="F115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574.32247509989452</v>
      </c>
      <c r="G115">
        <f ca="1">IF($C115-G$1&lt;År1,0,F114*(1-VLOOKUP($A115,[1]Hugst!$R$5:$W$9,MATCH(ROUNDUP((G$1)/10,0)*10,[1]Hugst!$R$4:$W$4,0))))</f>
        <v>574.03592352740202</v>
      </c>
      <c r="H115">
        <f ca="1">IF($C115-H$1&lt;År1,0,G114*(1-VLOOKUP($A115,[1]Hugst!$R$5:$W$9,MATCH(ROUNDUP((H$1)/10,0)*10,[1]Hugst!$R$4:$W$4,0))))</f>
        <v>573.93158087100005</v>
      </c>
      <c r="I115">
        <f ca="1">IF($C115-I$1&lt;År1,0,H114*(1-VLOOKUP($A115,[1]Hugst!$R$5:$W$9,MATCH(ROUNDUP((I$1)/10,0)*10,[1]Hugst!$R$4:$W$4,0))))</f>
        <v>573.82927924851742</v>
      </c>
      <c r="J115">
        <f ca="1">IF($C115-J$1&lt;År1,0,I114*(1-VLOOKUP($A115,[1]Hugst!$R$5:$W$9,MATCH(ROUNDUP((J$1)/10,0)*10,[1]Hugst!$R$4:$W$4,0))))</f>
        <v>573.72903283569781</v>
      </c>
      <c r="K115">
        <f ca="1">IF($C115-K$1&lt;År1,0,J114*(1-VLOOKUP($A115,[1]Hugst!$R$5:$W$9,MATCH(ROUNDUP((K$1)/10,0)*10,[1]Hugst!$R$4:$W$4,0))))</f>
        <v>573.6308558854555</v>
      </c>
      <c r="L115">
        <f ca="1">IF($C115-L$1&lt;År1,0,K114*(1-VLOOKUP($A115,[1]Hugst!$R$5:$W$9,MATCH(ROUNDUP((L$1)/10,0)*10,[1]Hugst!$R$4:$W$4,0))))</f>
        <v>573.53476272833154</v>
      </c>
      <c r="M115">
        <f ca="1">IF($C115-M$1&lt;År1,0,L114*(1-VLOOKUP($A115,[1]Hugst!$R$5:$W$9,MATCH(ROUNDUP((M$1)/10,0)*10,[1]Hugst!$R$4:$W$4,0))))</f>
        <v>573.44076777290206</v>
      </c>
      <c r="N115">
        <f ca="1">IF($C115-N$1&lt;År1,0,M114*(1-VLOOKUP($A115,[1]Hugst!$R$5:$W$9,MATCH(ROUNDUP((N$1)/10,0)*10,[1]Hugst!$R$4:$W$4,0))))</f>
        <v>573.34888550614346</v>
      </c>
      <c r="O115">
        <f ca="1">IF($C115-O$1&lt;År1,0,N114*(1-VLOOKUP($A115,[1]Hugst!$R$5:$W$9,MATCH(ROUNDUP((O$1)/10,0)*10,[1]Hugst!$R$4:$W$4,0))))</f>
        <v>573.25913049386804</v>
      </c>
      <c r="P115">
        <f ca="1">IF($C115-P$1&lt;År1,0,O114*(1-VLOOKUP($A115,[1]Hugst!$R$5:$W$9,MATCH(ROUNDUP((P$1)/10,0)*10,[1]Hugst!$R$4:$W$4,0))))</f>
        <v>841.58275548764084</v>
      </c>
      <c r="Q115">
        <f ca="1">IF($C115-Q$1&lt;År1,0,P114*(1-VLOOKUP($A115,[1]Hugst!$R$5:$W$9,MATCH(ROUNDUP((Q$1)/10,0)*10,[1]Hugst!$R$4:$W$4,0))))</f>
        <v>840.2137892099604</v>
      </c>
      <c r="R115">
        <f ca="1">IF($C115-R$1&lt;År1,0,Q114*(1-VLOOKUP($A115,[1]Hugst!$R$5:$W$9,MATCH(ROUNDUP((R$1)/10,0)*10,[1]Hugst!$R$4:$W$4,0))))</f>
        <v>840.14991624031575</v>
      </c>
      <c r="S115">
        <f ca="1">IF($C115-S$1&lt;År1,0,R114*(1-VLOOKUP($A115,[1]Hugst!$R$5:$W$9,MATCH(ROUNDUP((S$1)/10,0)*10,[1]Hugst!$R$4:$W$4,0))))</f>
        <v>840.09039333771329</v>
      </c>
      <c r="T115">
        <f ca="1">IF($C115-T$1&lt;År1,0,S114*(1-VLOOKUP($A115,[1]Hugst!$R$5:$W$9,MATCH(ROUNDUP((T$1)/10,0)*10,[1]Hugst!$R$4:$W$4,0))))</f>
        <v>840.03522871683504</v>
      </c>
      <c r="U115">
        <f ca="1">IF($C115-U$1&lt;År1,0,T114*(1-VLOOKUP($A115,[1]Hugst!$R$5:$W$9,MATCH(ROUNDUP((U$1)/10,0)*10,[1]Hugst!$R$4:$W$4,0))))</f>
        <v>839.98443063162404</v>
      </c>
      <c r="V115">
        <f ca="1">IF($C115-V$1&lt;År1,0,U114*(1-VLOOKUP($A115,[1]Hugst!$R$5:$W$9,MATCH(ROUNDUP((V$1)/10,0)*10,[1]Hugst!$R$4:$W$4,0))))</f>
        <v>839.93800737555011</v>
      </c>
      <c r="W115">
        <f ca="1">IF($C115-W$1&lt;År1,0,V114*(1-VLOOKUP($A115,[1]Hugst!$R$5:$W$9,MATCH(ROUNDUP((W$1)/10,0)*10,[1]Hugst!$R$4:$W$4,0))))</f>
        <v>839.8959672815887</v>
      </c>
      <c r="X115">
        <f ca="1">IF($C115-X$1&lt;År1,0,W114*(1-VLOOKUP($A115,[1]Hugst!$R$5:$W$9,MATCH(ROUNDUP((X$1)/10,0)*10,[1]Hugst!$R$4:$W$4,0))))</f>
        <v>839.85831872245728</v>
      </c>
      <c r="Y115">
        <f ca="1">IF($C115-Y$1&lt;År1,0,X114*(1-VLOOKUP($A115,[1]Hugst!$R$5:$W$9,MATCH(ROUNDUP((Y$1)/10,0)*10,[1]Hugst!$R$4:$W$4,0))))</f>
        <v>839.82507011064297</v>
      </c>
      <c r="Z115">
        <f ca="1">IF($C115-Z$1&lt;År1,0,Y114*(1-VLOOKUP($A115,[1]Hugst!$R$5:$W$9,MATCH(ROUNDUP((Z$1)/10,0)*10,[1]Hugst!$R$4:$W$4,0))))</f>
        <v>839.61803514603218</v>
      </c>
      <c r="AA115">
        <f>IF($C115-AA$1&lt;År1,0,Z114*(1-VLOOKUP($A115,[1]Hugst!$R$5:$W$9,MATCH(ROUNDUP((AA$1)/10,0)*10,[1]Hugst!$R$4:$W$4,0))))</f>
        <v>0</v>
      </c>
      <c r="AB115">
        <f>IF($C115-AB$1&lt;År1,0,AA114*(1-VLOOKUP($A115,[1]Hugst!$R$5:$W$9,MATCH(ROUNDUP((AB$1)/10,0)*10,[1]Hugst!$R$4:$W$4,0))))</f>
        <v>0</v>
      </c>
      <c r="AC115">
        <f>IF($C115-AC$1&lt;År1,0,AB114*(1-VLOOKUP($A115,[1]Hugst!$R$5:$W$9,MATCH(ROUNDUP((AC$1)/10,0)*10,[1]Hugst!$R$4:$W$4,0))))</f>
        <v>0</v>
      </c>
      <c r="AD115">
        <f>IF($C115-AD$1&lt;År1,0,AC114*(1-VLOOKUP($A115,[1]Hugst!$R$5:$W$9,MATCH(ROUNDUP((AD$1)/10,0)*10,[1]Hugst!$R$4:$W$4,0))))</f>
        <v>0</v>
      </c>
      <c r="AE115">
        <f>IF($C115-AE$1&lt;År1,0,AD114*(1-VLOOKUP($A115,[1]Hugst!$R$5:$W$9,MATCH(ROUNDUP((AE$1)/10,0)*10,[1]Hugst!$R$4:$W$4,0))))</f>
        <v>0</v>
      </c>
      <c r="AF115">
        <f>IF($C115-AF$1&lt;År1,0,AE114*(1-VLOOKUP($A115,[1]Hugst!$R$5:$W$9,MATCH(ROUNDUP((AF$1)/10,0)*10,[1]Hugst!$R$4:$W$4,0))))</f>
        <v>0</v>
      </c>
      <c r="AG115">
        <f>IF($C115-AG$1&lt;År1,0,AF114*(1-VLOOKUP($A115,[1]Hugst!$R$5:$W$9,MATCH(ROUNDUP((AG$1)/10,0)*10,[1]Hugst!$R$4:$W$4,0))))</f>
        <v>0</v>
      </c>
      <c r="AH115">
        <f>IF($C115-AH$1&lt;År1,0,AG114*(1-VLOOKUP($A115,[1]Hugst!$R$5:$W$9,MATCH(ROUNDUP((AH$1)/10,0)*10,[1]Hugst!$R$4:$W$4,0))))</f>
        <v>0</v>
      </c>
      <c r="AI115">
        <f>IF($C115-AI$1&lt;År1,0,AH114*(1-VLOOKUP($A115,[1]Hugst!$R$5:$W$9,MATCH(ROUNDUP((AI$1)/10,0)*10,[1]Hugst!$R$4:$W$4,0))))</f>
        <v>0</v>
      </c>
      <c r="AJ115">
        <f>IF($C115-AJ$1&lt;År1,0,AI114*(1-VLOOKUP($A115,[1]Hugst!$R$5:$W$9,MATCH(ROUNDUP((AJ$1)/10,0)*10,[1]Hugst!$R$4:$W$4,0))))</f>
        <v>0</v>
      </c>
    </row>
    <row r="116" spans="1:38" x14ac:dyDescent="0.25">
      <c r="A116" t="s">
        <v>177</v>
      </c>
      <c r="B116" t="s">
        <v>24</v>
      </c>
      <c r="C116">
        <v>2041</v>
      </c>
      <c r="D116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229.24412816716904</v>
      </c>
      <c r="E116">
        <f t="shared" ca="1" si="2"/>
        <v>15.327010723114654</v>
      </c>
      <c r="F116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574.20076851991348</v>
      </c>
      <c r="G116">
        <f ca="1">IF($C116-G$1&lt;År1,0,F115*(1-VLOOKUP($A116,[1]Hugst!$R$5:$W$9,MATCH(ROUNDUP((G$1)/10,0)*10,[1]Hugst!$R$4:$W$4,0))))</f>
        <v>574.32247509989452</v>
      </c>
      <c r="H116">
        <f ca="1">IF($C116-H$1&lt;År1,0,G115*(1-VLOOKUP($A116,[1]Hugst!$R$5:$W$9,MATCH(ROUNDUP((H$1)/10,0)*10,[1]Hugst!$R$4:$W$4,0))))</f>
        <v>574.03592352740202</v>
      </c>
      <c r="I116">
        <f ca="1">IF($C116-I$1&lt;År1,0,H115*(1-VLOOKUP($A116,[1]Hugst!$R$5:$W$9,MATCH(ROUNDUP((I$1)/10,0)*10,[1]Hugst!$R$4:$W$4,0))))</f>
        <v>573.93158087100005</v>
      </c>
      <c r="J116">
        <f ca="1">IF($C116-J$1&lt;År1,0,I115*(1-VLOOKUP($A116,[1]Hugst!$R$5:$W$9,MATCH(ROUNDUP((J$1)/10,0)*10,[1]Hugst!$R$4:$W$4,0))))</f>
        <v>573.82927924851742</v>
      </c>
      <c r="K116">
        <f ca="1">IF($C116-K$1&lt;År1,0,J115*(1-VLOOKUP($A116,[1]Hugst!$R$5:$W$9,MATCH(ROUNDUP((K$1)/10,0)*10,[1]Hugst!$R$4:$W$4,0))))</f>
        <v>573.72903283569781</v>
      </c>
      <c r="L116">
        <f ca="1">IF($C116-L$1&lt;År1,0,K115*(1-VLOOKUP($A116,[1]Hugst!$R$5:$W$9,MATCH(ROUNDUP((L$1)/10,0)*10,[1]Hugst!$R$4:$W$4,0))))</f>
        <v>573.6308558854555</v>
      </c>
      <c r="M116">
        <f ca="1">IF($C116-M$1&lt;År1,0,L115*(1-VLOOKUP($A116,[1]Hugst!$R$5:$W$9,MATCH(ROUNDUP((M$1)/10,0)*10,[1]Hugst!$R$4:$W$4,0))))</f>
        <v>573.53476272833154</v>
      </c>
      <c r="N116">
        <f ca="1">IF($C116-N$1&lt;År1,0,M115*(1-VLOOKUP($A116,[1]Hugst!$R$5:$W$9,MATCH(ROUNDUP((N$1)/10,0)*10,[1]Hugst!$R$4:$W$4,0))))</f>
        <v>573.44076777290206</v>
      </c>
      <c r="O116">
        <f ca="1">IF($C116-O$1&lt;År1,0,N115*(1-VLOOKUP($A116,[1]Hugst!$R$5:$W$9,MATCH(ROUNDUP((O$1)/10,0)*10,[1]Hugst!$R$4:$W$4,0))))</f>
        <v>573.34888550614346</v>
      </c>
      <c r="P116">
        <f ca="1">IF($C116-P$1&lt;År1,0,O115*(1-VLOOKUP($A116,[1]Hugst!$R$5:$W$9,MATCH(ROUNDUP((P$1)/10,0)*10,[1]Hugst!$R$4:$W$4,0))))</f>
        <v>572.3846674134536</v>
      </c>
      <c r="Q116">
        <f ca="1">IF($C116-Q$1&lt;År1,0,P115*(1-VLOOKUP($A116,[1]Hugst!$R$5:$W$9,MATCH(ROUNDUP((Q$1)/10,0)*10,[1]Hugst!$R$4:$W$4,0))))</f>
        <v>840.29898518265964</v>
      </c>
      <c r="R116">
        <f ca="1">IF($C116-R$1&lt;År1,0,Q115*(1-VLOOKUP($A116,[1]Hugst!$R$5:$W$9,MATCH(ROUNDUP((R$1)/10,0)*10,[1]Hugst!$R$4:$W$4,0))))</f>
        <v>838.93210715862313</v>
      </c>
      <c r="S116">
        <f ca="1">IF($C116-S$1&lt;År1,0,R115*(1-VLOOKUP($A116,[1]Hugst!$R$5:$W$9,MATCH(ROUNDUP((S$1)/10,0)*10,[1]Hugst!$R$4:$W$4,0))))</f>
        <v>838.86833162232199</v>
      </c>
      <c r="T116">
        <f ca="1">IF($C116-T$1&lt;År1,0,S115*(1-VLOOKUP($A116,[1]Hugst!$R$5:$W$9,MATCH(ROUNDUP((T$1)/10,0)*10,[1]Hugst!$R$4:$W$4,0))))</f>
        <v>838.80889951736765</v>
      </c>
      <c r="U116">
        <f ca="1">IF($C116-U$1&lt;År1,0,T115*(1-VLOOKUP($A116,[1]Hugst!$R$5:$W$9,MATCH(ROUNDUP((U$1)/10,0)*10,[1]Hugst!$R$4:$W$4,0))))</f>
        <v>838.75381904591097</v>
      </c>
      <c r="V116">
        <f ca="1">IF($C116-V$1&lt;År1,0,U115*(1-VLOOKUP($A116,[1]Hugst!$R$5:$W$9,MATCH(ROUNDUP((V$1)/10,0)*10,[1]Hugst!$R$4:$W$4,0))))</f>
        <v>838.70309844930455</v>
      </c>
      <c r="W116">
        <f ca="1">IF($C116-W$1&lt;År1,0,V115*(1-VLOOKUP($A116,[1]Hugst!$R$5:$W$9,MATCH(ROUNDUP((W$1)/10,0)*10,[1]Hugst!$R$4:$W$4,0))))</f>
        <v>838.65674600836701</v>
      </c>
      <c r="X116">
        <f ca="1">IF($C116-X$1&lt;År1,0,W115*(1-VLOOKUP($A116,[1]Hugst!$R$5:$W$9,MATCH(ROUNDUP((X$1)/10,0)*10,[1]Hugst!$R$4:$W$4,0))))</f>
        <v>838.61477004336257</v>
      </c>
      <c r="Y116">
        <f ca="1">IF($C116-Y$1&lt;År1,0,X115*(1-VLOOKUP($A116,[1]Hugst!$R$5:$W$9,MATCH(ROUNDUP((Y$1)/10,0)*10,[1]Hugst!$R$4:$W$4,0))))</f>
        <v>838.57717891423658</v>
      </c>
      <c r="Z116">
        <f ca="1">IF($C116-Z$1&lt;År1,0,Y115*(1-VLOOKUP($A116,[1]Hugst!$R$5:$W$9,MATCH(ROUNDUP((Z$1)/10,0)*10,[1]Hugst!$R$4:$W$4,0))))</f>
        <v>838.36605198036602</v>
      </c>
      <c r="AA116">
        <f ca="1">IF($C116-AA$1&lt;År1,0,Z115*(1-VLOOKUP($A116,[1]Hugst!$R$5:$W$9,MATCH(ROUNDUP((AA$1)/10,0)*10,[1]Hugst!$R$4:$W$4,0))))</f>
        <v>838.1593766951429</v>
      </c>
      <c r="AB116">
        <f>IF($C116-AB$1&lt;År1,0,AA115*(1-VLOOKUP($A116,[1]Hugst!$R$5:$W$9,MATCH(ROUNDUP((AB$1)/10,0)*10,[1]Hugst!$R$4:$W$4,0))))</f>
        <v>0</v>
      </c>
      <c r="AC116">
        <f>IF($C116-AC$1&lt;År1,0,AB115*(1-VLOOKUP($A116,[1]Hugst!$R$5:$W$9,MATCH(ROUNDUP((AC$1)/10,0)*10,[1]Hugst!$R$4:$W$4,0))))</f>
        <v>0</v>
      </c>
      <c r="AD116">
        <f>IF($C116-AD$1&lt;År1,0,AC115*(1-VLOOKUP($A116,[1]Hugst!$R$5:$W$9,MATCH(ROUNDUP((AD$1)/10,0)*10,[1]Hugst!$R$4:$W$4,0))))</f>
        <v>0</v>
      </c>
      <c r="AE116">
        <f>IF($C116-AE$1&lt;År1,0,AD115*(1-VLOOKUP($A116,[1]Hugst!$R$5:$W$9,MATCH(ROUNDUP((AE$1)/10,0)*10,[1]Hugst!$R$4:$W$4,0))))</f>
        <v>0</v>
      </c>
      <c r="AF116">
        <f>IF($C116-AF$1&lt;År1,0,AE115*(1-VLOOKUP($A116,[1]Hugst!$R$5:$W$9,MATCH(ROUNDUP((AF$1)/10,0)*10,[1]Hugst!$R$4:$W$4,0))))</f>
        <v>0</v>
      </c>
      <c r="AG116">
        <f>IF($C116-AG$1&lt;År1,0,AF115*(1-VLOOKUP($A116,[1]Hugst!$R$5:$W$9,MATCH(ROUNDUP((AG$1)/10,0)*10,[1]Hugst!$R$4:$W$4,0))))</f>
        <v>0</v>
      </c>
      <c r="AH116">
        <f>IF($C116-AH$1&lt;År1,0,AG115*(1-VLOOKUP($A116,[1]Hugst!$R$5:$W$9,MATCH(ROUNDUP((AH$1)/10,0)*10,[1]Hugst!$R$4:$W$4,0))))</f>
        <v>0</v>
      </c>
      <c r="AI116">
        <f>IF($C116-AI$1&lt;År1,0,AH115*(1-VLOOKUP($A116,[1]Hugst!$R$5:$W$9,MATCH(ROUNDUP((AI$1)/10,0)*10,[1]Hugst!$R$4:$W$4,0))))</f>
        <v>0</v>
      </c>
      <c r="AJ116">
        <f>IF($C116-AJ$1&lt;År1,0,AI115*(1-VLOOKUP($A116,[1]Hugst!$R$5:$W$9,MATCH(ROUNDUP((AJ$1)/10,0)*10,[1]Hugst!$R$4:$W$4,0))))</f>
        <v>0</v>
      </c>
    </row>
    <row r="117" spans="1:38" x14ac:dyDescent="0.25">
      <c r="A117" t="s">
        <v>177</v>
      </c>
      <c r="B117" t="s">
        <v>24</v>
      </c>
      <c r="C117">
        <v>2042</v>
      </c>
      <c r="D117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228.09790752633126</v>
      </c>
      <c r="E117">
        <f t="shared" ca="1" si="2"/>
        <v>16.355277036831467</v>
      </c>
      <c r="F117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574.08281419279251</v>
      </c>
      <c r="G117">
        <f ca="1">IF($C117-G$1&lt;År1,0,F116*(1-VLOOKUP($A117,[1]Hugst!$R$5:$W$9,MATCH(ROUNDUP((G$1)/10,0)*10,[1]Hugst!$R$4:$W$4,0))))</f>
        <v>574.20076851991348</v>
      </c>
      <c r="H117">
        <f ca="1">IF($C117-H$1&lt;År1,0,G116*(1-VLOOKUP($A117,[1]Hugst!$R$5:$W$9,MATCH(ROUNDUP((H$1)/10,0)*10,[1]Hugst!$R$4:$W$4,0))))</f>
        <v>574.32247509989452</v>
      </c>
      <c r="I117">
        <f ca="1">IF($C117-I$1&lt;År1,0,H116*(1-VLOOKUP($A117,[1]Hugst!$R$5:$W$9,MATCH(ROUNDUP((I$1)/10,0)*10,[1]Hugst!$R$4:$W$4,0))))</f>
        <v>574.03592352740202</v>
      </c>
      <c r="J117">
        <f ca="1">IF($C117-J$1&lt;År1,0,I116*(1-VLOOKUP($A117,[1]Hugst!$R$5:$W$9,MATCH(ROUNDUP((J$1)/10,0)*10,[1]Hugst!$R$4:$W$4,0))))</f>
        <v>573.93158087100005</v>
      </c>
      <c r="K117">
        <f ca="1">IF($C117-K$1&lt;År1,0,J116*(1-VLOOKUP($A117,[1]Hugst!$R$5:$W$9,MATCH(ROUNDUP((K$1)/10,0)*10,[1]Hugst!$R$4:$W$4,0))))</f>
        <v>573.82927924851742</v>
      </c>
      <c r="L117">
        <f ca="1">IF($C117-L$1&lt;År1,0,K116*(1-VLOOKUP($A117,[1]Hugst!$R$5:$W$9,MATCH(ROUNDUP((L$1)/10,0)*10,[1]Hugst!$R$4:$W$4,0))))</f>
        <v>573.72903283569781</v>
      </c>
      <c r="M117">
        <f ca="1">IF($C117-M$1&lt;År1,0,L116*(1-VLOOKUP($A117,[1]Hugst!$R$5:$W$9,MATCH(ROUNDUP((M$1)/10,0)*10,[1]Hugst!$R$4:$W$4,0))))</f>
        <v>573.6308558854555</v>
      </c>
      <c r="N117">
        <f ca="1">IF($C117-N$1&lt;År1,0,M116*(1-VLOOKUP($A117,[1]Hugst!$R$5:$W$9,MATCH(ROUNDUP((N$1)/10,0)*10,[1]Hugst!$R$4:$W$4,0))))</f>
        <v>573.53476272833154</v>
      </c>
      <c r="O117">
        <f ca="1">IF($C117-O$1&lt;År1,0,N116*(1-VLOOKUP($A117,[1]Hugst!$R$5:$W$9,MATCH(ROUNDUP((O$1)/10,0)*10,[1]Hugst!$R$4:$W$4,0))))</f>
        <v>573.44076777290206</v>
      </c>
      <c r="P117">
        <f ca="1">IF($C117-P$1&lt;År1,0,O116*(1-VLOOKUP($A117,[1]Hugst!$R$5:$W$9,MATCH(ROUNDUP((P$1)/10,0)*10,[1]Hugst!$R$4:$W$4,0))))</f>
        <v>572.47428551130361</v>
      </c>
      <c r="Q117">
        <f ca="1">IF($C117-Q$1&lt;År1,0,P116*(1-VLOOKUP($A117,[1]Hugst!$R$5:$W$9,MATCH(ROUNDUP((Q$1)/10,0)*10,[1]Hugst!$R$4:$W$4,0))))</f>
        <v>571.51153825977201</v>
      </c>
      <c r="R117">
        <f ca="1">IF($C117-R$1&lt;År1,0,Q116*(1-VLOOKUP($A117,[1]Hugst!$R$5:$W$9,MATCH(ROUNDUP((R$1)/10,0)*10,[1]Hugst!$R$4:$W$4,0))))</f>
        <v>839.01717317136399</v>
      </c>
      <c r="S117">
        <f ca="1">IF($C117-S$1&lt;År1,0,R116*(1-VLOOKUP($A117,[1]Hugst!$R$5:$W$9,MATCH(ROUNDUP((S$1)/10,0)*10,[1]Hugst!$R$4:$W$4,0))))</f>
        <v>837.65238021549976</v>
      </c>
      <c r="T117">
        <f ca="1">IF($C117-T$1&lt;År1,0,S116*(1-VLOOKUP($A117,[1]Hugst!$R$5:$W$9,MATCH(ROUNDUP((T$1)/10,0)*10,[1]Hugst!$R$4:$W$4,0))))</f>
        <v>837.58870196391501</v>
      </c>
      <c r="U117">
        <f ca="1">IF($C117-U$1&lt;År1,0,T116*(1-VLOOKUP($A117,[1]Hugst!$R$5:$W$9,MATCH(ROUNDUP((U$1)/10,0)*10,[1]Hugst!$R$4:$W$4,0))))</f>
        <v>837.52936051810389</v>
      </c>
      <c r="V117">
        <f ca="1">IF($C117-V$1&lt;År1,0,U116*(1-VLOOKUP($A117,[1]Hugst!$R$5:$W$9,MATCH(ROUNDUP((V$1)/10,0)*10,[1]Hugst!$R$4:$W$4,0))))</f>
        <v>837.47436406770532</v>
      </c>
      <c r="W117">
        <f ca="1">IF($C117-W$1&lt;År1,0,V116*(1-VLOOKUP($A117,[1]Hugst!$R$5:$W$9,MATCH(ROUNDUP((W$1)/10,0)*10,[1]Hugst!$R$4:$W$4,0))))</f>
        <v>837.42372084150054</v>
      </c>
      <c r="X117">
        <f ca="1">IF($C117-X$1&lt;År1,0,W116*(1-VLOOKUP($A117,[1]Hugst!$R$5:$W$9,MATCH(ROUNDUP((X$1)/10,0)*10,[1]Hugst!$R$4:$W$4,0))))</f>
        <v>837.37743910767631</v>
      </c>
      <c r="Y117">
        <f ca="1">IF($C117-Y$1&lt;År1,0,X116*(1-VLOOKUP($A117,[1]Hugst!$R$5:$W$9,MATCH(ROUNDUP((Y$1)/10,0)*10,[1]Hugst!$R$4:$W$4,0))))</f>
        <v>837.33552717380485</v>
      </c>
      <c r="Z117">
        <f ca="1">IF($C117-Z$1&lt;År1,0,Y116*(1-VLOOKUP($A117,[1]Hugst!$R$5:$W$9,MATCH(ROUNDUP((Z$1)/10,0)*10,[1]Hugst!$R$4:$W$4,0))))</f>
        <v>837.12032873052965</v>
      </c>
      <c r="AA117">
        <f ca="1">IF($C117-AA$1&lt;År1,0,Z116*(1-VLOOKUP($A117,[1]Hugst!$R$5:$W$9,MATCH(ROUNDUP((AA$1)/10,0)*10,[1]Hugst!$R$4:$W$4,0))))</f>
        <v>836.90956858497634</v>
      </c>
      <c r="AB117">
        <f ca="1">IF($C117-AB$1&lt;År1,0,AA116*(1-VLOOKUP($A117,[1]Hugst!$R$5:$W$9,MATCH(ROUNDUP((AB$1)/10,0)*10,[1]Hugst!$R$4:$W$4,0))))</f>
        <v>836.70325235427413</v>
      </c>
      <c r="AC117">
        <f>IF($C117-AC$1&lt;År1,0,AB116*(1-VLOOKUP($A117,[1]Hugst!$R$5:$W$9,MATCH(ROUNDUP((AC$1)/10,0)*10,[1]Hugst!$R$4:$W$4,0))))</f>
        <v>0</v>
      </c>
      <c r="AD117">
        <f>IF($C117-AD$1&lt;År1,0,AC116*(1-VLOOKUP($A117,[1]Hugst!$R$5:$W$9,MATCH(ROUNDUP((AD$1)/10,0)*10,[1]Hugst!$R$4:$W$4,0))))</f>
        <v>0</v>
      </c>
      <c r="AE117">
        <f>IF($C117-AE$1&lt;År1,0,AD116*(1-VLOOKUP($A117,[1]Hugst!$R$5:$W$9,MATCH(ROUNDUP((AE$1)/10,0)*10,[1]Hugst!$R$4:$W$4,0))))</f>
        <v>0</v>
      </c>
      <c r="AF117">
        <f>IF($C117-AF$1&lt;År1,0,AE116*(1-VLOOKUP($A117,[1]Hugst!$R$5:$W$9,MATCH(ROUNDUP((AF$1)/10,0)*10,[1]Hugst!$R$4:$W$4,0))))</f>
        <v>0</v>
      </c>
      <c r="AG117">
        <f>IF($C117-AG$1&lt;År1,0,AF116*(1-VLOOKUP($A117,[1]Hugst!$R$5:$W$9,MATCH(ROUNDUP((AG$1)/10,0)*10,[1]Hugst!$R$4:$W$4,0))))</f>
        <v>0</v>
      </c>
      <c r="AH117">
        <f>IF($C117-AH$1&lt;År1,0,AG116*(1-VLOOKUP($A117,[1]Hugst!$R$5:$W$9,MATCH(ROUNDUP((AH$1)/10,0)*10,[1]Hugst!$R$4:$W$4,0))))</f>
        <v>0</v>
      </c>
      <c r="AI117">
        <f>IF($C117-AI$1&lt;År1,0,AH116*(1-VLOOKUP($A117,[1]Hugst!$R$5:$W$9,MATCH(ROUNDUP((AI$1)/10,0)*10,[1]Hugst!$R$4:$W$4,0))))</f>
        <v>0</v>
      </c>
      <c r="AJ117">
        <f>IF($C117-AJ$1&lt;År1,0,AI116*(1-VLOOKUP($A117,[1]Hugst!$R$5:$W$9,MATCH(ROUNDUP((AJ$1)/10,0)*10,[1]Hugst!$R$4:$W$4,0))))</f>
        <v>0</v>
      </c>
    </row>
    <row r="118" spans="1:38" x14ac:dyDescent="0.25">
      <c r="A118" t="s">
        <v>177</v>
      </c>
      <c r="B118" t="s">
        <v>24</v>
      </c>
      <c r="C118">
        <v>2043</v>
      </c>
      <c r="D11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226.95741798870131</v>
      </c>
      <c r="E118">
        <f t="shared" ca="1" si="2"/>
        <v>17.381544325515279</v>
      </c>
      <c r="F11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573.96859194384638</v>
      </c>
      <c r="G118">
        <f ca="1">IF($C118-G$1&lt;År1,0,F117*(1-VLOOKUP($A118,[1]Hugst!$R$5:$W$9,MATCH(ROUNDUP((G$1)/10,0)*10,[1]Hugst!$R$4:$W$4,0))))</f>
        <v>574.08281419279251</v>
      </c>
      <c r="H118">
        <f ca="1">IF($C118-H$1&lt;År1,0,G117*(1-VLOOKUP($A118,[1]Hugst!$R$5:$W$9,MATCH(ROUNDUP((H$1)/10,0)*10,[1]Hugst!$R$4:$W$4,0))))</f>
        <v>574.20076851991348</v>
      </c>
      <c r="I118">
        <f ca="1">IF($C118-I$1&lt;År1,0,H117*(1-VLOOKUP($A118,[1]Hugst!$R$5:$W$9,MATCH(ROUNDUP((I$1)/10,0)*10,[1]Hugst!$R$4:$W$4,0))))</f>
        <v>574.32247509989452</v>
      </c>
      <c r="J118">
        <f ca="1">IF($C118-J$1&lt;År1,0,I117*(1-VLOOKUP($A118,[1]Hugst!$R$5:$W$9,MATCH(ROUNDUP((J$1)/10,0)*10,[1]Hugst!$R$4:$W$4,0))))</f>
        <v>574.03592352740202</v>
      </c>
      <c r="K118">
        <f ca="1">IF($C118-K$1&lt;År1,0,J117*(1-VLOOKUP($A118,[1]Hugst!$R$5:$W$9,MATCH(ROUNDUP((K$1)/10,0)*10,[1]Hugst!$R$4:$W$4,0))))</f>
        <v>573.93158087100005</v>
      </c>
      <c r="L118">
        <f ca="1">IF($C118-L$1&lt;År1,0,K117*(1-VLOOKUP($A118,[1]Hugst!$R$5:$W$9,MATCH(ROUNDUP((L$1)/10,0)*10,[1]Hugst!$R$4:$W$4,0))))</f>
        <v>573.82927924851742</v>
      </c>
      <c r="M118">
        <f ca="1">IF($C118-M$1&lt;År1,0,L117*(1-VLOOKUP($A118,[1]Hugst!$R$5:$W$9,MATCH(ROUNDUP((M$1)/10,0)*10,[1]Hugst!$R$4:$W$4,0))))</f>
        <v>573.72903283569781</v>
      </c>
      <c r="N118">
        <f ca="1">IF($C118-N$1&lt;År1,0,M117*(1-VLOOKUP($A118,[1]Hugst!$R$5:$W$9,MATCH(ROUNDUP((N$1)/10,0)*10,[1]Hugst!$R$4:$W$4,0))))</f>
        <v>573.6308558854555</v>
      </c>
      <c r="O118">
        <f ca="1">IF($C118-O$1&lt;År1,0,N117*(1-VLOOKUP($A118,[1]Hugst!$R$5:$W$9,MATCH(ROUNDUP((O$1)/10,0)*10,[1]Hugst!$R$4:$W$4,0))))</f>
        <v>573.53476272833154</v>
      </c>
      <c r="P118">
        <f ca="1">IF($C118-P$1&lt;År1,0,O117*(1-VLOOKUP($A118,[1]Hugst!$R$5:$W$9,MATCH(ROUNDUP((P$1)/10,0)*10,[1]Hugst!$R$4:$W$4,0))))</f>
        <v>572.56602761867225</v>
      </c>
      <c r="Q118">
        <f ca="1">IF($C118-Q$1&lt;År1,0,P117*(1-VLOOKUP($A118,[1]Hugst!$R$5:$W$9,MATCH(ROUNDUP((Q$1)/10,0)*10,[1]Hugst!$R$4:$W$4,0))))</f>
        <v>571.6010196520491</v>
      </c>
      <c r="R118">
        <f ca="1">IF($C118-R$1&lt;År1,0,Q117*(1-VLOOKUP($A118,[1]Hugst!$R$5:$W$9,MATCH(ROUNDUP((R$1)/10,0)*10,[1]Hugst!$R$4:$W$4,0))))</f>
        <v>570.63974099801976</v>
      </c>
      <c r="S118">
        <f ca="1">IF($C118-S$1&lt;År1,0,R117*(1-VLOOKUP($A118,[1]Hugst!$R$5:$W$9,MATCH(ROUNDUP((S$1)/10,0)*10,[1]Hugst!$R$4:$W$4,0))))</f>
        <v>837.73731646652629</v>
      </c>
      <c r="T118">
        <f ca="1">IF($C118-T$1&lt;År1,0,S117*(1-VLOOKUP($A118,[1]Hugst!$R$5:$W$9,MATCH(ROUNDUP((T$1)/10,0)*10,[1]Hugst!$R$4:$W$4,0))))</f>
        <v>836.37460539822189</v>
      </c>
      <c r="U118">
        <f ca="1">IF($C118-U$1&lt;År1,0,T117*(1-VLOOKUP($A118,[1]Hugst!$R$5:$W$9,MATCH(ROUNDUP((U$1)/10,0)*10,[1]Hugst!$R$4:$W$4,0))))</f>
        <v>836.3110242829531</v>
      </c>
      <c r="V118">
        <f ca="1">IF($C118-V$1&lt;År1,0,U117*(1-VLOOKUP($A118,[1]Hugst!$R$5:$W$9,MATCH(ROUNDUP((V$1)/10,0)*10,[1]Hugst!$R$4:$W$4,0))))</f>
        <v>836.25177335799151</v>
      </c>
      <c r="W118">
        <f ca="1">IF($C118-W$1&lt;År1,0,V117*(1-VLOOKUP($A118,[1]Hugst!$R$5:$W$9,MATCH(ROUNDUP((W$1)/10,0)*10,[1]Hugst!$R$4:$W$4,0))))</f>
        <v>836.19686080048336</v>
      </c>
      <c r="X118">
        <f ca="1">IF($C118-X$1&lt;År1,0,W117*(1-VLOOKUP($A118,[1]Hugst!$R$5:$W$9,MATCH(ROUNDUP((X$1)/10,0)*10,[1]Hugst!$R$4:$W$4,0))))</f>
        <v>836.14629482665759</v>
      </c>
      <c r="Y118">
        <f ca="1">IF($C118-Y$1&lt;År1,0,X117*(1-VLOOKUP($A118,[1]Hugst!$R$5:$W$9,MATCH(ROUNDUP((Y$1)/10,0)*10,[1]Hugst!$R$4:$W$4,0))))</f>
        <v>836.10008369208833</v>
      </c>
      <c r="Z118">
        <f ca="1">IF($C118-Z$1&lt;År1,0,Y117*(1-VLOOKUP($A118,[1]Hugst!$R$5:$W$9,MATCH(ROUNDUP((Z$1)/10,0)*10,[1]Hugst!$R$4:$W$4,0))))</f>
        <v>835.88083409693502</v>
      </c>
      <c r="AA118">
        <f ca="1">IF($C118-AA$1&lt;År1,0,Z117*(1-VLOOKUP($A118,[1]Hugst!$R$5:$W$9,MATCH(ROUNDUP((AA$1)/10,0)*10,[1]Hugst!$R$4:$W$4,0))))</f>
        <v>835.66600951536213</v>
      </c>
      <c r="AB118">
        <f ca="1">IF($C118-AB$1&lt;År1,0,AA117*(1-VLOOKUP($A118,[1]Hugst!$R$5:$W$9,MATCH(ROUNDUP((AB$1)/10,0)*10,[1]Hugst!$R$4:$W$4,0))))</f>
        <v>835.45561552090919</v>
      </c>
      <c r="AC118">
        <f ca="1">IF($C118-AC$1&lt;År1,0,AB117*(1-VLOOKUP($A118,[1]Hugst!$R$5:$W$9,MATCH(ROUNDUP((AC$1)/10,0)*10,[1]Hugst!$R$4:$W$4,0))))</f>
        <v>835.24965772094674</v>
      </c>
      <c r="AD118">
        <f>IF($C118-AD$1&lt;År1,0,AC117*(1-VLOOKUP($A118,[1]Hugst!$R$5:$W$9,MATCH(ROUNDUP((AD$1)/10,0)*10,[1]Hugst!$R$4:$W$4,0))))</f>
        <v>0</v>
      </c>
      <c r="AE118">
        <f>IF($C118-AE$1&lt;År1,0,AD117*(1-VLOOKUP($A118,[1]Hugst!$R$5:$W$9,MATCH(ROUNDUP((AE$1)/10,0)*10,[1]Hugst!$R$4:$W$4,0))))</f>
        <v>0</v>
      </c>
      <c r="AF118">
        <f>IF($C118-AF$1&lt;År1,0,AE117*(1-VLOOKUP($A118,[1]Hugst!$R$5:$W$9,MATCH(ROUNDUP((AF$1)/10,0)*10,[1]Hugst!$R$4:$W$4,0))))</f>
        <v>0</v>
      </c>
      <c r="AG118">
        <f>IF($C118-AG$1&lt;År1,0,AF117*(1-VLOOKUP($A118,[1]Hugst!$R$5:$W$9,MATCH(ROUNDUP((AG$1)/10,0)*10,[1]Hugst!$R$4:$W$4,0))))</f>
        <v>0</v>
      </c>
      <c r="AH118">
        <f>IF($C118-AH$1&lt;År1,0,AG117*(1-VLOOKUP($A118,[1]Hugst!$R$5:$W$9,MATCH(ROUNDUP((AH$1)/10,0)*10,[1]Hugst!$R$4:$W$4,0))))</f>
        <v>0</v>
      </c>
      <c r="AI118">
        <f>IF($C118-AI$1&lt;År1,0,AH117*(1-VLOOKUP($A118,[1]Hugst!$R$5:$W$9,MATCH(ROUNDUP((AI$1)/10,0)*10,[1]Hugst!$R$4:$W$4,0))))</f>
        <v>0</v>
      </c>
      <c r="AJ118">
        <f>IF($C118-AJ$1&lt;År1,0,AI117*(1-VLOOKUP($A118,[1]Hugst!$R$5:$W$9,MATCH(ROUNDUP((AJ$1)/10,0)*10,[1]Hugst!$R$4:$W$4,0))))</f>
        <v>0</v>
      </c>
    </row>
    <row r="119" spans="1:38" x14ac:dyDescent="0.25">
      <c r="A119" t="s">
        <v>177</v>
      </c>
      <c r="B119" t="s">
        <v>24</v>
      </c>
      <c r="C119">
        <v>2044</v>
      </c>
      <c r="D119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225.82263089875323</v>
      </c>
      <c r="E119">
        <f t="shared" ca="1" si="2"/>
        <v>18.405821167925751</v>
      </c>
      <c r="F11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573.85808169630877</v>
      </c>
      <c r="G119">
        <f ca="1">IF($C119-G$1&lt;År1,0,F118*(1-VLOOKUP($A119,[1]Hugst!$R$5:$W$9,MATCH(ROUNDUP((G$1)/10,0)*10,[1]Hugst!$R$4:$W$4,0))))</f>
        <v>573.96859194384638</v>
      </c>
      <c r="H119">
        <f ca="1">IF($C119-H$1&lt;År1,0,G118*(1-VLOOKUP($A119,[1]Hugst!$R$5:$W$9,MATCH(ROUNDUP((H$1)/10,0)*10,[1]Hugst!$R$4:$W$4,0))))</f>
        <v>574.08281419279251</v>
      </c>
      <c r="I119">
        <f ca="1">IF($C119-I$1&lt;År1,0,H118*(1-VLOOKUP($A119,[1]Hugst!$R$5:$W$9,MATCH(ROUNDUP((I$1)/10,0)*10,[1]Hugst!$R$4:$W$4,0))))</f>
        <v>574.20076851991348</v>
      </c>
      <c r="J119">
        <f ca="1">IF($C119-J$1&lt;År1,0,I118*(1-VLOOKUP($A119,[1]Hugst!$R$5:$W$9,MATCH(ROUNDUP((J$1)/10,0)*10,[1]Hugst!$R$4:$W$4,0))))</f>
        <v>574.32247509989452</v>
      </c>
      <c r="K119">
        <f ca="1">IF($C119-K$1&lt;År1,0,J118*(1-VLOOKUP($A119,[1]Hugst!$R$5:$W$9,MATCH(ROUNDUP((K$1)/10,0)*10,[1]Hugst!$R$4:$W$4,0))))</f>
        <v>574.03592352740202</v>
      </c>
      <c r="L119">
        <f ca="1">IF($C119-L$1&lt;År1,0,K118*(1-VLOOKUP($A119,[1]Hugst!$R$5:$W$9,MATCH(ROUNDUP((L$1)/10,0)*10,[1]Hugst!$R$4:$W$4,0))))</f>
        <v>573.93158087100005</v>
      </c>
      <c r="M119">
        <f ca="1">IF($C119-M$1&lt;År1,0,L118*(1-VLOOKUP($A119,[1]Hugst!$R$5:$W$9,MATCH(ROUNDUP((M$1)/10,0)*10,[1]Hugst!$R$4:$W$4,0))))</f>
        <v>573.82927924851742</v>
      </c>
      <c r="N119">
        <f ca="1">IF($C119-N$1&lt;År1,0,M118*(1-VLOOKUP($A119,[1]Hugst!$R$5:$W$9,MATCH(ROUNDUP((N$1)/10,0)*10,[1]Hugst!$R$4:$W$4,0))))</f>
        <v>573.72903283569781</v>
      </c>
      <c r="O119">
        <f ca="1">IF($C119-O$1&lt;År1,0,N118*(1-VLOOKUP($A119,[1]Hugst!$R$5:$W$9,MATCH(ROUNDUP((O$1)/10,0)*10,[1]Hugst!$R$4:$W$4,0))))</f>
        <v>573.6308558854555</v>
      </c>
      <c r="P119">
        <f ca="1">IF($C119-P$1&lt;År1,0,O118*(1-VLOOKUP($A119,[1]Hugst!$R$5:$W$9,MATCH(ROUNDUP((P$1)/10,0)*10,[1]Hugst!$R$4:$W$4,0))))</f>
        <v>572.6598791919663</v>
      </c>
      <c r="Q119">
        <f ca="1">IF($C119-Q$1&lt;År1,0,P118*(1-VLOOKUP($A119,[1]Hugst!$R$5:$W$9,MATCH(ROUNDUP((Q$1)/10,0)*10,[1]Hugst!$R$4:$W$4,0))))</f>
        <v>571.69262181383021</v>
      </c>
      <c r="R119">
        <f ca="1">IF($C119-R$1&lt;År1,0,Q118*(1-VLOOKUP($A119,[1]Hugst!$R$5:$W$9,MATCH(ROUNDUP((R$1)/10,0)*10,[1]Hugst!$R$4:$W$4,0))))</f>
        <v>570.72908589325777</v>
      </c>
      <c r="S119">
        <f ca="1">IF($C119-S$1&lt;År1,0,R118*(1-VLOOKUP($A119,[1]Hugst!$R$5:$W$9,MATCH(ROUNDUP((S$1)/10,0)*10,[1]Hugst!$R$4:$W$4,0))))</f>
        <v>569.76927359649733</v>
      </c>
      <c r="T119">
        <f ca="1">IF($C119-T$1&lt;År1,0,S118*(1-VLOOKUP($A119,[1]Hugst!$R$5:$W$9,MATCH(ROUNDUP((T$1)/10,0)*10,[1]Hugst!$R$4:$W$4,0))))</f>
        <v>836.45941208547561</v>
      </c>
      <c r="U119">
        <f ca="1">IF($C119-U$1&lt;År1,0,T118*(1-VLOOKUP($A119,[1]Hugst!$R$5:$W$9,MATCH(ROUNDUP((U$1)/10,0)*10,[1]Hugst!$R$4:$W$4,0))))</f>
        <v>835.09877972897038</v>
      </c>
      <c r="V119">
        <f ca="1">IF($C119-V$1&lt;År1,0,U118*(1-VLOOKUP($A119,[1]Hugst!$R$5:$W$9,MATCH(ROUNDUP((V$1)/10,0)*10,[1]Hugst!$R$4:$W$4,0))))</f>
        <v>835.03529560184347</v>
      </c>
      <c r="W119">
        <f ca="1">IF($C119-W$1&lt;År1,0,V118*(1-VLOOKUP($A119,[1]Hugst!$R$5:$W$9,MATCH(ROUNDUP((W$1)/10,0)*10,[1]Hugst!$R$4:$W$4,0))))</f>
        <v>834.97613505964875</v>
      </c>
      <c r="X119">
        <f ca="1">IF($C119-X$1&lt;År1,0,W118*(1-VLOOKUP($A119,[1]Hugst!$R$5:$W$9,MATCH(ROUNDUP((X$1)/10,0)*10,[1]Hugst!$R$4:$W$4,0))))</f>
        <v>834.92130626705887</v>
      </c>
      <c r="Y119">
        <f ca="1">IF($C119-Y$1&lt;År1,0,X118*(1-VLOOKUP($A119,[1]Hugst!$R$5:$W$9,MATCH(ROUNDUP((Y$1)/10,0)*10,[1]Hugst!$R$4:$W$4,0))))</f>
        <v>834.87081742776945</v>
      </c>
      <c r="Z119">
        <f ca="1">IF($C119-Z$1&lt;År1,0,Y118*(1-VLOOKUP($A119,[1]Hugst!$R$5:$W$9,MATCH(ROUNDUP((Z$1)/10,0)*10,[1]Hugst!$R$4:$W$4,0))))</f>
        <v>834.64753693652153</v>
      </c>
      <c r="AA119">
        <f ca="1">IF($C119-AA$1&lt;År1,0,Z118*(1-VLOOKUP($A119,[1]Hugst!$R$5:$W$9,MATCH(ROUNDUP((AA$1)/10,0)*10,[1]Hugst!$R$4:$W$4,0))))</f>
        <v>834.42866824108864</v>
      </c>
      <c r="AB119">
        <f ca="1">IF($C119-AB$1&lt;År1,0,AA118*(1-VLOOKUP($A119,[1]Hugst!$R$5:$W$9,MATCH(ROUNDUP((AB$1)/10,0)*10,[1]Hugst!$R$4:$W$4,0))))</f>
        <v>834.21421687171255</v>
      </c>
      <c r="AC119">
        <f ca="1">IF($C119-AC$1&lt;År1,0,AB118*(1-VLOOKUP($A119,[1]Hugst!$R$5:$W$9,MATCH(ROUNDUP((AC$1)/10,0)*10,[1]Hugst!$R$4:$W$4,0))))</f>
        <v>834.00418839224994</v>
      </c>
      <c r="AD119">
        <f ca="1">IF($C119-AD$1&lt;År1,0,AC118*(1-VLOOKUP($A119,[1]Hugst!$R$5:$W$9,MATCH(ROUNDUP((AD$1)/10,0)*10,[1]Hugst!$R$4:$W$4,0))))</f>
        <v>833.79858840032978</v>
      </c>
      <c r="AE119">
        <f>IF($C119-AE$1&lt;År1,0,AD118*(1-VLOOKUP($A119,[1]Hugst!$R$5:$W$9,MATCH(ROUNDUP((AE$1)/10,0)*10,[1]Hugst!$R$4:$W$4,0))))</f>
        <v>0</v>
      </c>
      <c r="AF119">
        <f>IF($C119-AF$1&lt;År1,0,AE118*(1-VLOOKUP($A119,[1]Hugst!$R$5:$W$9,MATCH(ROUNDUP((AF$1)/10,0)*10,[1]Hugst!$R$4:$W$4,0))))</f>
        <v>0</v>
      </c>
      <c r="AG119">
        <f>IF($C119-AG$1&lt;År1,0,AF118*(1-VLOOKUP($A119,[1]Hugst!$R$5:$W$9,MATCH(ROUNDUP((AG$1)/10,0)*10,[1]Hugst!$R$4:$W$4,0))))</f>
        <v>0</v>
      </c>
      <c r="AH119">
        <f>IF($C119-AH$1&lt;År1,0,AG118*(1-VLOOKUP($A119,[1]Hugst!$R$5:$W$9,MATCH(ROUNDUP((AH$1)/10,0)*10,[1]Hugst!$R$4:$W$4,0))))</f>
        <v>0</v>
      </c>
      <c r="AI119">
        <f>IF($C119-AI$1&lt;År1,0,AH118*(1-VLOOKUP($A119,[1]Hugst!$R$5:$W$9,MATCH(ROUNDUP((AI$1)/10,0)*10,[1]Hugst!$R$4:$W$4,0))))</f>
        <v>0</v>
      </c>
      <c r="AJ119">
        <f>IF($C119-AJ$1&lt;År1,0,AI118*(1-VLOOKUP($A119,[1]Hugst!$R$5:$W$9,MATCH(ROUNDUP((AJ$1)/10,0)*10,[1]Hugst!$R$4:$W$4,0))))</f>
        <v>0</v>
      </c>
    </row>
    <row r="120" spans="1:38" x14ac:dyDescent="0.25">
      <c r="A120" t="s">
        <v>177</v>
      </c>
      <c r="B120" t="s">
        <v>24</v>
      </c>
      <c r="C120">
        <v>2045</v>
      </c>
      <c r="D120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224.69351774426195</v>
      </c>
      <c r="E120">
        <f t="shared" ca="1" si="2"/>
        <v>19.42811609709679</v>
      </c>
      <c r="F120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573.75126347098853</v>
      </c>
      <c r="G120">
        <f ca="1">IF($C120-G$1&lt;År1,0,F119*(1-VLOOKUP($A120,[1]Hugst!$R$5:$W$9,MATCH(ROUNDUP((G$1)/10,0)*10,[1]Hugst!$R$4:$W$4,0))))</f>
        <v>573.85808169630877</v>
      </c>
      <c r="H120">
        <f ca="1">IF($C120-H$1&lt;År1,0,G119*(1-VLOOKUP($A120,[1]Hugst!$R$5:$W$9,MATCH(ROUNDUP((H$1)/10,0)*10,[1]Hugst!$R$4:$W$4,0))))</f>
        <v>573.96859194384638</v>
      </c>
      <c r="I120">
        <f ca="1">IF($C120-I$1&lt;År1,0,H119*(1-VLOOKUP($A120,[1]Hugst!$R$5:$W$9,MATCH(ROUNDUP((I$1)/10,0)*10,[1]Hugst!$R$4:$W$4,0))))</f>
        <v>574.08281419279251</v>
      </c>
      <c r="J120">
        <f ca="1">IF($C120-J$1&lt;År1,0,I119*(1-VLOOKUP($A120,[1]Hugst!$R$5:$W$9,MATCH(ROUNDUP((J$1)/10,0)*10,[1]Hugst!$R$4:$W$4,0))))</f>
        <v>574.20076851991348</v>
      </c>
      <c r="K120">
        <f ca="1">IF($C120-K$1&lt;År1,0,J119*(1-VLOOKUP($A120,[1]Hugst!$R$5:$W$9,MATCH(ROUNDUP((K$1)/10,0)*10,[1]Hugst!$R$4:$W$4,0))))</f>
        <v>574.32247509989452</v>
      </c>
      <c r="L120">
        <f ca="1">IF($C120-L$1&lt;År1,0,K119*(1-VLOOKUP($A120,[1]Hugst!$R$5:$W$9,MATCH(ROUNDUP((L$1)/10,0)*10,[1]Hugst!$R$4:$W$4,0))))</f>
        <v>574.03592352740202</v>
      </c>
      <c r="M120">
        <f ca="1">IF($C120-M$1&lt;År1,0,L119*(1-VLOOKUP($A120,[1]Hugst!$R$5:$W$9,MATCH(ROUNDUP((M$1)/10,0)*10,[1]Hugst!$R$4:$W$4,0))))</f>
        <v>573.93158087100005</v>
      </c>
      <c r="N120">
        <f ca="1">IF($C120-N$1&lt;År1,0,M119*(1-VLOOKUP($A120,[1]Hugst!$R$5:$W$9,MATCH(ROUNDUP((N$1)/10,0)*10,[1]Hugst!$R$4:$W$4,0))))</f>
        <v>573.82927924851742</v>
      </c>
      <c r="O120">
        <f ca="1">IF($C120-O$1&lt;År1,0,N119*(1-VLOOKUP($A120,[1]Hugst!$R$5:$W$9,MATCH(ROUNDUP((O$1)/10,0)*10,[1]Hugst!$R$4:$W$4,0))))</f>
        <v>573.72903283569781</v>
      </c>
      <c r="P120">
        <f ca="1">IF($C120-P$1&lt;År1,0,O119*(1-VLOOKUP($A120,[1]Hugst!$R$5:$W$9,MATCH(ROUNDUP((P$1)/10,0)*10,[1]Hugst!$R$4:$W$4,0))))</f>
        <v>572.75582576630813</v>
      </c>
      <c r="Q120">
        <f ca="1">IF($C120-Q$1&lt;År1,0,P119*(1-VLOOKUP($A120,[1]Hugst!$R$5:$W$9,MATCH(ROUNDUP((Q$1)/10,0)*10,[1]Hugst!$R$4:$W$4,0))))</f>
        <v>571.7863302237073</v>
      </c>
      <c r="R120">
        <f ca="1">IF($C120-R$1&lt;År1,0,Q119*(1-VLOOKUP($A120,[1]Hugst!$R$5:$W$9,MATCH(ROUNDUP((R$1)/10,0)*10,[1]Hugst!$R$4:$W$4,0))))</f>
        <v>570.82054832292772</v>
      </c>
      <c r="S120">
        <f ca="1">IF($C120-S$1&lt;År1,0,R119*(1-VLOOKUP($A120,[1]Hugst!$R$5:$W$9,MATCH(ROUNDUP((S$1)/10,0)*10,[1]Hugst!$R$4:$W$4,0))))</f>
        <v>569.85848220291211</v>
      </c>
      <c r="T120">
        <f ca="1">IF($C120-T$1&lt;År1,0,S119*(1-VLOOKUP($A120,[1]Hugst!$R$5:$W$9,MATCH(ROUNDUP((T$1)/10,0)*10,[1]Hugst!$R$4:$W$4,0))))</f>
        <v>568.90013402660429</v>
      </c>
      <c r="U120">
        <f ca="1">IF($C120-U$1&lt;År1,0,T119*(1-VLOOKUP($A120,[1]Hugst!$R$5:$W$9,MATCH(ROUNDUP((U$1)/10,0)*10,[1]Hugst!$R$4:$W$4,0))))</f>
        <v>835.18345705009096</v>
      </c>
      <c r="V120">
        <f ca="1">IF($C120-V$1&lt;År1,0,U119*(1-VLOOKUP($A120,[1]Hugst!$R$5:$W$9,MATCH(ROUNDUP((V$1)/10,0)*10,[1]Hugst!$R$4:$W$4,0))))</f>
        <v>833.82490023446849</v>
      </c>
      <c r="W120">
        <f ca="1">IF($C120-W$1&lt;År1,0,V119*(1-VLOOKUP($A120,[1]Hugst!$R$5:$W$9,MATCH(ROUNDUP((W$1)/10,0)*10,[1]Hugst!$R$4:$W$4,0))))</f>
        <v>833.76151294753549</v>
      </c>
      <c r="X120">
        <f ca="1">IF($C120-X$1&lt;År1,0,W119*(1-VLOOKUP($A120,[1]Hugst!$R$5:$W$9,MATCH(ROUNDUP((X$1)/10,0)*10,[1]Hugst!$R$4:$W$4,0))))</f>
        <v>833.70244265023575</v>
      </c>
      <c r="Y120">
        <f ca="1">IF($C120-Y$1&lt;År1,0,X119*(1-VLOOKUP($A120,[1]Hugst!$R$5:$W$9,MATCH(ROUNDUP((Y$1)/10,0)*10,[1]Hugst!$R$4:$W$4,0))))</f>
        <v>833.64769749478705</v>
      </c>
      <c r="Z120">
        <f ca="1">IF($C120-Z$1&lt;År1,0,Y119*(1-VLOOKUP($A120,[1]Hugst!$R$5:$W$9,MATCH(ROUNDUP((Z$1)/10,0)*10,[1]Hugst!$R$4:$W$4,0))))</f>
        <v>833.42040626189919</v>
      </c>
      <c r="AA120">
        <f ca="1">IF($C120-AA$1&lt;År1,0,Z119*(1-VLOOKUP($A120,[1]Hugst!$R$5:$W$9,MATCH(ROUNDUP((AA$1)/10,0)*10,[1]Hugst!$R$4:$W$4,0))))</f>
        <v>833.19751367319952</v>
      </c>
      <c r="AB120">
        <f ca="1">IF($C120-AB$1&lt;År1,0,AA119*(1-VLOOKUP($A120,[1]Hugst!$R$5:$W$9,MATCH(ROUNDUP((AB$1)/10,0)*10,[1]Hugst!$R$4:$W$4,0))))</f>
        <v>832.97902521575452</v>
      </c>
      <c r="AC120">
        <f ca="1">IF($C120-AC$1&lt;År1,0,AB119*(1-VLOOKUP($A120,[1]Hugst!$R$5:$W$9,MATCH(ROUNDUP((AC$1)/10,0)*10,[1]Hugst!$R$4:$W$4,0))))</f>
        <v>832.76494641019815</v>
      </c>
      <c r="AD120">
        <f ca="1">IF($C120-AD$1&lt;År1,0,AC119*(1-VLOOKUP($A120,[1]Hugst!$R$5:$W$9,MATCH(ROUNDUP((AD$1)/10,0)*10,[1]Hugst!$R$4:$W$4,0))))</f>
        <v>832.555282810721</v>
      </c>
      <c r="AE120">
        <f ca="1">IF($C120-AE$1&lt;År1,0,AD119*(1-VLOOKUP($A120,[1]Hugst!$R$5:$W$9,MATCH(ROUNDUP((AE$1)/10,0)*10,[1]Hugst!$R$4:$W$4,0))))</f>
        <v>832.35004000522747</v>
      </c>
      <c r="AF120">
        <f>IF($C120-AF$1&lt;År1,0,AE119*(1-VLOOKUP($A120,[1]Hugst!$R$5:$W$9,MATCH(ROUNDUP((AF$1)/10,0)*10,[1]Hugst!$R$4:$W$4,0))))</f>
        <v>0</v>
      </c>
      <c r="AG120">
        <f>IF($C120-AG$1&lt;År1,0,AF119*(1-VLOOKUP($A120,[1]Hugst!$R$5:$W$9,MATCH(ROUNDUP((AG$1)/10,0)*10,[1]Hugst!$R$4:$W$4,0))))</f>
        <v>0</v>
      </c>
      <c r="AH120">
        <f>IF($C120-AH$1&lt;År1,0,AG119*(1-VLOOKUP($A120,[1]Hugst!$R$5:$W$9,MATCH(ROUNDUP((AH$1)/10,0)*10,[1]Hugst!$R$4:$W$4,0))))</f>
        <v>0</v>
      </c>
      <c r="AI120">
        <f>IF($C120-AI$1&lt;År1,0,AH119*(1-VLOOKUP($A120,[1]Hugst!$R$5:$W$9,MATCH(ROUNDUP((AI$1)/10,0)*10,[1]Hugst!$R$4:$W$4,0))))</f>
        <v>0</v>
      </c>
      <c r="AJ120">
        <f>IF($C120-AJ$1&lt;År1,0,AI119*(1-VLOOKUP($A120,[1]Hugst!$R$5:$W$9,MATCH(ROUNDUP((AJ$1)/10,0)*10,[1]Hugst!$R$4:$W$4,0))))</f>
        <v>0</v>
      </c>
    </row>
    <row r="121" spans="1:38" x14ac:dyDescent="0.25">
      <c r="A121" t="s">
        <v>177</v>
      </c>
      <c r="B121" t="s">
        <v>24</v>
      </c>
      <c r="C121">
        <v>2046</v>
      </c>
      <c r="D121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223.5700501555466</v>
      </c>
      <c r="E121">
        <f t="shared" ca="1" si="2"/>
        <v>20.448437600516627</v>
      </c>
      <c r="F121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573.64811738569301</v>
      </c>
      <c r="G121">
        <f ca="1">IF($C121-G$1&lt;År1,0,F120*(1-VLOOKUP($A121,[1]Hugst!$R$5:$W$9,MATCH(ROUNDUP((G$1)/10,0)*10,[1]Hugst!$R$4:$W$4,0))))</f>
        <v>573.75126347098853</v>
      </c>
      <c r="H121">
        <f ca="1">IF($C121-H$1&lt;År1,0,G120*(1-VLOOKUP($A121,[1]Hugst!$R$5:$W$9,MATCH(ROUNDUP((H$1)/10,0)*10,[1]Hugst!$R$4:$W$4,0))))</f>
        <v>573.85808169630877</v>
      </c>
      <c r="I121">
        <f ca="1">IF($C121-I$1&lt;År1,0,H120*(1-VLOOKUP($A121,[1]Hugst!$R$5:$W$9,MATCH(ROUNDUP((I$1)/10,0)*10,[1]Hugst!$R$4:$W$4,0))))</f>
        <v>573.96859194384638</v>
      </c>
      <c r="J121">
        <f ca="1">IF($C121-J$1&lt;År1,0,I120*(1-VLOOKUP($A121,[1]Hugst!$R$5:$W$9,MATCH(ROUNDUP((J$1)/10,0)*10,[1]Hugst!$R$4:$W$4,0))))</f>
        <v>574.08281419279251</v>
      </c>
      <c r="K121">
        <f ca="1">IF($C121-K$1&lt;År1,0,J120*(1-VLOOKUP($A121,[1]Hugst!$R$5:$W$9,MATCH(ROUNDUP((K$1)/10,0)*10,[1]Hugst!$R$4:$W$4,0))))</f>
        <v>574.20076851991348</v>
      </c>
      <c r="L121">
        <f ca="1">IF($C121-L$1&lt;År1,0,K120*(1-VLOOKUP($A121,[1]Hugst!$R$5:$W$9,MATCH(ROUNDUP((L$1)/10,0)*10,[1]Hugst!$R$4:$W$4,0))))</f>
        <v>574.32247509989452</v>
      </c>
      <c r="M121">
        <f ca="1">IF($C121-M$1&lt;År1,0,L120*(1-VLOOKUP($A121,[1]Hugst!$R$5:$W$9,MATCH(ROUNDUP((M$1)/10,0)*10,[1]Hugst!$R$4:$W$4,0))))</f>
        <v>574.03592352740202</v>
      </c>
      <c r="N121">
        <f ca="1">IF($C121-N$1&lt;År1,0,M120*(1-VLOOKUP($A121,[1]Hugst!$R$5:$W$9,MATCH(ROUNDUP((N$1)/10,0)*10,[1]Hugst!$R$4:$W$4,0))))</f>
        <v>573.93158087100005</v>
      </c>
      <c r="O121">
        <f ca="1">IF($C121-O$1&lt;År1,0,N120*(1-VLOOKUP($A121,[1]Hugst!$R$5:$W$9,MATCH(ROUNDUP((O$1)/10,0)*10,[1]Hugst!$R$4:$W$4,0))))</f>
        <v>573.82927924851742</v>
      </c>
      <c r="P121">
        <f ca="1">IF($C121-P$1&lt;År1,0,O120*(1-VLOOKUP($A121,[1]Hugst!$R$5:$W$9,MATCH(ROUNDUP((P$1)/10,0)*10,[1]Hugst!$R$4:$W$4,0))))</f>
        <v>572.85385295510093</v>
      </c>
      <c r="Q121">
        <f ca="1">IF($C121-Q$1&lt;År1,0,P120*(1-VLOOKUP($A121,[1]Hugst!$R$5:$W$9,MATCH(ROUNDUP((Q$1)/10,0)*10,[1]Hugst!$R$4:$W$4,0))))</f>
        <v>571.88213043886799</v>
      </c>
      <c r="R121">
        <f ca="1">IF($C121-R$1&lt;År1,0,Q120*(1-VLOOKUP($A121,[1]Hugst!$R$5:$W$9,MATCH(ROUNDUP((R$1)/10,0)*10,[1]Hugst!$R$4:$W$4,0))))</f>
        <v>570.91411378777286</v>
      </c>
      <c r="S121">
        <f ca="1">IF($C121-S$1&lt;År1,0,R120*(1-VLOOKUP($A121,[1]Hugst!$R$5:$W$9,MATCH(ROUNDUP((S$1)/10,0)*10,[1]Hugst!$R$4:$W$4,0))))</f>
        <v>569.94980511362155</v>
      </c>
      <c r="T121">
        <f ca="1">IF($C121-T$1&lt;År1,0,S120*(1-VLOOKUP($A121,[1]Hugst!$R$5:$W$9,MATCH(ROUNDUP((T$1)/10,0)*10,[1]Hugst!$R$4:$W$4,0))))</f>
        <v>568.98920655209406</v>
      </c>
      <c r="U121">
        <f ca="1">IF($C121-U$1&lt;År1,0,T120*(1-VLOOKUP($A121,[1]Hugst!$R$5:$W$9,MATCH(ROUNDUP((U$1)/10,0)*10,[1]Hugst!$R$4:$W$4,0))))</f>
        <v>568.0323202628349</v>
      </c>
      <c r="V121">
        <f ca="1">IF($C121-V$1&lt;År1,0,U120*(1-VLOOKUP($A121,[1]Hugst!$R$5:$W$9,MATCH(ROUNDUP((V$1)/10,0)*10,[1]Hugst!$R$4:$W$4,0))))</f>
        <v>833.90944838679422</v>
      </c>
      <c r="W121">
        <f ca="1">IF($C121-W$1&lt;År1,0,V120*(1-VLOOKUP($A121,[1]Hugst!$R$5:$W$9,MATCH(ROUNDUP((W$1)/10,0)*10,[1]Hugst!$R$4:$W$4,0))))</f>
        <v>832.55296394597519</v>
      </c>
      <c r="X121">
        <f ca="1">IF($C121-X$1&lt;År1,0,W120*(1-VLOOKUP($A121,[1]Hugst!$R$5:$W$9,MATCH(ROUNDUP((X$1)/10,0)*10,[1]Hugst!$R$4:$W$4,0))))</f>
        <v>832.48967335151383</v>
      </c>
      <c r="Y121">
        <f ca="1">IF($C121-Y$1&lt;År1,0,X120*(1-VLOOKUP($A121,[1]Hugst!$R$5:$W$9,MATCH(ROUNDUP((Y$1)/10,0)*10,[1]Hugst!$R$4:$W$4,0))))</f>
        <v>832.43069316144727</v>
      </c>
      <c r="Z121">
        <f ca="1">IF($C121-Z$1&lt;År1,0,Y120*(1-VLOOKUP($A121,[1]Hugst!$R$5:$W$9,MATCH(ROUNDUP((Z$1)/10,0)*10,[1]Hugst!$R$4:$W$4,0))))</f>
        <v>832.19941124066474</v>
      </c>
      <c r="AA121">
        <f ca="1">IF($C121-AA$1&lt;År1,0,Z120*(1-VLOOKUP($A121,[1]Hugst!$R$5:$W$9,MATCH(ROUNDUP((AA$1)/10,0)*10,[1]Hugst!$R$4:$W$4,0))))</f>
        <v>831.97251487813912</v>
      </c>
      <c r="AB121">
        <f ca="1">IF($C121-AB$1&lt;År1,0,AA120*(1-VLOOKUP($A121,[1]Hugst!$R$5:$W$9,MATCH(ROUNDUP((AB$1)/10,0)*10,[1]Hugst!$R$4:$W$4,0))))</f>
        <v>831.75000951808931</v>
      </c>
      <c r="AC121">
        <f ca="1">IF($C121-AC$1&lt;År1,0,AB120*(1-VLOOKUP($A121,[1]Hugst!$R$5:$W$9,MATCH(ROUNDUP((AC$1)/10,0)*10,[1]Hugst!$R$4:$W$4,0))))</f>
        <v>831.53190063804914</v>
      </c>
      <c r="AD121">
        <f ca="1">IF($C121-AD$1&lt;År1,0,AC120*(1-VLOOKUP($A121,[1]Hugst!$R$5:$W$9,MATCH(ROUNDUP((AD$1)/10,0)*10,[1]Hugst!$R$4:$W$4,0))))</f>
        <v>831.31819374906172</v>
      </c>
      <c r="AE121">
        <f ca="1">IF($C121-AE$1&lt;År1,0,AD120*(1-VLOOKUP($A121,[1]Hugst!$R$5:$W$9,MATCH(ROUNDUP((AE$1)/10,0)*10,[1]Hugst!$R$4:$W$4,0))))</f>
        <v>831.10889439566847</v>
      </c>
      <c r="AF121">
        <f ca="1">IF($C121-AF$1&lt;År1,0,AE120*(1-VLOOKUP($A121,[1]Hugst!$R$5:$W$9,MATCH(ROUNDUP((AF$1)/10,0)*10,[1]Hugst!$R$4:$W$4,0))))</f>
        <v>830.90400815606586</v>
      </c>
      <c r="AG121">
        <f>IF($C121-AG$1&lt;År1,0,AF120*(1-VLOOKUP($A121,[1]Hugst!$R$5:$W$9,MATCH(ROUNDUP((AG$1)/10,0)*10,[1]Hugst!$R$4:$W$4,0))))</f>
        <v>0</v>
      </c>
      <c r="AH121">
        <f>IF($C121-AH$1&lt;År1,0,AG120*(1-VLOOKUP($A121,[1]Hugst!$R$5:$W$9,MATCH(ROUNDUP((AH$1)/10,0)*10,[1]Hugst!$R$4:$W$4,0))))</f>
        <v>0</v>
      </c>
      <c r="AI121">
        <f>IF($C121-AI$1&lt;År1,0,AH120*(1-VLOOKUP($A121,[1]Hugst!$R$5:$W$9,MATCH(ROUNDUP((AI$1)/10,0)*10,[1]Hugst!$R$4:$W$4,0))))</f>
        <v>0</v>
      </c>
      <c r="AJ121">
        <f>IF($C121-AJ$1&lt;År1,0,AI120*(1-VLOOKUP($A121,[1]Hugst!$R$5:$W$9,MATCH(ROUNDUP((AJ$1)/10,0)*10,[1]Hugst!$R$4:$W$4,0))))</f>
        <v>0</v>
      </c>
    </row>
    <row r="122" spans="1:38" x14ac:dyDescent="0.25">
      <c r="A122" t="s">
        <v>177</v>
      </c>
      <c r="B122" t="s">
        <v>24</v>
      </c>
      <c r="C122">
        <v>2047</v>
      </c>
      <c r="D122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222.4521999047538</v>
      </c>
      <c r="E122">
        <f t="shared" ca="1" si="2"/>
        <v>21.466794120369741</v>
      </c>
      <c r="F122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573.54862365475333</v>
      </c>
      <c r="G122">
        <f ca="1">IF($C122-G$1&lt;År1,0,F121*(1-VLOOKUP($A122,[1]Hugst!$R$5:$W$9,MATCH(ROUNDUP((G$1)/10,0)*10,[1]Hugst!$R$4:$W$4,0))))</f>
        <v>573.64811738569301</v>
      </c>
      <c r="H122">
        <f ca="1">IF($C122-H$1&lt;År1,0,G121*(1-VLOOKUP($A122,[1]Hugst!$R$5:$W$9,MATCH(ROUNDUP((H$1)/10,0)*10,[1]Hugst!$R$4:$W$4,0))))</f>
        <v>573.75126347098853</v>
      </c>
      <c r="I122">
        <f ca="1">IF($C122-I$1&lt;År1,0,H121*(1-VLOOKUP($A122,[1]Hugst!$R$5:$W$9,MATCH(ROUNDUP((I$1)/10,0)*10,[1]Hugst!$R$4:$W$4,0))))</f>
        <v>573.85808169630877</v>
      </c>
      <c r="J122">
        <f ca="1">IF($C122-J$1&lt;År1,0,I121*(1-VLOOKUP($A122,[1]Hugst!$R$5:$W$9,MATCH(ROUNDUP((J$1)/10,0)*10,[1]Hugst!$R$4:$W$4,0))))</f>
        <v>573.96859194384638</v>
      </c>
      <c r="K122">
        <f ca="1">IF($C122-K$1&lt;År1,0,J121*(1-VLOOKUP($A122,[1]Hugst!$R$5:$W$9,MATCH(ROUNDUP((K$1)/10,0)*10,[1]Hugst!$R$4:$W$4,0))))</f>
        <v>574.08281419279251</v>
      </c>
      <c r="L122">
        <f ca="1">IF($C122-L$1&lt;År1,0,K121*(1-VLOOKUP($A122,[1]Hugst!$R$5:$W$9,MATCH(ROUNDUP((L$1)/10,0)*10,[1]Hugst!$R$4:$W$4,0))))</f>
        <v>574.20076851991348</v>
      </c>
      <c r="M122">
        <f ca="1">IF($C122-M$1&lt;År1,0,L121*(1-VLOOKUP($A122,[1]Hugst!$R$5:$W$9,MATCH(ROUNDUP((M$1)/10,0)*10,[1]Hugst!$R$4:$W$4,0))))</f>
        <v>574.32247509989452</v>
      </c>
      <c r="N122">
        <f ca="1">IF($C122-N$1&lt;År1,0,M121*(1-VLOOKUP($A122,[1]Hugst!$R$5:$W$9,MATCH(ROUNDUP((N$1)/10,0)*10,[1]Hugst!$R$4:$W$4,0))))</f>
        <v>574.03592352740202</v>
      </c>
      <c r="O122">
        <f ca="1">IF($C122-O$1&lt;År1,0,N121*(1-VLOOKUP($A122,[1]Hugst!$R$5:$W$9,MATCH(ROUNDUP((O$1)/10,0)*10,[1]Hugst!$R$4:$W$4,0))))</f>
        <v>573.93158087100005</v>
      </c>
      <c r="P122">
        <f ca="1">IF($C122-P$1&lt;År1,0,O121*(1-VLOOKUP($A122,[1]Hugst!$R$5:$W$9,MATCH(ROUNDUP((P$1)/10,0)*10,[1]Hugst!$R$4:$W$4,0))))</f>
        <v>572.9539464496637</v>
      </c>
      <c r="Q122">
        <f ca="1">IF($C122-Q$1&lt;År1,0,P121*(1-VLOOKUP($A122,[1]Hugst!$R$5:$W$9,MATCH(ROUNDUP((Q$1)/10,0)*10,[1]Hugst!$R$4:$W$4,0))))</f>
        <v>571.98000809466089</v>
      </c>
      <c r="R122">
        <f ca="1">IF($C122-R$1&lt;År1,0,Q121*(1-VLOOKUP($A122,[1]Hugst!$R$5:$W$9,MATCH(ROUNDUP((R$1)/10,0)*10,[1]Hugst!$R$4:$W$4,0))))</f>
        <v>571.0097678670121</v>
      </c>
      <c r="S122">
        <f ca="1">IF($C122-S$1&lt;År1,0,R121*(1-VLOOKUP($A122,[1]Hugst!$R$5:$W$9,MATCH(ROUNDUP((S$1)/10,0)*10,[1]Hugst!$R$4:$W$4,0))))</f>
        <v>570.04322785148645</v>
      </c>
      <c r="T122">
        <f ca="1">IF($C122-T$1&lt;År1,0,S121*(1-VLOOKUP($A122,[1]Hugst!$R$5:$W$9,MATCH(ROUNDUP((T$1)/10,0)*10,[1]Hugst!$R$4:$W$4,0))))</f>
        <v>569.0803901566685</v>
      </c>
      <c r="U122">
        <f ca="1">IF($C122-U$1&lt;År1,0,T121*(1-VLOOKUP($A122,[1]Hugst!$R$5:$W$9,MATCH(ROUNDUP((U$1)/10,0)*10,[1]Hugst!$R$4:$W$4,0))))</f>
        <v>568.12125691498068</v>
      </c>
      <c r="V122">
        <f ca="1">IF($C122-V$1&lt;År1,0,U121*(1-VLOOKUP($A122,[1]Hugst!$R$5:$W$9,MATCH(ROUNDUP((V$1)/10,0)*10,[1]Hugst!$R$4:$W$4,0))))</f>
        <v>567.16583028277296</v>
      </c>
      <c r="W122">
        <f ca="1">IF($C122-W$1&lt;År1,0,V121*(1-VLOOKUP($A122,[1]Hugst!$R$5:$W$9,MATCH(ROUNDUP((W$1)/10,0)*10,[1]Hugst!$R$4:$W$4,0))))</f>
        <v>832.63738312654311</v>
      </c>
      <c r="X122">
        <f ca="1">IF($C122-X$1&lt;År1,0,W121*(1-VLOOKUP($A122,[1]Hugst!$R$5:$W$9,MATCH(ROUNDUP((X$1)/10,0)*10,[1]Hugst!$R$4:$W$4,0))))</f>
        <v>831.28296789927788</v>
      </c>
      <c r="Y122">
        <f ca="1">IF($C122-Y$1&lt;År1,0,X121*(1-VLOOKUP($A122,[1]Hugst!$R$5:$W$9,MATCH(ROUNDUP((Y$1)/10,0)*10,[1]Hugst!$R$4:$W$4,0))))</f>
        <v>831.21977384979118</v>
      </c>
      <c r="Z122">
        <f ca="1">IF($C122-Z$1&lt;År1,0,Y121*(1-VLOOKUP($A122,[1]Hugst!$R$5:$W$9,MATCH(ROUNDUP((Z$1)/10,0)*10,[1]Hugst!$R$4:$W$4,0))))</f>
        <v>830.98452119451417</v>
      </c>
      <c r="AA122">
        <f ca="1">IF($C122-AA$1&lt;År1,0,Z121*(1-VLOOKUP($A122,[1]Hugst!$R$5:$W$9,MATCH(ROUNDUP((AA$1)/10,0)*10,[1]Hugst!$R$4:$W$4,0))))</f>
        <v>830.75364107706866</v>
      </c>
      <c r="AB122">
        <f ca="1">IF($C122-AB$1&lt;År1,0,AA121*(1-VLOOKUP($A122,[1]Hugst!$R$5:$W$9,MATCH(ROUNDUP((AB$1)/10,0)*10,[1]Hugst!$R$4:$W$4,0))))</f>
        <v>830.52713889890163</v>
      </c>
      <c r="AC122">
        <f ca="1">IF($C122-AC$1&lt;År1,0,AB121*(1-VLOOKUP($A122,[1]Hugst!$R$5:$W$9,MATCH(ROUNDUP((AC$1)/10,0)*10,[1]Hugst!$R$4:$W$4,0))))</f>
        <v>830.30502009477391</v>
      </c>
      <c r="AD122">
        <f ca="1">IF($C122-AD$1&lt;År1,0,AC121*(1-VLOOKUP($A122,[1]Hugst!$R$5:$W$9,MATCH(ROUNDUP((AD$1)/10,0)*10,[1]Hugst!$R$4:$W$4,0))))</f>
        <v>830.08729013270329</v>
      </c>
      <c r="AE122">
        <f ca="1">IF($C122-AE$1&lt;År1,0,AD121*(1-VLOOKUP($A122,[1]Hugst!$R$5:$W$9,MATCH(ROUNDUP((AE$1)/10,0)*10,[1]Hugst!$R$4:$W$4,0))))</f>
        <v>829.87395451415864</v>
      </c>
      <c r="AF122">
        <f ca="1">IF($C122-AF$1&lt;År1,0,AE121*(1-VLOOKUP($A122,[1]Hugst!$R$5:$W$9,MATCH(ROUNDUP((AF$1)/10,0)*10,[1]Hugst!$R$4:$W$4,0))))</f>
        <v>829.6650187740488</v>
      </c>
      <c r="AG122">
        <f ca="1">IF($C122-AG$1&lt;År1,0,AF121*(1-VLOOKUP($A122,[1]Hugst!$R$5:$W$9,MATCH(ROUNDUP((AG$1)/10,0)*10,[1]Hugst!$R$4:$W$4,0))))</f>
        <v>829.46048848087946</v>
      </c>
      <c r="AH122">
        <f>IF($C122-AH$1&lt;År1,0,AG121*(1-VLOOKUP($A122,[1]Hugst!$R$5:$W$9,MATCH(ROUNDUP((AH$1)/10,0)*10,[1]Hugst!$R$4:$W$4,0))))</f>
        <v>0</v>
      </c>
      <c r="AI122">
        <f>IF($C122-AI$1&lt;År1,0,AH121*(1-VLOOKUP($A122,[1]Hugst!$R$5:$W$9,MATCH(ROUNDUP((AI$1)/10,0)*10,[1]Hugst!$R$4:$W$4,0))))</f>
        <v>0</v>
      </c>
      <c r="AJ122">
        <f>IF($C122-AJ$1&lt;År1,0,AI121*(1-VLOOKUP($A122,[1]Hugst!$R$5:$W$9,MATCH(ROUNDUP((AJ$1)/10,0)*10,[1]Hugst!$R$4:$W$4,0))))</f>
        <v>0</v>
      </c>
    </row>
    <row r="123" spans="1:38" x14ac:dyDescent="0.25">
      <c r="A123" t="s">
        <v>177</v>
      </c>
      <c r="B123" t="s">
        <v>24</v>
      </c>
      <c r="C123">
        <v>2048</v>
      </c>
      <c r="D123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221.33993890523561</v>
      </c>
      <c r="E123">
        <f t="shared" ca="1" si="2"/>
        <v>22.483194053824263</v>
      </c>
      <c r="F123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573.45276258868967</v>
      </c>
      <c r="G123">
        <f ca="1">IF($C123-G$1&lt;År1,0,F122*(1-VLOOKUP($A123,[1]Hugst!$R$5:$W$9,MATCH(ROUNDUP((G$1)/10,0)*10,[1]Hugst!$R$4:$W$4,0))))</f>
        <v>573.54862365475333</v>
      </c>
      <c r="H123">
        <f ca="1">IF($C123-H$1&lt;År1,0,G122*(1-VLOOKUP($A123,[1]Hugst!$R$5:$W$9,MATCH(ROUNDUP((H$1)/10,0)*10,[1]Hugst!$R$4:$W$4,0))))</f>
        <v>573.64811738569301</v>
      </c>
      <c r="I123">
        <f ca="1">IF($C123-I$1&lt;År1,0,H122*(1-VLOOKUP($A123,[1]Hugst!$R$5:$W$9,MATCH(ROUNDUP((I$1)/10,0)*10,[1]Hugst!$R$4:$W$4,0))))</f>
        <v>573.75126347098853</v>
      </c>
      <c r="J123">
        <f ca="1">IF($C123-J$1&lt;År1,0,I122*(1-VLOOKUP($A123,[1]Hugst!$R$5:$W$9,MATCH(ROUNDUP((J$1)/10,0)*10,[1]Hugst!$R$4:$W$4,0))))</f>
        <v>573.85808169630877</v>
      </c>
      <c r="K123">
        <f ca="1">IF($C123-K$1&lt;År1,0,J122*(1-VLOOKUP($A123,[1]Hugst!$R$5:$W$9,MATCH(ROUNDUP((K$1)/10,0)*10,[1]Hugst!$R$4:$W$4,0))))</f>
        <v>573.96859194384638</v>
      </c>
      <c r="L123">
        <f ca="1">IF($C123-L$1&lt;År1,0,K122*(1-VLOOKUP($A123,[1]Hugst!$R$5:$W$9,MATCH(ROUNDUP((L$1)/10,0)*10,[1]Hugst!$R$4:$W$4,0))))</f>
        <v>574.08281419279251</v>
      </c>
      <c r="M123">
        <f ca="1">IF($C123-M$1&lt;År1,0,L122*(1-VLOOKUP($A123,[1]Hugst!$R$5:$W$9,MATCH(ROUNDUP((M$1)/10,0)*10,[1]Hugst!$R$4:$W$4,0))))</f>
        <v>574.20076851991348</v>
      </c>
      <c r="N123">
        <f ca="1">IF($C123-N$1&lt;År1,0,M122*(1-VLOOKUP($A123,[1]Hugst!$R$5:$W$9,MATCH(ROUNDUP((N$1)/10,0)*10,[1]Hugst!$R$4:$W$4,0))))</f>
        <v>574.32247509989452</v>
      </c>
      <c r="O123">
        <f ca="1">IF($C123-O$1&lt;År1,0,N122*(1-VLOOKUP($A123,[1]Hugst!$R$5:$W$9,MATCH(ROUNDUP((O$1)/10,0)*10,[1]Hugst!$R$4:$W$4,0))))</f>
        <v>574.03592352740202</v>
      </c>
      <c r="P123">
        <f ca="1">IF($C123-P$1&lt;År1,0,O122*(1-VLOOKUP($A123,[1]Hugst!$R$5:$W$9,MATCH(ROUNDUP((P$1)/10,0)*10,[1]Hugst!$R$4:$W$4,0))))</f>
        <v>573.05609201882396</v>
      </c>
      <c r="Q123">
        <f ca="1">IF($C123-Q$1&lt;År1,0,P122*(1-VLOOKUP($A123,[1]Hugst!$R$5:$W$9,MATCH(ROUNDUP((Q$1)/10,0)*10,[1]Hugst!$R$4:$W$4,0))))</f>
        <v>572.07994890423197</v>
      </c>
      <c r="R123">
        <f ca="1">IF($C123-R$1&lt;År1,0,Q122*(1-VLOOKUP($A123,[1]Hugst!$R$5:$W$9,MATCH(ROUNDUP((R$1)/10,0)*10,[1]Hugst!$R$4:$W$4,0))))</f>
        <v>571.10749621790626</v>
      </c>
      <c r="S123">
        <f ca="1">IF($C123-S$1&lt;År1,0,R122*(1-VLOOKUP($A123,[1]Hugst!$R$5:$W$9,MATCH(ROUNDUP((S$1)/10,0)*10,[1]Hugst!$R$4:$W$4,0))))</f>
        <v>570.13873601772343</v>
      </c>
      <c r="T123">
        <f ca="1">IF($C123-T$1&lt;År1,0,S122*(1-VLOOKUP($A123,[1]Hugst!$R$5:$W$9,MATCH(ROUNDUP((T$1)/10,0)*10,[1]Hugst!$R$4:$W$4,0))))</f>
        <v>569.17367038527232</v>
      </c>
      <c r="U123">
        <f ca="1">IF($C123-U$1&lt;År1,0,T122*(1-VLOOKUP($A123,[1]Hugst!$R$5:$W$9,MATCH(ROUNDUP((U$1)/10,0)*10,[1]Hugst!$R$4:$W$4,0))))</f>
        <v>568.21230142592105</v>
      </c>
      <c r="V123">
        <f ca="1">IF($C123-V$1&lt;År1,0,U122*(1-VLOOKUP($A123,[1]Hugst!$R$5:$W$9,MATCH(ROUNDUP((V$1)/10,0)*10,[1]Hugst!$R$4:$W$4,0))))</f>
        <v>567.25463126883915</v>
      </c>
      <c r="W123">
        <f ca="1">IF($C123-W$1&lt;År1,0,V122*(1-VLOOKUP($A123,[1]Hugst!$R$5:$W$9,MATCH(ROUNDUP((W$1)/10,0)*10,[1]Hugst!$R$4:$W$4,0))))</f>
        <v>566.30066206708739</v>
      </c>
      <c r="X123">
        <f ca="1">IF($C123-X$1&lt;År1,0,W122*(1-VLOOKUP($A123,[1]Hugst!$R$5:$W$9,MATCH(ROUNDUP((X$1)/10,0)*10,[1]Hugst!$R$4:$W$4,0))))</f>
        <v>831.36725830482465</v>
      </c>
      <c r="Y123">
        <f ca="1">IF($C123-Y$1&lt;År1,0,X122*(1-VLOOKUP($A123,[1]Hugst!$R$5:$W$9,MATCH(ROUNDUP((Y$1)/10,0)*10,[1]Hugst!$R$4:$W$4,0))))</f>
        <v>830.01490913468569</v>
      </c>
      <c r="Z123">
        <f ca="1">IF($C123-Z$1&lt;År1,0,Y122*(1-VLOOKUP($A123,[1]Hugst!$R$5:$W$9,MATCH(ROUNDUP((Z$1)/10,0)*10,[1]Hugst!$R$4:$W$4,0))))</f>
        <v>829.77570559861147</v>
      </c>
      <c r="AA123">
        <f ca="1">IF($C123-AA$1&lt;År1,0,Z122*(1-VLOOKUP($A123,[1]Hugst!$R$5:$W$9,MATCH(ROUNDUP((AA$1)/10,0)*10,[1]Hugst!$R$4:$W$4,0))))</f>
        <v>829.54086164498131</v>
      </c>
      <c r="AB123">
        <f ca="1">IF($C123-AB$1&lt;År1,0,AA122*(1-VLOOKUP($A123,[1]Hugst!$R$5:$W$9,MATCH(ROUNDUP((AB$1)/10,0)*10,[1]Hugst!$R$4:$W$4,0))))</f>
        <v>829.3103826328246</v>
      </c>
      <c r="AC123">
        <f ca="1">IF($C123-AC$1&lt;År1,0,AB122*(1-VLOOKUP($A123,[1]Hugst!$R$5:$W$9,MATCH(ROUNDUP((AC$1)/10,0)*10,[1]Hugst!$R$4:$W$4,0))))</f>
        <v>829.08427395420438</v>
      </c>
      <c r="AD123">
        <f ca="1">IF($C123-AD$1&lt;År1,0,AC122*(1-VLOOKUP($A123,[1]Hugst!$R$5:$W$9,MATCH(ROUNDUP((AD$1)/10,0)*10,[1]Hugst!$R$4:$W$4,0))))</f>
        <v>828.86254103443969</v>
      </c>
      <c r="AE123">
        <f ca="1">IF($C123-AE$1&lt;År1,0,AD122*(1-VLOOKUP($A123,[1]Hugst!$R$5:$W$9,MATCH(ROUNDUP((AE$1)/10,0)*10,[1]Hugst!$R$4:$W$4,0))))</f>
        <v>828.64518933204897</v>
      </c>
      <c r="AF123">
        <f ca="1">IF($C123-AF$1&lt;År1,0,AE122*(1-VLOOKUP($A123,[1]Hugst!$R$5:$W$9,MATCH(ROUNDUP((AF$1)/10,0)*10,[1]Hugst!$R$4:$W$4,0))))</f>
        <v>828.43222433894334</v>
      </c>
      <c r="AG123">
        <f ca="1">IF($C123-AG$1&lt;År1,0,AF122*(1-VLOOKUP($A123,[1]Hugst!$R$5:$W$9,MATCH(ROUNDUP((AG$1)/10,0)*10,[1]Hugst!$R$4:$W$4,0))))</f>
        <v>828.22365158041589</v>
      </c>
      <c r="AH123">
        <f ca="1">IF($C123-AH$1&lt;År1,0,AG122*(1-VLOOKUP($A123,[1]Hugst!$R$5:$W$9,MATCH(ROUNDUP((AH$1)/10,0)*10,[1]Hugst!$R$4:$W$4,0))))</f>
        <v>828.01947661529823</v>
      </c>
      <c r="AI123">
        <f>IF($C123-AI$1&lt;År1,0,AH122*(1-VLOOKUP($A123,[1]Hugst!$R$5:$W$9,MATCH(ROUNDUP((AI$1)/10,0)*10,[1]Hugst!$R$4:$W$4,0))))</f>
        <v>0</v>
      </c>
      <c r="AJ123">
        <f>IF($C123-AJ$1&lt;År1,0,AI122*(1-VLOOKUP($A123,[1]Hugst!$R$5:$W$9,MATCH(ROUNDUP((AJ$1)/10,0)*10,[1]Hugst!$R$4:$W$4,0))))</f>
        <v>0</v>
      </c>
    </row>
    <row r="124" spans="1:38" x14ac:dyDescent="0.25">
      <c r="A124" t="s">
        <v>177</v>
      </c>
      <c r="B124" t="s">
        <v>24</v>
      </c>
      <c r="C124">
        <v>2049</v>
      </c>
      <c r="D124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220.23323921071733</v>
      </c>
      <c r="E124">
        <f t="shared" ca="1" si="2"/>
        <v>23.497645753195684</v>
      </c>
      <c r="F124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573.3605145935428</v>
      </c>
      <c r="G124">
        <f ca="1">IF($C124-G$1&lt;År1,0,F123*(1-VLOOKUP($A124,[1]Hugst!$R$5:$W$9,MATCH(ROUNDUP((G$1)/10,0)*10,[1]Hugst!$R$4:$W$4,0))))</f>
        <v>573.45276258868967</v>
      </c>
      <c r="H124">
        <f ca="1">IF($C124-H$1&lt;År1,0,G123*(1-VLOOKUP($A124,[1]Hugst!$R$5:$W$9,MATCH(ROUNDUP((H$1)/10,0)*10,[1]Hugst!$R$4:$W$4,0))))</f>
        <v>573.54862365475333</v>
      </c>
      <c r="I124">
        <f ca="1">IF($C124-I$1&lt;År1,0,H123*(1-VLOOKUP($A124,[1]Hugst!$R$5:$W$9,MATCH(ROUNDUP((I$1)/10,0)*10,[1]Hugst!$R$4:$W$4,0))))</f>
        <v>573.64811738569301</v>
      </c>
      <c r="J124">
        <f ca="1">IF($C124-J$1&lt;År1,0,I123*(1-VLOOKUP($A124,[1]Hugst!$R$5:$W$9,MATCH(ROUNDUP((J$1)/10,0)*10,[1]Hugst!$R$4:$W$4,0))))</f>
        <v>573.75126347098853</v>
      </c>
      <c r="K124">
        <f ca="1">IF($C124-K$1&lt;År1,0,J123*(1-VLOOKUP($A124,[1]Hugst!$R$5:$W$9,MATCH(ROUNDUP((K$1)/10,0)*10,[1]Hugst!$R$4:$W$4,0))))</f>
        <v>573.85808169630877</v>
      </c>
      <c r="L124">
        <f ca="1">IF($C124-L$1&lt;År1,0,K123*(1-VLOOKUP($A124,[1]Hugst!$R$5:$W$9,MATCH(ROUNDUP((L$1)/10,0)*10,[1]Hugst!$R$4:$W$4,0))))</f>
        <v>573.96859194384638</v>
      </c>
      <c r="M124">
        <f ca="1">IF($C124-M$1&lt;År1,0,L123*(1-VLOOKUP($A124,[1]Hugst!$R$5:$W$9,MATCH(ROUNDUP((M$1)/10,0)*10,[1]Hugst!$R$4:$W$4,0))))</f>
        <v>574.08281419279251</v>
      </c>
      <c r="N124">
        <f ca="1">IF($C124-N$1&lt;År1,0,M123*(1-VLOOKUP($A124,[1]Hugst!$R$5:$W$9,MATCH(ROUNDUP((N$1)/10,0)*10,[1]Hugst!$R$4:$W$4,0))))</f>
        <v>574.20076851991348</v>
      </c>
      <c r="O124">
        <f ca="1">IF($C124-O$1&lt;År1,0,N123*(1-VLOOKUP($A124,[1]Hugst!$R$5:$W$9,MATCH(ROUNDUP((O$1)/10,0)*10,[1]Hugst!$R$4:$W$4,0))))</f>
        <v>574.32247509989452</v>
      </c>
      <c r="P124">
        <f ca="1">IF($C124-P$1&lt;År1,0,O123*(1-VLOOKUP($A124,[1]Hugst!$R$5:$W$9,MATCH(ROUNDUP((P$1)/10,0)*10,[1]Hugst!$R$4:$W$4,0))))</f>
        <v>573.16027550846195</v>
      </c>
      <c r="Q124">
        <f ca="1">IF($C124-Q$1&lt;År1,0,P123*(1-VLOOKUP($A124,[1]Hugst!$R$5:$W$9,MATCH(ROUNDUP((Q$1)/10,0)*10,[1]Hugst!$R$4:$W$4,0))))</f>
        <v>572.18193865811725</v>
      </c>
      <c r="R124">
        <f ca="1">IF($C124-R$1&lt;År1,0,Q123*(1-VLOOKUP($A124,[1]Hugst!$R$5:$W$9,MATCH(ROUNDUP((R$1)/10,0)*10,[1]Hugst!$R$4:$W$4,0))))</f>
        <v>571.20728457539497</v>
      </c>
      <c r="S124">
        <f ca="1">IF($C124-S$1&lt;År1,0,R123*(1-VLOOKUP($A124,[1]Hugst!$R$5:$W$9,MATCH(ROUNDUP((S$1)/10,0)*10,[1]Hugst!$R$4:$W$4,0))))</f>
        <v>570.23631529147212</v>
      </c>
      <c r="T124">
        <f ca="1">IF($C124-T$1&lt;År1,0,S123*(1-VLOOKUP($A124,[1]Hugst!$R$5:$W$9,MATCH(ROUNDUP((T$1)/10,0)*10,[1]Hugst!$R$4:$W$4,0))))</f>
        <v>569.2690328610862</v>
      </c>
      <c r="U124">
        <f ca="1">IF($C124-U$1&lt;År1,0,T123*(1-VLOOKUP($A124,[1]Hugst!$R$5:$W$9,MATCH(ROUNDUP((U$1)/10,0)*10,[1]Hugst!$R$4:$W$4,0))))</f>
        <v>568.30543936265065</v>
      </c>
      <c r="V124">
        <f ca="1">IF($C124-V$1&lt;År1,0,U123*(1-VLOOKUP($A124,[1]Hugst!$R$5:$W$9,MATCH(ROUNDUP((V$1)/10,0)*10,[1]Hugst!$R$4:$W$4,0))))</f>
        <v>567.34553689832217</v>
      </c>
      <c r="W124">
        <f ca="1">IF($C124-W$1&lt;År1,0,V123*(1-VLOOKUP($A124,[1]Hugst!$R$5:$W$9,MATCH(ROUNDUP((W$1)/10,0)*10,[1]Hugst!$R$4:$W$4,0))))</f>
        <v>566.38932759402223</v>
      </c>
      <c r="X124">
        <f ca="1">IF($C124-X$1&lt;År1,0,W123*(1-VLOOKUP($A124,[1]Hugst!$R$5:$W$9,MATCH(ROUNDUP((X$1)/10,0)*10,[1]Hugst!$R$4:$W$4,0))))</f>
        <v>565.43681359952745</v>
      </c>
      <c r="Y124">
        <f ca="1">IF($C124-Y$1&lt;År1,0,X123*(1-VLOOKUP($A124,[1]Hugst!$R$5:$W$9,MATCH(ROUNDUP((Y$1)/10,0)*10,[1]Hugst!$R$4:$W$4,0))))</f>
        <v>830.09907096164773</v>
      </c>
      <c r="Z124">
        <f ca="1">IF($C124-Z$1&lt;År1,0,Y123*(1-VLOOKUP($A124,[1]Hugst!$R$5:$W$9,MATCH(ROUNDUP((Z$1)/10,0)*10,[1]Hugst!$R$4:$W$4,0))))</f>
        <v>828.57293408068051</v>
      </c>
      <c r="AA124">
        <f ca="1">IF($C124-AA$1&lt;År1,0,Z123*(1-VLOOKUP($A124,[1]Hugst!$R$5:$W$9,MATCH(ROUNDUP((AA$1)/10,0)*10,[1]Hugst!$R$4:$W$4,0))))</f>
        <v>828.33414611007152</v>
      </c>
      <c r="AB124">
        <f ca="1">IF($C124-AB$1&lt;År1,0,AA123*(1-VLOOKUP($A124,[1]Hugst!$R$5:$W$9,MATCH(ROUNDUP((AB$1)/10,0)*10,[1]Hugst!$R$4:$W$4,0))))</f>
        <v>828.09971014805569</v>
      </c>
      <c r="AC124">
        <f ca="1">IF($C124-AC$1&lt;År1,0,AB123*(1-VLOOKUP($A124,[1]Hugst!$R$5:$W$9,MATCH(ROUNDUP((AC$1)/10,0)*10,[1]Hugst!$R$4:$W$4,0))))</f>
        <v>827.86963154435227</v>
      </c>
      <c r="AD124">
        <f ca="1">IF($C124-AD$1&lt;År1,0,AC123*(1-VLOOKUP($A124,[1]Hugst!$R$5:$W$9,MATCH(ROUNDUP((AD$1)/10,0)*10,[1]Hugst!$R$4:$W$4,0))))</f>
        <v>827.64391568165684</v>
      </c>
      <c r="AE124">
        <f ca="1">IF($C124-AE$1&lt;År1,0,AD123*(1-VLOOKUP($A124,[1]Hugst!$R$5:$W$9,MATCH(ROUNDUP((AE$1)/10,0)*10,[1]Hugst!$R$4:$W$4,0))))</f>
        <v>827.42256797586288</v>
      </c>
      <c r="AF124">
        <f ca="1">IF($C124-AF$1&lt;År1,0,AE123*(1-VLOOKUP($A124,[1]Hugst!$R$5:$W$9,MATCH(ROUNDUP((AF$1)/10,0)*10,[1]Hugst!$R$4:$W$4,0))))</f>
        <v>827.20559387600599</v>
      </c>
      <c r="AG124">
        <f ca="1">IF($C124-AG$1&lt;År1,0,AF123*(1-VLOOKUP($A124,[1]Hugst!$R$5:$W$9,MATCH(ROUNDUP((AG$1)/10,0)*10,[1]Hugst!$R$4:$W$4,0))))</f>
        <v>826.99299886445613</v>
      </c>
      <c r="AH124">
        <f ca="1">IF($C124-AH$1&lt;År1,0,AG123*(1-VLOOKUP($A124,[1]Hugst!$R$5:$W$9,MATCH(ROUNDUP((AH$1)/10,0)*10,[1]Hugst!$R$4:$W$4,0))))</f>
        <v>826.78478845690745</v>
      </c>
      <c r="AI124">
        <f ca="1">IF($C124-AI$1&lt;År1,0,AH123*(1-VLOOKUP($A124,[1]Hugst!$R$5:$W$9,MATCH(ROUNDUP((AI$1)/10,0)*10,[1]Hugst!$R$4:$W$4,0))))</f>
        <v>826.58096820253434</v>
      </c>
      <c r="AJ124">
        <f>IF($C124-AJ$1&lt;År1,0,AI123*(1-VLOOKUP($A124,[1]Hugst!$R$5:$W$9,MATCH(ROUNDUP((AJ$1)/10,0)*10,[1]Hugst!$R$4:$W$4,0))))</f>
        <v>0</v>
      </c>
    </row>
    <row r="125" spans="1:38" x14ac:dyDescent="0.25">
      <c r="A125" t="s">
        <v>177</v>
      </c>
      <c r="B125" t="s">
        <v>24</v>
      </c>
      <c r="C125">
        <v>2050</v>
      </c>
      <c r="D125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219.13207301466082</v>
      </c>
      <c r="E125">
        <f ca="1">IF(C125=2020,SUM(G125:AJ125),SUM(F124:AJ124)-SUM(G125:AJ125))</f>
        <v>23.81021185670761</v>
      </c>
      <c r="F125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572.57191450099822</v>
      </c>
      <c r="G125">
        <f ca="1">IF($C125-G$1&lt;År1,0,F124*(1-VLOOKUP($A125,[1]Hugst!$R$5:$W$9,MATCH(ROUNDUP((G$1)/10,0)*10,[1]Hugst!$R$4:$W$4,0))))</f>
        <v>573.3605145935428</v>
      </c>
      <c r="H125">
        <f ca="1">IF($C125-H$1&lt;År1,0,G124*(1-VLOOKUP($A125,[1]Hugst!$R$5:$W$9,MATCH(ROUNDUP((H$1)/10,0)*10,[1]Hugst!$R$4:$W$4,0))))</f>
        <v>573.45276258868967</v>
      </c>
      <c r="I125">
        <f ca="1">IF($C125-I$1&lt;År1,0,H124*(1-VLOOKUP($A125,[1]Hugst!$R$5:$W$9,MATCH(ROUNDUP((I$1)/10,0)*10,[1]Hugst!$R$4:$W$4,0))))</f>
        <v>573.54862365475333</v>
      </c>
      <c r="J125">
        <f ca="1">IF($C125-J$1&lt;År1,0,I124*(1-VLOOKUP($A125,[1]Hugst!$R$5:$W$9,MATCH(ROUNDUP((J$1)/10,0)*10,[1]Hugst!$R$4:$W$4,0))))</f>
        <v>573.64811738569301</v>
      </c>
      <c r="K125">
        <f ca="1">IF($C125-K$1&lt;År1,0,J124*(1-VLOOKUP($A125,[1]Hugst!$R$5:$W$9,MATCH(ROUNDUP((K$1)/10,0)*10,[1]Hugst!$R$4:$W$4,0))))</f>
        <v>573.75126347098853</v>
      </c>
      <c r="L125">
        <f ca="1">IF($C125-L$1&lt;År1,0,K124*(1-VLOOKUP($A125,[1]Hugst!$R$5:$W$9,MATCH(ROUNDUP((L$1)/10,0)*10,[1]Hugst!$R$4:$W$4,0))))</f>
        <v>573.85808169630877</v>
      </c>
      <c r="M125">
        <f ca="1">IF($C125-M$1&lt;År1,0,L124*(1-VLOOKUP($A125,[1]Hugst!$R$5:$W$9,MATCH(ROUNDUP((M$1)/10,0)*10,[1]Hugst!$R$4:$W$4,0))))</f>
        <v>573.96859194384638</v>
      </c>
      <c r="N125">
        <f ca="1">IF($C125-N$1&lt;År1,0,M124*(1-VLOOKUP($A125,[1]Hugst!$R$5:$W$9,MATCH(ROUNDUP((N$1)/10,0)*10,[1]Hugst!$R$4:$W$4,0))))</f>
        <v>574.08281419279251</v>
      </c>
      <c r="O125">
        <f ca="1">IF($C125-O$1&lt;År1,0,N124*(1-VLOOKUP($A125,[1]Hugst!$R$5:$W$9,MATCH(ROUNDUP((O$1)/10,0)*10,[1]Hugst!$R$4:$W$4,0))))</f>
        <v>574.20076851991348</v>
      </c>
      <c r="P125">
        <f ca="1">IF($C125-P$1&lt;År1,0,O124*(1-VLOOKUP($A125,[1]Hugst!$R$5:$W$9,MATCH(ROUNDUP((P$1)/10,0)*10,[1]Hugst!$R$4:$W$4,0))))</f>
        <v>573.44638996838614</v>
      </c>
      <c r="Q125">
        <f ca="1">IF($C125-Q$1&lt;År1,0,P124*(1-VLOOKUP($A125,[1]Hugst!$R$5:$W$9,MATCH(ROUNDUP((Q$1)/10,0)*10,[1]Hugst!$R$4:$W$4,0))))</f>
        <v>572.28596322378803</v>
      </c>
      <c r="R125">
        <f ca="1">IF($C125-R$1&lt;År1,0,Q124*(1-VLOOKUP($A125,[1]Hugst!$R$5:$W$9,MATCH(ROUNDUP((R$1)/10,0)*10,[1]Hugst!$R$4:$W$4,0))))</f>
        <v>571.30911875168954</v>
      </c>
      <c r="S125">
        <f ca="1">IF($C125-S$1&lt;År1,0,R124*(1-VLOOKUP($A125,[1]Hugst!$R$5:$W$9,MATCH(ROUNDUP((S$1)/10,0)*10,[1]Hugst!$R$4:$W$4,0))))</f>
        <v>570.3359514294325</v>
      </c>
      <c r="T125">
        <f ca="1">IF($C125-T$1&lt;År1,0,S124*(1-VLOOKUP($A125,[1]Hugst!$R$5:$W$9,MATCH(ROUNDUP((T$1)/10,0)*10,[1]Hugst!$R$4:$W$4,0))))</f>
        <v>569.36646328509528</v>
      </c>
      <c r="U125">
        <f ca="1">IF($C125-U$1&lt;År1,0,T124*(1-VLOOKUP($A125,[1]Hugst!$R$5:$W$9,MATCH(ROUNDUP((U$1)/10,0)*10,[1]Hugst!$R$4:$W$4,0))))</f>
        <v>568.40065637028113</v>
      </c>
      <c r="V125">
        <f ca="1">IF($C125-V$1&lt;År1,0,U124*(1-VLOOKUP($A125,[1]Hugst!$R$5:$W$9,MATCH(ROUNDUP((V$1)/10,0)*10,[1]Hugst!$R$4:$W$4,0))))</f>
        <v>567.43853276023299</v>
      </c>
      <c r="W125">
        <f ca="1">IF($C125-W$1&lt;År1,0,V124*(1-VLOOKUP($A125,[1]Hugst!$R$5:$W$9,MATCH(ROUNDUP((W$1)/10,0)*10,[1]Hugst!$R$4:$W$4,0))))</f>
        <v>566.48009455390093</v>
      </c>
      <c r="X125">
        <f ca="1">IF($C125-X$1&lt;År1,0,W124*(1-VLOOKUP($A125,[1]Hugst!$R$5:$W$9,MATCH(ROUNDUP((X$1)/10,0)*10,[1]Hugst!$R$4:$W$4,0))))</f>
        <v>565.52534387396349</v>
      </c>
      <c r="Y125">
        <f ca="1">IF($C125-Y$1&lt;År1,0,X124*(1-VLOOKUP($A125,[1]Hugst!$R$5:$W$9,MATCH(ROUNDUP((Y$1)/10,0)*10,[1]Hugst!$R$4:$W$4,0))))</f>
        <v>564.574282866918</v>
      </c>
      <c r="Z125">
        <f ca="1">IF($C125-Z$1&lt;År1,0,Y124*(1-VLOOKUP($A125,[1]Hugst!$R$5:$W$9,MATCH(ROUNDUP((Z$1)/10,0)*10,[1]Hugst!$R$4:$W$4,0))))</f>
        <v>828.6569496942991</v>
      </c>
      <c r="AA125">
        <f ca="1">IF($C125-AA$1&lt;År1,0,Z124*(1-VLOOKUP($A125,[1]Hugst!$R$5:$W$9,MATCH(ROUNDUP((AA$1)/10,0)*10,[1]Hugst!$R$4:$W$4,0))))</f>
        <v>827.13346415282842</v>
      </c>
      <c r="AB125">
        <f ca="1">IF($C125-AB$1&lt;År1,0,AA124*(1-VLOOKUP($A125,[1]Hugst!$R$5:$W$9,MATCH(ROUNDUP((AB$1)/10,0)*10,[1]Hugst!$R$4:$W$4,0))))</f>
        <v>826.89509102572777</v>
      </c>
      <c r="AC125">
        <f ca="1">IF($C125-AC$1&lt;År1,0,AB124*(1-VLOOKUP($A125,[1]Hugst!$R$5:$W$9,MATCH(ROUNDUP((AC$1)/10,0)*10,[1]Hugst!$R$4:$W$4,0))))</f>
        <v>826.66106234652727</v>
      </c>
      <c r="AD125">
        <f ca="1">IF($C125-AD$1&lt;År1,0,AC124*(1-VLOOKUP($A125,[1]Hugst!$R$5:$W$9,MATCH(ROUNDUP((AD$1)/10,0)*10,[1]Hugst!$R$4:$W$4,0))))</f>
        <v>826.43138345565228</v>
      </c>
      <c r="AE125">
        <f ca="1">IF($C125-AE$1&lt;År1,0,AD124*(1-VLOOKUP($A125,[1]Hugst!$R$5:$W$9,MATCH(ROUNDUP((AE$1)/10,0)*10,[1]Hugst!$R$4:$W$4,0))))</f>
        <v>826.20605972644717</v>
      </c>
      <c r="AF125">
        <f ca="1">IF($C125-AF$1&lt;År1,0,AE124*(1-VLOOKUP($A125,[1]Hugst!$R$5:$W$9,MATCH(ROUNDUP((AF$1)/10,0)*10,[1]Hugst!$R$4:$W$4,0))))</f>
        <v>825.98509656539625</v>
      </c>
      <c r="AG125">
        <f ca="1">IF($C125-AG$1&lt;År1,0,AF124*(1-VLOOKUP($A125,[1]Hugst!$R$5:$W$9,MATCH(ROUNDUP((AG$1)/10,0)*10,[1]Hugst!$R$4:$W$4,0))))</f>
        <v>825.76849941206888</v>
      </c>
      <c r="AH125">
        <f ca="1">IF($C125-AH$1&lt;År1,0,AG124*(1-VLOOKUP($A125,[1]Hugst!$R$5:$W$9,MATCH(ROUNDUP((AH$1)/10,0)*10,[1]Hugst!$R$4:$W$4,0))))</f>
        <v>825.5562737393102</v>
      </c>
      <c r="AI125">
        <f ca="1">IF($C125-AI$1&lt;År1,0,AH124*(1-VLOOKUP($A125,[1]Hugst!$R$5:$W$9,MATCH(ROUNDUP((AI$1)/10,0)*10,[1]Hugst!$R$4:$W$4,0))))</f>
        <v>825.34842505323229</v>
      </c>
      <c r="AJ125">
        <f ca="1">IF($C125-AJ$1&lt;År1,0,AI124*(1-VLOOKUP($A125,[1]Hugst!$R$5:$W$9,MATCH(ROUNDUP((AJ$1)/10,0)*10,[1]Hugst!$R$4:$W$4,0))))</f>
        <v>825.84545123930332</v>
      </c>
      <c r="AL125">
        <f ca="1">SUM(F125:AJ125)</f>
        <v>20516.094006042003</v>
      </c>
    </row>
    <row r="126" spans="1:38" x14ac:dyDescent="0.25">
      <c r="A126" t="s">
        <v>178</v>
      </c>
      <c r="B126" t="s">
        <v>23</v>
      </c>
      <c r="C126">
        <v>2020</v>
      </c>
      <c r="D126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0</v>
      </c>
      <c r="E126">
        <f t="shared" ref="E126:E187" si="3">IF(C126=2020,SUM(G126:AJ126),SUM(F125:AJ125)-SUM(G126:AJ126))</f>
        <v>0</v>
      </c>
      <c r="F126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>
        <f>IF($C126-G$1&lt;År1,0,F125*(1-VLOOKUP($A126,[1]Hugst!$R$5:$W$9,MATCH(ROUNDUP((G$1)/10,0)*10,[1]Hugst!$R$4:$W$4,0))))</f>
        <v>0</v>
      </c>
      <c r="H126">
        <f>IF($C126-H$1&lt;År1,0,G125*(1-VLOOKUP($A126,[1]Hugst!$R$5:$W$9,MATCH(ROUNDUP((H$1)/10,0)*10,[1]Hugst!$R$4:$W$4,0))))</f>
        <v>0</v>
      </c>
      <c r="I126">
        <f>IF($C126-I$1&lt;År1,0,H125*(1-VLOOKUP($A126,[1]Hugst!$R$5:$W$9,MATCH(ROUNDUP((I$1)/10,0)*10,[1]Hugst!$R$4:$W$4,0))))</f>
        <v>0</v>
      </c>
      <c r="J126">
        <f>IF($C126-J$1&lt;År1,0,I125*(1-VLOOKUP($A126,[1]Hugst!$R$5:$W$9,MATCH(ROUNDUP((J$1)/10,0)*10,[1]Hugst!$R$4:$W$4,0))))</f>
        <v>0</v>
      </c>
      <c r="K126">
        <f>IF($C126-K$1&lt;År1,0,J125*(1-VLOOKUP($A126,[1]Hugst!$R$5:$W$9,MATCH(ROUNDUP((K$1)/10,0)*10,[1]Hugst!$R$4:$W$4,0))))</f>
        <v>0</v>
      </c>
      <c r="L126">
        <f>IF($C126-L$1&lt;År1,0,K125*(1-VLOOKUP($A126,[1]Hugst!$R$5:$W$9,MATCH(ROUNDUP((L$1)/10,0)*10,[1]Hugst!$R$4:$W$4,0))))</f>
        <v>0</v>
      </c>
      <c r="M126">
        <f>IF($C126-M$1&lt;År1,0,L125*(1-VLOOKUP($A126,[1]Hugst!$R$5:$W$9,MATCH(ROUNDUP((M$1)/10,0)*10,[1]Hugst!$R$4:$W$4,0))))</f>
        <v>0</v>
      </c>
      <c r="N126">
        <f>IF($C126-N$1&lt;År1,0,M125*(1-VLOOKUP($A126,[1]Hugst!$R$5:$W$9,MATCH(ROUNDUP((N$1)/10,0)*10,[1]Hugst!$R$4:$W$4,0))))</f>
        <v>0</v>
      </c>
      <c r="O126">
        <f>IF($C126-O$1&lt;År1,0,N125*(1-VLOOKUP($A126,[1]Hugst!$R$5:$W$9,MATCH(ROUNDUP((O$1)/10,0)*10,[1]Hugst!$R$4:$W$4,0))))</f>
        <v>0</v>
      </c>
      <c r="P126">
        <f>IF($C126-P$1&lt;År1,0,O125*(1-VLOOKUP($A126,[1]Hugst!$R$5:$W$9,MATCH(ROUNDUP((P$1)/10,0)*10,[1]Hugst!$R$4:$W$4,0))))</f>
        <v>0</v>
      </c>
      <c r="Q126">
        <f>IF($C126-Q$1&lt;År1,0,P125*(1-VLOOKUP($A126,[1]Hugst!$R$5:$W$9,MATCH(ROUNDUP((Q$1)/10,0)*10,[1]Hugst!$R$4:$W$4,0))))</f>
        <v>0</v>
      </c>
      <c r="R126">
        <f>IF($C126-R$1&lt;År1,0,Q125*(1-VLOOKUP($A126,[1]Hugst!$R$5:$W$9,MATCH(ROUNDUP((R$1)/10,0)*10,[1]Hugst!$R$4:$W$4,0))))</f>
        <v>0</v>
      </c>
      <c r="S126">
        <f>IF($C126-S$1&lt;År1,0,R125*(1-VLOOKUP($A126,[1]Hugst!$R$5:$W$9,MATCH(ROUNDUP((S$1)/10,0)*10,[1]Hugst!$R$4:$W$4,0))))</f>
        <v>0</v>
      </c>
      <c r="T126">
        <f>IF($C126-T$1&lt;År1,0,S125*(1-VLOOKUP($A126,[1]Hugst!$R$5:$W$9,MATCH(ROUNDUP((T$1)/10,0)*10,[1]Hugst!$R$4:$W$4,0))))</f>
        <v>0</v>
      </c>
      <c r="U126">
        <f>IF($C126-U$1&lt;År1,0,T125*(1-VLOOKUP($A126,[1]Hugst!$R$5:$W$9,MATCH(ROUNDUP((U$1)/10,0)*10,[1]Hugst!$R$4:$W$4,0))))</f>
        <v>0</v>
      </c>
      <c r="V126">
        <f>IF($C126-V$1&lt;År1,0,U125*(1-VLOOKUP($A126,[1]Hugst!$R$5:$W$9,MATCH(ROUNDUP((V$1)/10,0)*10,[1]Hugst!$R$4:$W$4,0))))</f>
        <v>0</v>
      </c>
      <c r="W126">
        <f>IF($C126-W$1&lt;År1,0,V125*(1-VLOOKUP($A126,[1]Hugst!$R$5:$W$9,MATCH(ROUNDUP((W$1)/10,0)*10,[1]Hugst!$R$4:$W$4,0))))</f>
        <v>0</v>
      </c>
      <c r="X126">
        <f>IF($C126-X$1&lt;År1,0,W125*(1-VLOOKUP($A126,[1]Hugst!$R$5:$W$9,MATCH(ROUNDUP((X$1)/10,0)*10,[1]Hugst!$R$4:$W$4,0))))</f>
        <v>0</v>
      </c>
      <c r="Y126">
        <f>IF($C126-Y$1&lt;År1,0,X125*(1-VLOOKUP($A126,[1]Hugst!$R$5:$W$9,MATCH(ROUNDUP((Y$1)/10,0)*10,[1]Hugst!$R$4:$W$4,0))))</f>
        <v>0</v>
      </c>
      <c r="Z126">
        <f>IF($C126-Z$1&lt;År1,0,Y125*(1-VLOOKUP($A126,[1]Hugst!$R$5:$W$9,MATCH(ROUNDUP((Z$1)/10,0)*10,[1]Hugst!$R$4:$W$4,0))))</f>
        <v>0</v>
      </c>
      <c r="AA126">
        <f>IF($C126-AA$1&lt;År1,0,Z125*(1-VLOOKUP($A126,[1]Hugst!$R$5:$W$9,MATCH(ROUNDUP((AA$1)/10,0)*10,[1]Hugst!$R$4:$W$4,0))))</f>
        <v>0</v>
      </c>
      <c r="AB126">
        <f>IF($C126-AB$1&lt;År1,0,AA125*(1-VLOOKUP($A126,[1]Hugst!$R$5:$W$9,MATCH(ROUNDUP((AB$1)/10,0)*10,[1]Hugst!$R$4:$W$4,0))))</f>
        <v>0</v>
      </c>
      <c r="AC126">
        <f>IF($C126-AC$1&lt;År1,0,AB125*(1-VLOOKUP($A126,[1]Hugst!$R$5:$W$9,MATCH(ROUNDUP((AC$1)/10,0)*10,[1]Hugst!$R$4:$W$4,0))))</f>
        <v>0</v>
      </c>
      <c r="AD126">
        <f>IF($C126-AD$1&lt;År1,0,AC125*(1-VLOOKUP($A126,[1]Hugst!$R$5:$W$9,MATCH(ROUNDUP((AD$1)/10,0)*10,[1]Hugst!$R$4:$W$4,0))))</f>
        <v>0</v>
      </c>
      <c r="AE126">
        <f>IF($C126-AE$1&lt;År1,0,AD125*(1-VLOOKUP($A126,[1]Hugst!$R$5:$W$9,MATCH(ROUNDUP((AE$1)/10,0)*10,[1]Hugst!$R$4:$W$4,0))))</f>
        <v>0</v>
      </c>
      <c r="AF126">
        <f>IF($C126-AF$1&lt;År1,0,AE125*(1-VLOOKUP($A126,[1]Hugst!$R$5:$W$9,MATCH(ROUNDUP((AF$1)/10,0)*10,[1]Hugst!$R$4:$W$4,0))))</f>
        <v>0</v>
      </c>
      <c r="AG126">
        <f>IF($C126-AG$1&lt;År1,0,AF125*(1-VLOOKUP($A126,[1]Hugst!$R$5:$W$9,MATCH(ROUNDUP((AG$1)/10,0)*10,[1]Hugst!$R$4:$W$4,0))))</f>
        <v>0</v>
      </c>
      <c r="AH126">
        <f>IF($C126-AH$1&lt;År1,0,AG125*(1-VLOOKUP($A126,[1]Hugst!$R$5:$W$9,MATCH(ROUNDUP((AH$1)/10,0)*10,[1]Hugst!$R$4:$W$4,0))))</f>
        <v>0</v>
      </c>
      <c r="AI126">
        <f>IF($C126-AI$1&lt;År1,0,AH125*(1-VLOOKUP($A126,[1]Hugst!$R$5:$W$9,MATCH(ROUNDUP((AI$1)/10,0)*10,[1]Hugst!$R$4:$W$4,0))))</f>
        <v>0</v>
      </c>
      <c r="AJ126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t="s">
        <v>178</v>
      </c>
      <c r="B127" t="s">
        <v>23</v>
      </c>
      <c r="C127">
        <v>2021</v>
      </c>
      <c r="D127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0</v>
      </c>
      <c r="E127">
        <f t="shared" ca="1" si="3"/>
        <v>0</v>
      </c>
      <c r="F127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>
        <f ca="1">IF($C127-G$1&lt;År1,0,F126*(1-VLOOKUP($A127,[1]Hugst!$R$5:$W$9,MATCH(ROUNDUP((G$1)/10,0)*10,[1]Hugst!$R$4:$W$4,0))))</f>
        <v>0</v>
      </c>
      <c r="H127">
        <f>IF($C127-H$1&lt;År1,0,G126*(1-VLOOKUP($A127,[1]Hugst!$R$5:$W$9,MATCH(ROUNDUP((H$1)/10,0)*10,[1]Hugst!$R$4:$W$4,0))))</f>
        <v>0</v>
      </c>
      <c r="I127">
        <f>IF($C127-I$1&lt;År1,0,H126*(1-VLOOKUP($A127,[1]Hugst!$R$5:$W$9,MATCH(ROUNDUP((I$1)/10,0)*10,[1]Hugst!$R$4:$W$4,0))))</f>
        <v>0</v>
      </c>
      <c r="J127">
        <f>IF($C127-J$1&lt;År1,0,I126*(1-VLOOKUP($A127,[1]Hugst!$R$5:$W$9,MATCH(ROUNDUP((J$1)/10,0)*10,[1]Hugst!$R$4:$W$4,0))))</f>
        <v>0</v>
      </c>
      <c r="K127">
        <f>IF($C127-K$1&lt;År1,0,J126*(1-VLOOKUP($A127,[1]Hugst!$R$5:$W$9,MATCH(ROUNDUP((K$1)/10,0)*10,[1]Hugst!$R$4:$W$4,0))))</f>
        <v>0</v>
      </c>
      <c r="L127">
        <f>IF($C127-L$1&lt;År1,0,K126*(1-VLOOKUP($A127,[1]Hugst!$R$5:$W$9,MATCH(ROUNDUP((L$1)/10,0)*10,[1]Hugst!$R$4:$W$4,0))))</f>
        <v>0</v>
      </c>
      <c r="M127">
        <f>IF($C127-M$1&lt;År1,0,L126*(1-VLOOKUP($A127,[1]Hugst!$R$5:$W$9,MATCH(ROUNDUP((M$1)/10,0)*10,[1]Hugst!$R$4:$W$4,0))))</f>
        <v>0</v>
      </c>
      <c r="N127">
        <f>IF($C127-N$1&lt;År1,0,M126*(1-VLOOKUP($A127,[1]Hugst!$R$5:$W$9,MATCH(ROUNDUP((N$1)/10,0)*10,[1]Hugst!$R$4:$W$4,0))))</f>
        <v>0</v>
      </c>
      <c r="O127">
        <f>IF($C127-O$1&lt;År1,0,N126*(1-VLOOKUP($A127,[1]Hugst!$R$5:$W$9,MATCH(ROUNDUP((O$1)/10,0)*10,[1]Hugst!$R$4:$W$4,0))))</f>
        <v>0</v>
      </c>
      <c r="P127">
        <f>IF($C127-P$1&lt;År1,0,O126*(1-VLOOKUP($A127,[1]Hugst!$R$5:$W$9,MATCH(ROUNDUP((P$1)/10,0)*10,[1]Hugst!$R$4:$W$4,0))))</f>
        <v>0</v>
      </c>
      <c r="Q127">
        <f>IF($C127-Q$1&lt;År1,0,P126*(1-VLOOKUP($A127,[1]Hugst!$R$5:$W$9,MATCH(ROUNDUP((Q$1)/10,0)*10,[1]Hugst!$R$4:$W$4,0))))</f>
        <v>0</v>
      </c>
      <c r="R127">
        <f>IF($C127-R$1&lt;År1,0,Q126*(1-VLOOKUP($A127,[1]Hugst!$R$5:$W$9,MATCH(ROUNDUP((R$1)/10,0)*10,[1]Hugst!$R$4:$W$4,0))))</f>
        <v>0</v>
      </c>
      <c r="S127">
        <f>IF($C127-S$1&lt;År1,0,R126*(1-VLOOKUP($A127,[1]Hugst!$R$5:$W$9,MATCH(ROUNDUP((S$1)/10,0)*10,[1]Hugst!$R$4:$W$4,0))))</f>
        <v>0</v>
      </c>
      <c r="T127">
        <f>IF($C127-T$1&lt;År1,0,S126*(1-VLOOKUP($A127,[1]Hugst!$R$5:$W$9,MATCH(ROUNDUP((T$1)/10,0)*10,[1]Hugst!$R$4:$W$4,0))))</f>
        <v>0</v>
      </c>
      <c r="U127">
        <f>IF($C127-U$1&lt;År1,0,T126*(1-VLOOKUP($A127,[1]Hugst!$R$5:$W$9,MATCH(ROUNDUP((U$1)/10,0)*10,[1]Hugst!$R$4:$W$4,0))))</f>
        <v>0</v>
      </c>
      <c r="V127">
        <f>IF($C127-V$1&lt;År1,0,U126*(1-VLOOKUP($A127,[1]Hugst!$R$5:$W$9,MATCH(ROUNDUP((V$1)/10,0)*10,[1]Hugst!$R$4:$W$4,0))))</f>
        <v>0</v>
      </c>
      <c r="W127">
        <f>IF($C127-W$1&lt;År1,0,V126*(1-VLOOKUP($A127,[1]Hugst!$R$5:$W$9,MATCH(ROUNDUP((W$1)/10,0)*10,[1]Hugst!$R$4:$W$4,0))))</f>
        <v>0</v>
      </c>
      <c r="X127">
        <f>IF($C127-X$1&lt;År1,0,W126*(1-VLOOKUP($A127,[1]Hugst!$R$5:$W$9,MATCH(ROUNDUP((X$1)/10,0)*10,[1]Hugst!$R$4:$W$4,0))))</f>
        <v>0</v>
      </c>
      <c r="Y127">
        <f>IF($C127-Y$1&lt;År1,0,X126*(1-VLOOKUP($A127,[1]Hugst!$R$5:$W$9,MATCH(ROUNDUP((Y$1)/10,0)*10,[1]Hugst!$R$4:$W$4,0))))</f>
        <v>0</v>
      </c>
      <c r="Z127">
        <f>IF($C127-Z$1&lt;År1,0,Y126*(1-VLOOKUP($A127,[1]Hugst!$R$5:$W$9,MATCH(ROUNDUP((Z$1)/10,0)*10,[1]Hugst!$R$4:$W$4,0))))</f>
        <v>0</v>
      </c>
      <c r="AA127">
        <f>IF($C127-AA$1&lt;År1,0,Z126*(1-VLOOKUP($A127,[1]Hugst!$R$5:$W$9,MATCH(ROUNDUP((AA$1)/10,0)*10,[1]Hugst!$R$4:$W$4,0))))</f>
        <v>0</v>
      </c>
      <c r="AB127">
        <f>IF($C127-AB$1&lt;År1,0,AA126*(1-VLOOKUP($A127,[1]Hugst!$R$5:$W$9,MATCH(ROUNDUP((AB$1)/10,0)*10,[1]Hugst!$R$4:$W$4,0))))</f>
        <v>0</v>
      </c>
      <c r="AC127">
        <f>IF($C127-AC$1&lt;År1,0,AB126*(1-VLOOKUP($A127,[1]Hugst!$R$5:$W$9,MATCH(ROUNDUP((AC$1)/10,0)*10,[1]Hugst!$R$4:$W$4,0))))</f>
        <v>0</v>
      </c>
      <c r="AD127">
        <f>IF($C127-AD$1&lt;År1,0,AC126*(1-VLOOKUP($A127,[1]Hugst!$R$5:$W$9,MATCH(ROUNDUP((AD$1)/10,0)*10,[1]Hugst!$R$4:$W$4,0))))</f>
        <v>0</v>
      </c>
      <c r="AE127">
        <f>IF($C127-AE$1&lt;År1,0,AD126*(1-VLOOKUP($A127,[1]Hugst!$R$5:$W$9,MATCH(ROUNDUP((AE$1)/10,0)*10,[1]Hugst!$R$4:$W$4,0))))</f>
        <v>0</v>
      </c>
      <c r="AF127">
        <f>IF($C127-AF$1&lt;År1,0,AE126*(1-VLOOKUP($A127,[1]Hugst!$R$5:$W$9,MATCH(ROUNDUP((AF$1)/10,0)*10,[1]Hugst!$R$4:$W$4,0))))</f>
        <v>0</v>
      </c>
      <c r="AG127">
        <f>IF($C127-AG$1&lt;År1,0,AF126*(1-VLOOKUP($A127,[1]Hugst!$R$5:$W$9,MATCH(ROUNDUP((AG$1)/10,0)*10,[1]Hugst!$R$4:$W$4,0))))</f>
        <v>0</v>
      </c>
      <c r="AH127">
        <f>IF($C127-AH$1&lt;År1,0,AG126*(1-VLOOKUP($A127,[1]Hugst!$R$5:$W$9,MATCH(ROUNDUP((AH$1)/10,0)*10,[1]Hugst!$R$4:$W$4,0))))</f>
        <v>0</v>
      </c>
      <c r="AI127">
        <f>IF($C127-AI$1&lt;År1,0,AH126*(1-VLOOKUP($A127,[1]Hugst!$R$5:$W$9,MATCH(ROUNDUP((AI$1)/10,0)*10,[1]Hugst!$R$4:$W$4,0))))</f>
        <v>0</v>
      </c>
      <c r="AJ127">
        <f>IF($C127-AJ$1&lt;År1,0,AI126*(1-VLOOKUP($A127,[1]Hugst!$R$5:$W$9,MATCH(ROUNDUP((AJ$1)/10,0)*10,[1]Hugst!$R$4:$W$4,0))))</f>
        <v>0</v>
      </c>
      <c r="AL127">
        <f ca="1">SUM(AL64:AL126)</f>
        <v>613845.53800472233</v>
      </c>
    </row>
    <row r="128" spans="1:38" x14ac:dyDescent="0.25">
      <c r="A128" t="s">
        <v>178</v>
      </c>
      <c r="B128" t="s">
        <v>23</v>
      </c>
      <c r="C128">
        <v>2022</v>
      </c>
      <c r="D12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0</v>
      </c>
      <c r="E128">
        <f t="shared" ca="1" si="3"/>
        <v>0</v>
      </c>
      <c r="F12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>
        <f ca="1">IF($C128-G$1&lt;År1,0,F127*(1-VLOOKUP($A128,[1]Hugst!$R$5:$W$9,MATCH(ROUNDUP((G$1)/10,0)*10,[1]Hugst!$R$4:$W$4,0))))</f>
        <v>0</v>
      </c>
      <c r="H128">
        <f ca="1">IF($C128-H$1&lt;År1,0,G127*(1-VLOOKUP($A128,[1]Hugst!$R$5:$W$9,MATCH(ROUNDUP((H$1)/10,0)*10,[1]Hugst!$R$4:$W$4,0))))</f>
        <v>0</v>
      </c>
      <c r="I128">
        <f>IF($C128-I$1&lt;År1,0,H127*(1-VLOOKUP($A128,[1]Hugst!$R$5:$W$9,MATCH(ROUNDUP((I$1)/10,0)*10,[1]Hugst!$R$4:$W$4,0))))</f>
        <v>0</v>
      </c>
      <c r="J128">
        <f>IF($C128-J$1&lt;År1,0,I127*(1-VLOOKUP($A128,[1]Hugst!$R$5:$W$9,MATCH(ROUNDUP((J$1)/10,0)*10,[1]Hugst!$R$4:$W$4,0))))</f>
        <v>0</v>
      </c>
      <c r="K128">
        <f>IF($C128-K$1&lt;År1,0,J127*(1-VLOOKUP($A128,[1]Hugst!$R$5:$W$9,MATCH(ROUNDUP((K$1)/10,0)*10,[1]Hugst!$R$4:$W$4,0))))</f>
        <v>0</v>
      </c>
      <c r="L128">
        <f>IF($C128-L$1&lt;År1,0,K127*(1-VLOOKUP($A128,[1]Hugst!$R$5:$W$9,MATCH(ROUNDUP((L$1)/10,0)*10,[1]Hugst!$R$4:$W$4,0))))</f>
        <v>0</v>
      </c>
      <c r="M128">
        <f>IF($C128-M$1&lt;År1,0,L127*(1-VLOOKUP($A128,[1]Hugst!$R$5:$W$9,MATCH(ROUNDUP((M$1)/10,0)*10,[1]Hugst!$R$4:$W$4,0))))</f>
        <v>0</v>
      </c>
      <c r="N128">
        <f>IF($C128-N$1&lt;År1,0,M127*(1-VLOOKUP($A128,[1]Hugst!$R$5:$W$9,MATCH(ROUNDUP((N$1)/10,0)*10,[1]Hugst!$R$4:$W$4,0))))</f>
        <v>0</v>
      </c>
      <c r="O128">
        <f>IF($C128-O$1&lt;År1,0,N127*(1-VLOOKUP($A128,[1]Hugst!$R$5:$W$9,MATCH(ROUNDUP((O$1)/10,0)*10,[1]Hugst!$R$4:$W$4,0))))</f>
        <v>0</v>
      </c>
      <c r="P128">
        <f>IF($C128-P$1&lt;År1,0,O127*(1-VLOOKUP($A128,[1]Hugst!$R$5:$W$9,MATCH(ROUNDUP((P$1)/10,0)*10,[1]Hugst!$R$4:$W$4,0))))</f>
        <v>0</v>
      </c>
      <c r="Q128">
        <f>IF($C128-Q$1&lt;År1,0,P127*(1-VLOOKUP($A128,[1]Hugst!$R$5:$W$9,MATCH(ROUNDUP((Q$1)/10,0)*10,[1]Hugst!$R$4:$W$4,0))))</f>
        <v>0</v>
      </c>
      <c r="R128">
        <f>IF($C128-R$1&lt;År1,0,Q127*(1-VLOOKUP($A128,[1]Hugst!$R$5:$W$9,MATCH(ROUNDUP((R$1)/10,0)*10,[1]Hugst!$R$4:$W$4,0))))</f>
        <v>0</v>
      </c>
      <c r="S128">
        <f>IF($C128-S$1&lt;År1,0,R127*(1-VLOOKUP($A128,[1]Hugst!$R$5:$W$9,MATCH(ROUNDUP((S$1)/10,0)*10,[1]Hugst!$R$4:$W$4,0))))</f>
        <v>0</v>
      </c>
      <c r="T128">
        <f>IF($C128-T$1&lt;År1,0,S127*(1-VLOOKUP($A128,[1]Hugst!$R$5:$W$9,MATCH(ROUNDUP((T$1)/10,0)*10,[1]Hugst!$R$4:$W$4,0))))</f>
        <v>0</v>
      </c>
      <c r="U128">
        <f>IF($C128-U$1&lt;År1,0,T127*(1-VLOOKUP($A128,[1]Hugst!$R$5:$W$9,MATCH(ROUNDUP((U$1)/10,0)*10,[1]Hugst!$R$4:$W$4,0))))</f>
        <v>0</v>
      </c>
      <c r="V128">
        <f>IF($C128-V$1&lt;År1,0,U127*(1-VLOOKUP($A128,[1]Hugst!$R$5:$W$9,MATCH(ROUNDUP((V$1)/10,0)*10,[1]Hugst!$R$4:$W$4,0))))</f>
        <v>0</v>
      </c>
      <c r="W128">
        <f>IF($C128-W$1&lt;År1,0,V127*(1-VLOOKUP($A128,[1]Hugst!$R$5:$W$9,MATCH(ROUNDUP((W$1)/10,0)*10,[1]Hugst!$R$4:$W$4,0))))</f>
        <v>0</v>
      </c>
      <c r="X128">
        <f>IF($C128-X$1&lt;År1,0,W127*(1-VLOOKUP($A128,[1]Hugst!$R$5:$W$9,MATCH(ROUNDUP((X$1)/10,0)*10,[1]Hugst!$R$4:$W$4,0))))</f>
        <v>0</v>
      </c>
      <c r="Y128">
        <f>IF($C128-Y$1&lt;År1,0,X127*(1-VLOOKUP($A128,[1]Hugst!$R$5:$W$9,MATCH(ROUNDUP((Y$1)/10,0)*10,[1]Hugst!$R$4:$W$4,0))))</f>
        <v>0</v>
      </c>
      <c r="Z128">
        <f>IF($C128-Z$1&lt;År1,0,Y127*(1-VLOOKUP($A128,[1]Hugst!$R$5:$W$9,MATCH(ROUNDUP((Z$1)/10,0)*10,[1]Hugst!$R$4:$W$4,0))))</f>
        <v>0</v>
      </c>
      <c r="AA128">
        <f>IF($C128-AA$1&lt;År1,0,Z127*(1-VLOOKUP($A128,[1]Hugst!$R$5:$W$9,MATCH(ROUNDUP((AA$1)/10,0)*10,[1]Hugst!$R$4:$W$4,0))))</f>
        <v>0</v>
      </c>
      <c r="AB128">
        <f>IF($C128-AB$1&lt;År1,0,AA127*(1-VLOOKUP($A128,[1]Hugst!$R$5:$W$9,MATCH(ROUNDUP((AB$1)/10,0)*10,[1]Hugst!$R$4:$W$4,0))))</f>
        <v>0</v>
      </c>
      <c r="AC128">
        <f>IF($C128-AC$1&lt;År1,0,AB127*(1-VLOOKUP($A128,[1]Hugst!$R$5:$W$9,MATCH(ROUNDUP((AC$1)/10,0)*10,[1]Hugst!$R$4:$W$4,0))))</f>
        <v>0</v>
      </c>
      <c r="AD128">
        <f>IF($C128-AD$1&lt;År1,0,AC127*(1-VLOOKUP($A128,[1]Hugst!$R$5:$W$9,MATCH(ROUNDUP((AD$1)/10,0)*10,[1]Hugst!$R$4:$W$4,0))))</f>
        <v>0</v>
      </c>
      <c r="AE128">
        <f>IF($C128-AE$1&lt;År1,0,AD127*(1-VLOOKUP($A128,[1]Hugst!$R$5:$W$9,MATCH(ROUNDUP((AE$1)/10,0)*10,[1]Hugst!$R$4:$W$4,0))))</f>
        <v>0</v>
      </c>
      <c r="AF128">
        <f>IF($C128-AF$1&lt;År1,0,AE127*(1-VLOOKUP($A128,[1]Hugst!$R$5:$W$9,MATCH(ROUNDUP((AF$1)/10,0)*10,[1]Hugst!$R$4:$W$4,0))))</f>
        <v>0</v>
      </c>
      <c r="AG128">
        <f>IF($C128-AG$1&lt;År1,0,AF127*(1-VLOOKUP($A128,[1]Hugst!$R$5:$W$9,MATCH(ROUNDUP((AG$1)/10,0)*10,[1]Hugst!$R$4:$W$4,0))))</f>
        <v>0</v>
      </c>
      <c r="AH128">
        <f>IF($C128-AH$1&lt;År1,0,AG127*(1-VLOOKUP($A128,[1]Hugst!$R$5:$W$9,MATCH(ROUNDUP((AH$1)/10,0)*10,[1]Hugst!$R$4:$W$4,0))))</f>
        <v>0</v>
      </c>
      <c r="AI128">
        <f>IF($C128-AI$1&lt;År1,0,AH127*(1-VLOOKUP($A128,[1]Hugst!$R$5:$W$9,MATCH(ROUNDUP((AI$1)/10,0)*10,[1]Hugst!$R$4:$W$4,0))))</f>
        <v>0</v>
      </c>
      <c r="AJ128">
        <f>IF($C128-AJ$1&lt;År1,0,AI127*(1-VLOOKUP($A128,[1]Hugst!$R$5:$W$9,MATCH(ROUNDUP((AJ$1)/10,0)*10,[1]Hugst!$R$4:$W$4,0))))</f>
        <v>0</v>
      </c>
    </row>
    <row r="129" spans="1:36" x14ac:dyDescent="0.25">
      <c r="A129" t="s">
        <v>178</v>
      </c>
      <c r="B129" t="s">
        <v>23</v>
      </c>
      <c r="C129">
        <v>2023</v>
      </c>
      <c r="D129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0</v>
      </c>
      <c r="E129">
        <f t="shared" ca="1" si="3"/>
        <v>0</v>
      </c>
      <c r="F12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>
        <f ca="1">IF($C129-G$1&lt;År1,0,F128*(1-VLOOKUP($A129,[1]Hugst!$R$5:$W$9,MATCH(ROUNDUP((G$1)/10,0)*10,[1]Hugst!$R$4:$W$4,0))))</f>
        <v>0</v>
      </c>
      <c r="H129">
        <f ca="1">IF($C129-H$1&lt;År1,0,G128*(1-VLOOKUP($A129,[1]Hugst!$R$5:$W$9,MATCH(ROUNDUP((H$1)/10,0)*10,[1]Hugst!$R$4:$W$4,0))))</f>
        <v>0</v>
      </c>
      <c r="I129">
        <f ca="1">IF($C129-I$1&lt;År1,0,H128*(1-VLOOKUP($A129,[1]Hugst!$R$5:$W$9,MATCH(ROUNDUP((I$1)/10,0)*10,[1]Hugst!$R$4:$W$4,0))))</f>
        <v>0</v>
      </c>
      <c r="J129">
        <f>IF($C129-J$1&lt;År1,0,I128*(1-VLOOKUP($A129,[1]Hugst!$R$5:$W$9,MATCH(ROUNDUP((J$1)/10,0)*10,[1]Hugst!$R$4:$W$4,0))))</f>
        <v>0</v>
      </c>
      <c r="K129">
        <f>IF($C129-K$1&lt;År1,0,J128*(1-VLOOKUP($A129,[1]Hugst!$R$5:$W$9,MATCH(ROUNDUP((K$1)/10,0)*10,[1]Hugst!$R$4:$W$4,0))))</f>
        <v>0</v>
      </c>
      <c r="L129">
        <f>IF($C129-L$1&lt;År1,0,K128*(1-VLOOKUP($A129,[1]Hugst!$R$5:$W$9,MATCH(ROUNDUP((L$1)/10,0)*10,[1]Hugst!$R$4:$W$4,0))))</f>
        <v>0</v>
      </c>
      <c r="M129">
        <f>IF($C129-M$1&lt;År1,0,L128*(1-VLOOKUP($A129,[1]Hugst!$R$5:$W$9,MATCH(ROUNDUP((M$1)/10,0)*10,[1]Hugst!$R$4:$W$4,0))))</f>
        <v>0</v>
      </c>
      <c r="N129">
        <f>IF($C129-N$1&lt;År1,0,M128*(1-VLOOKUP($A129,[1]Hugst!$R$5:$W$9,MATCH(ROUNDUP((N$1)/10,0)*10,[1]Hugst!$R$4:$W$4,0))))</f>
        <v>0</v>
      </c>
      <c r="O129">
        <f>IF($C129-O$1&lt;År1,0,N128*(1-VLOOKUP($A129,[1]Hugst!$R$5:$W$9,MATCH(ROUNDUP((O$1)/10,0)*10,[1]Hugst!$R$4:$W$4,0))))</f>
        <v>0</v>
      </c>
      <c r="P129">
        <f>IF($C129-P$1&lt;År1,0,O128*(1-VLOOKUP($A129,[1]Hugst!$R$5:$W$9,MATCH(ROUNDUP((P$1)/10,0)*10,[1]Hugst!$R$4:$W$4,0))))</f>
        <v>0</v>
      </c>
      <c r="Q129">
        <f>IF($C129-Q$1&lt;År1,0,P128*(1-VLOOKUP($A129,[1]Hugst!$R$5:$W$9,MATCH(ROUNDUP((Q$1)/10,0)*10,[1]Hugst!$R$4:$W$4,0))))</f>
        <v>0</v>
      </c>
      <c r="R129">
        <f>IF($C129-R$1&lt;År1,0,Q128*(1-VLOOKUP($A129,[1]Hugst!$R$5:$W$9,MATCH(ROUNDUP((R$1)/10,0)*10,[1]Hugst!$R$4:$W$4,0))))</f>
        <v>0</v>
      </c>
      <c r="S129">
        <f>IF($C129-S$1&lt;År1,0,R128*(1-VLOOKUP($A129,[1]Hugst!$R$5:$W$9,MATCH(ROUNDUP((S$1)/10,0)*10,[1]Hugst!$R$4:$W$4,0))))</f>
        <v>0</v>
      </c>
      <c r="T129">
        <f>IF($C129-T$1&lt;År1,0,S128*(1-VLOOKUP($A129,[1]Hugst!$R$5:$W$9,MATCH(ROUNDUP((T$1)/10,0)*10,[1]Hugst!$R$4:$W$4,0))))</f>
        <v>0</v>
      </c>
      <c r="U129">
        <f>IF($C129-U$1&lt;År1,0,T128*(1-VLOOKUP($A129,[1]Hugst!$R$5:$W$9,MATCH(ROUNDUP((U$1)/10,0)*10,[1]Hugst!$R$4:$W$4,0))))</f>
        <v>0</v>
      </c>
      <c r="V129">
        <f>IF($C129-V$1&lt;År1,0,U128*(1-VLOOKUP($A129,[1]Hugst!$R$5:$W$9,MATCH(ROUNDUP((V$1)/10,0)*10,[1]Hugst!$R$4:$W$4,0))))</f>
        <v>0</v>
      </c>
      <c r="W129">
        <f>IF($C129-W$1&lt;År1,0,V128*(1-VLOOKUP($A129,[1]Hugst!$R$5:$W$9,MATCH(ROUNDUP((W$1)/10,0)*10,[1]Hugst!$R$4:$W$4,0))))</f>
        <v>0</v>
      </c>
      <c r="X129">
        <f>IF($C129-X$1&lt;År1,0,W128*(1-VLOOKUP($A129,[1]Hugst!$R$5:$W$9,MATCH(ROUNDUP((X$1)/10,0)*10,[1]Hugst!$R$4:$W$4,0))))</f>
        <v>0</v>
      </c>
      <c r="Y129">
        <f>IF($C129-Y$1&lt;År1,0,X128*(1-VLOOKUP($A129,[1]Hugst!$R$5:$W$9,MATCH(ROUNDUP((Y$1)/10,0)*10,[1]Hugst!$R$4:$W$4,0))))</f>
        <v>0</v>
      </c>
      <c r="Z129">
        <f>IF($C129-Z$1&lt;År1,0,Y128*(1-VLOOKUP($A129,[1]Hugst!$R$5:$W$9,MATCH(ROUNDUP((Z$1)/10,0)*10,[1]Hugst!$R$4:$W$4,0))))</f>
        <v>0</v>
      </c>
      <c r="AA129">
        <f>IF($C129-AA$1&lt;År1,0,Z128*(1-VLOOKUP($A129,[1]Hugst!$R$5:$W$9,MATCH(ROUNDUP((AA$1)/10,0)*10,[1]Hugst!$R$4:$W$4,0))))</f>
        <v>0</v>
      </c>
      <c r="AB129">
        <f>IF($C129-AB$1&lt;År1,0,AA128*(1-VLOOKUP($A129,[1]Hugst!$R$5:$W$9,MATCH(ROUNDUP((AB$1)/10,0)*10,[1]Hugst!$R$4:$W$4,0))))</f>
        <v>0</v>
      </c>
      <c r="AC129">
        <f>IF($C129-AC$1&lt;År1,0,AB128*(1-VLOOKUP($A129,[1]Hugst!$R$5:$W$9,MATCH(ROUNDUP((AC$1)/10,0)*10,[1]Hugst!$R$4:$W$4,0))))</f>
        <v>0</v>
      </c>
      <c r="AD129">
        <f>IF($C129-AD$1&lt;År1,0,AC128*(1-VLOOKUP($A129,[1]Hugst!$R$5:$W$9,MATCH(ROUNDUP((AD$1)/10,0)*10,[1]Hugst!$R$4:$W$4,0))))</f>
        <v>0</v>
      </c>
      <c r="AE129">
        <f>IF($C129-AE$1&lt;År1,0,AD128*(1-VLOOKUP($A129,[1]Hugst!$R$5:$W$9,MATCH(ROUNDUP((AE$1)/10,0)*10,[1]Hugst!$R$4:$W$4,0))))</f>
        <v>0</v>
      </c>
      <c r="AF129">
        <f>IF($C129-AF$1&lt;År1,0,AE128*(1-VLOOKUP($A129,[1]Hugst!$R$5:$W$9,MATCH(ROUNDUP((AF$1)/10,0)*10,[1]Hugst!$R$4:$W$4,0))))</f>
        <v>0</v>
      </c>
      <c r="AG129">
        <f>IF($C129-AG$1&lt;År1,0,AF128*(1-VLOOKUP($A129,[1]Hugst!$R$5:$W$9,MATCH(ROUNDUP((AG$1)/10,0)*10,[1]Hugst!$R$4:$W$4,0))))</f>
        <v>0</v>
      </c>
      <c r="AH129">
        <f>IF($C129-AH$1&lt;År1,0,AG128*(1-VLOOKUP($A129,[1]Hugst!$R$5:$W$9,MATCH(ROUNDUP((AH$1)/10,0)*10,[1]Hugst!$R$4:$W$4,0))))</f>
        <v>0</v>
      </c>
      <c r="AI129">
        <f>IF($C129-AI$1&lt;År1,0,AH128*(1-VLOOKUP($A129,[1]Hugst!$R$5:$W$9,MATCH(ROUNDUP((AI$1)/10,0)*10,[1]Hugst!$R$4:$W$4,0))))</f>
        <v>0</v>
      </c>
      <c r="AJ129">
        <f>IF($C129-AJ$1&lt;År1,0,AI128*(1-VLOOKUP($A129,[1]Hugst!$R$5:$W$9,MATCH(ROUNDUP((AJ$1)/10,0)*10,[1]Hugst!$R$4:$W$4,0))))</f>
        <v>0</v>
      </c>
    </row>
    <row r="130" spans="1:36" x14ac:dyDescent="0.25">
      <c r="A130" t="s">
        <v>178</v>
      </c>
      <c r="B130" t="s">
        <v>23</v>
      </c>
      <c r="C130">
        <v>2024</v>
      </c>
      <c r="D130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0</v>
      </c>
      <c r="E130">
        <f t="shared" ca="1" si="3"/>
        <v>0</v>
      </c>
      <c r="F130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>
        <f ca="1">IF($C130-G$1&lt;År1,0,F129*(1-VLOOKUP($A130,[1]Hugst!$R$5:$W$9,MATCH(ROUNDUP((G$1)/10,0)*10,[1]Hugst!$R$4:$W$4,0))))</f>
        <v>0</v>
      </c>
      <c r="H130">
        <f ca="1">IF($C130-H$1&lt;År1,0,G129*(1-VLOOKUP($A130,[1]Hugst!$R$5:$W$9,MATCH(ROUNDUP((H$1)/10,0)*10,[1]Hugst!$R$4:$W$4,0))))</f>
        <v>0</v>
      </c>
      <c r="I130">
        <f ca="1">IF($C130-I$1&lt;År1,0,H129*(1-VLOOKUP($A130,[1]Hugst!$R$5:$W$9,MATCH(ROUNDUP((I$1)/10,0)*10,[1]Hugst!$R$4:$W$4,0))))</f>
        <v>0</v>
      </c>
      <c r="J130">
        <f ca="1">IF($C130-J$1&lt;År1,0,I129*(1-VLOOKUP($A130,[1]Hugst!$R$5:$W$9,MATCH(ROUNDUP((J$1)/10,0)*10,[1]Hugst!$R$4:$W$4,0))))</f>
        <v>0</v>
      </c>
      <c r="K130">
        <f>IF($C130-K$1&lt;År1,0,J129*(1-VLOOKUP($A130,[1]Hugst!$R$5:$W$9,MATCH(ROUNDUP((K$1)/10,0)*10,[1]Hugst!$R$4:$W$4,0))))</f>
        <v>0</v>
      </c>
      <c r="L130">
        <f>IF($C130-L$1&lt;År1,0,K129*(1-VLOOKUP($A130,[1]Hugst!$R$5:$W$9,MATCH(ROUNDUP((L$1)/10,0)*10,[1]Hugst!$R$4:$W$4,0))))</f>
        <v>0</v>
      </c>
      <c r="M130">
        <f>IF($C130-M$1&lt;År1,0,L129*(1-VLOOKUP($A130,[1]Hugst!$R$5:$W$9,MATCH(ROUNDUP((M$1)/10,0)*10,[1]Hugst!$R$4:$W$4,0))))</f>
        <v>0</v>
      </c>
      <c r="N130">
        <f>IF($C130-N$1&lt;År1,0,M129*(1-VLOOKUP($A130,[1]Hugst!$R$5:$W$9,MATCH(ROUNDUP((N$1)/10,0)*10,[1]Hugst!$R$4:$W$4,0))))</f>
        <v>0</v>
      </c>
      <c r="O130">
        <f>IF($C130-O$1&lt;År1,0,N129*(1-VLOOKUP($A130,[1]Hugst!$R$5:$W$9,MATCH(ROUNDUP((O$1)/10,0)*10,[1]Hugst!$R$4:$W$4,0))))</f>
        <v>0</v>
      </c>
      <c r="P130">
        <f>IF($C130-P$1&lt;År1,0,O129*(1-VLOOKUP($A130,[1]Hugst!$R$5:$W$9,MATCH(ROUNDUP((P$1)/10,0)*10,[1]Hugst!$R$4:$W$4,0))))</f>
        <v>0</v>
      </c>
      <c r="Q130">
        <f>IF($C130-Q$1&lt;År1,0,P129*(1-VLOOKUP($A130,[1]Hugst!$R$5:$W$9,MATCH(ROUNDUP((Q$1)/10,0)*10,[1]Hugst!$R$4:$W$4,0))))</f>
        <v>0</v>
      </c>
      <c r="R130">
        <f>IF($C130-R$1&lt;År1,0,Q129*(1-VLOOKUP($A130,[1]Hugst!$R$5:$W$9,MATCH(ROUNDUP((R$1)/10,0)*10,[1]Hugst!$R$4:$W$4,0))))</f>
        <v>0</v>
      </c>
      <c r="S130">
        <f>IF($C130-S$1&lt;År1,0,R129*(1-VLOOKUP($A130,[1]Hugst!$R$5:$W$9,MATCH(ROUNDUP((S$1)/10,0)*10,[1]Hugst!$R$4:$W$4,0))))</f>
        <v>0</v>
      </c>
      <c r="T130">
        <f>IF($C130-T$1&lt;År1,0,S129*(1-VLOOKUP($A130,[1]Hugst!$R$5:$W$9,MATCH(ROUNDUP((T$1)/10,0)*10,[1]Hugst!$R$4:$W$4,0))))</f>
        <v>0</v>
      </c>
      <c r="U130">
        <f>IF($C130-U$1&lt;År1,0,T129*(1-VLOOKUP($A130,[1]Hugst!$R$5:$W$9,MATCH(ROUNDUP((U$1)/10,0)*10,[1]Hugst!$R$4:$W$4,0))))</f>
        <v>0</v>
      </c>
      <c r="V130">
        <f>IF($C130-V$1&lt;År1,0,U129*(1-VLOOKUP($A130,[1]Hugst!$R$5:$W$9,MATCH(ROUNDUP((V$1)/10,0)*10,[1]Hugst!$R$4:$W$4,0))))</f>
        <v>0</v>
      </c>
      <c r="W130">
        <f>IF($C130-W$1&lt;År1,0,V129*(1-VLOOKUP($A130,[1]Hugst!$R$5:$W$9,MATCH(ROUNDUP((W$1)/10,0)*10,[1]Hugst!$R$4:$W$4,0))))</f>
        <v>0</v>
      </c>
      <c r="X130">
        <f>IF($C130-X$1&lt;År1,0,W129*(1-VLOOKUP($A130,[1]Hugst!$R$5:$W$9,MATCH(ROUNDUP((X$1)/10,0)*10,[1]Hugst!$R$4:$W$4,0))))</f>
        <v>0</v>
      </c>
      <c r="Y130">
        <f>IF($C130-Y$1&lt;År1,0,X129*(1-VLOOKUP($A130,[1]Hugst!$R$5:$W$9,MATCH(ROUNDUP((Y$1)/10,0)*10,[1]Hugst!$R$4:$W$4,0))))</f>
        <v>0</v>
      </c>
      <c r="Z130">
        <f>IF($C130-Z$1&lt;År1,0,Y129*(1-VLOOKUP($A130,[1]Hugst!$R$5:$W$9,MATCH(ROUNDUP((Z$1)/10,0)*10,[1]Hugst!$R$4:$W$4,0))))</f>
        <v>0</v>
      </c>
      <c r="AA130">
        <f>IF($C130-AA$1&lt;År1,0,Z129*(1-VLOOKUP($A130,[1]Hugst!$R$5:$W$9,MATCH(ROUNDUP((AA$1)/10,0)*10,[1]Hugst!$R$4:$W$4,0))))</f>
        <v>0</v>
      </c>
      <c r="AB130">
        <f>IF($C130-AB$1&lt;År1,0,AA129*(1-VLOOKUP($A130,[1]Hugst!$R$5:$W$9,MATCH(ROUNDUP((AB$1)/10,0)*10,[1]Hugst!$R$4:$W$4,0))))</f>
        <v>0</v>
      </c>
      <c r="AC130">
        <f>IF($C130-AC$1&lt;År1,0,AB129*(1-VLOOKUP($A130,[1]Hugst!$R$5:$W$9,MATCH(ROUNDUP((AC$1)/10,0)*10,[1]Hugst!$R$4:$W$4,0))))</f>
        <v>0</v>
      </c>
      <c r="AD130">
        <f>IF($C130-AD$1&lt;År1,0,AC129*(1-VLOOKUP($A130,[1]Hugst!$R$5:$W$9,MATCH(ROUNDUP((AD$1)/10,0)*10,[1]Hugst!$R$4:$W$4,0))))</f>
        <v>0</v>
      </c>
      <c r="AE130">
        <f>IF($C130-AE$1&lt;År1,0,AD129*(1-VLOOKUP($A130,[1]Hugst!$R$5:$W$9,MATCH(ROUNDUP((AE$1)/10,0)*10,[1]Hugst!$R$4:$W$4,0))))</f>
        <v>0</v>
      </c>
      <c r="AF130">
        <f>IF($C130-AF$1&lt;År1,0,AE129*(1-VLOOKUP($A130,[1]Hugst!$R$5:$W$9,MATCH(ROUNDUP((AF$1)/10,0)*10,[1]Hugst!$R$4:$W$4,0))))</f>
        <v>0</v>
      </c>
      <c r="AG130">
        <f>IF($C130-AG$1&lt;År1,0,AF129*(1-VLOOKUP($A130,[1]Hugst!$R$5:$W$9,MATCH(ROUNDUP((AG$1)/10,0)*10,[1]Hugst!$R$4:$W$4,0))))</f>
        <v>0</v>
      </c>
      <c r="AH130">
        <f>IF($C130-AH$1&lt;År1,0,AG129*(1-VLOOKUP($A130,[1]Hugst!$R$5:$W$9,MATCH(ROUNDUP((AH$1)/10,0)*10,[1]Hugst!$R$4:$W$4,0))))</f>
        <v>0</v>
      </c>
      <c r="AI130">
        <f>IF($C130-AI$1&lt;År1,0,AH129*(1-VLOOKUP($A130,[1]Hugst!$R$5:$W$9,MATCH(ROUNDUP((AI$1)/10,0)*10,[1]Hugst!$R$4:$W$4,0))))</f>
        <v>0</v>
      </c>
      <c r="AJ130">
        <f>IF($C130-AJ$1&lt;År1,0,AI129*(1-VLOOKUP($A130,[1]Hugst!$R$5:$W$9,MATCH(ROUNDUP((AJ$1)/10,0)*10,[1]Hugst!$R$4:$W$4,0))))</f>
        <v>0</v>
      </c>
    </row>
    <row r="131" spans="1:36" x14ac:dyDescent="0.25">
      <c r="A131" t="s">
        <v>178</v>
      </c>
      <c r="B131" t="s">
        <v>23</v>
      </c>
      <c r="C131">
        <v>2025</v>
      </c>
      <c r="D131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0</v>
      </c>
      <c r="E131">
        <f t="shared" ca="1" si="3"/>
        <v>0</v>
      </c>
      <c r="F131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>
        <f ca="1">IF($C131-G$1&lt;År1,0,F130*(1-VLOOKUP($A131,[1]Hugst!$R$5:$W$9,MATCH(ROUNDUP((G$1)/10,0)*10,[1]Hugst!$R$4:$W$4,0))))</f>
        <v>0</v>
      </c>
      <c r="H131">
        <f ca="1">IF($C131-H$1&lt;År1,0,G130*(1-VLOOKUP($A131,[1]Hugst!$R$5:$W$9,MATCH(ROUNDUP((H$1)/10,0)*10,[1]Hugst!$R$4:$W$4,0))))</f>
        <v>0</v>
      </c>
      <c r="I131">
        <f ca="1">IF($C131-I$1&lt;År1,0,H130*(1-VLOOKUP($A131,[1]Hugst!$R$5:$W$9,MATCH(ROUNDUP((I$1)/10,0)*10,[1]Hugst!$R$4:$W$4,0))))</f>
        <v>0</v>
      </c>
      <c r="J131">
        <f ca="1">IF($C131-J$1&lt;År1,0,I130*(1-VLOOKUP($A131,[1]Hugst!$R$5:$W$9,MATCH(ROUNDUP((J$1)/10,0)*10,[1]Hugst!$R$4:$W$4,0))))</f>
        <v>0</v>
      </c>
      <c r="K131">
        <f ca="1">IF($C131-K$1&lt;År1,0,J130*(1-VLOOKUP($A131,[1]Hugst!$R$5:$W$9,MATCH(ROUNDUP((K$1)/10,0)*10,[1]Hugst!$R$4:$W$4,0))))</f>
        <v>0</v>
      </c>
      <c r="L131">
        <f>IF($C131-L$1&lt;År1,0,K130*(1-VLOOKUP($A131,[1]Hugst!$R$5:$W$9,MATCH(ROUNDUP((L$1)/10,0)*10,[1]Hugst!$R$4:$W$4,0))))</f>
        <v>0</v>
      </c>
      <c r="M131">
        <f>IF($C131-M$1&lt;År1,0,L130*(1-VLOOKUP($A131,[1]Hugst!$R$5:$W$9,MATCH(ROUNDUP((M$1)/10,0)*10,[1]Hugst!$R$4:$W$4,0))))</f>
        <v>0</v>
      </c>
      <c r="N131">
        <f>IF($C131-N$1&lt;År1,0,M130*(1-VLOOKUP($A131,[1]Hugst!$R$5:$W$9,MATCH(ROUNDUP((N$1)/10,0)*10,[1]Hugst!$R$4:$W$4,0))))</f>
        <v>0</v>
      </c>
      <c r="O131">
        <f>IF($C131-O$1&lt;År1,0,N130*(1-VLOOKUP($A131,[1]Hugst!$R$5:$W$9,MATCH(ROUNDUP((O$1)/10,0)*10,[1]Hugst!$R$4:$W$4,0))))</f>
        <v>0</v>
      </c>
      <c r="P131">
        <f>IF($C131-P$1&lt;År1,0,O130*(1-VLOOKUP($A131,[1]Hugst!$R$5:$W$9,MATCH(ROUNDUP((P$1)/10,0)*10,[1]Hugst!$R$4:$W$4,0))))</f>
        <v>0</v>
      </c>
      <c r="Q131">
        <f>IF($C131-Q$1&lt;År1,0,P130*(1-VLOOKUP($A131,[1]Hugst!$R$5:$W$9,MATCH(ROUNDUP((Q$1)/10,0)*10,[1]Hugst!$R$4:$W$4,0))))</f>
        <v>0</v>
      </c>
      <c r="R131">
        <f>IF($C131-R$1&lt;År1,0,Q130*(1-VLOOKUP($A131,[1]Hugst!$R$5:$W$9,MATCH(ROUNDUP((R$1)/10,0)*10,[1]Hugst!$R$4:$W$4,0))))</f>
        <v>0</v>
      </c>
      <c r="S131">
        <f>IF($C131-S$1&lt;År1,0,R130*(1-VLOOKUP($A131,[1]Hugst!$R$5:$W$9,MATCH(ROUNDUP((S$1)/10,0)*10,[1]Hugst!$R$4:$W$4,0))))</f>
        <v>0</v>
      </c>
      <c r="T131">
        <f>IF($C131-T$1&lt;År1,0,S130*(1-VLOOKUP($A131,[1]Hugst!$R$5:$W$9,MATCH(ROUNDUP((T$1)/10,0)*10,[1]Hugst!$R$4:$W$4,0))))</f>
        <v>0</v>
      </c>
      <c r="U131">
        <f>IF($C131-U$1&lt;År1,0,T130*(1-VLOOKUP($A131,[1]Hugst!$R$5:$W$9,MATCH(ROUNDUP((U$1)/10,0)*10,[1]Hugst!$R$4:$W$4,0))))</f>
        <v>0</v>
      </c>
      <c r="V131">
        <f>IF($C131-V$1&lt;År1,0,U130*(1-VLOOKUP($A131,[1]Hugst!$R$5:$W$9,MATCH(ROUNDUP((V$1)/10,0)*10,[1]Hugst!$R$4:$W$4,0))))</f>
        <v>0</v>
      </c>
      <c r="W131">
        <f>IF($C131-W$1&lt;År1,0,V130*(1-VLOOKUP($A131,[1]Hugst!$R$5:$W$9,MATCH(ROUNDUP((W$1)/10,0)*10,[1]Hugst!$R$4:$W$4,0))))</f>
        <v>0</v>
      </c>
      <c r="X131">
        <f>IF($C131-X$1&lt;År1,0,W130*(1-VLOOKUP($A131,[1]Hugst!$R$5:$W$9,MATCH(ROUNDUP((X$1)/10,0)*10,[1]Hugst!$R$4:$W$4,0))))</f>
        <v>0</v>
      </c>
      <c r="Y131">
        <f>IF($C131-Y$1&lt;År1,0,X130*(1-VLOOKUP($A131,[1]Hugst!$R$5:$W$9,MATCH(ROUNDUP((Y$1)/10,0)*10,[1]Hugst!$R$4:$W$4,0))))</f>
        <v>0</v>
      </c>
      <c r="Z131">
        <f>IF($C131-Z$1&lt;År1,0,Y130*(1-VLOOKUP($A131,[1]Hugst!$R$5:$W$9,MATCH(ROUNDUP((Z$1)/10,0)*10,[1]Hugst!$R$4:$W$4,0))))</f>
        <v>0</v>
      </c>
      <c r="AA131">
        <f>IF($C131-AA$1&lt;År1,0,Z130*(1-VLOOKUP($A131,[1]Hugst!$R$5:$W$9,MATCH(ROUNDUP((AA$1)/10,0)*10,[1]Hugst!$R$4:$W$4,0))))</f>
        <v>0</v>
      </c>
      <c r="AB131">
        <f>IF($C131-AB$1&lt;År1,0,AA130*(1-VLOOKUP($A131,[1]Hugst!$R$5:$W$9,MATCH(ROUNDUP((AB$1)/10,0)*10,[1]Hugst!$R$4:$W$4,0))))</f>
        <v>0</v>
      </c>
      <c r="AC131">
        <f>IF($C131-AC$1&lt;År1,0,AB130*(1-VLOOKUP($A131,[1]Hugst!$R$5:$W$9,MATCH(ROUNDUP((AC$1)/10,0)*10,[1]Hugst!$R$4:$W$4,0))))</f>
        <v>0</v>
      </c>
      <c r="AD131">
        <f>IF($C131-AD$1&lt;År1,0,AC130*(1-VLOOKUP($A131,[1]Hugst!$R$5:$W$9,MATCH(ROUNDUP((AD$1)/10,0)*10,[1]Hugst!$R$4:$W$4,0))))</f>
        <v>0</v>
      </c>
      <c r="AE131">
        <f>IF($C131-AE$1&lt;År1,0,AD130*(1-VLOOKUP($A131,[1]Hugst!$R$5:$W$9,MATCH(ROUNDUP((AE$1)/10,0)*10,[1]Hugst!$R$4:$W$4,0))))</f>
        <v>0</v>
      </c>
      <c r="AF131">
        <f>IF($C131-AF$1&lt;År1,0,AE130*(1-VLOOKUP($A131,[1]Hugst!$R$5:$W$9,MATCH(ROUNDUP((AF$1)/10,0)*10,[1]Hugst!$R$4:$W$4,0))))</f>
        <v>0</v>
      </c>
      <c r="AG131">
        <f>IF($C131-AG$1&lt;År1,0,AF130*(1-VLOOKUP($A131,[1]Hugst!$R$5:$W$9,MATCH(ROUNDUP((AG$1)/10,0)*10,[1]Hugst!$R$4:$W$4,0))))</f>
        <v>0</v>
      </c>
      <c r="AH131">
        <f>IF($C131-AH$1&lt;År1,0,AG130*(1-VLOOKUP($A131,[1]Hugst!$R$5:$W$9,MATCH(ROUNDUP((AH$1)/10,0)*10,[1]Hugst!$R$4:$W$4,0))))</f>
        <v>0</v>
      </c>
      <c r="AI131">
        <f>IF($C131-AI$1&lt;År1,0,AH130*(1-VLOOKUP($A131,[1]Hugst!$R$5:$W$9,MATCH(ROUNDUP((AI$1)/10,0)*10,[1]Hugst!$R$4:$W$4,0))))</f>
        <v>0</v>
      </c>
      <c r="AJ131">
        <f>IF($C131-AJ$1&lt;År1,0,AI130*(1-VLOOKUP($A131,[1]Hugst!$R$5:$W$9,MATCH(ROUNDUP((AJ$1)/10,0)*10,[1]Hugst!$R$4:$W$4,0))))</f>
        <v>0</v>
      </c>
    </row>
    <row r="132" spans="1:36" x14ac:dyDescent="0.25">
      <c r="A132" t="s">
        <v>178</v>
      </c>
      <c r="B132" t="s">
        <v>23</v>
      </c>
      <c r="C132">
        <v>2026</v>
      </c>
      <c r="D132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0</v>
      </c>
      <c r="E132">
        <f t="shared" ca="1" si="3"/>
        <v>0</v>
      </c>
      <c r="F132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>
        <f ca="1">IF($C132-G$1&lt;År1,0,F131*(1-VLOOKUP($A132,[1]Hugst!$R$5:$W$9,MATCH(ROUNDUP((G$1)/10,0)*10,[1]Hugst!$R$4:$W$4,0))))</f>
        <v>0</v>
      </c>
      <c r="H132">
        <f ca="1">IF($C132-H$1&lt;År1,0,G131*(1-VLOOKUP($A132,[1]Hugst!$R$5:$W$9,MATCH(ROUNDUP((H$1)/10,0)*10,[1]Hugst!$R$4:$W$4,0))))</f>
        <v>0</v>
      </c>
      <c r="I132">
        <f ca="1">IF($C132-I$1&lt;År1,0,H131*(1-VLOOKUP($A132,[1]Hugst!$R$5:$W$9,MATCH(ROUNDUP((I$1)/10,0)*10,[1]Hugst!$R$4:$W$4,0))))</f>
        <v>0</v>
      </c>
      <c r="J132">
        <f ca="1">IF($C132-J$1&lt;År1,0,I131*(1-VLOOKUP($A132,[1]Hugst!$R$5:$W$9,MATCH(ROUNDUP((J$1)/10,0)*10,[1]Hugst!$R$4:$W$4,0))))</f>
        <v>0</v>
      </c>
      <c r="K132">
        <f ca="1">IF($C132-K$1&lt;År1,0,J131*(1-VLOOKUP($A132,[1]Hugst!$R$5:$W$9,MATCH(ROUNDUP((K$1)/10,0)*10,[1]Hugst!$R$4:$W$4,0))))</f>
        <v>0</v>
      </c>
      <c r="L132">
        <f ca="1">IF($C132-L$1&lt;År1,0,K131*(1-VLOOKUP($A132,[1]Hugst!$R$5:$W$9,MATCH(ROUNDUP((L$1)/10,0)*10,[1]Hugst!$R$4:$W$4,0))))</f>
        <v>0</v>
      </c>
      <c r="M132">
        <f>IF($C132-M$1&lt;År1,0,L131*(1-VLOOKUP($A132,[1]Hugst!$R$5:$W$9,MATCH(ROUNDUP((M$1)/10,0)*10,[1]Hugst!$R$4:$W$4,0))))</f>
        <v>0</v>
      </c>
      <c r="N132">
        <f>IF($C132-N$1&lt;År1,0,M131*(1-VLOOKUP($A132,[1]Hugst!$R$5:$W$9,MATCH(ROUNDUP((N$1)/10,0)*10,[1]Hugst!$R$4:$W$4,0))))</f>
        <v>0</v>
      </c>
      <c r="O132">
        <f>IF($C132-O$1&lt;År1,0,N131*(1-VLOOKUP($A132,[1]Hugst!$R$5:$W$9,MATCH(ROUNDUP((O$1)/10,0)*10,[1]Hugst!$R$4:$W$4,0))))</f>
        <v>0</v>
      </c>
      <c r="P132">
        <f>IF($C132-P$1&lt;År1,0,O131*(1-VLOOKUP($A132,[1]Hugst!$R$5:$W$9,MATCH(ROUNDUP((P$1)/10,0)*10,[1]Hugst!$R$4:$W$4,0))))</f>
        <v>0</v>
      </c>
      <c r="Q132">
        <f>IF($C132-Q$1&lt;År1,0,P131*(1-VLOOKUP($A132,[1]Hugst!$R$5:$W$9,MATCH(ROUNDUP((Q$1)/10,0)*10,[1]Hugst!$R$4:$W$4,0))))</f>
        <v>0</v>
      </c>
      <c r="R132">
        <f>IF($C132-R$1&lt;År1,0,Q131*(1-VLOOKUP($A132,[1]Hugst!$R$5:$W$9,MATCH(ROUNDUP((R$1)/10,0)*10,[1]Hugst!$R$4:$W$4,0))))</f>
        <v>0</v>
      </c>
      <c r="S132">
        <f>IF($C132-S$1&lt;År1,0,R131*(1-VLOOKUP($A132,[1]Hugst!$R$5:$W$9,MATCH(ROUNDUP((S$1)/10,0)*10,[1]Hugst!$R$4:$W$4,0))))</f>
        <v>0</v>
      </c>
      <c r="T132">
        <f>IF($C132-T$1&lt;År1,0,S131*(1-VLOOKUP($A132,[1]Hugst!$R$5:$W$9,MATCH(ROUNDUP((T$1)/10,0)*10,[1]Hugst!$R$4:$W$4,0))))</f>
        <v>0</v>
      </c>
      <c r="U132">
        <f>IF($C132-U$1&lt;År1,0,T131*(1-VLOOKUP($A132,[1]Hugst!$R$5:$W$9,MATCH(ROUNDUP((U$1)/10,0)*10,[1]Hugst!$R$4:$W$4,0))))</f>
        <v>0</v>
      </c>
      <c r="V132">
        <f>IF($C132-V$1&lt;År1,0,U131*(1-VLOOKUP($A132,[1]Hugst!$R$5:$W$9,MATCH(ROUNDUP((V$1)/10,0)*10,[1]Hugst!$R$4:$W$4,0))))</f>
        <v>0</v>
      </c>
      <c r="W132">
        <f>IF($C132-W$1&lt;År1,0,V131*(1-VLOOKUP($A132,[1]Hugst!$R$5:$W$9,MATCH(ROUNDUP((W$1)/10,0)*10,[1]Hugst!$R$4:$W$4,0))))</f>
        <v>0</v>
      </c>
      <c r="X132">
        <f>IF($C132-X$1&lt;År1,0,W131*(1-VLOOKUP($A132,[1]Hugst!$R$5:$W$9,MATCH(ROUNDUP((X$1)/10,0)*10,[1]Hugst!$R$4:$W$4,0))))</f>
        <v>0</v>
      </c>
      <c r="Y132">
        <f>IF($C132-Y$1&lt;År1,0,X131*(1-VLOOKUP($A132,[1]Hugst!$R$5:$W$9,MATCH(ROUNDUP((Y$1)/10,0)*10,[1]Hugst!$R$4:$W$4,0))))</f>
        <v>0</v>
      </c>
      <c r="Z132">
        <f>IF($C132-Z$1&lt;År1,0,Y131*(1-VLOOKUP($A132,[1]Hugst!$R$5:$W$9,MATCH(ROUNDUP((Z$1)/10,0)*10,[1]Hugst!$R$4:$W$4,0))))</f>
        <v>0</v>
      </c>
      <c r="AA132">
        <f>IF($C132-AA$1&lt;År1,0,Z131*(1-VLOOKUP($A132,[1]Hugst!$R$5:$W$9,MATCH(ROUNDUP((AA$1)/10,0)*10,[1]Hugst!$R$4:$W$4,0))))</f>
        <v>0</v>
      </c>
      <c r="AB132">
        <f>IF($C132-AB$1&lt;År1,0,AA131*(1-VLOOKUP($A132,[1]Hugst!$R$5:$W$9,MATCH(ROUNDUP((AB$1)/10,0)*10,[1]Hugst!$R$4:$W$4,0))))</f>
        <v>0</v>
      </c>
      <c r="AC132">
        <f>IF($C132-AC$1&lt;År1,0,AB131*(1-VLOOKUP($A132,[1]Hugst!$R$5:$W$9,MATCH(ROUNDUP((AC$1)/10,0)*10,[1]Hugst!$R$4:$W$4,0))))</f>
        <v>0</v>
      </c>
      <c r="AD132">
        <f>IF($C132-AD$1&lt;År1,0,AC131*(1-VLOOKUP($A132,[1]Hugst!$R$5:$W$9,MATCH(ROUNDUP((AD$1)/10,0)*10,[1]Hugst!$R$4:$W$4,0))))</f>
        <v>0</v>
      </c>
      <c r="AE132">
        <f>IF($C132-AE$1&lt;År1,0,AD131*(1-VLOOKUP($A132,[1]Hugst!$R$5:$W$9,MATCH(ROUNDUP((AE$1)/10,0)*10,[1]Hugst!$R$4:$W$4,0))))</f>
        <v>0</v>
      </c>
      <c r="AF132">
        <f>IF($C132-AF$1&lt;År1,0,AE131*(1-VLOOKUP($A132,[1]Hugst!$R$5:$W$9,MATCH(ROUNDUP((AF$1)/10,0)*10,[1]Hugst!$R$4:$W$4,0))))</f>
        <v>0</v>
      </c>
      <c r="AG132">
        <f>IF($C132-AG$1&lt;År1,0,AF131*(1-VLOOKUP($A132,[1]Hugst!$R$5:$W$9,MATCH(ROUNDUP((AG$1)/10,0)*10,[1]Hugst!$R$4:$W$4,0))))</f>
        <v>0</v>
      </c>
      <c r="AH132">
        <f>IF($C132-AH$1&lt;År1,0,AG131*(1-VLOOKUP($A132,[1]Hugst!$R$5:$W$9,MATCH(ROUNDUP((AH$1)/10,0)*10,[1]Hugst!$R$4:$W$4,0))))</f>
        <v>0</v>
      </c>
      <c r="AI132">
        <f>IF($C132-AI$1&lt;År1,0,AH131*(1-VLOOKUP($A132,[1]Hugst!$R$5:$W$9,MATCH(ROUNDUP((AI$1)/10,0)*10,[1]Hugst!$R$4:$W$4,0))))</f>
        <v>0</v>
      </c>
      <c r="AJ132">
        <f>IF($C132-AJ$1&lt;År1,0,AI131*(1-VLOOKUP($A132,[1]Hugst!$R$5:$W$9,MATCH(ROUNDUP((AJ$1)/10,0)*10,[1]Hugst!$R$4:$W$4,0))))</f>
        <v>0</v>
      </c>
    </row>
    <row r="133" spans="1:36" x14ac:dyDescent="0.25">
      <c r="A133" t="s">
        <v>178</v>
      </c>
      <c r="B133" t="s">
        <v>23</v>
      </c>
      <c r="C133">
        <v>2027</v>
      </c>
      <c r="D133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0</v>
      </c>
      <c r="E133">
        <f t="shared" ca="1" si="3"/>
        <v>0</v>
      </c>
      <c r="F133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>
        <f ca="1">IF($C133-G$1&lt;År1,0,F132*(1-VLOOKUP($A133,[1]Hugst!$R$5:$W$9,MATCH(ROUNDUP((G$1)/10,0)*10,[1]Hugst!$R$4:$W$4,0))))</f>
        <v>0</v>
      </c>
      <c r="H133">
        <f ca="1">IF($C133-H$1&lt;År1,0,G132*(1-VLOOKUP($A133,[1]Hugst!$R$5:$W$9,MATCH(ROUNDUP((H$1)/10,0)*10,[1]Hugst!$R$4:$W$4,0))))</f>
        <v>0</v>
      </c>
      <c r="I133">
        <f ca="1">IF($C133-I$1&lt;År1,0,H132*(1-VLOOKUP($A133,[1]Hugst!$R$5:$W$9,MATCH(ROUNDUP((I$1)/10,0)*10,[1]Hugst!$R$4:$W$4,0))))</f>
        <v>0</v>
      </c>
      <c r="J133">
        <f ca="1">IF($C133-J$1&lt;År1,0,I132*(1-VLOOKUP($A133,[1]Hugst!$R$5:$W$9,MATCH(ROUNDUP((J$1)/10,0)*10,[1]Hugst!$R$4:$W$4,0))))</f>
        <v>0</v>
      </c>
      <c r="K133">
        <f ca="1">IF($C133-K$1&lt;År1,0,J132*(1-VLOOKUP($A133,[1]Hugst!$R$5:$W$9,MATCH(ROUNDUP((K$1)/10,0)*10,[1]Hugst!$R$4:$W$4,0))))</f>
        <v>0</v>
      </c>
      <c r="L133">
        <f ca="1">IF($C133-L$1&lt;År1,0,K132*(1-VLOOKUP($A133,[1]Hugst!$R$5:$W$9,MATCH(ROUNDUP((L$1)/10,0)*10,[1]Hugst!$R$4:$W$4,0))))</f>
        <v>0</v>
      </c>
      <c r="M133">
        <f ca="1">IF($C133-M$1&lt;År1,0,L132*(1-VLOOKUP($A133,[1]Hugst!$R$5:$W$9,MATCH(ROUNDUP((M$1)/10,0)*10,[1]Hugst!$R$4:$W$4,0))))</f>
        <v>0</v>
      </c>
      <c r="N133">
        <f>IF($C133-N$1&lt;År1,0,M132*(1-VLOOKUP($A133,[1]Hugst!$R$5:$W$9,MATCH(ROUNDUP((N$1)/10,0)*10,[1]Hugst!$R$4:$W$4,0))))</f>
        <v>0</v>
      </c>
      <c r="O133">
        <f>IF($C133-O$1&lt;År1,0,N132*(1-VLOOKUP($A133,[1]Hugst!$R$5:$W$9,MATCH(ROUNDUP((O$1)/10,0)*10,[1]Hugst!$R$4:$W$4,0))))</f>
        <v>0</v>
      </c>
      <c r="P133">
        <f>IF($C133-P$1&lt;År1,0,O132*(1-VLOOKUP($A133,[1]Hugst!$R$5:$W$9,MATCH(ROUNDUP((P$1)/10,0)*10,[1]Hugst!$R$4:$W$4,0))))</f>
        <v>0</v>
      </c>
      <c r="Q133">
        <f>IF($C133-Q$1&lt;År1,0,P132*(1-VLOOKUP($A133,[1]Hugst!$R$5:$W$9,MATCH(ROUNDUP((Q$1)/10,0)*10,[1]Hugst!$R$4:$W$4,0))))</f>
        <v>0</v>
      </c>
      <c r="R133">
        <f>IF($C133-R$1&lt;År1,0,Q132*(1-VLOOKUP($A133,[1]Hugst!$R$5:$W$9,MATCH(ROUNDUP((R$1)/10,0)*10,[1]Hugst!$R$4:$W$4,0))))</f>
        <v>0</v>
      </c>
      <c r="S133">
        <f>IF($C133-S$1&lt;År1,0,R132*(1-VLOOKUP($A133,[1]Hugst!$R$5:$W$9,MATCH(ROUNDUP((S$1)/10,0)*10,[1]Hugst!$R$4:$W$4,0))))</f>
        <v>0</v>
      </c>
      <c r="T133">
        <f>IF($C133-T$1&lt;År1,0,S132*(1-VLOOKUP($A133,[1]Hugst!$R$5:$W$9,MATCH(ROUNDUP((T$1)/10,0)*10,[1]Hugst!$R$4:$W$4,0))))</f>
        <v>0</v>
      </c>
      <c r="U133">
        <f>IF($C133-U$1&lt;År1,0,T132*(1-VLOOKUP($A133,[1]Hugst!$R$5:$W$9,MATCH(ROUNDUP((U$1)/10,0)*10,[1]Hugst!$R$4:$W$4,0))))</f>
        <v>0</v>
      </c>
      <c r="V133">
        <f>IF($C133-V$1&lt;År1,0,U132*(1-VLOOKUP($A133,[1]Hugst!$R$5:$W$9,MATCH(ROUNDUP((V$1)/10,0)*10,[1]Hugst!$R$4:$W$4,0))))</f>
        <v>0</v>
      </c>
      <c r="W133">
        <f>IF($C133-W$1&lt;År1,0,V132*(1-VLOOKUP($A133,[1]Hugst!$R$5:$W$9,MATCH(ROUNDUP((W$1)/10,0)*10,[1]Hugst!$R$4:$W$4,0))))</f>
        <v>0</v>
      </c>
      <c r="X133">
        <f>IF($C133-X$1&lt;År1,0,W132*(1-VLOOKUP($A133,[1]Hugst!$R$5:$W$9,MATCH(ROUNDUP((X$1)/10,0)*10,[1]Hugst!$R$4:$W$4,0))))</f>
        <v>0</v>
      </c>
      <c r="Y133">
        <f>IF($C133-Y$1&lt;År1,0,X132*(1-VLOOKUP($A133,[1]Hugst!$R$5:$W$9,MATCH(ROUNDUP((Y$1)/10,0)*10,[1]Hugst!$R$4:$W$4,0))))</f>
        <v>0</v>
      </c>
      <c r="Z133">
        <f>IF($C133-Z$1&lt;År1,0,Y132*(1-VLOOKUP($A133,[1]Hugst!$R$5:$W$9,MATCH(ROUNDUP((Z$1)/10,0)*10,[1]Hugst!$R$4:$W$4,0))))</f>
        <v>0</v>
      </c>
      <c r="AA133">
        <f>IF($C133-AA$1&lt;År1,0,Z132*(1-VLOOKUP($A133,[1]Hugst!$R$5:$W$9,MATCH(ROUNDUP((AA$1)/10,0)*10,[1]Hugst!$R$4:$W$4,0))))</f>
        <v>0</v>
      </c>
      <c r="AB133">
        <f>IF($C133-AB$1&lt;År1,0,AA132*(1-VLOOKUP($A133,[1]Hugst!$R$5:$W$9,MATCH(ROUNDUP((AB$1)/10,0)*10,[1]Hugst!$R$4:$W$4,0))))</f>
        <v>0</v>
      </c>
      <c r="AC133">
        <f>IF($C133-AC$1&lt;År1,0,AB132*(1-VLOOKUP($A133,[1]Hugst!$R$5:$W$9,MATCH(ROUNDUP((AC$1)/10,0)*10,[1]Hugst!$R$4:$W$4,0))))</f>
        <v>0</v>
      </c>
      <c r="AD133">
        <f>IF($C133-AD$1&lt;År1,0,AC132*(1-VLOOKUP($A133,[1]Hugst!$R$5:$W$9,MATCH(ROUNDUP((AD$1)/10,0)*10,[1]Hugst!$R$4:$W$4,0))))</f>
        <v>0</v>
      </c>
      <c r="AE133">
        <f>IF($C133-AE$1&lt;År1,0,AD132*(1-VLOOKUP($A133,[1]Hugst!$R$5:$W$9,MATCH(ROUNDUP((AE$1)/10,0)*10,[1]Hugst!$R$4:$W$4,0))))</f>
        <v>0</v>
      </c>
      <c r="AF133">
        <f>IF($C133-AF$1&lt;År1,0,AE132*(1-VLOOKUP($A133,[1]Hugst!$R$5:$W$9,MATCH(ROUNDUP((AF$1)/10,0)*10,[1]Hugst!$R$4:$W$4,0))))</f>
        <v>0</v>
      </c>
      <c r="AG133">
        <f>IF($C133-AG$1&lt;År1,0,AF132*(1-VLOOKUP($A133,[1]Hugst!$R$5:$W$9,MATCH(ROUNDUP((AG$1)/10,0)*10,[1]Hugst!$R$4:$W$4,0))))</f>
        <v>0</v>
      </c>
      <c r="AH133">
        <f>IF($C133-AH$1&lt;År1,0,AG132*(1-VLOOKUP($A133,[1]Hugst!$R$5:$W$9,MATCH(ROUNDUP((AH$1)/10,0)*10,[1]Hugst!$R$4:$W$4,0))))</f>
        <v>0</v>
      </c>
      <c r="AI133">
        <f>IF($C133-AI$1&lt;År1,0,AH132*(1-VLOOKUP($A133,[1]Hugst!$R$5:$W$9,MATCH(ROUNDUP((AI$1)/10,0)*10,[1]Hugst!$R$4:$W$4,0))))</f>
        <v>0</v>
      </c>
      <c r="AJ133">
        <f>IF($C133-AJ$1&lt;År1,0,AI132*(1-VLOOKUP($A133,[1]Hugst!$R$5:$W$9,MATCH(ROUNDUP((AJ$1)/10,0)*10,[1]Hugst!$R$4:$W$4,0))))</f>
        <v>0</v>
      </c>
    </row>
    <row r="134" spans="1:36" x14ac:dyDescent="0.25">
      <c r="A134" t="s">
        <v>178</v>
      </c>
      <c r="B134" t="s">
        <v>23</v>
      </c>
      <c r="C134">
        <v>2028</v>
      </c>
      <c r="D134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0</v>
      </c>
      <c r="E134">
        <f t="shared" ca="1" si="3"/>
        <v>0</v>
      </c>
      <c r="F134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>
        <f ca="1">IF($C134-G$1&lt;År1,0,F133*(1-VLOOKUP($A134,[1]Hugst!$R$5:$W$9,MATCH(ROUNDUP((G$1)/10,0)*10,[1]Hugst!$R$4:$W$4,0))))</f>
        <v>0</v>
      </c>
      <c r="H134">
        <f ca="1">IF($C134-H$1&lt;År1,0,G133*(1-VLOOKUP($A134,[1]Hugst!$R$5:$W$9,MATCH(ROUNDUP((H$1)/10,0)*10,[1]Hugst!$R$4:$W$4,0))))</f>
        <v>0</v>
      </c>
      <c r="I134">
        <f ca="1">IF($C134-I$1&lt;År1,0,H133*(1-VLOOKUP($A134,[1]Hugst!$R$5:$W$9,MATCH(ROUNDUP((I$1)/10,0)*10,[1]Hugst!$R$4:$W$4,0))))</f>
        <v>0</v>
      </c>
      <c r="J134">
        <f ca="1">IF($C134-J$1&lt;År1,0,I133*(1-VLOOKUP($A134,[1]Hugst!$R$5:$W$9,MATCH(ROUNDUP((J$1)/10,0)*10,[1]Hugst!$R$4:$W$4,0))))</f>
        <v>0</v>
      </c>
      <c r="K134">
        <f ca="1">IF($C134-K$1&lt;År1,0,J133*(1-VLOOKUP($A134,[1]Hugst!$R$5:$W$9,MATCH(ROUNDUP((K$1)/10,0)*10,[1]Hugst!$R$4:$W$4,0))))</f>
        <v>0</v>
      </c>
      <c r="L134">
        <f ca="1">IF($C134-L$1&lt;År1,0,K133*(1-VLOOKUP($A134,[1]Hugst!$R$5:$W$9,MATCH(ROUNDUP((L$1)/10,0)*10,[1]Hugst!$R$4:$W$4,0))))</f>
        <v>0</v>
      </c>
      <c r="M134">
        <f ca="1">IF($C134-M$1&lt;År1,0,L133*(1-VLOOKUP($A134,[1]Hugst!$R$5:$W$9,MATCH(ROUNDUP((M$1)/10,0)*10,[1]Hugst!$R$4:$W$4,0))))</f>
        <v>0</v>
      </c>
      <c r="N134">
        <f ca="1">IF($C134-N$1&lt;År1,0,M133*(1-VLOOKUP($A134,[1]Hugst!$R$5:$W$9,MATCH(ROUNDUP((N$1)/10,0)*10,[1]Hugst!$R$4:$W$4,0))))</f>
        <v>0</v>
      </c>
      <c r="O134">
        <f>IF($C134-O$1&lt;År1,0,N133*(1-VLOOKUP($A134,[1]Hugst!$R$5:$W$9,MATCH(ROUNDUP((O$1)/10,0)*10,[1]Hugst!$R$4:$W$4,0))))</f>
        <v>0</v>
      </c>
      <c r="P134">
        <f>IF($C134-P$1&lt;År1,0,O133*(1-VLOOKUP($A134,[1]Hugst!$R$5:$W$9,MATCH(ROUNDUP((P$1)/10,0)*10,[1]Hugst!$R$4:$W$4,0))))</f>
        <v>0</v>
      </c>
      <c r="Q134">
        <f>IF($C134-Q$1&lt;År1,0,P133*(1-VLOOKUP($A134,[1]Hugst!$R$5:$W$9,MATCH(ROUNDUP((Q$1)/10,0)*10,[1]Hugst!$R$4:$W$4,0))))</f>
        <v>0</v>
      </c>
      <c r="R134">
        <f>IF($C134-R$1&lt;År1,0,Q133*(1-VLOOKUP($A134,[1]Hugst!$R$5:$W$9,MATCH(ROUNDUP((R$1)/10,0)*10,[1]Hugst!$R$4:$W$4,0))))</f>
        <v>0</v>
      </c>
      <c r="S134">
        <f>IF($C134-S$1&lt;År1,0,R133*(1-VLOOKUP($A134,[1]Hugst!$R$5:$W$9,MATCH(ROUNDUP((S$1)/10,0)*10,[1]Hugst!$R$4:$W$4,0))))</f>
        <v>0</v>
      </c>
      <c r="T134">
        <f>IF($C134-T$1&lt;År1,0,S133*(1-VLOOKUP($A134,[1]Hugst!$R$5:$W$9,MATCH(ROUNDUP((T$1)/10,0)*10,[1]Hugst!$R$4:$W$4,0))))</f>
        <v>0</v>
      </c>
      <c r="U134">
        <f>IF($C134-U$1&lt;År1,0,T133*(1-VLOOKUP($A134,[1]Hugst!$R$5:$W$9,MATCH(ROUNDUP((U$1)/10,0)*10,[1]Hugst!$R$4:$W$4,0))))</f>
        <v>0</v>
      </c>
      <c r="V134">
        <f>IF($C134-V$1&lt;År1,0,U133*(1-VLOOKUP($A134,[1]Hugst!$R$5:$W$9,MATCH(ROUNDUP((V$1)/10,0)*10,[1]Hugst!$R$4:$W$4,0))))</f>
        <v>0</v>
      </c>
      <c r="W134">
        <f>IF($C134-W$1&lt;År1,0,V133*(1-VLOOKUP($A134,[1]Hugst!$R$5:$W$9,MATCH(ROUNDUP((W$1)/10,0)*10,[1]Hugst!$R$4:$W$4,0))))</f>
        <v>0</v>
      </c>
      <c r="X134">
        <f>IF($C134-X$1&lt;År1,0,W133*(1-VLOOKUP($A134,[1]Hugst!$R$5:$W$9,MATCH(ROUNDUP((X$1)/10,0)*10,[1]Hugst!$R$4:$W$4,0))))</f>
        <v>0</v>
      </c>
      <c r="Y134">
        <f>IF($C134-Y$1&lt;År1,0,X133*(1-VLOOKUP($A134,[1]Hugst!$R$5:$W$9,MATCH(ROUNDUP((Y$1)/10,0)*10,[1]Hugst!$R$4:$W$4,0))))</f>
        <v>0</v>
      </c>
      <c r="Z134">
        <f>IF($C134-Z$1&lt;År1,0,Y133*(1-VLOOKUP($A134,[1]Hugst!$R$5:$W$9,MATCH(ROUNDUP((Z$1)/10,0)*10,[1]Hugst!$R$4:$W$4,0))))</f>
        <v>0</v>
      </c>
      <c r="AA134">
        <f>IF($C134-AA$1&lt;År1,0,Z133*(1-VLOOKUP($A134,[1]Hugst!$R$5:$W$9,MATCH(ROUNDUP((AA$1)/10,0)*10,[1]Hugst!$R$4:$W$4,0))))</f>
        <v>0</v>
      </c>
      <c r="AB134">
        <f>IF($C134-AB$1&lt;År1,0,AA133*(1-VLOOKUP($A134,[1]Hugst!$R$5:$W$9,MATCH(ROUNDUP((AB$1)/10,0)*10,[1]Hugst!$R$4:$W$4,0))))</f>
        <v>0</v>
      </c>
      <c r="AC134">
        <f>IF($C134-AC$1&lt;År1,0,AB133*(1-VLOOKUP($A134,[1]Hugst!$R$5:$W$9,MATCH(ROUNDUP((AC$1)/10,0)*10,[1]Hugst!$R$4:$W$4,0))))</f>
        <v>0</v>
      </c>
      <c r="AD134">
        <f>IF($C134-AD$1&lt;År1,0,AC133*(1-VLOOKUP($A134,[1]Hugst!$R$5:$W$9,MATCH(ROUNDUP((AD$1)/10,0)*10,[1]Hugst!$R$4:$W$4,0))))</f>
        <v>0</v>
      </c>
      <c r="AE134">
        <f>IF($C134-AE$1&lt;År1,0,AD133*(1-VLOOKUP($A134,[1]Hugst!$R$5:$W$9,MATCH(ROUNDUP((AE$1)/10,0)*10,[1]Hugst!$R$4:$W$4,0))))</f>
        <v>0</v>
      </c>
      <c r="AF134">
        <f>IF($C134-AF$1&lt;År1,0,AE133*(1-VLOOKUP($A134,[1]Hugst!$R$5:$W$9,MATCH(ROUNDUP((AF$1)/10,0)*10,[1]Hugst!$R$4:$W$4,0))))</f>
        <v>0</v>
      </c>
      <c r="AG134">
        <f>IF($C134-AG$1&lt;År1,0,AF133*(1-VLOOKUP($A134,[1]Hugst!$R$5:$W$9,MATCH(ROUNDUP((AG$1)/10,0)*10,[1]Hugst!$R$4:$W$4,0))))</f>
        <v>0</v>
      </c>
      <c r="AH134">
        <f>IF($C134-AH$1&lt;År1,0,AG133*(1-VLOOKUP($A134,[1]Hugst!$R$5:$W$9,MATCH(ROUNDUP((AH$1)/10,0)*10,[1]Hugst!$R$4:$W$4,0))))</f>
        <v>0</v>
      </c>
      <c r="AI134">
        <f>IF($C134-AI$1&lt;År1,0,AH133*(1-VLOOKUP($A134,[1]Hugst!$R$5:$W$9,MATCH(ROUNDUP((AI$1)/10,0)*10,[1]Hugst!$R$4:$W$4,0))))</f>
        <v>0</v>
      </c>
      <c r="AJ134">
        <f>IF($C134-AJ$1&lt;År1,0,AI133*(1-VLOOKUP($A134,[1]Hugst!$R$5:$W$9,MATCH(ROUNDUP((AJ$1)/10,0)*10,[1]Hugst!$R$4:$W$4,0))))</f>
        <v>0</v>
      </c>
    </row>
    <row r="135" spans="1:36" x14ac:dyDescent="0.25">
      <c r="A135" t="s">
        <v>178</v>
      </c>
      <c r="B135" t="s">
        <v>23</v>
      </c>
      <c r="C135">
        <v>2029</v>
      </c>
      <c r="D135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0</v>
      </c>
      <c r="E135">
        <f t="shared" ca="1" si="3"/>
        <v>0</v>
      </c>
      <c r="F135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>
        <f ca="1">IF($C135-G$1&lt;År1,0,F134*(1-VLOOKUP($A135,[1]Hugst!$R$5:$W$9,MATCH(ROUNDUP((G$1)/10,0)*10,[1]Hugst!$R$4:$W$4,0))))</f>
        <v>0</v>
      </c>
      <c r="H135">
        <f ca="1">IF($C135-H$1&lt;År1,0,G134*(1-VLOOKUP($A135,[1]Hugst!$R$5:$W$9,MATCH(ROUNDUP((H$1)/10,0)*10,[1]Hugst!$R$4:$W$4,0))))</f>
        <v>0</v>
      </c>
      <c r="I135">
        <f ca="1">IF($C135-I$1&lt;År1,0,H134*(1-VLOOKUP($A135,[1]Hugst!$R$5:$W$9,MATCH(ROUNDUP((I$1)/10,0)*10,[1]Hugst!$R$4:$W$4,0))))</f>
        <v>0</v>
      </c>
      <c r="J135">
        <f ca="1">IF($C135-J$1&lt;År1,0,I134*(1-VLOOKUP($A135,[1]Hugst!$R$5:$W$9,MATCH(ROUNDUP((J$1)/10,0)*10,[1]Hugst!$R$4:$W$4,0))))</f>
        <v>0</v>
      </c>
      <c r="K135">
        <f ca="1">IF($C135-K$1&lt;År1,0,J134*(1-VLOOKUP($A135,[1]Hugst!$R$5:$W$9,MATCH(ROUNDUP((K$1)/10,0)*10,[1]Hugst!$R$4:$W$4,0))))</f>
        <v>0</v>
      </c>
      <c r="L135">
        <f ca="1">IF($C135-L$1&lt;År1,0,K134*(1-VLOOKUP($A135,[1]Hugst!$R$5:$W$9,MATCH(ROUNDUP((L$1)/10,0)*10,[1]Hugst!$R$4:$W$4,0))))</f>
        <v>0</v>
      </c>
      <c r="M135">
        <f ca="1">IF($C135-M$1&lt;År1,0,L134*(1-VLOOKUP($A135,[1]Hugst!$R$5:$W$9,MATCH(ROUNDUP((M$1)/10,0)*10,[1]Hugst!$R$4:$W$4,0))))</f>
        <v>0</v>
      </c>
      <c r="N135">
        <f ca="1">IF($C135-N$1&lt;År1,0,M134*(1-VLOOKUP($A135,[1]Hugst!$R$5:$W$9,MATCH(ROUNDUP((N$1)/10,0)*10,[1]Hugst!$R$4:$W$4,0))))</f>
        <v>0</v>
      </c>
      <c r="O135">
        <f ca="1">IF($C135-O$1&lt;År1,0,N134*(1-VLOOKUP($A135,[1]Hugst!$R$5:$W$9,MATCH(ROUNDUP((O$1)/10,0)*10,[1]Hugst!$R$4:$W$4,0))))</f>
        <v>0</v>
      </c>
      <c r="P135">
        <f>IF($C135-P$1&lt;År1,0,O134*(1-VLOOKUP($A135,[1]Hugst!$R$5:$W$9,MATCH(ROUNDUP((P$1)/10,0)*10,[1]Hugst!$R$4:$W$4,0))))</f>
        <v>0</v>
      </c>
      <c r="Q135">
        <f>IF($C135-Q$1&lt;År1,0,P134*(1-VLOOKUP($A135,[1]Hugst!$R$5:$W$9,MATCH(ROUNDUP((Q$1)/10,0)*10,[1]Hugst!$R$4:$W$4,0))))</f>
        <v>0</v>
      </c>
      <c r="R135">
        <f>IF($C135-R$1&lt;År1,0,Q134*(1-VLOOKUP($A135,[1]Hugst!$R$5:$W$9,MATCH(ROUNDUP((R$1)/10,0)*10,[1]Hugst!$R$4:$W$4,0))))</f>
        <v>0</v>
      </c>
      <c r="S135">
        <f>IF($C135-S$1&lt;År1,0,R134*(1-VLOOKUP($A135,[1]Hugst!$R$5:$W$9,MATCH(ROUNDUP((S$1)/10,0)*10,[1]Hugst!$R$4:$W$4,0))))</f>
        <v>0</v>
      </c>
      <c r="T135">
        <f>IF($C135-T$1&lt;År1,0,S134*(1-VLOOKUP($A135,[1]Hugst!$R$5:$W$9,MATCH(ROUNDUP((T$1)/10,0)*10,[1]Hugst!$R$4:$W$4,0))))</f>
        <v>0</v>
      </c>
      <c r="U135">
        <f>IF($C135-U$1&lt;År1,0,T134*(1-VLOOKUP($A135,[1]Hugst!$R$5:$W$9,MATCH(ROUNDUP((U$1)/10,0)*10,[1]Hugst!$R$4:$W$4,0))))</f>
        <v>0</v>
      </c>
      <c r="V135">
        <f>IF($C135-V$1&lt;År1,0,U134*(1-VLOOKUP($A135,[1]Hugst!$R$5:$W$9,MATCH(ROUNDUP((V$1)/10,0)*10,[1]Hugst!$R$4:$W$4,0))))</f>
        <v>0</v>
      </c>
      <c r="W135">
        <f>IF($C135-W$1&lt;År1,0,V134*(1-VLOOKUP($A135,[1]Hugst!$R$5:$W$9,MATCH(ROUNDUP((W$1)/10,0)*10,[1]Hugst!$R$4:$W$4,0))))</f>
        <v>0</v>
      </c>
      <c r="X135">
        <f>IF($C135-X$1&lt;År1,0,W134*(1-VLOOKUP($A135,[1]Hugst!$R$5:$W$9,MATCH(ROUNDUP((X$1)/10,0)*10,[1]Hugst!$R$4:$W$4,0))))</f>
        <v>0</v>
      </c>
      <c r="Y135">
        <f>IF($C135-Y$1&lt;År1,0,X134*(1-VLOOKUP($A135,[1]Hugst!$R$5:$W$9,MATCH(ROUNDUP((Y$1)/10,0)*10,[1]Hugst!$R$4:$W$4,0))))</f>
        <v>0</v>
      </c>
      <c r="Z135">
        <f>IF($C135-Z$1&lt;År1,0,Y134*(1-VLOOKUP($A135,[1]Hugst!$R$5:$W$9,MATCH(ROUNDUP((Z$1)/10,0)*10,[1]Hugst!$R$4:$W$4,0))))</f>
        <v>0</v>
      </c>
      <c r="AA135">
        <f>IF($C135-AA$1&lt;År1,0,Z134*(1-VLOOKUP($A135,[1]Hugst!$R$5:$W$9,MATCH(ROUNDUP((AA$1)/10,0)*10,[1]Hugst!$R$4:$W$4,0))))</f>
        <v>0</v>
      </c>
      <c r="AB135">
        <f>IF($C135-AB$1&lt;År1,0,AA134*(1-VLOOKUP($A135,[1]Hugst!$R$5:$W$9,MATCH(ROUNDUP((AB$1)/10,0)*10,[1]Hugst!$R$4:$W$4,0))))</f>
        <v>0</v>
      </c>
      <c r="AC135">
        <f>IF($C135-AC$1&lt;År1,0,AB134*(1-VLOOKUP($A135,[1]Hugst!$R$5:$W$9,MATCH(ROUNDUP((AC$1)/10,0)*10,[1]Hugst!$R$4:$W$4,0))))</f>
        <v>0</v>
      </c>
      <c r="AD135">
        <f>IF($C135-AD$1&lt;År1,0,AC134*(1-VLOOKUP($A135,[1]Hugst!$R$5:$W$9,MATCH(ROUNDUP((AD$1)/10,0)*10,[1]Hugst!$R$4:$W$4,0))))</f>
        <v>0</v>
      </c>
      <c r="AE135">
        <f>IF($C135-AE$1&lt;År1,0,AD134*(1-VLOOKUP($A135,[1]Hugst!$R$5:$W$9,MATCH(ROUNDUP((AE$1)/10,0)*10,[1]Hugst!$R$4:$W$4,0))))</f>
        <v>0</v>
      </c>
      <c r="AF135">
        <f>IF($C135-AF$1&lt;År1,0,AE134*(1-VLOOKUP($A135,[1]Hugst!$R$5:$W$9,MATCH(ROUNDUP((AF$1)/10,0)*10,[1]Hugst!$R$4:$W$4,0))))</f>
        <v>0</v>
      </c>
      <c r="AG135">
        <f>IF($C135-AG$1&lt;År1,0,AF134*(1-VLOOKUP($A135,[1]Hugst!$R$5:$W$9,MATCH(ROUNDUP((AG$1)/10,0)*10,[1]Hugst!$R$4:$W$4,0))))</f>
        <v>0</v>
      </c>
      <c r="AH135">
        <f>IF($C135-AH$1&lt;År1,0,AG134*(1-VLOOKUP($A135,[1]Hugst!$R$5:$W$9,MATCH(ROUNDUP((AH$1)/10,0)*10,[1]Hugst!$R$4:$W$4,0))))</f>
        <v>0</v>
      </c>
      <c r="AI135">
        <f>IF($C135-AI$1&lt;År1,0,AH134*(1-VLOOKUP($A135,[1]Hugst!$R$5:$W$9,MATCH(ROUNDUP((AI$1)/10,0)*10,[1]Hugst!$R$4:$W$4,0))))</f>
        <v>0</v>
      </c>
      <c r="AJ135">
        <f>IF($C135-AJ$1&lt;År1,0,AI134*(1-VLOOKUP($A135,[1]Hugst!$R$5:$W$9,MATCH(ROUNDUP((AJ$1)/10,0)*10,[1]Hugst!$R$4:$W$4,0))))</f>
        <v>0</v>
      </c>
    </row>
    <row r="136" spans="1:36" x14ac:dyDescent="0.25">
      <c r="A136" t="s">
        <v>178</v>
      </c>
      <c r="B136" t="s">
        <v>23</v>
      </c>
      <c r="C136">
        <v>2030</v>
      </c>
      <c r="D136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0</v>
      </c>
      <c r="E136">
        <f t="shared" ca="1" si="3"/>
        <v>0</v>
      </c>
      <c r="F136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>
        <f ca="1">IF($C136-G$1&lt;År1,0,F135*(1-VLOOKUP($A136,[1]Hugst!$R$5:$W$9,MATCH(ROUNDUP((G$1)/10,0)*10,[1]Hugst!$R$4:$W$4,0))))</f>
        <v>0</v>
      </c>
      <c r="H136">
        <f ca="1">IF($C136-H$1&lt;År1,0,G135*(1-VLOOKUP($A136,[1]Hugst!$R$5:$W$9,MATCH(ROUNDUP((H$1)/10,0)*10,[1]Hugst!$R$4:$W$4,0))))</f>
        <v>0</v>
      </c>
      <c r="I136">
        <f ca="1">IF($C136-I$1&lt;År1,0,H135*(1-VLOOKUP($A136,[1]Hugst!$R$5:$W$9,MATCH(ROUNDUP((I$1)/10,0)*10,[1]Hugst!$R$4:$W$4,0))))</f>
        <v>0</v>
      </c>
      <c r="J136">
        <f ca="1">IF($C136-J$1&lt;År1,0,I135*(1-VLOOKUP($A136,[1]Hugst!$R$5:$W$9,MATCH(ROUNDUP((J$1)/10,0)*10,[1]Hugst!$R$4:$W$4,0))))</f>
        <v>0</v>
      </c>
      <c r="K136">
        <f ca="1">IF($C136-K$1&lt;År1,0,J135*(1-VLOOKUP($A136,[1]Hugst!$R$5:$W$9,MATCH(ROUNDUP((K$1)/10,0)*10,[1]Hugst!$R$4:$W$4,0))))</f>
        <v>0</v>
      </c>
      <c r="L136">
        <f ca="1">IF($C136-L$1&lt;År1,0,K135*(1-VLOOKUP($A136,[1]Hugst!$R$5:$W$9,MATCH(ROUNDUP((L$1)/10,0)*10,[1]Hugst!$R$4:$W$4,0))))</f>
        <v>0</v>
      </c>
      <c r="M136">
        <f ca="1">IF($C136-M$1&lt;År1,0,L135*(1-VLOOKUP($A136,[1]Hugst!$R$5:$W$9,MATCH(ROUNDUP((M$1)/10,0)*10,[1]Hugst!$R$4:$W$4,0))))</f>
        <v>0</v>
      </c>
      <c r="N136">
        <f ca="1">IF($C136-N$1&lt;År1,0,M135*(1-VLOOKUP($A136,[1]Hugst!$R$5:$W$9,MATCH(ROUNDUP((N$1)/10,0)*10,[1]Hugst!$R$4:$W$4,0))))</f>
        <v>0</v>
      </c>
      <c r="O136">
        <f ca="1">IF($C136-O$1&lt;År1,0,N135*(1-VLOOKUP($A136,[1]Hugst!$R$5:$W$9,MATCH(ROUNDUP((O$1)/10,0)*10,[1]Hugst!$R$4:$W$4,0))))</f>
        <v>0</v>
      </c>
      <c r="P136">
        <f ca="1">IF($C136-P$1&lt;År1,0,O135*(1-VLOOKUP($A136,[1]Hugst!$R$5:$W$9,MATCH(ROUNDUP((P$1)/10,0)*10,[1]Hugst!$R$4:$W$4,0))))</f>
        <v>0</v>
      </c>
      <c r="Q136">
        <f>IF($C136-Q$1&lt;År1,0,P135*(1-VLOOKUP($A136,[1]Hugst!$R$5:$W$9,MATCH(ROUNDUP((Q$1)/10,0)*10,[1]Hugst!$R$4:$W$4,0))))</f>
        <v>0</v>
      </c>
      <c r="R136">
        <f>IF($C136-R$1&lt;År1,0,Q135*(1-VLOOKUP($A136,[1]Hugst!$R$5:$W$9,MATCH(ROUNDUP((R$1)/10,0)*10,[1]Hugst!$R$4:$W$4,0))))</f>
        <v>0</v>
      </c>
      <c r="S136">
        <f>IF($C136-S$1&lt;År1,0,R135*(1-VLOOKUP($A136,[1]Hugst!$R$5:$W$9,MATCH(ROUNDUP((S$1)/10,0)*10,[1]Hugst!$R$4:$W$4,0))))</f>
        <v>0</v>
      </c>
      <c r="T136">
        <f>IF($C136-T$1&lt;År1,0,S135*(1-VLOOKUP($A136,[1]Hugst!$R$5:$W$9,MATCH(ROUNDUP((T$1)/10,0)*10,[1]Hugst!$R$4:$W$4,0))))</f>
        <v>0</v>
      </c>
      <c r="U136">
        <f>IF($C136-U$1&lt;År1,0,T135*(1-VLOOKUP($A136,[1]Hugst!$R$5:$W$9,MATCH(ROUNDUP((U$1)/10,0)*10,[1]Hugst!$R$4:$W$4,0))))</f>
        <v>0</v>
      </c>
      <c r="V136">
        <f>IF($C136-V$1&lt;År1,0,U135*(1-VLOOKUP($A136,[1]Hugst!$R$5:$W$9,MATCH(ROUNDUP((V$1)/10,0)*10,[1]Hugst!$R$4:$W$4,0))))</f>
        <v>0</v>
      </c>
      <c r="W136">
        <f>IF($C136-W$1&lt;År1,0,V135*(1-VLOOKUP($A136,[1]Hugst!$R$5:$W$9,MATCH(ROUNDUP((W$1)/10,0)*10,[1]Hugst!$R$4:$W$4,0))))</f>
        <v>0</v>
      </c>
      <c r="X136">
        <f>IF($C136-X$1&lt;År1,0,W135*(1-VLOOKUP($A136,[1]Hugst!$R$5:$W$9,MATCH(ROUNDUP((X$1)/10,0)*10,[1]Hugst!$R$4:$W$4,0))))</f>
        <v>0</v>
      </c>
      <c r="Y136">
        <f>IF($C136-Y$1&lt;År1,0,X135*(1-VLOOKUP($A136,[1]Hugst!$R$5:$W$9,MATCH(ROUNDUP((Y$1)/10,0)*10,[1]Hugst!$R$4:$W$4,0))))</f>
        <v>0</v>
      </c>
      <c r="Z136">
        <f>IF($C136-Z$1&lt;År1,0,Y135*(1-VLOOKUP($A136,[1]Hugst!$R$5:$W$9,MATCH(ROUNDUP((Z$1)/10,0)*10,[1]Hugst!$R$4:$W$4,0))))</f>
        <v>0</v>
      </c>
      <c r="AA136">
        <f>IF($C136-AA$1&lt;År1,0,Z135*(1-VLOOKUP($A136,[1]Hugst!$R$5:$W$9,MATCH(ROUNDUP((AA$1)/10,0)*10,[1]Hugst!$R$4:$W$4,0))))</f>
        <v>0</v>
      </c>
      <c r="AB136">
        <f>IF($C136-AB$1&lt;År1,0,AA135*(1-VLOOKUP($A136,[1]Hugst!$R$5:$W$9,MATCH(ROUNDUP((AB$1)/10,0)*10,[1]Hugst!$R$4:$W$4,0))))</f>
        <v>0</v>
      </c>
      <c r="AC136">
        <f>IF($C136-AC$1&lt;År1,0,AB135*(1-VLOOKUP($A136,[1]Hugst!$R$5:$W$9,MATCH(ROUNDUP((AC$1)/10,0)*10,[1]Hugst!$R$4:$W$4,0))))</f>
        <v>0</v>
      </c>
      <c r="AD136">
        <f>IF($C136-AD$1&lt;År1,0,AC135*(1-VLOOKUP($A136,[1]Hugst!$R$5:$W$9,MATCH(ROUNDUP((AD$1)/10,0)*10,[1]Hugst!$R$4:$W$4,0))))</f>
        <v>0</v>
      </c>
      <c r="AE136">
        <f>IF($C136-AE$1&lt;År1,0,AD135*(1-VLOOKUP($A136,[1]Hugst!$R$5:$W$9,MATCH(ROUNDUP((AE$1)/10,0)*10,[1]Hugst!$R$4:$W$4,0))))</f>
        <v>0</v>
      </c>
      <c r="AF136">
        <f>IF($C136-AF$1&lt;År1,0,AE135*(1-VLOOKUP($A136,[1]Hugst!$R$5:$W$9,MATCH(ROUNDUP((AF$1)/10,0)*10,[1]Hugst!$R$4:$W$4,0))))</f>
        <v>0</v>
      </c>
      <c r="AG136">
        <f>IF($C136-AG$1&lt;År1,0,AF135*(1-VLOOKUP($A136,[1]Hugst!$R$5:$W$9,MATCH(ROUNDUP((AG$1)/10,0)*10,[1]Hugst!$R$4:$W$4,0))))</f>
        <v>0</v>
      </c>
      <c r="AH136">
        <f>IF($C136-AH$1&lt;År1,0,AG135*(1-VLOOKUP($A136,[1]Hugst!$R$5:$W$9,MATCH(ROUNDUP((AH$1)/10,0)*10,[1]Hugst!$R$4:$W$4,0))))</f>
        <v>0</v>
      </c>
      <c r="AI136">
        <f>IF($C136-AI$1&lt;År1,0,AH135*(1-VLOOKUP($A136,[1]Hugst!$R$5:$W$9,MATCH(ROUNDUP((AI$1)/10,0)*10,[1]Hugst!$R$4:$W$4,0))))</f>
        <v>0</v>
      </c>
      <c r="AJ136">
        <f>IF($C136-AJ$1&lt;År1,0,AI135*(1-VLOOKUP($A136,[1]Hugst!$R$5:$W$9,MATCH(ROUNDUP((AJ$1)/10,0)*10,[1]Hugst!$R$4:$W$4,0))))</f>
        <v>0</v>
      </c>
    </row>
    <row r="137" spans="1:36" x14ac:dyDescent="0.25">
      <c r="A137" t="s">
        <v>178</v>
      </c>
      <c r="B137" t="s">
        <v>23</v>
      </c>
      <c r="C137">
        <v>2031</v>
      </c>
      <c r="D137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0</v>
      </c>
      <c r="E137">
        <f t="shared" ca="1" si="3"/>
        <v>0</v>
      </c>
      <c r="F137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>
        <f ca="1">IF($C137-G$1&lt;År1,0,F136*(1-VLOOKUP($A137,[1]Hugst!$R$5:$W$9,MATCH(ROUNDUP((G$1)/10,0)*10,[1]Hugst!$R$4:$W$4,0))))</f>
        <v>0</v>
      </c>
      <c r="H137">
        <f ca="1">IF($C137-H$1&lt;År1,0,G136*(1-VLOOKUP($A137,[1]Hugst!$R$5:$W$9,MATCH(ROUNDUP((H$1)/10,0)*10,[1]Hugst!$R$4:$W$4,0))))</f>
        <v>0</v>
      </c>
      <c r="I137">
        <f ca="1">IF($C137-I$1&lt;År1,0,H136*(1-VLOOKUP($A137,[1]Hugst!$R$5:$W$9,MATCH(ROUNDUP((I$1)/10,0)*10,[1]Hugst!$R$4:$W$4,0))))</f>
        <v>0</v>
      </c>
      <c r="J137">
        <f ca="1">IF($C137-J$1&lt;År1,0,I136*(1-VLOOKUP($A137,[1]Hugst!$R$5:$W$9,MATCH(ROUNDUP((J$1)/10,0)*10,[1]Hugst!$R$4:$W$4,0))))</f>
        <v>0</v>
      </c>
      <c r="K137">
        <f ca="1">IF($C137-K$1&lt;År1,0,J136*(1-VLOOKUP($A137,[1]Hugst!$R$5:$W$9,MATCH(ROUNDUP((K$1)/10,0)*10,[1]Hugst!$R$4:$W$4,0))))</f>
        <v>0</v>
      </c>
      <c r="L137">
        <f ca="1">IF($C137-L$1&lt;År1,0,K136*(1-VLOOKUP($A137,[1]Hugst!$R$5:$W$9,MATCH(ROUNDUP((L$1)/10,0)*10,[1]Hugst!$R$4:$W$4,0))))</f>
        <v>0</v>
      </c>
      <c r="M137">
        <f ca="1">IF($C137-M$1&lt;År1,0,L136*(1-VLOOKUP($A137,[1]Hugst!$R$5:$W$9,MATCH(ROUNDUP((M$1)/10,0)*10,[1]Hugst!$R$4:$W$4,0))))</f>
        <v>0</v>
      </c>
      <c r="N137">
        <f ca="1">IF($C137-N$1&lt;År1,0,M136*(1-VLOOKUP($A137,[1]Hugst!$R$5:$W$9,MATCH(ROUNDUP((N$1)/10,0)*10,[1]Hugst!$R$4:$W$4,0))))</f>
        <v>0</v>
      </c>
      <c r="O137">
        <f ca="1">IF($C137-O$1&lt;År1,0,N136*(1-VLOOKUP($A137,[1]Hugst!$R$5:$W$9,MATCH(ROUNDUP((O$1)/10,0)*10,[1]Hugst!$R$4:$W$4,0))))</f>
        <v>0</v>
      </c>
      <c r="P137">
        <f ca="1">IF($C137-P$1&lt;År1,0,O136*(1-VLOOKUP($A137,[1]Hugst!$R$5:$W$9,MATCH(ROUNDUP((P$1)/10,0)*10,[1]Hugst!$R$4:$W$4,0))))</f>
        <v>0</v>
      </c>
      <c r="Q137">
        <f ca="1">IF($C137-Q$1&lt;År1,0,P136*(1-VLOOKUP($A137,[1]Hugst!$R$5:$W$9,MATCH(ROUNDUP((Q$1)/10,0)*10,[1]Hugst!$R$4:$W$4,0))))</f>
        <v>0</v>
      </c>
      <c r="R137">
        <f>IF($C137-R$1&lt;År1,0,Q136*(1-VLOOKUP($A137,[1]Hugst!$R$5:$W$9,MATCH(ROUNDUP((R$1)/10,0)*10,[1]Hugst!$R$4:$W$4,0))))</f>
        <v>0</v>
      </c>
      <c r="S137">
        <f>IF($C137-S$1&lt;År1,0,R136*(1-VLOOKUP($A137,[1]Hugst!$R$5:$W$9,MATCH(ROUNDUP((S$1)/10,0)*10,[1]Hugst!$R$4:$W$4,0))))</f>
        <v>0</v>
      </c>
      <c r="T137">
        <f>IF($C137-T$1&lt;År1,0,S136*(1-VLOOKUP($A137,[1]Hugst!$R$5:$W$9,MATCH(ROUNDUP((T$1)/10,0)*10,[1]Hugst!$R$4:$W$4,0))))</f>
        <v>0</v>
      </c>
      <c r="U137">
        <f>IF($C137-U$1&lt;År1,0,T136*(1-VLOOKUP($A137,[1]Hugst!$R$5:$W$9,MATCH(ROUNDUP((U$1)/10,0)*10,[1]Hugst!$R$4:$W$4,0))))</f>
        <v>0</v>
      </c>
      <c r="V137">
        <f>IF($C137-V$1&lt;År1,0,U136*(1-VLOOKUP($A137,[1]Hugst!$R$5:$W$9,MATCH(ROUNDUP((V$1)/10,0)*10,[1]Hugst!$R$4:$W$4,0))))</f>
        <v>0</v>
      </c>
      <c r="W137">
        <f>IF($C137-W$1&lt;År1,0,V136*(1-VLOOKUP($A137,[1]Hugst!$R$5:$W$9,MATCH(ROUNDUP((W$1)/10,0)*10,[1]Hugst!$R$4:$W$4,0))))</f>
        <v>0</v>
      </c>
      <c r="X137">
        <f>IF($C137-X$1&lt;År1,0,W136*(1-VLOOKUP($A137,[1]Hugst!$R$5:$W$9,MATCH(ROUNDUP((X$1)/10,0)*10,[1]Hugst!$R$4:$W$4,0))))</f>
        <v>0</v>
      </c>
      <c r="Y137">
        <f>IF($C137-Y$1&lt;År1,0,X136*(1-VLOOKUP($A137,[1]Hugst!$R$5:$W$9,MATCH(ROUNDUP((Y$1)/10,0)*10,[1]Hugst!$R$4:$W$4,0))))</f>
        <v>0</v>
      </c>
      <c r="Z137">
        <f>IF($C137-Z$1&lt;År1,0,Y136*(1-VLOOKUP($A137,[1]Hugst!$R$5:$W$9,MATCH(ROUNDUP((Z$1)/10,0)*10,[1]Hugst!$R$4:$W$4,0))))</f>
        <v>0</v>
      </c>
      <c r="AA137">
        <f>IF($C137-AA$1&lt;År1,0,Z136*(1-VLOOKUP($A137,[1]Hugst!$R$5:$W$9,MATCH(ROUNDUP((AA$1)/10,0)*10,[1]Hugst!$R$4:$W$4,0))))</f>
        <v>0</v>
      </c>
      <c r="AB137">
        <f>IF($C137-AB$1&lt;År1,0,AA136*(1-VLOOKUP($A137,[1]Hugst!$R$5:$W$9,MATCH(ROUNDUP((AB$1)/10,0)*10,[1]Hugst!$R$4:$W$4,0))))</f>
        <v>0</v>
      </c>
      <c r="AC137">
        <f>IF($C137-AC$1&lt;År1,0,AB136*(1-VLOOKUP($A137,[1]Hugst!$R$5:$W$9,MATCH(ROUNDUP((AC$1)/10,0)*10,[1]Hugst!$R$4:$W$4,0))))</f>
        <v>0</v>
      </c>
      <c r="AD137">
        <f>IF($C137-AD$1&lt;År1,0,AC136*(1-VLOOKUP($A137,[1]Hugst!$R$5:$W$9,MATCH(ROUNDUP((AD$1)/10,0)*10,[1]Hugst!$R$4:$W$4,0))))</f>
        <v>0</v>
      </c>
      <c r="AE137">
        <f>IF($C137-AE$1&lt;År1,0,AD136*(1-VLOOKUP($A137,[1]Hugst!$R$5:$W$9,MATCH(ROUNDUP((AE$1)/10,0)*10,[1]Hugst!$R$4:$W$4,0))))</f>
        <v>0</v>
      </c>
      <c r="AF137">
        <f>IF($C137-AF$1&lt;År1,0,AE136*(1-VLOOKUP($A137,[1]Hugst!$R$5:$W$9,MATCH(ROUNDUP((AF$1)/10,0)*10,[1]Hugst!$R$4:$W$4,0))))</f>
        <v>0</v>
      </c>
      <c r="AG137">
        <f>IF($C137-AG$1&lt;År1,0,AF136*(1-VLOOKUP($A137,[1]Hugst!$R$5:$W$9,MATCH(ROUNDUP((AG$1)/10,0)*10,[1]Hugst!$R$4:$W$4,0))))</f>
        <v>0</v>
      </c>
      <c r="AH137">
        <f>IF($C137-AH$1&lt;År1,0,AG136*(1-VLOOKUP($A137,[1]Hugst!$R$5:$W$9,MATCH(ROUNDUP((AH$1)/10,0)*10,[1]Hugst!$R$4:$W$4,0))))</f>
        <v>0</v>
      </c>
      <c r="AI137">
        <f>IF($C137-AI$1&lt;År1,0,AH136*(1-VLOOKUP($A137,[1]Hugst!$R$5:$W$9,MATCH(ROUNDUP((AI$1)/10,0)*10,[1]Hugst!$R$4:$W$4,0))))</f>
        <v>0</v>
      </c>
      <c r="AJ137">
        <f>IF($C137-AJ$1&lt;År1,0,AI136*(1-VLOOKUP($A137,[1]Hugst!$R$5:$W$9,MATCH(ROUNDUP((AJ$1)/10,0)*10,[1]Hugst!$R$4:$W$4,0))))</f>
        <v>0</v>
      </c>
    </row>
    <row r="138" spans="1:36" x14ac:dyDescent="0.25">
      <c r="A138" t="s">
        <v>178</v>
      </c>
      <c r="B138" t="s">
        <v>23</v>
      </c>
      <c r="C138">
        <v>2032</v>
      </c>
      <c r="D13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0</v>
      </c>
      <c r="E138">
        <f t="shared" ca="1" si="3"/>
        <v>0</v>
      </c>
      <c r="F13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>
        <f ca="1">IF($C138-G$1&lt;År1,0,F137*(1-VLOOKUP($A138,[1]Hugst!$R$5:$W$9,MATCH(ROUNDUP((G$1)/10,0)*10,[1]Hugst!$R$4:$W$4,0))))</f>
        <v>0</v>
      </c>
      <c r="H138">
        <f ca="1">IF($C138-H$1&lt;År1,0,G137*(1-VLOOKUP($A138,[1]Hugst!$R$5:$W$9,MATCH(ROUNDUP((H$1)/10,0)*10,[1]Hugst!$R$4:$W$4,0))))</f>
        <v>0</v>
      </c>
      <c r="I138">
        <f ca="1">IF($C138-I$1&lt;År1,0,H137*(1-VLOOKUP($A138,[1]Hugst!$R$5:$W$9,MATCH(ROUNDUP((I$1)/10,0)*10,[1]Hugst!$R$4:$W$4,0))))</f>
        <v>0</v>
      </c>
      <c r="J138">
        <f ca="1">IF($C138-J$1&lt;År1,0,I137*(1-VLOOKUP($A138,[1]Hugst!$R$5:$W$9,MATCH(ROUNDUP((J$1)/10,0)*10,[1]Hugst!$R$4:$W$4,0))))</f>
        <v>0</v>
      </c>
      <c r="K138">
        <f ca="1">IF($C138-K$1&lt;År1,0,J137*(1-VLOOKUP($A138,[1]Hugst!$R$5:$W$9,MATCH(ROUNDUP((K$1)/10,0)*10,[1]Hugst!$R$4:$W$4,0))))</f>
        <v>0</v>
      </c>
      <c r="L138">
        <f ca="1">IF($C138-L$1&lt;År1,0,K137*(1-VLOOKUP($A138,[1]Hugst!$R$5:$W$9,MATCH(ROUNDUP((L$1)/10,0)*10,[1]Hugst!$R$4:$W$4,0))))</f>
        <v>0</v>
      </c>
      <c r="M138">
        <f ca="1">IF($C138-M$1&lt;År1,0,L137*(1-VLOOKUP($A138,[1]Hugst!$R$5:$W$9,MATCH(ROUNDUP((M$1)/10,0)*10,[1]Hugst!$R$4:$W$4,0))))</f>
        <v>0</v>
      </c>
      <c r="N138">
        <f ca="1">IF($C138-N$1&lt;År1,0,M137*(1-VLOOKUP($A138,[1]Hugst!$R$5:$W$9,MATCH(ROUNDUP((N$1)/10,0)*10,[1]Hugst!$R$4:$W$4,0))))</f>
        <v>0</v>
      </c>
      <c r="O138">
        <f ca="1">IF($C138-O$1&lt;År1,0,N137*(1-VLOOKUP($A138,[1]Hugst!$R$5:$W$9,MATCH(ROUNDUP((O$1)/10,0)*10,[1]Hugst!$R$4:$W$4,0))))</f>
        <v>0</v>
      </c>
      <c r="P138">
        <f ca="1">IF($C138-P$1&lt;År1,0,O137*(1-VLOOKUP($A138,[1]Hugst!$R$5:$W$9,MATCH(ROUNDUP((P$1)/10,0)*10,[1]Hugst!$R$4:$W$4,0))))</f>
        <v>0</v>
      </c>
      <c r="Q138">
        <f ca="1">IF($C138-Q$1&lt;År1,0,P137*(1-VLOOKUP($A138,[1]Hugst!$R$5:$W$9,MATCH(ROUNDUP((Q$1)/10,0)*10,[1]Hugst!$R$4:$W$4,0))))</f>
        <v>0</v>
      </c>
      <c r="R138">
        <f ca="1">IF($C138-R$1&lt;År1,0,Q137*(1-VLOOKUP($A138,[1]Hugst!$R$5:$W$9,MATCH(ROUNDUP((R$1)/10,0)*10,[1]Hugst!$R$4:$W$4,0))))</f>
        <v>0</v>
      </c>
      <c r="S138">
        <f>IF($C138-S$1&lt;År1,0,R137*(1-VLOOKUP($A138,[1]Hugst!$R$5:$W$9,MATCH(ROUNDUP((S$1)/10,0)*10,[1]Hugst!$R$4:$W$4,0))))</f>
        <v>0</v>
      </c>
      <c r="T138">
        <f>IF($C138-T$1&lt;År1,0,S137*(1-VLOOKUP($A138,[1]Hugst!$R$5:$W$9,MATCH(ROUNDUP((T$1)/10,0)*10,[1]Hugst!$R$4:$W$4,0))))</f>
        <v>0</v>
      </c>
      <c r="U138">
        <f>IF($C138-U$1&lt;År1,0,T137*(1-VLOOKUP($A138,[1]Hugst!$R$5:$W$9,MATCH(ROUNDUP((U$1)/10,0)*10,[1]Hugst!$R$4:$W$4,0))))</f>
        <v>0</v>
      </c>
      <c r="V138">
        <f>IF($C138-V$1&lt;År1,0,U137*(1-VLOOKUP($A138,[1]Hugst!$R$5:$W$9,MATCH(ROUNDUP((V$1)/10,0)*10,[1]Hugst!$R$4:$W$4,0))))</f>
        <v>0</v>
      </c>
      <c r="W138">
        <f>IF($C138-W$1&lt;År1,0,V137*(1-VLOOKUP($A138,[1]Hugst!$R$5:$W$9,MATCH(ROUNDUP((W$1)/10,0)*10,[1]Hugst!$R$4:$W$4,0))))</f>
        <v>0</v>
      </c>
      <c r="X138">
        <f>IF($C138-X$1&lt;År1,0,W137*(1-VLOOKUP($A138,[1]Hugst!$R$5:$W$9,MATCH(ROUNDUP((X$1)/10,0)*10,[1]Hugst!$R$4:$W$4,0))))</f>
        <v>0</v>
      </c>
      <c r="Y138">
        <f>IF($C138-Y$1&lt;År1,0,X137*(1-VLOOKUP($A138,[1]Hugst!$R$5:$W$9,MATCH(ROUNDUP((Y$1)/10,0)*10,[1]Hugst!$R$4:$W$4,0))))</f>
        <v>0</v>
      </c>
      <c r="Z138">
        <f>IF($C138-Z$1&lt;År1,0,Y137*(1-VLOOKUP($A138,[1]Hugst!$R$5:$W$9,MATCH(ROUNDUP((Z$1)/10,0)*10,[1]Hugst!$R$4:$W$4,0))))</f>
        <v>0</v>
      </c>
      <c r="AA138">
        <f>IF($C138-AA$1&lt;År1,0,Z137*(1-VLOOKUP($A138,[1]Hugst!$R$5:$W$9,MATCH(ROUNDUP((AA$1)/10,0)*10,[1]Hugst!$R$4:$W$4,0))))</f>
        <v>0</v>
      </c>
      <c r="AB138">
        <f>IF($C138-AB$1&lt;År1,0,AA137*(1-VLOOKUP($A138,[1]Hugst!$R$5:$W$9,MATCH(ROUNDUP((AB$1)/10,0)*10,[1]Hugst!$R$4:$W$4,0))))</f>
        <v>0</v>
      </c>
      <c r="AC138">
        <f>IF($C138-AC$1&lt;År1,0,AB137*(1-VLOOKUP($A138,[1]Hugst!$R$5:$W$9,MATCH(ROUNDUP((AC$1)/10,0)*10,[1]Hugst!$R$4:$W$4,0))))</f>
        <v>0</v>
      </c>
      <c r="AD138">
        <f>IF($C138-AD$1&lt;År1,0,AC137*(1-VLOOKUP($A138,[1]Hugst!$R$5:$W$9,MATCH(ROUNDUP((AD$1)/10,0)*10,[1]Hugst!$R$4:$W$4,0))))</f>
        <v>0</v>
      </c>
      <c r="AE138">
        <f>IF($C138-AE$1&lt;År1,0,AD137*(1-VLOOKUP($A138,[1]Hugst!$R$5:$W$9,MATCH(ROUNDUP((AE$1)/10,0)*10,[1]Hugst!$R$4:$W$4,0))))</f>
        <v>0</v>
      </c>
      <c r="AF138">
        <f>IF($C138-AF$1&lt;År1,0,AE137*(1-VLOOKUP($A138,[1]Hugst!$R$5:$W$9,MATCH(ROUNDUP((AF$1)/10,0)*10,[1]Hugst!$R$4:$W$4,0))))</f>
        <v>0</v>
      </c>
      <c r="AG138">
        <f>IF($C138-AG$1&lt;År1,0,AF137*(1-VLOOKUP($A138,[1]Hugst!$R$5:$W$9,MATCH(ROUNDUP((AG$1)/10,0)*10,[1]Hugst!$R$4:$W$4,0))))</f>
        <v>0</v>
      </c>
      <c r="AH138">
        <f>IF($C138-AH$1&lt;År1,0,AG137*(1-VLOOKUP($A138,[1]Hugst!$R$5:$W$9,MATCH(ROUNDUP((AH$1)/10,0)*10,[1]Hugst!$R$4:$W$4,0))))</f>
        <v>0</v>
      </c>
      <c r="AI138">
        <f>IF($C138-AI$1&lt;År1,0,AH137*(1-VLOOKUP($A138,[1]Hugst!$R$5:$W$9,MATCH(ROUNDUP((AI$1)/10,0)*10,[1]Hugst!$R$4:$W$4,0))))</f>
        <v>0</v>
      </c>
      <c r="AJ138">
        <f>IF($C138-AJ$1&lt;År1,0,AI137*(1-VLOOKUP($A138,[1]Hugst!$R$5:$W$9,MATCH(ROUNDUP((AJ$1)/10,0)*10,[1]Hugst!$R$4:$W$4,0))))</f>
        <v>0</v>
      </c>
    </row>
    <row r="139" spans="1:36" x14ac:dyDescent="0.25">
      <c r="A139" t="s">
        <v>178</v>
      </c>
      <c r="B139" t="s">
        <v>23</v>
      </c>
      <c r="C139">
        <v>2033</v>
      </c>
      <c r="D139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0</v>
      </c>
      <c r="E139">
        <f t="shared" ca="1" si="3"/>
        <v>0</v>
      </c>
      <c r="F13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>
        <f ca="1">IF($C139-G$1&lt;År1,0,F138*(1-VLOOKUP($A139,[1]Hugst!$R$5:$W$9,MATCH(ROUNDUP((G$1)/10,0)*10,[1]Hugst!$R$4:$W$4,0))))</f>
        <v>0</v>
      </c>
      <c r="H139">
        <f ca="1">IF($C139-H$1&lt;År1,0,G138*(1-VLOOKUP($A139,[1]Hugst!$R$5:$W$9,MATCH(ROUNDUP((H$1)/10,0)*10,[1]Hugst!$R$4:$W$4,0))))</f>
        <v>0</v>
      </c>
      <c r="I139">
        <f ca="1">IF($C139-I$1&lt;År1,0,H138*(1-VLOOKUP($A139,[1]Hugst!$R$5:$W$9,MATCH(ROUNDUP((I$1)/10,0)*10,[1]Hugst!$R$4:$W$4,0))))</f>
        <v>0</v>
      </c>
      <c r="J139">
        <f ca="1">IF($C139-J$1&lt;År1,0,I138*(1-VLOOKUP($A139,[1]Hugst!$R$5:$W$9,MATCH(ROUNDUP((J$1)/10,0)*10,[1]Hugst!$R$4:$W$4,0))))</f>
        <v>0</v>
      </c>
      <c r="K139">
        <f ca="1">IF($C139-K$1&lt;År1,0,J138*(1-VLOOKUP($A139,[1]Hugst!$R$5:$W$9,MATCH(ROUNDUP((K$1)/10,0)*10,[1]Hugst!$R$4:$W$4,0))))</f>
        <v>0</v>
      </c>
      <c r="L139">
        <f ca="1">IF($C139-L$1&lt;År1,0,K138*(1-VLOOKUP($A139,[1]Hugst!$R$5:$W$9,MATCH(ROUNDUP((L$1)/10,0)*10,[1]Hugst!$R$4:$W$4,0))))</f>
        <v>0</v>
      </c>
      <c r="M139">
        <f ca="1">IF($C139-M$1&lt;År1,0,L138*(1-VLOOKUP($A139,[1]Hugst!$R$5:$W$9,MATCH(ROUNDUP((M$1)/10,0)*10,[1]Hugst!$R$4:$W$4,0))))</f>
        <v>0</v>
      </c>
      <c r="N139">
        <f ca="1">IF($C139-N$1&lt;År1,0,M138*(1-VLOOKUP($A139,[1]Hugst!$R$5:$W$9,MATCH(ROUNDUP((N$1)/10,0)*10,[1]Hugst!$R$4:$W$4,0))))</f>
        <v>0</v>
      </c>
      <c r="O139">
        <f ca="1">IF($C139-O$1&lt;År1,0,N138*(1-VLOOKUP($A139,[1]Hugst!$R$5:$W$9,MATCH(ROUNDUP((O$1)/10,0)*10,[1]Hugst!$R$4:$W$4,0))))</f>
        <v>0</v>
      </c>
      <c r="P139">
        <f ca="1">IF($C139-P$1&lt;År1,0,O138*(1-VLOOKUP($A139,[1]Hugst!$R$5:$W$9,MATCH(ROUNDUP((P$1)/10,0)*10,[1]Hugst!$R$4:$W$4,0))))</f>
        <v>0</v>
      </c>
      <c r="Q139">
        <f ca="1">IF($C139-Q$1&lt;År1,0,P138*(1-VLOOKUP($A139,[1]Hugst!$R$5:$W$9,MATCH(ROUNDUP((Q$1)/10,0)*10,[1]Hugst!$R$4:$W$4,0))))</f>
        <v>0</v>
      </c>
      <c r="R139">
        <f ca="1">IF($C139-R$1&lt;År1,0,Q138*(1-VLOOKUP($A139,[1]Hugst!$R$5:$W$9,MATCH(ROUNDUP((R$1)/10,0)*10,[1]Hugst!$R$4:$W$4,0))))</f>
        <v>0</v>
      </c>
      <c r="S139">
        <f ca="1">IF($C139-S$1&lt;År1,0,R138*(1-VLOOKUP($A139,[1]Hugst!$R$5:$W$9,MATCH(ROUNDUP((S$1)/10,0)*10,[1]Hugst!$R$4:$W$4,0))))</f>
        <v>0</v>
      </c>
      <c r="T139">
        <f>IF($C139-T$1&lt;År1,0,S138*(1-VLOOKUP($A139,[1]Hugst!$R$5:$W$9,MATCH(ROUNDUP((T$1)/10,0)*10,[1]Hugst!$R$4:$W$4,0))))</f>
        <v>0</v>
      </c>
      <c r="U139">
        <f>IF($C139-U$1&lt;År1,0,T138*(1-VLOOKUP($A139,[1]Hugst!$R$5:$W$9,MATCH(ROUNDUP((U$1)/10,0)*10,[1]Hugst!$R$4:$W$4,0))))</f>
        <v>0</v>
      </c>
      <c r="V139">
        <f>IF($C139-V$1&lt;År1,0,U138*(1-VLOOKUP($A139,[1]Hugst!$R$5:$W$9,MATCH(ROUNDUP((V$1)/10,0)*10,[1]Hugst!$R$4:$W$4,0))))</f>
        <v>0</v>
      </c>
      <c r="W139">
        <f>IF($C139-W$1&lt;År1,0,V138*(1-VLOOKUP($A139,[1]Hugst!$R$5:$W$9,MATCH(ROUNDUP((W$1)/10,0)*10,[1]Hugst!$R$4:$W$4,0))))</f>
        <v>0</v>
      </c>
      <c r="X139">
        <f>IF($C139-X$1&lt;År1,0,W138*(1-VLOOKUP($A139,[1]Hugst!$R$5:$W$9,MATCH(ROUNDUP((X$1)/10,0)*10,[1]Hugst!$R$4:$W$4,0))))</f>
        <v>0</v>
      </c>
      <c r="Y139">
        <f>IF($C139-Y$1&lt;År1,0,X138*(1-VLOOKUP($A139,[1]Hugst!$R$5:$W$9,MATCH(ROUNDUP((Y$1)/10,0)*10,[1]Hugst!$R$4:$W$4,0))))</f>
        <v>0</v>
      </c>
      <c r="Z139">
        <f>IF($C139-Z$1&lt;År1,0,Y138*(1-VLOOKUP($A139,[1]Hugst!$R$5:$W$9,MATCH(ROUNDUP((Z$1)/10,0)*10,[1]Hugst!$R$4:$W$4,0))))</f>
        <v>0</v>
      </c>
      <c r="AA139">
        <f>IF($C139-AA$1&lt;År1,0,Z138*(1-VLOOKUP($A139,[1]Hugst!$R$5:$W$9,MATCH(ROUNDUP((AA$1)/10,0)*10,[1]Hugst!$R$4:$W$4,0))))</f>
        <v>0</v>
      </c>
      <c r="AB139">
        <f>IF($C139-AB$1&lt;År1,0,AA138*(1-VLOOKUP($A139,[1]Hugst!$R$5:$W$9,MATCH(ROUNDUP((AB$1)/10,0)*10,[1]Hugst!$R$4:$W$4,0))))</f>
        <v>0</v>
      </c>
      <c r="AC139">
        <f>IF($C139-AC$1&lt;År1,0,AB138*(1-VLOOKUP($A139,[1]Hugst!$R$5:$W$9,MATCH(ROUNDUP((AC$1)/10,0)*10,[1]Hugst!$R$4:$W$4,0))))</f>
        <v>0</v>
      </c>
      <c r="AD139">
        <f>IF($C139-AD$1&lt;År1,0,AC138*(1-VLOOKUP($A139,[1]Hugst!$R$5:$W$9,MATCH(ROUNDUP((AD$1)/10,0)*10,[1]Hugst!$R$4:$W$4,0))))</f>
        <v>0</v>
      </c>
      <c r="AE139">
        <f>IF($C139-AE$1&lt;År1,0,AD138*(1-VLOOKUP($A139,[1]Hugst!$R$5:$W$9,MATCH(ROUNDUP((AE$1)/10,0)*10,[1]Hugst!$R$4:$W$4,0))))</f>
        <v>0</v>
      </c>
      <c r="AF139">
        <f>IF($C139-AF$1&lt;År1,0,AE138*(1-VLOOKUP($A139,[1]Hugst!$R$5:$W$9,MATCH(ROUNDUP((AF$1)/10,0)*10,[1]Hugst!$R$4:$W$4,0))))</f>
        <v>0</v>
      </c>
      <c r="AG139">
        <f>IF($C139-AG$1&lt;År1,0,AF138*(1-VLOOKUP($A139,[1]Hugst!$R$5:$W$9,MATCH(ROUNDUP((AG$1)/10,0)*10,[1]Hugst!$R$4:$W$4,0))))</f>
        <v>0</v>
      </c>
      <c r="AH139">
        <f>IF($C139-AH$1&lt;År1,0,AG138*(1-VLOOKUP($A139,[1]Hugst!$R$5:$W$9,MATCH(ROUNDUP((AH$1)/10,0)*10,[1]Hugst!$R$4:$W$4,0))))</f>
        <v>0</v>
      </c>
      <c r="AI139">
        <f>IF($C139-AI$1&lt;År1,0,AH138*(1-VLOOKUP($A139,[1]Hugst!$R$5:$W$9,MATCH(ROUNDUP((AI$1)/10,0)*10,[1]Hugst!$R$4:$W$4,0))))</f>
        <v>0</v>
      </c>
      <c r="AJ139">
        <f>IF($C139-AJ$1&lt;År1,0,AI138*(1-VLOOKUP($A139,[1]Hugst!$R$5:$W$9,MATCH(ROUNDUP((AJ$1)/10,0)*10,[1]Hugst!$R$4:$W$4,0))))</f>
        <v>0</v>
      </c>
    </row>
    <row r="140" spans="1:36" x14ac:dyDescent="0.25">
      <c r="A140" t="s">
        <v>178</v>
      </c>
      <c r="B140" t="s">
        <v>23</v>
      </c>
      <c r="C140">
        <v>2034</v>
      </c>
      <c r="D140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0</v>
      </c>
      <c r="E140">
        <f t="shared" ca="1" si="3"/>
        <v>0</v>
      </c>
      <c r="F140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>
        <f ca="1">IF($C140-G$1&lt;År1,0,F139*(1-VLOOKUP($A140,[1]Hugst!$R$5:$W$9,MATCH(ROUNDUP((G$1)/10,0)*10,[1]Hugst!$R$4:$W$4,0))))</f>
        <v>0</v>
      </c>
      <c r="H140">
        <f ca="1">IF($C140-H$1&lt;År1,0,G139*(1-VLOOKUP($A140,[1]Hugst!$R$5:$W$9,MATCH(ROUNDUP((H$1)/10,0)*10,[1]Hugst!$R$4:$W$4,0))))</f>
        <v>0</v>
      </c>
      <c r="I140">
        <f ca="1">IF($C140-I$1&lt;År1,0,H139*(1-VLOOKUP($A140,[1]Hugst!$R$5:$W$9,MATCH(ROUNDUP((I$1)/10,0)*10,[1]Hugst!$R$4:$W$4,0))))</f>
        <v>0</v>
      </c>
      <c r="J140">
        <f ca="1">IF($C140-J$1&lt;År1,0,I139*(1-VLOOKUP($A140,[1]Hugst!$R$5:$W$9,MATCH(ROUNDUP((J$1)/10,0)*10,[1]Hugst!$R$4:$W$4,0))))</f>
        <v>0</v>
      </c>
      <c r="K140">
        <f ca="1">IF($C140-K$1&lt;År1,0,J139*(1-VLOOKUP($A140,[1]Hugst!$R$5:$W$9,MATCH(ROUNDUP((K$1)/10,0)*10,[1]Hugst!$R$4:$W$4,0))))</f>
        <v>0</v>
      </c>
      <c r="L140">
        <f ca="1">IF($C140-L$1&lt;År1,0,K139*(1-VLOOKUP($A140,[1]Hugst!$R$5:$W$9,MATCH(ROUNDUP((L$1)/10,0)*10,[1]Hugst!$R$4:$W$4,0))))</f>
        <v>0</v>
      </c>
      <c r="M140">
        <f ca="1">IF($C140-M$1&lt;År1,0,L139*(1-VLOOKUP($A140,[1]Hugst!$R$5:$W$9,MATCH(ROUNDUP((M$1)/10,0)*10,[1]Hugst!$R$4:$W$4,0))))</f>
        <v>0</v>
      </c>
      <c r="N140">
        <f ca="1">IF($C140-N$1&lt;År1,0,M139*(1-VLOOKUP($A140,[1]Hugst!$R$5:$W$9,MATCH(ROUNDUP((N$1)/10,0)*10,[1]Hugst!$R$4:$W$4,0))))</f>
        <v>0</v>
      </c>
      <c r="O140">
        <f ca="1">IF($C140-O$1&lt;År1,0,N139*(1-VLOOKUP($A140,[1]Hugst!$R$5:$W$9,MATCH(ROUNDUP((O$1)/10,0)*10,[1]Hugst!$R$4:$W$4,0))))</f>
        <v>0</v>
      </c>
      <c r="P140">
        <f ca="1">IF($C140-P$1&lt;År1,0,O139*(1-VLOOKUP($A140,[1]Hugst!$R$5:$W$9,MATCH(ROUNDUP((P$1)/10,0)*10,[1]Hugst!$R$4:$W$4,0))))</f>
        <v>0</v>
      </c>
      <c r="Q140">
        <f ca="1">IF($C140-Q$1&lt;År1,0,P139*(1-VLOOKUP($A140,[1]Hugst!$R$5:$W$9,MATCH(ROUNDUP((Q$1)/10,0)*10,[1]Hugst!$R$4:$W$4,0))))</f>
        <v>0</v>
      </c>
      <c r="R140">
        <f ca="1">IF($C140-R$1&lt;År1,0,Q139*(1-VLOOKUP($A140,[1]Hugst!$R$5:$W$9,MATCH(ROUNDUP((R$1)/10,0)*10,[1]Hugst!$R$4:$W$4,0))))</f>
        <v>0</v>
      </c>
      <c r="S140">
        <f ca="1">IF($C140-S$1&lt;År1,0,R139*(1-VLOOKUP($A140,[1]Hugst!$R$5:$W$9,MATCH(ROUNDUP((S$1)/10,0)*10,[1]Hugst!$R$4:$W$4,0))))</f>
        <v>0</v>
      </c>
      <c r="T140">
        <f ca="1">IF($C140-T$1&lt;År1,0,S139*(1-VLOOKUP($A140,[1]Hugst!$R$5:$W$9,MATCH(ROUNDUP((T$1)/10,0)*10,[1]Hugst!$R$4:$W$4,0))))</f>
        <v>0</v>
      </c>
      <c r="U140">
        <f>IF($C140-U$1&lt;År1,0,T139*(1-VLOOKUP($A140,[1]Hugst!$R$5:$W$9,MATCH(ROUNDUP((U$1)/10,0)*10,[1]Hugst!$R$4:$W$4,0))))</f>
        <v>0</v>
      </c>
      <c r="V140">
        <f>IF($C140-V$1&lt;År1,0,U139*(1-VLOOKUP($A140,[1]Hugst!$R$5:$W$9,MATCH(ROUNDUP((V$1)/10,0)*10,[1]Hugst!$R$4:$W$4,0))))</f>
        <v>0</v>
      </c>
      <c r="W140">
        <f>IF($C140-W$1&lt;År1,0,V139*(1-VLOOKUP($A140,[1]Hugst!$R$5:$W$9,MATCH(ROUNDUP((W$1)/10,0)*10,[1]Hugst!$R$4:$W$4,0))))</f>
        <v>0</v>
      </c>
      <c r="X140">
        <f>IF($C140-X$1&lt;År1,0,W139*(1-VLOOKUP($A140,[1]Hugst!$R$5:$W$9,MATCH(ROUNDUP((X$1)/10,0)*10,[1]Hugst!$R$4:$W$4,0))))</f>
        <v>0</v>
      </c>
      <c r="Y140">
        <f>IF($C140-Y$1&lt;År1,0,X139*(1-VLOOKUP($A140,[1]Hugst!$R$5:$W$9,MATCH(ROUNDUP((Y$1)/10,0)*10,[1]Hugst!$R$4:$W$4,0))))</f>
        <v>0</v>
      </c>
      <c r="Z140">
        <f>IF($C140-Z$1&lt;År1,0,Y139*(1-VLOOKUP($A140,[1]Hugst!$R$5:$W$9,MATCH(ROUNDUP((Z$1)/10,0)*10,[1]Hugst!$R$4:$W$4,0))))</f>
        <v>0</v>
      </c>
      <c r="AA140">
        <f>IF($C140-AA$1&lt;År1,0,Z139*(1-VLOOKUP($A140,[1]Hugst!$R$5:$W$9,MATCH(ROUNDUP((AA$1)/10,0)*10,[1]Hugst!$R$4:$W$4,0))))</f>
        <v>0</v>
      </c>
      <c r="AB140">
        <f>IF($C140-AB$1&lt;År1,0,AA139*(1-VLOOKUP($A140,[1]Hugst!$R$5:$W$9,MATCH(ROUNDUP((AB$1)/10,0)*10,[1]Hugst!$R$4:$W$4,0))))</f>
        <v>0</v>
      </c>
      <c r="AC140">
        <f>IF($C140-AC$1&lt;År1,0,AB139*(1-VLOOKUP($A140,[1]Hugst!$R$5:$W$9,MATCH(ROUNDUP((AC$1)/10,0)*10,[1]Hugst!$R$4:$W$4,0))))</f>
        <v>0</v>
      </c>
      <c r="AD140">
        <f>IF($C140-AD$1&lt;År1,0,AC139*(1-VLOOKUP($A140,[1]Hugst!$R$5:$W$9,MATCH(ROUNDUP((AD$1)/10,0)*10,[1]Hugst!$R$4:$W$4,0))))</f>
        <v>0</v>
      </c>
      <c r="AE140">
        <f>IF($C140-AE$1&lt;År1,0,AD139*(1-VLOOKUP($A140,[1]Hugst!$R$5:$W$9,MATCH(ROUNDUP((AE$1)/10,0)*10,[1]Hugst!$R$4:$W$4,0))))</f>
        <v>0</v>
      </c>
      <c r="AF140">
        <f>IF($C140-AF$1&lt;År1,0,AE139*(1-VLOOKUP($A140,[1]Hugst!$R$5:$W$9,MATCH(ROUNDUP((AF$1)/10,0)*10,[1]Hugst!$R$4:$W$4,0))))</f>
        <v>0</v>
      </c>
      <c r="AG140">
        <f>IF($C140-AG$1&lt;År1,0,AF139*(1-VLOOKUP($A140,[1]Hugst!$R$5:$W$9,MATCH(ROUNDUP((AG$1)/10,0)*10,[1]Hugst!$R$4:$W$4,0))))</f>
        <v>0</v>
      </c>
      <c r="AH140">
        <f>IF($C140-AH$1&lt;År1,0,AG139*(1-VLOOKUP($A140,[1]Hugst!$R$5:$W$9,MATCH(ROUNDUP((AH$1)/10,0)*10,[1]Hugst!$R$4:$W$4,0))))</f>
        <v>0</v>
      </c>
      <c r="AI140">
        <f>IF($C140-AI$1&lt;År1,0,AH139*(1-VLOOKUP($A140,[1]Hugst!$R$5:$W$9,MATCH(ROUNDUP((AI$1)/10,0)*10,[1]Hugst!$R$4:$W$4,0))))</f>
        <v>0</v>
      </c>
      <c r="AJ140">
        <f>IF($C140-AJ$1&lt;År1,0,AI139*(1-VLOOKUP($A140,[1]Hugst!$R$5:$W$9,MATCH(ROUNDUP((AJ$1)/10,0)*10,[1]Hugst!$R$4:$W$4,0))))</f>
        <v>0</v>
      </c>
    </row>
    <row r="141" spans="1:36" x14ac:dyDescent="0.25">
      <c r="A141" t="s">
        <v>178</v>
      </c>
      <c r="B141" t="s">
        <v>23</v>
      </c>
      <c r="C141">
        <v>2035</v>
      </c>
      <c r="D141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0</v>
      </c>
      <c r="E141">
        <f t="shared" ca="1" si="3"/>
        <v>0</v>
      </c>
      <c r="F141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>
        <f ca="1">IF($C141-G$1&lt;År1,0,F140*(1-VLOOKUP($A141,[1]Hugst!$R$5:$W$9,MATCH(ROUNDUP((G$1)/10,0)*10,[1]Hugst!$R$4:$W$4,0))))</f>
        <v>0</v>
      </c>
      <c r="H141">
        <f ca="1">IF($C141-H$1&lt;År1,0,G140*(1-VLOOKUP($A141,[1]Hugst!$R$5:$W$9,MATCH(ROUNDUP((H$1)/10,0)*10,[1]Hugst!$R$4:$W$4,0))))</f>
        <v>0</v>
      </c>
      <c r="I141">
        <f ca="1">IF($C141-I$1&lt;År1,0,H140*(1-VLOOKUP($A141,[1]Hugst!$R$5:$W$9,MATCH(ROUNDUP((I$1)/10,0)*10,[1]Hugst!$R$4:$W$4,0))))</f>
        <v>0</v>
      </c>
      <c r="J141">
        <f ca="1">IF($C141-J$1&lt;År1,0,I140*(1-VLOOKUP($A141,[1]Hugst!$R$5:$W$9,MATCH(ROUNDUP((J$1)/10,0)*10,[1]Hugst!$R$4:$W$4,0))))</f>
        <v>0</v>
      </c>
      <c r="K141">
        <f ca="1">IF($C141-K$1&lt;År1,0,J140*(1-VLOOKUP($A141,[1]Hugst!$R$5:$W$9,MATCH(ROUNDUP((K$1)/10,0)*10,[1]Hugst!$R$4:$W$4,0))))</f>
        <v>0</v>
      </c>
      <c r="L141">
        <f ca="1">IF($C141-L$1&lt;År1,0,K140*(1-VLOOKUP($A141,[1]Hugst!$R$5:$W$9,MATCH(ROUNDUP((L$1)/10,0)*10,[1]Hugst!$R$4:$W$4,0))))</f>
        <v>0</v>
      </c>
      <c r="M141">
        <f ca="1">IF($C141-M$1&lt;År1,0,L140*(1-VLOOKUP($A141,[1]Hugst!$R$5:$W$9,MATCH(ROUNDUP((M$1)/10,0)*10,[1]Hugst!$R$4:$W$4,0))))</f>
        <v>0</v>
      </c>
      <c r="N141">
        <f ca="1">IF($C141-N$1&lt;År1,0,M140*(1-VLOOKUP($A141,[1]Hugst!$R$5:$W$9,MATCH(ROUNDUP((N$1)/10,0)*10,[1]Hugst!$R$4:$W$4,0))))</f>
        <v>0</v>
      </c>
      <c r="O141">
        <f ca="1">IF($C141-O$1&lt;År1,0,N140*(1-VLOOKUP($A141,[1]Hugst!$R$5:$W$9,MATCH(ROUNDUP((O$1)/10,0)*10,[1]Hugst!$R$4:$W$4,0))))</f>
        <v>0</v>
      </c>
      <c r="P141">
        <f ca="1">IF($C141-P$1&lt;År1,0,O140*(1-VLOOKUP($A141,[1]Hugst!$R$5:$W$9,MATCH(ROUNDUP((P$1)/10,0)*10,[1]Hugst!$R$4:$W$4,0))))</f>
        <v>0</v>
      </c>
      <c r="Q141">
        <f ca="1">IF($C141-Q$1&lt;År1,0,P140*(1-VLOOKUP($A141,[1]Hugst!$R$5:$W$9,MATCH(ROUNDUP((Q$1)/10,0)*10,[1]Hugst!$R$4:$W$4,0))))</f>
        <v>0</v>
      </c>
      <c r="R141">
        <f ca="1">IF($C141-R$1&lt;År1,0,Q140*(1-VLOOKUP($A141,[1]Hugst!$R$5:$W$9,MATCH(ROUNDUP((R$1)/10,0)*10,[1]Hugst!$R$4:$W$4,0))))</f>
        <v>0</v>
      </c>
      <c r="S141">
        <f ca="1">IF($C141-S$1&lt;År1,0,R140*(1-VLOOKUP($A141,[1]Hugst!$R$5:$W$9,MATCH(ROUNDUP((S$1)/10,0)*10,[1]Hugst!$R$4:$W$4,0))))</f>
        <v>0</v>
      </c>
      <c r="T141">
        <f ca="1">IF($C141-T$1&lt;År1,0,S140*(1-VLOOKUP($A141,[1]Hugst!$R$5:$W$9,MATCH(ROUNDUP((T$1)/10,0)*10,[1]Hugst!$R$4:$W$4,0))))</f>
        <v>0</v>
      </c>
      <c r="U141">
        <f ca="1">IF($C141-U$1&lt;År1,0,T140*(1-VLOOKUP($A141,[1]Hugst!$R$5:$W$9,MATCH(ROUNDUP((U$1)/10,0)*10,[1]Hugst!$R$4:$W$4,0))))</f>
        <v>0</v>
      </c>
      <c r="V141">
        <f>IF($C141-V$1&lt;År1,0,U140*(1-VLOOKUP($A141,[1]Hugst!$R$5:$W$9,MATCH(ROUNDUP((V$1)/10,0)*10,[1]Hugst!$R$4:$W$4,0))))</f>
        <v>0</v>
      </c>
      <c r="W141">
        <f>IF($C141-W$1&lt;År1,0,V140*(1-VLOOKUP($A141,[1]Hugst!$R$5:$W$9,MATCH(ROUNDUP((W$1)/10,0)*10,[1]Hugst!$R$4:$W$4,0))))</f>
        <v>0</v>
      </c>
      <c r="X141">
        <f>IF($C141-X$1&lt;År1,0,W140*(1-VLOOKUP($A141,[1]Hugst!$R$5:$W$9,MATCH(ROUNDUP((X$1)/10,0)*10,[1]Hugst!$R$4:$W$4,0))))</f>
        <v>0</v>
      </c>
      <c r="Y141">
        <f>IF($C141-Y$1&lt;År1,0,X140*(1-VLOOKUP($A141,[1]Hugst!$R$5:$W$9,MATCH(ROUNDUP((Y$1)/10,0)*10,[1]Hugst!$R$4:$W$4,0))))</f>
        <v>0</v>
      </c>
      <c r="Z141">
        <f>IF($C141-Z$1&lt;År1,0,Y140*(1-VLOOKUP($A141,[1]Hugst!$R$5:$W$9,MATCH(ROUNDUP((Z$1)/10,0)*10,[1]Hugst!$R$4:$W$4,0))))</f>
        <v>0</v>
      </c>
      <c r="AA141">
        <f>IF($C141-AA$1&lt;År1,0,Z140*(1-VLOOKUP($A141,[1]Hugst!$R$5:$W$9,MATCH(ROUNDUP((AA$1)/10,0)*10,[1]Hugst!$R$4:$W$4,0))))</f>
        <v>0</v>
      </c>
      <c r="AB141">
        <f>IF($C141-AB$1&lt;År1,0,AA140*(1-VLOOKUP($A141,[1]Hugst!$R$5:$W$9,MATCH(ROUNDUP((AB$1)/10,0)*10,[1]Hugst!$R$4:$W$4,0))))</f>
        <v>0</v>
      </c>
      <c r="AC141">
        <f>IF($C141-AC$1&lt;År1,0,AB140*(1-VLOOKUP($A141,[1]Hugst!$R$5:$W$9,MATCH(ROUNDUP((AC$1)/10,0)*10,[1]Hugst!$R$4:$W$4,0))))</f>
        <v>0</v>
      </c>
      <c r="AD141">
        <f>IF($C141-AD$1&lt;År1,0,AC140*(1-VLOOKUP($A141,[1]Hugst!$R$5:$W$9,MATCH(ROUNDUP((AD$1)/10,0)*10,[1]Hugst!$R$4:$W$4,0))))</f>
        <v>0</v>
      </c>
      <c r="AE141">
        <f>IF($C141-AE$1&lt;År1,0,AD140*(1-VLOOKUP($A141,[1]Hugst!$R$5:$W$9,MATCH(ROUNDUP((AE$1)/10,0)*10,[1]Hugst!$R$4:$W$4,0))))</f>
        <v>0</v>
      </c>
      <c r="AF141">
        <f>IF($C141-AF$1&lt;År1,0,AE140*(1-VLOOKUP($A141,[1]Hugst!$R$5:$W$9,MATCH(ROUNDUP((AF$1)/10,0)*10,[1]Hugst!$R$4:$W$4,0))))</f>
        <v>0</v>
      </c>
      <c r="AG141">
        <f>IF($C141-AG$1&lt;År1,0,AF140*(1-VLOOKUP($A141,[1]Hugst!$R$5:$W$9,MATCH(ROUNDUP((AG$1)/10,0)*10,[1]Hugst!$R$4:$W$4,0))))</f>
        <v>0</v>
      </c>
      <c r="AH141">
        <f>IF($C141-AH$1&lt;År1,0,AG140*(1-VLOOKUP($A141,[1]Hugst!$R$5:$W$9,MATCH(ROUNDUP((AH$1)/10,0)*10,[1]Hugst!$R$4:$W$4,0))))</f>
        <v>0</v>
      </c>
      <c r="AI141">
        <f>IF($C141-AI$1&lt;År1,0,AH140*(1-VLOOKUP($A141,[1]Hugst!$R$5:$W$9,MATCH(ROUNDUP((AI$1)/10,0)*10,[1]Hugst!$R$4:$W$4,0))))</f>
        <v>0</v>
      </c>
      <c r="AJ141">
        <f>IF($C141-AJ$1&lt;År1,0,AI140*(1-VLOOKUP($A141,[1]Hugst!$R$5:$W$9,MATCH(ROUNDUP((AJ$1)/10,0)*10,[1]Hugst!$R$4:$W$4,0))))</f>
        <v>0</v>
      </c>
    </row>
    <row r="142" spans="1:36" x14ac:dyDescent="0.25">
      <c r="A142" t="s">
        <v>178</v>
      </c>
      <c r="B142" t="s">
        <v>23</v>
      </c>
      <c r="C142">
        <v>2036</v>
      </c>
      <c r="D142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0</v>
      </c>
      <c r="E142">
        <f t="shared" ca="1" si="3"/>
        <v>0</v>
      </c>
      <c r="F142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>
        <f ca="1">IF($C142-G$1&lt;År1,0,F141*(1-VLOOKUP($A142,[1]Hugst!$R$5:$W$9,MATCH(ROUNDUP((G$1)/10,0)*10,[1]Hugst!$R$4:$W$4,0))))</f>
        <v>0</v>
      </c>
      <c r="H142">
        <f ca="1">IF($C142-H$1&lt;År1,0,G141*(1-VLOOKUP($A142,[1]Hugst!$R$5:$W$9,MATCH(ROUNDUP((H$1)/10,0)*10,[1]Hugst!$R$4:$W$4,0))))</f>
        <v>0</v>
      </c>
      <c r="I142">
        <f ca="1">IF($C142-I$1&lt;År1,0,H141*(1-VLOOKUP($A142,[1]Hugst!$R$5:$W$9,MATCH(ROUNDUP((I$1)/10,0)*10,[1]Hugst!$R$4:$W$4,0))))</f>
        <v>0</v>
      </c>
      <c r="J142">
        <f ca="1">IF($C142-J$1&lt;År1,0,I141*(1-VLOOKUP($A142,[1]Hugst!$R$5:$W$9,MATCH(ROUNDUP((J$1)/10,0)*10,[1]Hugst!$R$4:$W$4,0))))</f>
        <v>0</v>
      </c>
      <c r="K142">
        <f ca="1">IF($C142-K$1&lt;År1,0,J141*(1-VLOOKUP($A142,[1]Hugst!$R$5:$W$9,MATCH(ROUNDUP((K$1)/10,0)*10,[1]Hugst!$R$4:$W$4,0))))</f>
        <v>0</v>
      </c>
      <c r="L142">
        <f ca="1">IF($C142-L$1&lt;År1,0,K141*(1-VLOOKUP($A142,[1]Hugst!$R$5:$W$9,MATCH(ROUNDUP((L$1)/10,0)*10,[1]Hugst!$R$4:$W$4,0))))</f>
        <v>0</v>
      </c>
      <c r="M142">
        <f ca="1">IF($C142-M$1&lt;År1,0,L141*(1-VLOOKUP($A142,[1]Hugst!$R$5:$W$9,MATCH(ROUNDUP((M$1)/10,0)*10,[1]Hugst!$R$4:$W$4,0))))</f>
        <v>0</v>
      </c>
      <c r="N142">
        <f ca="1">IF($C142-N$1&lt;År1,0,M141*(1-VLOOKUP($A142,[1]Hugst!$R$5:$W$9,MATCH(ROUNDUP((N$1)/10,0)*10,[1]Hugst!$R$4:$W$4,0))))</f>
        <v>0</v>
      </c>
      <c r="O142">
        <f ca="1">IF($C142-O$1&lt;År1,0,N141*(1-VLOOKUP($A142,[1]Hugst!$R$5:$W$9,MATCH(ROUNDUP((O$1)/10,0)*10,[1]Hugst!$R$4:$W$4,0))))</f>
        <v>0</v>
      </c>
      <c r="P142">
        <f ca="1">IF($C142-P$1&lt;År1,0,O141*(1-VLOOKUP($A142,[1]Hugst!$R$5:$W$9,MATCH(ROUNDUP((P$1)/10,0)*10,[1]Hugst!$R$4:$W$4,0))))</f>
        <v>0</v>
      </c>
      <c r="Q142">
        <f ca="1">IF($C142-Q$1&lt;År1,0,P141*(1-VLOOKUP($A142,[1]Hugst!$R$5:$W$9,MATCH(ROUNDUP((Q$1)/10,0)*10,[1]Hugst!$R$4:$W$4,0))))</f>
        <v>0</v>
      </c>
      <c r="R142">
        <f ca="1">IF($C142-R$1&lt;År1,0,Q141*(1-VLOOKUP($A142,[1]Hugst!$R$5:$W$9,MATCH(ROUNDUP((R$1)/10,0)*10,[1]Hugst!$R$4:$W$4,0))))</f>
        <v>0</v>
      </c>
      <c r="S142">
        <f ca="1">IF($C142-S$1&lt;År1,0,R141*(1-VLOOKUP($A142,[1]Hugst!$R$5:$W$9,MATCH(ROUNDUP((S$1)/10,0)*10,[1]Hugst!$R$4:$W$4,0))))</f>
        <v>0</v>
      </c>
      <c r="T142">
        <f ca="1">IF($C142-T$1&lt;År1,0,S141*(1-VLOOKUP($A142,[1]Hugst!$R$5:$W$9,MATCH(ROUNDUP((T$1)/10,0)*10,[1]Hugst!$R$4:$W$4,0))))</f>
        <v>0</v>
      </c>
      <c r="U142">
        <f ca="1">IF($C142-U$1&lt;År1,0,T141*(1-VLOOKUP($A142,[1]Hugst!$R$5:$W$9,MATCH(ROUNDUP((U$1)/10,0)*10,[1]Hugst!$R$4:$W$4,0))))</f>
        <v>0</v>
      </c>
      <c r="V142">
        <f ca="1">IF($C142-V$1&lt;År1,0,U141*(1-VLOOKUP($A142,[1]Hugst!$R$5:$W$9,MATCH(ROUNDUP((V$1)/10,0)*10,[1]Hugst!$R$4:$W$4,0))))</f>
        <v>0</v>
      </c>
      <c r="W142">
        <f>IF($C142-W$1&lt;År1,0,V141*(1-VLOOKUP($A142,[1]Hugst!$R$5:$W$9,MATCH(ROUNDUP((W$1)/10,0)*10,[1]Hugst!$R$4:$W$4,0))))</f>
        <v>0</v>
      </c>
      <c r="X142">
        <f>IF($C142-X$1&lt;År1,0,W141*(1-VLOOKUP($A142,[1]Hugst!$R$5:$W$9,MATCH(ROUNDUP((X$1)/10,0)*10,[1]Hugst!$R$4:$W$4,0))))</f>
        <v>0</v>
      </c>
      <c r="Y142">
        <f>IF($C142-Y$1&lt;År1,0,X141*(1-VLOOKUP($A142,[1]Hugst!$R$5:$W$9,MATCH(ROUNDUP((Y$1)/10,0)*10,[1]Hugst!$R$4:$W$4,0))))</f>
        <v>0</v>
      </c>
      <c r="Z142">
        <f>IF($C142-Z$1&lt;År1,0,Y141*(1-VLOOKUP($A142,[1]Hugst!$R$5:$W$9,MATCH(ROUNDUP((Z$1)/10,0)*10,[1]Hugst!$R$4:$W$4,0))))</f>
        <v>0</v>
      </c>
      <c r="AA142">
        <f>IF($C142-AA$1&lt;År1,0,Z141*(1-VLOOKUP($A142,[1]Hugst!$R$5:$W$9,MATCH(ROUNDUP((AA$1)/10,0)*10,[1]Hugst!$R$4:$W$4,0))))</f>
        <v>0</v>
      </c>
      <c r="AB142">
        <f>IF($C142-AB$1&lt;År1,0,AA141*(1-VLOOKUP($A142,[1]Hugst!$R$5:$W$9,MATCH(ROUNDUP((AB$1)/10,0)*10,[1]Hugst!$R$4:$W$4,0))))</f>
        <v>0</v>
      </c>
      <c r="AC142">
        <f>IF($C142-AC$1&lt;År1,0,AB141*(1-VLOOKUP($A142,[1]Hugst!$R$5:$W$9,MATCH(ROUNDUP((AC$1)/10,0)*10,[1]Hugst!$R$4:$W$4,0))))</f>
        <v>0</v>
      </c>
      <c r="AD142">
        <f>IF($C142-AD$1&lt;År1,0,AC141*(1-VLOOKUP($A142,[1]Hugst!$R$5:$W$9,MATCH(ROUNDUP((AD$1)/10,0)*10,[1]Hugst!$R$4:$W$4,0))))</f>
        <v>0</v>
      </c>
      <c r="AE142">
        <f>IF($C142-AE$1&lt;År1,0,AD141*(1-VLOOKUP($A142,[1]Hugst!$R$5:$W$9,MATCH(ROUNDUP((AE$1)/10,0)*10,[1]Hugst!$R$4:$W$4,0))))</f>
        <v>0</v>
      </c>
      <c r="AF142">
        <f>IF($C142-AF$1&lt;År1,0,AE141*(1-VLOOKUP($A142,[1]Hugst!$R$5:$W$9,MATCH(ROUNDUP((AF$1)/10,0)*10,[1]Hugst!$R$4:$W$4,0))))</f>
        <v>0</v>
      </c>
      <c r="AG142">
        <f>IF($C142-AG$1&lt;År1,0,AF141*(1-VLOOKUP($A142,[1]Hugst!$R$5:$W$9,MATCH(ROUNDUP((AG$1)/10,0)*10,[1]Hugst!$R$4:$W$4,0))))</f>
        <v>0</v>
      </c>
      <c r="AH142">
        <f>IF($C142-AH$1&lt;År1,0,AG141*(1-VLOOKUP($A142,[1]Hugst!$R$5:$W$9,MATCH(ROUNDUP((AH$1)/10,0)*10,[1]Hugst!$R$4:$W$4,0))))</f>
        <v>0</v>
      </c>
      <c r="AI142">
        <f>IF($C142-AI$1&lt;År1,0,AH141*(1-VLOOKUP($A142,[1]Hugst!$R$5:$W$9,MATCH(ROUNDUP((AI$1)/10,0)*10,[1]Hugst!$R$4:$W$4,0))))</f>
        <v>0</v>
      </c>
      <c r="AJ142">
        <f>IF($C142-AJ$1&lt;År1,0,AI141*(1-VLOOKUP($A142,[1]Hugst!$R$5:$W$9,MATCH(ROUNDUP((AJ$1)/10,0)*10,[1]Hugst!$R$4:$W$4,0))))</f>
        <v>0</v>
      </c>
    </row>
    <row r="143" spans="1:36" x14ac:dyDescent="0.25">
      <c r="A143" t="s">
        <v>178</v>
      </c>
      <c r="B143" t="s">
        <v>23</v>
      </c>
      <c r="C143">
        <v>2037</v>
      </c>
      <c r="D143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0</v>
      </c>
      <c r="E143">
        <f t="shared" ca="1" si="3"/>
        <v>0</v>
      </c>
      <c r="F143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>
        <f ca="1">IF($C143-G$1&lt;År1,0,F142*(1-VLOOKUP($A143,[1]Hugst!$R$5:$W$9,MATCH(ROUNDUP((G$1)/10,0)*10,[1]Hugst!$R$4:$W$4,0))))</f>
        <v>0</v>
      </c>
      <c r="H143">
        <f ca="1">IF($C143-H$1&lt;År1,0,G142*(1-VLOOKUP($A143,[1]Hugst!$R$5:$W$9,MATCH(ROUNDUP((H$1)/10,0)*10,[1]Hugst!$R$4:$W$4,0))))</f>
        <v>0</v>
      </c>
      <c r="I143">
        <f ca="1">IF($C143-I$1&lt;År1,0,H142*(1-VLOOKUP($A143,[1]Hugst!$R$5:$W$9,MATCH(ROUNDUP((I$1)/10,0)*10,[1]Hugst!$R$4:$W$4,0))))</f>
        <v>0</v>
      </c>
      <c r="J143">
        <f ca="1">IF($C143-J$1&lt;År1,0,I142*(1-VLOOKUP($A143,[1]Hugst!$R$5:$W$9,MATCH(ROUNDUP((J$1)/10,0)*10,[1]Hugst!$R$4:$W$4,0))))</f>
        <v>0</v>
      </c>
      <c r="K143">
        <f ca="1">IF($C143-K$1&lt;År1,0,J142*(1-VLOOKUP($A143,[1]Hugst!$R$5:$W$9,MATCH(ROUNDUP((K$1)/10,0)*10,[1]Hugst!$R$4:$W$4,0))))</f>
        <v>0</v>
      </c>
      <c r="L143">
        <f ca="1">IF($C143-L$1&lt;År1,0,K142*(1-VLOOKUP($A143,[1]Hugst!$R$5:$W$9,MATCH(ROUNDUP((L$1)/10,0)*10,[1]Hugst!$R$4:$W$4,0))))</f>
        <v>0</v>
      </c>
      <c r="M143">
        <f ca="1">IF($C143-M$1&lt;År1,0,L142*(1-VLOOKUP($A143,[1]Hugst!$R$5:$W$9,MATCH(ROUNDUP((M$1)/10,0)*10,[1]Hugst!$R$4:$W$4,0))))</f>
        <v>0</v>
      </c>
      <c r="N143">
        <f ca="1">IF($C143-N$1&lt;År1,0,M142*(1-VLOOKUP($A143,[1]Hugst!$R$5:$W$9,MATCH(ROUNDUP((N$1)/10,0)*10,[1]Hugst!$R$4:$W$4,0))))</f>
        <v>0</v>
      </c>
      <c r="O143">
        <f ca="1">IF($C143-O$1&lt;År1,0,N142*(1-VLOOKUP($A143,[1]Hugst!$R$5:$W$9,MATCH(ROUNDUP((O$1)/10,0)*10,[1]Hugst!$R$4:$W$4,0))))</f>
        <v>0</v>
      </c>
      <c r="P143">
        <f ca="1">IF($C143-P$1&lt;År1,0,O142*(1-VLOOKUP($A143,[1]Hugst!$R$5:$W$9,MATCH(ROUNDUP((P$1)/10,0)*10,[1]Hugst!$R$4:$W$4,0))))</f>
        <v>0</v>
      </c>
      <c r="Q143">
        <f ca="1">IF($C143-Q$1&lt;År1,0,P142*(1-VLOOKUP($A143,[1]Hugst!$R$5:$W$9,MATCH(ROUNDUP((Q$1)/10,0)*10,[1]Hugst!$R$4:$W$4,0))))</f>
        <v>0</v>
      </c>
      <c r="R143">
        <f ca="1">IF($C143-R$1&lt;År1,0,Q142*(1-VLOOKUP($A143,[1]Hugst!$R$5:$W$9,MATCH(ROUNDUP((R$1)/10,0)*10,[1]Hugst!$R$4:$W$4,0))))</f>
        <v>0</v>
      </c>
      <c r="S143">
        <f ca="1">IF($C143-S$1&lt;År1,0,R142*(1-VLOOKUP($A143,[1]Hugst!$R$5:$W$9,MATCH(ROUNDUP((S$1)/10,0)*10,[1]Hugst!$R$4:$W$4,0))))</f>
        <v>0</v>
      </c>
      <c r="T143">
        <f ca="1">IF($C143-T$1&lt;År1,0,S142*(1-VLOOKUP($A143,[1]Hugst!$R$5:$W$9,MATCH(ROUNDUP((T$1)/10,0)*10,[1]Hugst!$R$4:$W$4,0))))</f>
        <v>0</v>
      </c>
      <c r="U143">
        <f ca="1">IF($C143-U$1&lt;År1,0,T142*(1-VLOOKUP($A143,[1]Hugst!$R$5:$W$9,MATCH(ROUNDUP((U$1)/10,0)*10,[1]Hugst!$R$4:$W$4,0))))</f>
        <v>0</v>
      </c>
      <c r="V143">
        <f ca="1">IF($C143-V$1&lt;År1,0,U142*(1-VLOOKUP($A143,[1]Hugst!$R$5:$W$9,MATCH(ROUNDUP((V$1)/10,0)*10,[1]Hugst!$R$4:$W$4,0))))</f>
        <v>0</v>
      </c>
      <c r="W143">
        <f ca="1">IF($C143-W$1&lt;År1,0,V142*(1-VLOOKUP($A143,[1]Hugst!$R$5:$W$9,MATCH(ROUNDUP((W$1)/10,0)*10,[1]Hugst!$R$4:$W$4,0))))</f>
        <v>0</v>
      </c>
      <c r="X143">
        <f>IF($C143-X$1&lt;År1,0,W142*(1-VLOOKUP($A143,[1]Hugst!$R$5:$W$9,MATCH(ROUNDUP((X$1)/10,0)*10,[1]Hugst!$R$4:$W$4,0))))</f>
        <v>0</v>
      </c>
      <c r="Y143">
        <f>IF($C143-Y$1&lt;År1,0,X142*(1-VLOOKUP($A143,[1]Hugst!$R$5:$W$9,MATCH(ROUNDUP((Y$1)/10,0)*10,[1]Hugst!$R$4:$W$4,0))))</f>
        <v>0</v>
      </c>
      <c r="Z143">
        <f>IF($C143-Z$1&lt;År1,0,Y142*(1-VLOOKUP($A143,[1]Hugst!$R$5:$W$9,MATCH(ROUNDUP((Z$1)/10,0)*10,[1]Hugst!$R$4:$W$4,0))))</f>
        <v>0</v>
      </c>
      <c r="AA143">
        <f>IF($C143-AA$1&lt;År1,0,Z142*(1-VLOOKUP($A143,[1]Hugst!$R$5:$W$9,MATCH(ROUNDUP((AA$1)/10,0)*10,[1]Hugst!$R$4:$W$4,0))))</f>
        <v>0</v>
      </c>
      <c r="AB143">
        <f>IF($C143-AB$1&lt;År1,0,AA142*(1-VLOOKUP($A143,[1]Hugst!$R$5:$W$9,MATCH(ROUNDUP((AB$1)/10,0)*10,[1]Hugst!$R$4:$W$4,0))))</f>
        <v>0</v>
      </c>
      <c r="AC143">
        <f>IF($C143-AC$1&lt;År1,0,AB142*(1-VLOOKUP($A143,[1]Hugst!$R$5:$W$9,MATCH(ROUNDUP((AC$1)/10,0)*10,[1]Hugst!$R$4:$W$4,0))))</f>
        <v>0</v>
      </c>
      <c r="AD143">
        <f>IF($C143-AD$1&lt;År1,0,AC142*(1-VLOOKUP($A143,[1]Hugst!$R$5:$W$9,MATCH(ROUNDUP((AD$1)/10,0)*10,[1]Hugst!$R$4:$W$4,0))))</f>
        <v>0</v>
      </c>
      <c r="AE143">
        <f>IF($C143-AE$1&lt;År1,0,AD142*(1-VLOOKUP($A143,[1]Hugst!$R$5:$W$9,MATCH(ROUNDUP((AE$1)/10,0)*10,[1]Hugst!$R$4:$W$4,0))))</f>
        <v>0</v>
      </c>
      <c r="AF143">
        <f>IF($C143-AF$1&lt;År1,0,AE142*(1-VLOOKUP($A143,[1]Hugst!$R$5:$W$9,MATCH(ROUNDUP((AF$1)/10,0)*10,[1]Hugst!$R$4:$W$4,0))))</f>
        <v>0</v>
      </c>
      <c r="AG143">
        <f>IF($C143-AG$1&lt;År1,0,AF142*(1-VLOOKUP($A143,[1]Hugst!$R$5:$W$9,MATCH(ROUNDUP((AG$1)/10,0)*10,[1]Hugst!$R$4:$W$4,0))))</f>
        <v>0</v>
      </c>
      <c r="AH143">
        <f>IF($C143-AH$1&lt;År1,0,AG142*(1-VLOOKUP($A143,[1]Hugst!$R$5:$W$9,MATCH(ROUNDUP((AH$1)/10,0)*10,[1]Hugst!$R$4:$W$4,0))))</f>
        <v>0</v>
      </c>
      <c r="AI143">
        <f>IF($C143-AI$1&lt;År1,0,AH142*(1-VLOOKUP($A143,[1]Hugst!$R$5:$W$9,MATCH(ROUNDUP((AI$1)/10,0)*10,[1]Hugst!$R$4:$W$4,0))))</f>
        <v>0</v>
      </c>
      <c r="AJ143">
        <f>IF($C143-AJ$1&lt;År1,0,AI142*(1-VLOOKUP($A143,[1]Hugst!$R$5:$W$9,MATCH(ROUNDUP((AJ$1)/10,0)*10,[1]Hugst!$R$4:$W$4,0))))</f>
        <v>0</v>
      </c>
    </row>
    <row r="144" spans="1:36" x14ac:dyDescent="0.25">
      <c r="A144" t="s">
        <v>178</v>
      </c>
      <c r="B144" t="s">
        <v>23</v>
      </c>
      <c r="C144">
        <v>2038</v>
      </c>
      <c r="D144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0</v>
      </c>
      <c r="E144">
        <f t="shared" ca="1" si="3"/>
        <v>0</v>
      </c>
      <c r="F144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>
        <f ca="1">IF($C144-G$1&lt;År1,0,F143*(1-VLOOKUP($A144,[1]Hugst!$R$5:$W$9,MATCH(ROUNDUP((G$1)/10,0)*10,[1]Hugst!$R$4:$W$4,0))))</f>
        <v>0</v>
      </c>
      <c r="H144">
        <f ca="1">IF($C144-H$1&lt;År1,0,G143*(1-VLOOKUP($A144,[1]Hugst!$R$5:$W$9,MATCH(ROUNDUP((H$1)/10,0)*10,[1]Hugst!$R$4:$W$4,0))))</f>
        <v>0</v>
      </c>
      <c r="I144">
        <f ca="1">IF($C144-I$1&lt;År1,0,H143*(1-VLOOKUP($A144,[1]Hugst!$R$5:$W$9,MATCH(ROUNDUP((I$1)/10,0)*10,[1]Hugst!$R$4:$W$4,0))))</f>
        <v>0</v>
      </c>
      <c r="J144">
        <f ca="1">IF($C144-J$1&lt;År1,0,I143*(1-VLOOKUP($A144,[1]Hugst!$R$5:$W$9,MATCH(ROUNDUP((J$1)/10,0)*10,[1]Hugst!$R$4:$W$4,0))))</f>
        <v>0</v>
      </c>
      <c r="K144">
        <f ca="1">IF($C144-K$1&lt;År1,0,J143*(1-VLOOKUP($A144,[1]Hugst!$R$5:$W$9,MATCH(ROUNDUP((K$1)/10,0)*10,[1]Hugst!$R$4:$W$4,0))))</f>
        <v>0</v>
      </c>
      <c r="L144">
        <f ca="1">IF($C144-L$1&lt;År1,0,K143*(1-VLOOKUP($A144,[1]Hugst!$R$5:$W$9,MATCH(ROUNDUP((L$1)/10,0)*10,[1]Hugst!$R$4:$W$4,0))))</f>
        <v>0</v>
      </c>
      <c r="M144">
        <f ca="1">IF($C144-M$1&lt;År1,0,L143*(1-VLOOKUP($A144,[1]Hugst!$R$5:$W$9,MATCH(ROUNDUP((M$1)/10,0)*10,[1]Hugst!$R$4:$W$4,0))))</f>
        <v>0</v>
      </c>
      <c r="N144">
        <f ca="1">IF($C144-N$1&lt;År1,0,M143*(1-VLOOKUP($A144,[1]Hugst!$R$5:$W$9,MATCH(ROUNDUP((N$1)/10,0)*10,[1]Hugst!$R$4:$W$4,0))))</f>
        <v>0</v>
      </c>
      <c r="O144">
        <f ca="1">IF($C144-O$1&lt;År1,0,N143*(1-VLOOKUP($A144,[1]Hugst!$R$5:$W$9,MATCH(ROUNDUP((O$1)/10,0)*10,[1]Hugst!$R$4:$W$4,0))))</f>
        <v>0</v>
      </c>
      <c r="P144">
        <f ca="1">IF($C144-P$1&lt;År1,0,O143*(1-VLOOKUP($A144,[1]Hugst!$R$5:$W$9,MATCH(ROUNDUP((P$1)/10,0)*10,[1]Hugst!$R$4:$W$4,0))))</f>
        <v>0</v>
      </c>
      <c r="Q144">
        <f ca="1">IF($C144-Q$1&lt;År1,0,P143*(1-VLOOKUP($A144,[1]Hugst!$R$5:$W$9,MATCH(ROUNDUP((Q$1)/10,0)*10,[1]Hugst!$R$4:$W$4,0))))</f>
        <v>0</v>
      </c>
      <c r="R144">
        <f ca="1">IF($C144-R$1&lt;År1,0,Q143*(1-VLOOKUP($A144,[1]Hugst!$R$5:$W$9,MATCH(ROUNDUP((R$1)/10,0)*10,[1]Hugst!$R$4:$W$4,0))))</f>
        <v>0</v>
      </c>
      <c r="S144">
        <f ca="1">IF($C144-S$1&lt;År1,0,R143*(1-VLOOKUP($A144,[1]Hugst!$R$5:$W$9,MATCH(ROUNDUP((S$1)/10,0)*10,[1]Hugst!$R$4:$W$4,0))))</f>
        <v>0</v>
      </c>
      <c r="T144">
        <f ca="1">IF($C144-T$1&lt;År1,0,S143*(1-VLOOKUP($A144,[1]Hugst!$R$5:$W$9,MATCH(ROUNDUP((T$1)/10,0)*10,[1]Hugst!$R$4:$W$4,0))))</f>
        <v>0</v>
      </c>
      <c r="U144">
        <f ca="1">IF($C144-U$1&lt;År1,0,T143*(1-VLOOKUP($A144,[1]Hugst!$R$5:$W$9,MATCH(ROUNDUP((U$1)/10,0)*10,[1]Hugst!$R$4:$W$4,0))))</f>
        <v>0</v>
      </c>
      <c r="V144">
        <f ca="1">IF($C144-V$1&lt;År1,0,U143*(1-VLOOKUP($A144,[1]Hugst!$R$5:$W$9,MATCH(ROUNDUP((V$1)/10,0)*10,[1]Hugst!$R$4:$W$4,0))))</f>
        <v>0</v>
      </c>
      <c r="W144">
        <f ca="1">IF($C144-W$1&lt;År1,0,V143*(1-VLOOKUP($A144,[1]Hugst!$R$5:$W$9,MATCH(ROUNDUP((W$1)/10,0)*10,[1]Hugst!$R$4:$W$4,0))))</f>
        <v>0</v>
      </c>
      <c r="X144">
        <f ca="1">IF($C144-X$1&lt;År1,0,W143*(1-VLOOKUP($A144,[1]Hugst!$R$5:$W$9,MATCH(ROUNDUP((X$1)/10,0)*10,[1]Hugst!$R$4:$W$4,0))))</f>
        <v>0</v>
      </c>
      <c r="Y144">
        <f>IF($C144-Y$1&lt;År1,0,X143*(1-VLOOKUP($A144,[1]Hugst!$R$5:$W$9,MATCH(ROUNDUP((Y$1)/10,0)*10,[1]Hugst!$R$4:$W$4,0))))</f>
        <v>0</v>
      </c>
      <c r="Z144">
        <f>IF($C144-Z$1&lt;År1,0,Y143*(1-VLOOKUP($A144,[1]Hugst!$R$5:$W$9,MATCH(ROUNDUP((Z$1)/10,0)*10,[1]Hugst!$R$4:$W$4,0))))</f>
        <v>0</v>
      </c>
      <c r="AA144">
        <f>IF($C144-AA$1&lt;År1,0,Z143*(1-VLOOKUP($A144,[1]Hugst!$R$5:$W$9,MATCH(ROUNDUP((AA$1)/10,0)*10,[1]Hugst!$R$4:$W$4,0))))</f>
        <v>0</v>
      </c>
      <c r="AB144">
        <f>IF($C144-AB$1&lt;År1,0,AA143*(1-VLOOKUP($A144,[1]Hugst!$R$5:$W$9,MATCH(ROUNDUP((AB$1)/10,0)*10,[1]Hugst!$R$4:$W$4,0))))</f>
        <v>0</v>
      </c>
      <c r="AC144">
        <f>IF($C144-AC$1&lt;År1,0,AB143*(1-VLOOKUP($A144,[1]Hugst!$R$5:$W$9,MATCH(ROUNDUP((AC$1)/10,0)*10,[1]Hugst!$R$4:$W$4,0))))</f>
        <v>0</v>
      </c>
      <c r="AD144">
        <f>IF($C144-AD$1&lt;År1,0,AC143*(1-VLOOKUP($A144,[1]Hugst!$R$5:$W$9,MATCH(ROUNDUP((AD$1)/10,0)*10,[1]Hugst!$R$4:$W$4,0))))</f>
        <v>0</v>
      </c>
      <c r="AE144">
        <f>IF($C144-AE$1&lt;År1,0,AD143*(1-VLOOKUP($A144,[1]Hugst!$R$5:$W$9,MATCH(ROUNDUP((AE$1)/10,0)*10,[1]Hugst!$R$4:$W$4,0))))</f>
        <v>0</v>
      </c>
      <c r="AF144">
        <f>IF($C144-AF$1&lt;År1,0,AE143*(1-VLOOKUP($A144,[1]Hugst!$R$5:$W$9,MATCH(ROUNDUP((AF$1)/10,0)*10,[1]Hugst!$R$4:$W$4,0))))</f>
        <v>0</v>
      </c>
      <c r="AG144">
        <f>IF($C144-AG$1&lt;År1,0,AF143*(1-VLOOKUP($A144,[1]Hugst!$R$5:$W$9,MATCH(ROUNDUP((AG$1)/10,0)*10,[1]Hugst!$R$4:$W$4,0))))</f>
        <v>0</v>
      </c>
      <c r="AH144">
        <f>IF($C144-AH$1&lt;År1,0,AG143*(1-VLOOKUP($A144,[1]Hugst!$R$5:$W$9,MATCH(ROUNDUP((AH$1)/10,0)*10,[1]Hugst!$R$4:$W$4,0))))</f>
        <v>0</v>
      </c>
      <c r="AI144">
        <f>IF($C144-AI$1&lt;År1,0,AH143*(1-VLOOKUP($A144,[1]Hugst!$R$5:$W$9,MATCH(ROUNDUP((AI$1)/10,0)*10,[1]Hugst!$R$4:$W$4,0))))</f>
        <v>0</v>
      </c>
      <c r="AJ144">
        <f>IF($C144-AJ$1&lt;År1,0,AI143*(1-VLOOKUP($A144,[1]Hugst!$R$5:$W$9,MATCH(ROUNDUP((AJ$1)/10,0)*10,[1]Hugst!$R$4:$W$4,0))))</f>
        <v>0</v>
      </c>
    </row>
    <row r="145" spans="1:36" x14ac:dyDescent="0.25">
      <c r="A145" t="s">
        <v>178</v>
      </c>
      <c r="B145" t="s">
        <v>23</v>
      </c>
      <c r="C145">
        <v>2039</v>
      </c>
      <c r="D145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0</v>
      </c>
      <c r="E145">
        <f t="shared" ca="1" si="3"/>
        <v>0</v>
      </c>
      <c r="F145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>
        <f ca="1">IF($C145-G$1&lt;År1,0,F144*(1-VLOOKUP($A145,[1]Hugst!$R$5:$W$9,MATCH(ROUNDUP((G$1)/10,0)*10,[1]Hugst!$R$4:$W$4,0))))</f>
        <v>0</v>
      </c>
      <c r="H145">
        <f ca="1">IF($C145-H$1&lt;År1,0,G144*(1-VLOOKUP($A145,[1]Hugst!$R$5:$W$9,MATCH(ROUNDUP((H$1)/10,0)*10,[1]Hugst!$R$4:$W$4,0))))</f>
        <v>0</v>
      </c>
      <c r="I145">
        <f ca="1">IF($C145-I$1&lt;År1,0,H144*(1-VLOOKUP($A145,[1]Hugst!$R$5:$W$9,MATCH(ROUNDUP((I$1)/10,0)*10,[1]Hugst!$R$4:$W$4,0))))</f>
        <v>0</v>
      </c>
      <c r="J145">
        <f ca="1">IF($C145-J$1&lt;År1,0,I144*(1-VLOOKUP($A145,[1]Hugst!$R$5:$W$9,MATCH(ROUNDUP((J$1)/10,0)*10,[1]Hugst!$R$4:$W$4,0))))</f>
        <v>0</v>
      </c>
      <c r="K145">
        <f ca="1">IF($C145-K$1&lt;År1,0,J144*(1-VLOOKUP($A145,[1]Hugst!$R$5:$W$9,MATCH(ROUNDUP((K$1)/10,0)*10,[1]Hugst!$R$4:$W$4,0))))</f>
        <v>0</v>
      </c>
      <c r="L145">
        <f ca="1">IF($C145-L$1&lt;År1,0,K144*(1-VLOOKUP($A145,[1]Hugst!$R$5:$W$9,MATCH(ROUNDUP((L$1)/10,0)*10,[1]Hugst!$R$4:$W$4,0))))</f>
        <v>0</v>
      </c>
      <c r="M145">
        <f ca="1">IF($C145-M$1&lt;År1,0,L144*(1-VLOOKUP($A145,[1]Hugst!$R$5:$W$9,MATCH(ROUNDUP((M$1)/10,0)*10,[1]Hugst!$R$4:$W$4,0))))</f>
        <v>0</v>
      </c>
      <c r="N145">
        <f ca="1">IF($C145-N$1&lt;År1,0,M144*(1-VLOOKUP($A145,[1]Hugst!$R$5:$W$9,MATCH(ROUNDUP((N$1)/10,0)*10,[1]Hugst!$R$4:$W$4,0))))</f>
        <v>0</v>
      </c>
      <c r="O145">
        <f ca="1">IF($C145-O$1&lt;År1,0,N144*(1-VLOOKUP($A145,[1]Hugst!$R$5:$W$9,MATCH(ROUNDUP((O$1)/10,0)*10,[1]Hugst!$R$4:$W$4,0))))</f>
        <v>0</v>
      </c>
      <c r="P145">
        <f ca="1">IF($C145-P$1&lt;År1,0,O144*(1-VLOOKUP($A145,[1]Hugst!$R$5:$W$9,MATCH(ROUNDUP((P$1)/10,0)*10,[1]Hugst!$R$4:$W$4,0))))</f>
        <v>0</v>
      </c>
      <c r="Q145">
        <f ca="1">IF($C145-Q$1&lt;År1,0,P144*(1-VLOOKUP($A145,[1]Hugst!$R$5:$W$9,MATCH(ROUNDUP((Q$1)/10,0)*10,[1]Hugst!$R$4:$W$4,0))))</f>
        <v>0</v>
      </c>
      <c r="R145">
        <f ca="1">IF($C145-R$1&lt;År1,0,Q144*(1-VLOOKUP($A145,[1]Hugst!$R$5:$W$9,MATCH(ROUNDUP((R$1)/10,0)*10,[1]Hugst!$R$4:$W$4,0))))</f>
        <v>0</v>
      </c>
      <c r="S145">
        <f ca="1">IF($C145-S$1&lt;År1,0,R144*(1-VLOOKUP($A145,[1]Hugst!$R$5:$W$9,MATCH(ROUNDUP((S$1)/10,0)*10,[1]Hugst!$R$4:$W$4,0))))</f>
        <v>0</v>
      </c>
      <c r="T145">
        <f ca="1">IF($C145-T$1&lt;År1,0,S144*(1-VLOOKUP($A145,[1]Hugst!$R$5:$W$9,MATCH(ROUNDUP((T$1)/10,0)*10,[1]Hugst!$R$4:$W$4,0))))</f>
        <v>0</v>
      </c>
      <c r="U145">
        <f ca="1">IF($C145-U$1&lt;År1,0,T144*(1-VLOOKUP($A145,[1]Hugst!$R$5:$W$9,MATCH(ROUNDUP((U$1)/10,0)*10,[1]Hugst!$R$4:$W$4,0))))</f>
        <v>0</v>
      </c>
      <c r="V145">
        <f ca="1">IF($C145-V$1&lt;År1,0,U144*(1-VLOOKUP($A145,[1]Hugst!$R$5:$W$9,MATCH(ROUNDUP((V$1)/10,0)*10,[1]Hugst!$R$4:$W$4,0))))</f>
        <v>0</v>
      </c>
      <c r="W145">
        <f ca="1">IF($C145-W$1&lt;År1,0,V144*(1-VLOOKUP($A145,[1]Hugst!$R$5:$W$9,MATCH(ROUNDUP((W$1)/10,0)*10,[1]Hugst!$R$4:$W$4,0))))</f>
        <v>0</v>
      </c>
      <c r="X145">
        <f ca="1">IF($C145-X$1&lt;År1,0,W144*(1-VLOOKUP($A145,[1]Hugst!$R$5:$W$9,MATCH(ROUNDUP((X$1)/10,0)*10,[1]Hugst!$R$4:$W$4,0))))</f>
        <v>0</v>
      </c>
      <c r="Y145">
        <f ca="1">IF($C145-Y$1&lt;År1,0,X144*(1-VLOOKUP($A145,[1]Hugst!$R$5:$W$9,MATCH(ROUNDUP((Y$1)/10,0)*10,[1]Hugst!$R$4:$W$4,0))))</f>
        <v>0</v>
      </c>
      <c r="Z145">
        <f>IF($C145-Z$1&lt;År1,0,Y144*(1-VLOOKUP($A145,[1]Hugst!$R$5:$W$9,MATCH(ROUNDUP((Z$1)/10,0)*10,[1]Hugst!$R$4:$W$4,0))))</f>
        <v>0</v>
      </c>
      <c r="AA145">
        <f>IF($C145-AA$1&lt;År1,0,Z144*(1-VLOOKUP($A145,[1]Hugst!$R$5:$W$9,MATCH(ROUNDUP((AA$1)/10,0)*10,[1]Hugst!$R$4:$W$4,0))))</f>
        <v>0</v>
      </c>
      <c r="AB145">
        <f>IF($C145-AB$1&lt;År1,0,AA144*(1-VLOOKUP($A145,[1]Hugst!$R$5:$W$9,MATCH(ROUNDUP((AB$1)/10,0)*10,[1]Hugst!$R$4:$W$4,0))))</f>
        <v>0</v>
      </c>
      <c r="AC145">
        <f>IF($C145-AC$1&lt;År1,0,AB144*(1-VLOOKUP($A145,[1]Hugst!$R$5:$W$9,MATCH(ROUNDUP((AC$1)/10,0)*10,[1]Hugst!$R$4:$W$4,0))))</f>
        <v>0</v>
      </c>
      <c r="AD145">
        <f>IF($C145-AD$1&lt;År1,0,AC144*(1-VLOOKUP($A145,[1]Hugst!$R$5:$W$9,MATCH(ROUNDUP((AD$1)/10,0)*10,[1]Hugst!$R$4:$W$4,0))))</f>
        <v>0</v>
      </c>
      <c r="AE145">
        <f>IF($C145-AE$1&lt;År1,0,AD144*(1-VLOOKUP($A145,[1]Hugst!$R$5:$W$9,MATCH(ROUNDUP((AE$1)/10,0)*10,[1]Hugst!$R$4:$W$4,0))))</f>
        <v>0</v>
      </c>
      <c r="AF145">
        <f>IF($C145-AF$1&lt;År1,0,AE144*(1-VLOOKUP($A145,[1]Hugst!$R$5:$W$9,MATCH(ROUNDUP((AF$1)/10,0)*10,[1]Hugst!$R$4:$W$4,0))))</f>
        <v>0</v>
      </c>
      <c r="AG145">
        <f>IF($C145-AG$1&lt;År1,0,AF144*(1-VLOOKUP($A145,[1]Hugst!$R$5:$W$9,MATCH(ROUNDUP((AG$1)/10,0)*10,[1]Hugst!$R$4:$W$4,0))))</f>
        <v>0</v>
      </c>
      <c r="AH145">
        <f>IF($C145-AH$1&lt;År1,0,AG144*(1-VLOOKUP($A145,[1]Hugst!$R$5:$W$9,MATCH(ROUNDUP((AH$1)/10,0)*10,[1]Hugst!$R$4:$W$4,0))))</f>
        <v>0</v>
      </c>
      <c r="AI145">
        <f>IF($C145-AI$1&lt;År1,0,AH144*(1-VLOOKUP($A145,[1]Hugst!$R$5:$W$9,MATCH(ROUNDUP((AI$1)/10,0)*10,[1]Hugst!$R$4:$W$4,0))))</f>
        <v>0</v>
      </c>
      <c r="AJ145">
        <f>IF($C145-AJ$1&lt;År1,0,AI144*(1-VLOOKUP($A145,[1]Hugst!$R$5:$W$9,MATCH(ROUNDUP((AJ$1)/10,0)*10,[1]Hugst!$R$4:$W$4,0))))</f>
        <v>0</v>
      </c>
    </row>
    <row r="146" spans="1:36" x14ac:dyDescent="0.25">
      <c r="A146" t="s">
        <v>178</v>
      </c>
      <c r="B146" t="s">
        <v>23</v>
      </c>
      <c r="C146">
        <v>2040</v>
      </c>
      <c r="D146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0</v>
      </c>
      <c r="E146">
        <f t="shared" ca="1" si="3"/>
        <v>0</v>
      </c>
      <c r="F146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>
        <f ca="1">IF($C146-G$1&lt;År1,0,F145*(1-VLOOKUP($A146,[1]Hugst!$R$5:$W$9,MATCH(ROUNDUP((G$1)/10,0)*10,[1]Hugst!$R$4:$W$4,0))))</f>
        <v>0</v>
      </c>
      <c r="H146">
        <f ca="1">IF($C146-H$1&lt;År1,0,G145*(1-VLOOKUP($A146,[1]Hugst!$R$5:$W$9,MATCH(ROUNDUP((H$1)/10,0)*10,[1]Hugst!$R$4:$W$4,0))))</f>
        <v>0</v>
      </c>
      <c r="I146">
        <f ca="1">IF($C146-I$1&lt;År1,0,H145*(1-VLOOKUP($A146,[1]Hugst!$R$5:$W$9,MATCH(ROUNDUP((I$1)/10,0)*10,[1]Hugst!$R$4:$W$4,0))))</f>
        <v>0</v>
      </c>
      <c r="J146">
        <f ca="1">IF($C146-J$1&lt;År1,0,I145*(1-VLOOKUP($A146,[1]Hugst!$R$5:$W$9,MATCH(ROUNDUP((J$1)/10,0)*10,[1]Hugst!$R$4:$W$4,0))))</f>
        <v>0</v>
      </c>
      <c r="K146">
        <f ca="1">IF($C146-K$1&lt;År1,0,J145*(1-VLOOKUP($A146,[1]Hugst!$R$5:$W$9,MATCH(ROUNDUP((K$1)/10,0)*10,[1]Hugst!$R$4:$W$4,0))))</f>
        <v>0</v>
      </c>
      <c r="L146">
        <f ca="1">IF($C146-L$1&lt;År1,0,K145*(1-VLOOKUP($A146,[1]Hugst!$R$5:$W$9,MATCH(ROUNDUP((L$1)/10,0)*10,[1]Hugst!$R$4:$W$4,0))))</f>
        <v>0</v>
      </c>
      <c r="M146">
        <f ca="1">IF($C146-M$1&lt;År1,0,L145*(1-VLOOKUP($A146,[1]Hugst!$R$5:$W$9,MATCH(ROUNDUP((M$1)/10,0)*10,[1]Hugst!$R$4:$W$4,0))))</f>
        <v>0</v>
      </c>
      <c r="N146">
        <f ca="1">IF($C146-N$1&lt;År1,0,M145*(1-VLOOKUP($A146,[1]Hugst!$R$5:$W$9,MATCH(ROUNDUP((N$1)/10,0)*10,[1]Hugst!$R$4:$W$4,0))))</f>
        <v>0</v>
      </c>
      <c r="O146">
        <f ca="1">IF($C146-O$1&lt;År1,0,N145*(1-VLOOKUP($A146,[1]Hugst!$R$5:$W$9,MATCH(ROUNDUP((O$1)/10,0)*10,[1]Hugst!$R$4:$W$4,0))))</f>
        <v>0</v>
      </c>
      <c r="P146">
        <f ca="1">IF($C146-P$1&lt;År1,0,O145*(1-VLOOKUP($A146,[1]Hugst!$R$5:$W$9,MATCH(ROUNDUP((P$1)/10,0)*10,[1]Hugst!$R$4:$W$4,0))))</f>
        <v>0</v>
      </c>
      <c r="Q146">
        <f ca="1">IF($C146-Q$1&lt;År1,0,P145*(1-VLOOKUP($A146,[1]Hugst!$R$5:$W$9,MATCH(ROUNDUP((Q$1)/10,0)*10,[1]Hugst!$R$4:$W$4,0))))</f>
        <v>0</v>
      </c>
      <c r="R146">
        <f ca="1">IF($C146-R$1&lt;År1,0,Q145*(1-VLOOKUP($A146,[1]Hugst!$R$5:$W$9,MATCH(ROUNDUP((R$1)/10,0)*10,[1]Hugst!$R$4:$W$4,0))))</f>
        <v>0</v>
      </c>
      <c r="S146">
        <f ca="1">IF($C146-S$1&lt;År1,0,R145*(1-VLOOKUP($A146,[1]Hugst!$R$5:$W$9,MATCH(ROUNDUP((S$1)/10,0)*10,[1]Hugst!$R$4:$W$4,0))))</f>
        <v>0</v>
      </c>
      <c r="T146">
        <f ca="1">IF($C146-T$1&lt;År1,0,S145*(1-VLOOKUP($A146,[1]Hugst!$R$5:$W$9,MATCH(ROUNDUP((T$1)/10,0)*10,[1]Hugst!$R$4:$W$4,0))))</f>
        <v>0</v>
      </c>
      <c r="U146">
        <f ca="1">IF($C146-U$1&lt;År1,0,T145*(1-VLOOKUP($A146,[1]Hugst!$R$5:$W$9,MATCH(ROUNDUP((U$1)/10,0)*10,[1]Hugst!$R$4:$W$4,0))))</f>
        <v>0</v>
      </c>
      <c r="V146">
        <f ca="1">IF($C146-V$1&lt;År1,0,U145*(1-VLOOKUP($A146,[1]Hugst!$R$5:$W$9,MATCH(ROUNDUP((V$1)/10,0)*10,[1]Hugst!$R$4:$W$4,0))))</f>
        <v>0</v>
      </c>
      <c r="W146">
        <f ca="1">IF($C146-W$1&lt;År1,0,V145*(1-VLOOKUP($A146,[1]Hugst!$R$5:$W$9,MATCH(ROUNDUP((W$1)/10,0)*10,[1]Hugst!$R$4:$W$4,0))))</f>
        <v>0</v>
      </c>
      <c r="X146">
        <f ca="1">IF($C146-X$1&lt;År1,0,W145*(1-VLOOKUP($A146,[1]Hugst!$R$5:$W$9,MATCH(ROUNDUP((X$1)/10,0)*10,[1]Hugst!$R$4:$W$4,0))))</f>
        <v>0</v>
      </c>
      <c r="Y146">
        <f ca="1">IF($C146-Y$1&lt;År1,0,X145*(1-VLOOKUP($A146,[1]Hugst!$R$5:$W$9,MATCH(ROUNDUP((Y$1)/10,0)*10,[1]Hugst!$R$4:$W$4,0))))</f>
        <v>0</v>
      </c>
      <c r="Z146">
        <f ca="1">IF($C146-Z$1&lt;År1,0,Y145*(1-VLOOKUP($A146,[1]Hugst!$R$5:$W$9,MATCH(ROUNDUP((Z$1)/10,0)*10,[1]Hugst!$R$4:$W$4,0))))</f>
        <v>0</v>
      </c>
      <c r="AA146">
        <f>IF($C146-AA$1&lt;År1,0,Z145*(1-VLOOKUP($A146,[1]Hugst!$R$5:$W$9,MATCH(ROUNDUP((AA$1)/10,0)*10,[1]Hugst!$R$4:$W$4,0))))</f>
        <v>0</v>
      </c>
      <c r="AB146">
        <f>IF($C146-AB$1&lt;År1,0,AA145*(1-VLOOKUP($A146,[1]Hugst!$R$5:$W$9,MATCH(ROUNDUP((AB$1)/10,0)*10,[1]Hugst!$R$4:$W$4,0))))</f>
        <v>0</v>
      </c>
      <c r="AC146">
        <f>IF($C146-AC$1&lt;År1,0,AB145*(1-VLOOKUP($A146,[1]Hugst!$R$5:$W$9,MATCH(ROUNDUP((AC$1)/10,0)*10,[1]Hugst!$R$4:$W$4,0))))</f>
        <v>0</v>
      </c>
      <c r="AD146">
        <f>IF($C146-AD$1&lt;År1,0,AC145*(1-VLOOKUP($A146,[1]Hugst!$R$5:$W$9,MATCH(ROUNDUP((AD$1)/10,0)*10,[1]Hugst!$R$4:$W$4,0))))</f>
        <v>0</v>
      </c>
      <c r="AE146">
        <f>IF($C146-AE$1&lt;År1,0,AD145*(1-VLOOKUP($A146,[1]Hugst!$R$5:$W$9,MATCH(ROUNDUP((AE$1)/10,0)*10,[1]Hugst!$R$4:$W$4,0))))</f>
        <v>0</v>
      </c>
      <c r="AF146">
        <f>IF($C146-AF$1&lt;År1,0,AE145*(1-VLOOKUP($A146,[1]Hugst!$R$5:$W$9,MATCH(ROUNDUP((AF$1)/10,0)*10,[1]Hugst!$R$4:$W$4,0))))</f>
        <v>0</v>
      </c>
      <c r="AG146">
        <f>IF($C146-AG$1&lt;År1,0,AF145*(1-VLOOKUP($A146,[1]Hugst!$R$5:$W$9,MATCH(ROUNDUP((AG$1)/10,0)*10,[1]Hugst!$R$4:$W$4,0))))</f>
        <v>0</v>
      </c>
      <c r="AH146">
        <f>IF($C146-AH$1&lt;År1,0,AG145*(1-VLOOKUP($A146,[1]Hugst!$R$5:$W$9,MATCH(ROUNDUP((AH$1)/10,0)*10,[1]Hugst!$R$4:$W$4,0))))</f>
        <v>0</v>
      </c>
      <c r="AI146">
        <f>IF($C146-AI$1&lt;År1,0,AH145*(1-VLOOKUP($A146,[1]Hugst!$R$5:$W$9,MATCH(ROUNDUP((AI$1)/10,0)*10,[1]Hugst!$R$4:$W$4,0))))</f>
        <v>0</v>
      </c>
      <c r="AJ146">
        <f>IF($C146-AJ$1&lt;År1,0,AI145*(1-VLOOKUP($A146,[1]Hugst!$R$5:$W$9,MATCH(ROUNDUP((AJ$1)/10,0)*10,[1]Hugst!$R$4:$W$4,0))))</f>
        <v>0</v>
      </c>
    </row>
    <row r="147" spans="1:36" x14ac:dyDescent="0.25">
      <c r="A147" t="s">
        <v>178</v>
      </c>
      <c r="B147" t="s">
        <v>23</v>
      </c>
      <c r="C147">
        <v>2041</v>
      </c>
      <c r="D147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0</v>
      </c>
      <c r="E147">
        <f t="shared" ca="1" si="3"/>
        <v>0</v>
      </c>
      <c r="F147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>
        <f ca="1">IF($C147-G$1&lt;År1,0,F146*(1-VLOOKUP($A147,[1]Hugst!$R$5:$W$9,MATCH(ROUNDUP((G$1)/10,0)*10,[1]Hugst!$R$4:$W$4,0))))</f>
        <v>0</v>
      </c>
      <c r="H147">
        <f ca="1">IF($C147-H$1&lt;År1,0,G146*(1-VLOOKUP($A147,[1]Hugst!$R$5:$W$9,MATCH(ROUNDUP((H$1)/10,0)*10,[1]Hugst!$R$4:$W$4,0))))</f>
        <v>0</v>
      </c>
      <c r="I147">
        <f ca="1">IF($C147-I$1&lt;År1,0,H146*(1-VLOOKUP($A147,[1]Hugst!$R$5:$W$9,MATCH(ROUNDUP((I$1)/10,0)*10,[1]Hugst!$R$4:$W$4,0))))</f>
        <v>0</v>
      </c>
      <c r="J147">
        <f ca="1">IF($C147-J$1&lt;År1,0,I146*(1-VLOOKUP($A147,[1]Hugst!$R$5:$W$9,MATCH(ROUNDUP((J$1)/10,0)*10,[1]Hugst!$R$4:$W$4,0))))</f>
        <v>0</v>
      </c>
      <c r="K147">
        <f ca="1">IF($C147-K$1&lt;År1,0,J146*(1-VLOOKUP($A147,[1]Hugst!$R$5:$W$9,MATCH(ROUNDUP((K$1)/10,0)*10,[1]Hugst!$R$4:$W$4,0))))</f>
        <v>0</v>
      </c>
      <c r="L147">
        <f ca="1">IF($C147-L$1&lt;År1,0,K146*(1-VLOOKUP($A147,[1]Hugst!$R$5:$W$9,MATCH(ROUNDUP((L$1)/10,0)*10,[1]Hugst!$R$4:$W$4,0))))</f>
        <v>0</v>
      </c>
      <c r="M147">
        <f ca="1">IF($C147-M$1&lt;År1,0,L146*(1-VLOOKUP($A147,[1]Hugst!$R$5:$W$9,MATCH(ROUNDUP((M$1)/10,0)*10,[1]Hugst!$R$4:$W$4,0))))</f>
        <v>0</v>
      </c>
      <c r="N147">
        <f ca="1">IF($C147-N$1&lt;År1,0,M146*(1-VLOOKUP($A147,[1]Hugst!$R$5:$W$9,MATCH(ROUNDUP((N$1)/10,0)*10,[1]Hugst!$R$4:$W$4,0))))</f>
        <v>0</v>
      </c>
      <c r="O147">
        <f ca="1">IF($C147-O$1&lt;År1,0,N146*(1-VLOOKUP($A147,[1]Hugst!$R$5:$W$9,MATCH(ROUNDUP((O$1)/10,0)*10,[1]Hugst!$R$4:$W$4,0))))</f>
        <v>0</v>
      </c>
      <c r="P147">
        <f ca="1">IF($C147-P$1&lt;År1,0,O146*(1-VLOOKUP($A147,[1]Hugst!$R$5:$W$9,MATCH(ROUNDUP((P$1)/10,0)*10,[1]Hugst!$R$4:$W$4,0))))</f>
        <v>0</v>
      </c>
      <c r="Q147">
        <f ca="1">IF($C147-Q$1&lt;År1,0,P146*(1-VLOOKUP($A147,[1]Hugst!$R$5:$W$9,MATCH(ROUNDUP((Q$1)/10,0)*10,[1]Hugst!$R$4:$W$4,0))))</f>
        <v>0</v>
      </c>
      <c r="R147">
        <f ca="1">IF($C147-R$1&lt;År1,0,Q146*(1-VLOOKUP($A147,[1]Hugst!$R$5:$W$9,MATCH(ROUNDUP((R$1)/10,0)*10,[1]Hugst!$R$4:$W$4,0))))</f>
        <v>0</v>
      </c>
      <c r="S147">
        <f ca="1">IF($C147-S$1&lt;År1,0,R146*(1-VLOOKUP($A147,[1]Hugst!$R$5:$W$9,MATCH(ROUNDUP((S$1)/10,0)*10,[1]Hugst!$R$4:$W$4,0))))</f>
        <v>0</v>
      </c>
      <c r="T147">
        <f ca="1">IF($C147-T$1&lt;År1,0,S146*(1-VLOOKUP($A147,[1]Hugst!$R$5:$W$9,MATCH(ROUNDUP((T$1)/10,0)*10,[1]Hugst!$R$4:$W$4,0))))</f>
        <v>0</v>
      </c>
      <c r="U147">
        <f ca="1">IF($C147-U$1&lt;År1,0,T146*(1-VLOOKUP($A147,[1]Hugst!$R$5:$W$9,MATCH(ROUNDUP((U$1)/10,0)*10,[1]Hugst!$R$4:$W$4,0))))</f>
        <v>0</v>
      </c>
      <c r="V147">
        <f ca="1">IF($C147-V$1&lt;År1,0,U146*(1-VLOOKUP($A147,[1]Hugst!$R$5:$W$9,MATCH(ROUNDUP((V$1)/10,0)*10,[1]Hugst!$R$4:$W$4,0))))</f>
        <v>0</v>
      </c>
      <c r="W147">
        <f ca="1">IF($C147-W$1&lt;År1,0,V146*(1-VLOOKUP($A147,[1]Hugst!$R$5:$W$9,MATCH(ROUNDUP((W$1)/10,0)*10,[1]Hugst!$R$4:$W$4,0))))</f>
        <v>0</v>
      </c>
      <c r="X147">
        <f ca="1">IF($C147-X$1&lt;År1,0,W146*(1-VLOOKUP($A147,[1]Hugst!$R$5:$W$9,MATCH(ROUNDUP((X$1)/10,0)*10,[1]Hugst!$R$4:$W$4,0))))</f>
        <v>0</v>
      </c>
      <c r="Y147">
        <f ca="1">IF($C147-Y$1&lt;År1,0,X146*(1-VLOOKUP($A147,[1]Hugst!$R$5:$W$9,MATCH(ROUNDUP((Y$1)/10,0)*10,[1]Hugst!$R$4:$W$4,0))))</f>
        <v>0</v>
      </c>
      <c r="Z147">
        <f ca="1">IF($C147-Z$1&lt;År1,0,Y146*(1-VLOOKUP($A147,[1]Hugst!$R$5:$W$9,MATCH(ROUNDUP((Z$1)/10,0)*10,[1]Hugst!$R$4:$W$4,0))))</f>
        <v>0</v>
      </c>
      <c r="AA147">
        <f ca="1">IF($C147-AA$1&lt;År1,0,Z146*(1-VLOOKUP($A147,[1]Hugst!$R$5:$W$9,MATCH(ROUNDUP((AA$1)/10,0)*10,[1]Hugst!$R$4:$W$4,0))))</f>
        <v>0</v>
      </c>
      <c r="AB147">
        <f>IF($C147-AB$1&lt;År1,0,AA146*(1-VLOOKUP($A147,[1]Hugst!$R$5:$W$9,MATCH(ROUNDUP((AB$1)/10,0)*10,[1]Hugst!$R$4:$W$4,0))))</f>
        <v>0</v>
      </c>
      <c r="AC147">
        <f>IF($C147-AC$1&lt;År1,0,AB146*(1-VLOOKUP($A147,[1]Hugst!$R$5:$W$9,MATCH(ROUNDUP((AC$1)/10,0)*10,[1]Hugst!$R$4:$W$4,0))))</f>
        <v>0</v>
      </c>
      <c r="AD147">
        <f>IF($C147-AD$1&lt;År1,0,AC146*(1-VLOOKUP($A147,[1]Hugst!$R$5:$W$9,MATCH(ROUNDUP((AD$1)/10,0)*10,[1]Hugst!$R$4:$W$4,0))))</f>
        <v>0</v>
      </c>
      <c r="AE147">
        <f>IF($C147-AE$1&lt;År1,0,AD146*(1-VLOOKUP($A147,[1]Hugst!$R$5:$W$9,MATCH(ROUNDUP((AE$1)/10,0)*10,[1]Hugst!$R$4:$W$4,0))))</f>
        <v>0</v>
      </c>
      <c r="AF147">
        <f>IF($C147-AF$1&lt;År1,0,AE146*(1-VLOOKUP($A147,[1]Hugst!$R$5:$W$9,MATCH(ROUNDUP((AF$1)/10,0)*10,[1]Hugst!$R$4:$W$4,0))))</f>
        <v>0</v>
      </c>
      <c r="AG147">
        <f>IF($C147-AG$1&lt;År1,0,AF146*(1-VLOOKUP($A147,[1]Hugst!$R$5:$W$9,MATCH(ROUNDUP((AG$1)/10,0)*10,[1]Hugst!$R$4:$W$4,0))))</f>
        <v>0</v>
      </c>
      <c r="AH147">
        <f>IF($C147-AH$1&lt;År1,0,AG146*(1-VLOOKUP($A147,[1]Hugst!$R$5:$W$9,MATCH(ROUNDUP((AH$1)/10,0)*10,[1]Hugst!$R$4:$W$4,0))))</f>
        <v>0</v>
      </c>
      <c r="AI147">
        <f>IF($C147-AI$1&lt;År1,0,AH146*(1-VLOOKUP($A147,[1]Hugst!$R$5:$W$9,MATCH(ROUNDUP((AI$1)/10,0)*10,[1]Hugst!$R$4:$W$4,0))))</f>
        <v>0</v>
      </c>
      <c r="AJ147">
        <f>IF($C147-AJ$1&lt;År1,0,AI146*(1-VLOOKUP($A147,[1]Hugst!$R$5:$W$9,MATCH(ROUNDUP((AJ$1)/10,0)*10,[1]Hugst!$R$4:$W$4,0))))</f>
        <v>0</v>
      </c>
    </row>
    <row r="148" spans="1:36" x14ac:dyDescent="0.25">
      <c r="A148" t="s">
        <v>178</v>
      </c>
      <c r="B148" t="s">
        <v>23</v>
      </c>
      <c r="C148">
        <v>2042</v>
      </c>
      <c r="D14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0</v>
      </c>
      <c r="E148">
        <f t="shared" ca="1" si="3"/>
        <v>0</v>
      </c>
      <c r="F14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>
        <f ca="1">IF($C148-G$1&lt;År1,0,F147*(1-VLOOKUP($A148,[1]Hugst!$R$5:$W$9,MATCH(ROUNDUP((G$1)/10,0)*10,[1]Hugst!$R$4:$W$4,0))))</f>
        <v>0</v>
      </c>
      <c r="H148">
        <f ca="1">IF($C148-H$1&lt;År1,0,G147*(1-VLOOKUP($A148,[1]Hugst!$R$5:$W$9,MATCH(ROUNDUP((H$1)/10,0)*10,[1]Hugst!$R$4:$W$4,0))))</f>
        <v>0</v>
      </c>
      <c r="I148">
        <f ca="1">IF($C148-I$1&lt;År1,0,H147*(1-VLOOKUP($A148,[1]Hugst!$R$5:$W$9,MATCH(ROUNDUP((I$1)/10,0)*10,[1]Hugst!$R$4:$W$4,0))))</f>
        <v>0</v>
      </c>
      <c r="J148">
        <f ca="1">IF($C148-J$1&lt;År1,0,I147*(1-VLOOKUP($A148,[1]Hugst!$R$5:$W$9,MATCH(ROUNDUP((J$1)/10,0)*10,[1]Hugst!$R$4:$W$4,0))))</f>
        <v>0</v>
      </c>
      <c r="K148">
        <f ca="1">IF($C148-K$1&lt;År1,0,J147*(1-VLOOKUP($A148,[1]Hugst!$R$5:$W$9,MATCH(ROUNDUP((K$1)/10,0)*10,[1]Hugst!$R$4:$W$4,0))))</f>
        <v>0</v>
      </c>
      <c r="L148">
        <f ca="1">IF($C148-L$1&lt;År1,0,K147*(1-VLOOKUP($A148,[1]Hugst!$R$5:$W$9,MATCH(ROUNDUP((L$1)/10,0)*10,[1]Hugst!$R$4:$W$4,0))))</f>
        <v>0</v>
      </c>
      <c r="M148">
        <f ca="1">IF($C148-M$1&lt;År1,0,L147*(1-VLOOKUP($A148,[1]Hugst!$R$5:$W$9,MATCH(ROUNDUP((M$1)/10,0)*10,[1]Hugst!$R$4:$W$4,0))))</f>
        <v>0</v>
      </c>
      <c r="N148">
        <f ca="1">IF($C148-N$1&lt;År1,0,M147*(1-VLOOKUP($A148,[1]Hugst!$R$5:$W$9,MATCH(ROUNDUP((N$1)/10,0)*10,[1]Hugst!$R$4:$W$4,0))))</f>
        <v>0</v>
      </c>
      <c r="O148">
        <f ca="1">IF($C148-O$1&lt;År1,0,N147*(1-VLOOKUP($A148,[1]Hugst!$R$5:$W$9,MATCH(ROUNDUP((O$1)/10,0)*10,[1]Hugst!$R$4:$W$4,0))))</f>
        <v>0</v>
      </c>
      <c r="P148">
        <f ca="1">IF($C148-P$1&lt;År1,0,O147*(1-VLOOKUP($A148,[1]Hugst!$R$5:$W$9,MATCH(ROUNDUP((P$1)/10,0)*10,[1]Hugst!$R$4:$W$4,0))))</f>
        <v>0</v>
      </c>
      <c r="Q148">
        <f ca="1">IF($C148-Q$1&lt;År1,0,P147*(1-VLOOKUP($A148,[1]Hugst!$R$5:$W$9,MATCH(ROUNDUP((Q$1)/10,0)*10,[1]Hugst!$R$4:$W$4,0))))</f>
        <v>0</v>
      </c>
      <c r="R148">
        <f ca="1">IF($C148-R$1&lt;År1,0,Q147*(1-VLOOKUP($A148,[1]Hugst!$R$5:$W$9,MATCH(ROUNDUP((R$1)/10,0)*10,[1]Hugst!$R$4:$W$4,0))))</f>
        <v>0</v>
      </c>
      <c r="S148">
        <f ca="1">IF($C148-S$1&lt;År1,0,R147*(1-VLOOKUP($A148,[1]Hugst!$R$5:$W$9,MATCH(ROUNDUP((S$1)/10,0)*10,[1]Hugst!$R$4:$W$4,0))))</f>
        <v>0</v>
      </c>
      <c r="T148">
        <f ca="1">IF($C148-T$1&lt;År1,0,S147*(1-VLOOKUP($A148,[1]Hugst!$R$5:$W$9,MATCH(ROUNDUP((T$1)/10,0)*10,[1]Hugst!$R$4:$W$4,0))))</f>
        <v>0</v>
      </c>
      <c r="U148">
        <f ca="1">IF($C148-U$1&lt;År1,0,T147*(1-VLOOKUP($A148,[1]Hugst!$R$5:$W$9,MATCH(ROUNDUP((U$1)/10,0)*10,[1]Hugst!$R$4:$W$4,0))))</f>
        <v>0</v>
      </c>
      <c r="V148">
        <f ca="1">IF($C148-V$1&lt;År1,0,U147*(1-VLOOKUP($A148,[1]Hugst!$R$5:$W$9,MATCH(ROUNDUP((V$1)/10,0)*10,[1]Hugst!$R$4:$W$4,0))))</f>
        <v>0</v>
      </c>
      <c r="W148">
        <f ca="1">IF($C148-W$1&lt;År1,0,V147*(1-VLOOKUP($A148,[1]Hugst!$R$5:$W$9,MATCH(ROUNDUP((W$1)/10,0)*10,[1]Hugst!$R$4:$W$4,0))))</f>
        <v>0</v>
      </c>
      <c r="X148">
        <f ca="1">IF($C148-X$1&lt;År1,0,W147*(1-VLOOKUP($A148,[1]Hugst!$R$5:$W$9,MATCH(ROUNDUP((X$1)/10,0)*10,[1]Hugst!$R$4:$W$4,0))))</f>
        <v>0</v>
      </c>
      <c r="Y148">
        <f ca="1">IF($C148-Y$1&lt;År1,0,X147*(1-VLOOKUP($A148,[1]Hugst!$R$5:$W$9,MATCH(ROUNDUP((Y$1)/10,0)*10,[1]Hugst!$R$4:$W$4,0))))</f>
        <v>0</v>
      </c>
      <c r="Z148">
        <f ca="1">IF($C148-Z$1&lt;År1,0,Y147*(1-VLOOKUP($A148,[1]Hugst!$R$5:$W$9,MATCH(ROUNDUP((Z$1)/10,0)*10,[1]Hugst!$R$4:$W$4,0))))</f>
        <v>0</v>
      </c>
      <c r="AA148">
        <f ca="1">IF($C148-AA$1&lt;År1,0,Z147*(1-VLOOKUP($A148,[1]Hugst!$R$5:$W$9,MATCH(ROUNDUP((AA$1)/10,0)*10,[1]Hugst!$R$4:$W$4,0))))</f>
        <v>0</v>
      </c>
      <c r="AB148">
        <f ca="1">IF($C148-AB$1&lt;År1,0,AA147*(1-VLOOKUP($A148,[1]Hugst!$R$5:$W$9,MATCH(ROUNDUP((AB$1)/10,0)*10,[1]Hugst!$R$4:$W$4,0))))</f>
        <v>0</v>
      </c>
      <c r="AC148">
        <f>IF($C148-AC$1&lt;År1,0,AB147*(1-VLOOKUP($A148,[1]Hugst!$R$5:$W$9,MATCH(ROUNDUP((AC$1)/10,0)*10,[1]Hugst!$R$4:$W$4,0))))</f>
        <v>0</v>
      </c>
      <c r="AD148">
        <f>IF($C148-AD$1&lt;År1,0,AC147*(1-VLOOKUP($A148,[1]Hugst!$R$5:$W$9,MATCH(ROUNDUP((AD$1)/10,0)*10,[1]Hugst!$R$4:$W$4,0))))</f>
        <v>0</v>
      </c>
      <c r="AE148">
        <f>IF($C148-AE$1&lt;År1,0,AD147*(1-VLOOKUP($A148,[1]Hugst!$R$5:$W$9,MATCH(ROUNDUP((AE$1)/10,0)*10,[1]Hugst!$R$4:$W$4,0))))</f>
        <v>0</v>
      </c>
      <c r="AF148">
        <f>IF($C148-AF$1&lt;År1,0,AE147*(1-VLOOKUP($A148,[1]Hugst!$R$5:$W$9,MATCH(ROUNDUP((AF$1)/10,0)*10,[1]Hugst!$R$4:$W$4,0))))</f>
        <v>0</v>
      </c>
      <c r="AG148">
        <f>IF($C148-AG$1&lt;År1,0,AF147*(1-VLOOKUP($A148,[1]Hugst!$R$5:$W$9,MATCH(ROUNDUP((AG$1)/10,0)*10,[1]Hugst!$R$4:$W$4,0))))</f>
        <v>0</v>
      </c>
      <c r="AH148">
        <f>IF($C148-AH$1&lt;År1,0,AG147*(1-VLOOKUP($A148,[1]Hugst!$R$5:$W$9,MATCH(ROUNDUP((AH$1)/10,0)*10,[1]Hugst!$R$4:$W$4,0))))</f>
        <v>0</v>
      </c>
      <c r="AI148">
        <f>IF($C148-AI$1&lt;År1,0,AH147*(1-VLOOKUP($A148,[1]Hugst!$R$5:$W$9,MATCH(ROUNDUP((AI$1)/10,0)*10,[1]Hugst!$R$4:$W$4,0))))</f>
        <v>0</v>
      </c>
      <c r="AJ148">
        <f>IF($C148-AJ$1&lt;År1,0,AI147*(1-VLOOKUP($A148,[1]Hugst!$R$5:$W$9,MATCH(ROUNDUP((AJ$1)/10,0)*10,[1]Hugst!$R$4:$W$4,0))))</f>
        <v>0</v>
      </c>
    </row>
    <row r="149" spans="1:36" x14ac:dyDescent="0.25">
      <c r="A149" t="s">
        <v>178</v>
      </c>
      <c r="B149" t="s">
        <v>23</v>
      </c>
      <c r="C149">
        <v>2043</v>
      </c>
      <c r="D149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0</v>
      </c>
      <c r="E149">
        <f t="shared" ca="1" si="3"/>
        <v>0</v>
      </c>
      <c r="F14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>
        <f ca="1">IF($C149-G$1&lt;År1,0,F148*(1-VLOOKUP($A149,[1]Hugst!$R$5:$W$9,MATCH(ROUNDUP((G$1)/10,0)*10,[1]Hugst!$R$4:$W$4,0))))</f>
        <v>0</v>
      </c>
      <c r="H149">
        <f ca="1">IF($C149-H$1&lt;År1,0,G148*(1-VLOOKUP($A149,[1]Hugst!$R$5:$W$9,MATCH(ROUNDUP((H$1)/10,0)*10,[1]Hugst!$R$4:$W$4,0))))</f>
        <v>0</v>
      </c>
      <c r="I149">
        <f ca="1">IF($C149-I$1&lt;År1,0,H148*(1-VLOOKUP($A149,[1]Hugst!$R$5:$W$9,MATCH(ROUNDUP((I$1)/10,0)*10,[1]Hugst!$R$4:$W$4,0))))</f>
        <v>0</v>
      </c>
      <c r="J149">
        <f ca="1">IF($C149-J$1&lt;År1,0,I148*(1-VLOOKUP($A149,[1]Hugst!$R$5:$W$9,MATCH(ROUNDUP((J$1)/10,0)*10,[1]Hugst!$R$4:$W$4,0))))</f>
        <v>0</v>
      </c>
      <c r="K149">
        <f ca="1">IF($C149-K$1&lt;År1,0,J148*(1-VLOOKUP($A149,[1]Hugst!$R$5:$W$9,MATCH(ROUNDUP((K$1)/10,0)*10,[1]Hugst!$R$4:$W$4,0))))</f>
        <v>0</v>
      </c>
      <c r="L149">
        <f ca="1">IF($C149-L$1&lt;År1,0,K148*(1-VLOOKUP($A149,[1]Hugst!$R$5:$W$9,MATCH(ROUNDUP((L$1)/10,0)*10,[1]Hugst!$R$4:$W$4,0))))</f>
        <v>0</v>
      </c>
      <c r="M149">
        <f ca="1">IF($C149-M$1&lt;År1,0,L148*(1-VLOOKUP($A149,[1]Hugst!$R$5:$W$9,MATCH(ROUNDUP((M$1)/10,0)*10,[1]Hugst!$R$4:$W$4,0))))</f>
        <v>0</v>
      </c>
      <c r="N149">
        <f ca="1">IF($C149-N$1&lt;År1,0,M148*(1-VLOOKUP($A149,[1]Hugst!$R$5:$W$9,MATCH(ROUNDUP((N$1)/10,0)*10,[1]Hugst!$R$4:$W$4,0))))</f>
        <v>0</v>
      </c>
      <c r="O149">
        <f ca="1">IF($C149-O$1&lt;År1,0,N148*(1-VLOOKUP($A149,[1]Hugst!$R$5:$W$9,MATCH(ROUNDUP((O$1)/10,0)*10,[1]Hugst!$R$4:$W$4,0))))</f>
        <v>0</v>
      </c>
      <c r="P149">
        <f ca="1">IF($C149-P$1&lt;År1,0,O148*(1-VLOOKUP($A149,[1]Hugst!$R$5:$W$9,MATCH(ROUNDUP((P$1)/10,0)*10,[1]Hugst!$R$4:$W$4,0))))</f>
        <v>0</v>
      </c>
      <c r="Q149">
        <f ca="1">IF($C149-Q$1&lt;År1,0,P148*(1-VLOOKUP($A149,[1]Hugst!$R$5:$W$9,MATCH(ROUNDUP((Q$1)/10,0)*10,[1]Hugst!$R$4:$W$4,0))))</f>
        <v>0</v>
      </c>
      <c r="R149">
        <f ca="1">IF($C149-R$1&lt;År1,0,Q148*(1-VLOOKUP($A149,[1]Hugst!$R$5:$W$9,MATCH(ROUNDUP((R$1)/10,0)*10,[1]Hugst!$R$4:$W$4,0))))</f>
        <v>0</v>
      </c>
      <c r="S149">
        <f ca="1">IF($C149-S$1&lt;År1,0,R148*(1-VLOOKUP($A149,[1]Hugst!$R$5:$W$9,MATCH(ROUNDUP((S$1)/10,0)*10,[1]Hugst!$R$4:$W$4,0))))</f>
        <v>0</v>
      </c>
      <c r="T149">
        <f ca="1">IF($C149-T$1&lt;År1,0,S148*(1-VLOOKUP($A149,[1]Hugst!$R$5:$W$9,MATCH(ROUNDUP((T$1)/10,0)*10,[1]Hugst!$R$4:$W$4,0))))</f>
        <v>0</v>
      </c>
      <c r="U149">
        <f ca="1">IF($C149-U$1&lt;År1,0,T148*(1-VLOOKUP($A149,[1]Hugst!$R$5:$W$9,MATCH(ROUNDUP((U$1)/10,0)*10,[1]Hugst!$R$4:$W$4,0))))</f>
        <v>0</v>
      </c>
      <c r="V149">
        <f ca="1">IF($C149-V$1&lt;År1,0,U148*(1-VLOOKUP($A149,[1]Hugst!$R$5:$W$9,MATCH(ROUNDUP((V$1)/10,0)*10,[1]Hugst!$R$4:$W$4,0))))</f>
        <v>0</v>
      </c>
      <c r="W149">
        <f ca="1">IF($C149-W$1&lt;År1,0,V148*(1-VLOOKUP($A149,[1]Hugst!$R$5:$W$9,MATCH(ROUNDUP((W$1)/10,0)*10,[1]Hugst!$R$4:$W$4,0))))</f>
        <v>0</v>
      </c>
      <c r="X149">
        <f ca="1">IF($C149-X$1&lt;År1,0,W148*(1-VLOOKUP($A149,[1]Hugst!$R$5:$W$9,MATCH(ROUNDUP((X$1)/10,0)*10,[1]Hugst!$R$4:$W$4,0))))</f>
        <v>0</v>
      </c>
      <c r="Y149">
        <f ca="1">IF($C149-Y$1&lt;År1,0,X148*(1-VLOOKUP($A149,[1]Hugst!$R$5:$W$9,MATCH(ROUNDUP((Y$1)/10,0)*10,[1]Hugst!$R$4:$W$4,0))))</f>
        <v>0</v>
      </c>
      <c r="Z149">
        <f ca="1">IF($C149-Z$1&lt;År1,0,Y148*(1-VLOOKUP($A149,[1]Hugst!$R$5:$W$9,MATCH(ROUNDUP((Z$1)/10,0)*10,[1]Hugst!$R$4:$W$4,0))))</f>
        <v>0</v>
      </c>
      <c r="AA149">
        <f ca="1">IF($C149-AA$1&lt;År1,0,Z148*(1-VLOOKUP($A149,[1]Hugst!$R$5:$W$9,MATCH(ROUNDUP((AA$1)/10,0)*10,[1]Hugst!$R$4:$W$4,0))))</f>
        <v>0</v>
      </c>
      <c r="AB149">
        <f ca="1">IF($C149-AB$1&lt;År1,0,AA148*(1-VLOOKUP($A149,[1]Hugst!$R$5:$W$9,MATCH(ROUNDUP((AB$1)/10,0)*10,[1]Hugst!$R$4:$W$4,0))))</f>
        <v>0</v>
      </c>
      <c r="AC149">
        <f ca="1">IF($C149-AC$1&lt;År1,0,AB148*(1-VLOOKUP($A149,[1]Hugst!$R$5:$W$9,MATCH(ROUNDUP((AC$1)/10,0)*10,[1]Hugst!$R$4:$W$4,0))))</f>
        <v>0</v>
      </c>
      <c r="AD149">
        <f>IF($C149-AD$1&lt;År1,0,AC148*(1-VLOOKUP($A149,[1]Hugst!$R$5:$W$9,MATCH(ROUNDUP((AD$1)/10,0)*10,[1]Hugst!$R$4:$W$4,0))))</f>
        <v>0</v>
      </c>
      <c r="AE149">
        <f>IF($C149-AE$1&lt;År1,0,AD148*(1-VLOOKUP($A149,[1]Hugst!$R$5:$W$9,MATCH(ROUNDUP((AE$1)/10,0)*10,[1]Hugst!$R$4:$W$4,0))))</f>
        <v>0</v>
      </c>
      <c r="AF149">
        <f>IF($C149-AF$1&lt;År1,0,AE148*(1-VLOOKUP($A149,[1]Hugst!$R$5:$W$9,MATCH(ROUNDUP((AF$1)/10,0)*10,[1]Hugst!$R$4:$W$4,0))))</f>
        <v>0</v>
      </c>
      <c r="AG149">
        <f>IF($C149-AG$1&lt;År1,0,AF148*(1-VLOOKUP($A149,[1]Hugst!$R$5:$W$9,MATCH(ROUNDUP((AG$1)/10,0)*10,[1]Hugst!$R$4:$W$4,0))))</f>
        <v>0</v>
      </c>
      <c r="AH149">
        <f>IF($C149-AH$1&lt;År1,0,AG148*(1-VLOOKUP($A149,[1]Hugst!$R$5:$W$9,MATCH(ROUNDUP((AH$1)/10,0)*10,[1]Hugst!$R$4:$W$4,0))))</f>
        <v>0</v>
      </c>
      <c r="AI149">
        <f>IF($C149-AI$1&lt;År1,0,AH148*(1-VLOOKUP($A149,[1]Hugst!$R$5:$W$9,MATCH(ROUNDUP((AI$1)/10,0)*10,[1]Hugst!$R$4:$W$4,0))))</f>
        <v>0</v>
      </c>
      <c r="AJ149">
        <f>IF($C149-AJ$1&lt;År1,0,AI148*(1-VLOOKUP($A149,[1]Hugst!$R$5:$W$9,MATCH(ROUNDUP((AJ$1)/10,0)*10,[1]Hugst!$R$4:$W$4,0))))</f>
        <v>0</v>
      </c>
    </row>
    <row r="150" spans="1:36" x14ac:dyDescent="0.25">
      <c r="A150" t="s">
        <v>178</v>
      </c>
      <c r="B150" t="s">
        <v>23</v>
      </c>
      <c r="C150">
        <v>2044</v>
      </c>
      <c r="D150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0</v>
      </c>
      <c r="E150">
        <f t="shared" ca="1" si="3"/>
        <v>0</v>
      </c>
      <c r="F150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>
        <f ca="1">IF($C150-G$1&lt;År1,0,F149*(1-VLOOKUP($A150,[1]Hugst!$R$5:$W$9,MATCH(ROUNDUP((G$1)/10,0)*10,[1]Hugst!$R$4:$W$4,0))))</f>
        <v>0</v>
      </c>
      <c r="H150">
        <f ca="1">IF($C150-H$1&lt;År1,0,G149*(1-VLOOKUP($A150,[1]Hugst!$R$5:$W$9,MATCH(ROUNDUP((H$1)/10,0)*10,[1]Hugst!$R$4:$W$4,0))))</f>
        <v>0</v>
      </c>
      <c r="I150">
        <f ca="1">IF($C150-I$1&lt;År1,0,H149*(1-VLOOKUP($A150,[1]Hugst!$R$5:$W$9,MATCH(ROUNDUP((I$1)/10,0)*10,[1]Hugst!$R$4:$W$4,0))))</f>
        <v>0</v>
      </c>
      <c r="J150">
        <f ca="1">IF($C150-J$1&lt;År1,0,I149*(1-VLOOKUP($A150,[1]Hugst!$R$5:$W$9,MATCH(ROUNDUP((J$1)/10,0)*10,[1]Hugst!$R$4:$W$4,0))))</f>
        <v>0</v>
      </c>
      <c r="K150">
        <f ca="1">IF($C150-K$1&lt;År1,0,J149*(1-VLOOKUP($A150,[1]Hugst!$R$5:$W$9,MATCH(ROUNDUP((K$1)/10,0)*10,[1]Hugst!$R$4:$W$4,0))))</f>
        <v>0</v>
      </c>
      <c r="L150">
        <f ca="1">IF($C150-L$1&lt;År1,0,K149*(1-VLOOKUP($A150,[1]Hugst!$R$5:$W$9,MATCH(ROUNDUP((L$1)/10,0)*10,[1]Hugst!$R$4:$W$4,0))))</f>
        <v>0</v>
      </c>
      <c r="M150">
        <f ca="1">IF($C150-M$1&lt;År1,0,L149*(1-VLOOKUP($A150,[1]Hugst!$R$5:$W$9,MATCH(ROUNDUP((M$1)/10,0)*10,[1]Hugst!$R$4:$W$4,0))))</f>
        <v>0</v>
      </c>
      <c r="N150">
        <f ca="1">IF($C150-N$1&lt;År1,0,M149*(1-VLOOKUP($A150,[1]Hugst!$R$5:$W$9,MATCH(ROUNDUP((N$1)/10,0)*10,[1]Hugst!$R$4:$W$4,0))))</f>
        <v>0</v>
      </c>
      <c r="O150">
        <f ca="1">IF($C150-O$1&lt;År1,0,N149*(1-VLOOKUP($A150,[1]Hugst!$R$5:$W$9,MATCH(ROUNDUP((O$1)/10,0)*10,[1]Hugst!$R$4:$W$4,0))))</f>
        <v>0</v>
      </c>
      <c r="P150">
        <f ca="1">IF($C150-P$1&lt;År1,0,O149*(1-VLOOKUP($A150,[1]Hugst!$R$5:$W$9,MATCH(ROUNDUP((P$1)/10,0)*10,[1]Hugst!$R$4:$W$4,0))))</f>
        <v>0</v>
      </c>
      <c r="Q150">
        <f ca="1">IF($C150-Q$1&lt;År1,0,P149*(1-VLOOKUP($A150,[1]Hugst!$R$5:$W$9,MATCH(ROUNDUP((Q$1)/10,0)*10,[1]Hugst!$R$4:$W$4,0))))</f>
        <v>0</v>
      </c>
      <c r="R150">
        <f ca="1">IF($C150-R$1&lt;År1,0,Q149*(1-VLOOKUP($A150,[1]Hugst!$R$5:$W$9,MATCH(ROUNDUP((R$1)/10,0)*10,[1]Hugst!$R$4:$W$4,0))))</f>
        <v>0</v>
      </c>
      <c r="S150">
        <f ca="1">IF($C150-S$1&lt;År1,0,R149*(1-VLOOKUP($A150,[1]Hugst!$R$5:$W$9,MATCH(ROUNDUP((S$1)/10,0)*10,[1]Hugst!$R$4:$W$4,0))))</f>
        <v>0</v>
      </c>
      <c r="T150">
        <f ca="1">IF($C150-T$1&lt;År1,0,S149*(1-VLOOKUP($A150,[1]Hugst!$R$5:$W$9,MATCH(ROUNDUP((T$1)/10,0)*10,[1]Hugst!$R$4:$W$4,0))))</f>
        <v>0</v>
      </c>
      <c r="U150">
        <f ca="1">IF($C150-U$1&lt;År1,0,T149*(1-VLOOKUP($A150,[1]Hugst!$R$5:$W$9,MATCH(ROUNDUP((U$1)/10,0)*10,[1]Hugst!$R$4:$W$4,0))))</f>
        <v>0</v>
      </c>
      <c r="V150">
        <f ca="1">IF($C150-V$1&lt;År1,0,U149*(1-VLOOKUP($A150,[1]Hugst!$R$5:$W$9,MATCH(ROUNDUP((V$1)/10,0)*10,[1]Hugst!$R$4:$W$4,0))))</f>
        <v>0</v>
      </c>
      <c r="W150">
        <f ca="1">IF($C150-W$1&lt;År1,0,V149*(1-VLOOKUP($A150,[1]Hugst!$R$5:$W$9,MATCH(ROUNDUP((W$1)/10,0)*10,[1]Hugst!$R$4:$W$4,0))))</f>
        <v>0</v>
      </c>
      <c r="X150">
        <f ca="1">IF($C150-X$1&lt;År1,0,W149*(1-VLOOKUP($A150,[1]Hugst!$R$5:$W$9,MATCH(ROUNDUP((X$1)/10,0)*10,[1]Hugst!$R$4:$W$4,0))))</f>
        <v>0</v>
      </c>
      <c r="Y150">
        <f ca="1">IF($C150-Y$1&lt;År1,0,X149*(1-VLOOKUP($A150,[1]Hugst!$R$5:$W$9,MATCH(ROUNDUP((Y$1)/10,0)*10,[1]Hugst!$R$4:$W$4,0))))</f>
        <v>0</v>
      </c>
      <c r="Z150">
        <f ca="1">IF($C150-Z$1&lt;År1,0,Y149*(1-VLOOKUP($A150,[1]Hugst!$R$5:$W$9,MATCH(ROUNDUP((Z$1)/10,0)*10,[1]Hugst!$R$4:$W$4,0))))</f>
        <v>0</v>
      </c>
      <c r="AA150">
        <f ca="1">IF($C150-AA$1&lt;År1,0,Z149*(1-VLOOKUP($A150,[1]Hugst!$R$5:$W$9,MATCH(ROUNDUP((AA$1)/10,0)*10,[1]Hugst!$R$4:$W$4,0))))</f>
        <v>0</v>
      </c>
      <c r="AB150">
        <f ca="1">IF($C150-AB$1&lt;År1,0,AA149*(1-VLOOKUP($A150,[1]Hugst!$R$5:$W$9,MATCH(ROUNDUP((AB$1)/10,0)*10,[1]Hugst!$R$4:$W$4,0))))</f>
        <v>0</v>
      </c>
      <c r="AC150">
        <f ca="1">IF($C150-AC$1&lt;År1,0,AB149*(1-VLOOKUP($A150,[1]Hugst!$R$5:$W$9,MATCH(ROUNDUP((AC$1)/10,0)*10,[1]Hugst!$R$4:$W$4,0))))</f>
        <v>0</v>
      </c>
      <c r="AD150">
        <f ca="1">IF($C150-AD$1&lt;År1,0,AC149*(1-VLOOKUP($A150,[1]Hugst!$R$5:$W$9,MATCH(ROUNDUP((AD$1)/10,0)*10,[1]Hugst!$R$4:$W$4,0))))</f>
        <v>0</v>
      </c>
      <c r="AE150">
        <f>IF($C150-AE$1&lt;År1,0,AD149*(1-VLOOKUP($A150,[1]Hugst!$R$5:$W$9,MATCH(ROUNDUP((AE$1)/10,0)*10,[1]Hugst!$R$4:$W$4,0))))</f>
        <v>0</v>
      </c>
      <c r="AF150">
        <f>IF($C150-AF$1&lt;År1,0,AE149*(1-VLOOKUP($A150,[1]Hugst!$R$5:$W$9,MATCH(ROUNDUP((AF$1)/10,0)*10,[1]Hugst!$R$4:$W$4,0))))</f>
        <v>0</v>
      </c>
      <c r="AG150">
        <f>IF($C150-AG$1&lt;År1,0,AF149*(1-VLOOKUP($A150,[1]Hugst!$R$5:$W$9,MATCH(ROUNDUP((AG$1)/10,0)*10,[1]Hugst!$R$4:$W$4,0))))</f>
        <v>0</v>
      </c>
      <c r="AH150">
        <f>IF($C150-AH$1&lt;År1,0,AG149*(1-VLOOKUP($A150,[1]Hugst!$R$5:$W$9,MATCH(ROUNDUP((AH$1)/10,0)*10,[1]Hugst!$R$4:$W$4,0))))</f>
        <v>0</v>
      </c>
      <c r="AI150">
        <f>IF($C150-AI$1&lt;År1,0,AH149*(1-VLOOKUP($A150,[1]Hugst!$R$5:$W$9,MATCH(ROUNDUP((AI$1)/10,0)*10,[1]Hugst!$R$4:$W$4,0))))</f>
        <v>0</v>
      </c>
      <c r="AJ150">
        <f>IF($C150-AJ$1&lt;År1,0,AI149*(1-VLOOKUP($A150,[1]Hugst!$R$5:$W$9,MATCH(ROUNDUP((AJ$1)/10,0)*10,[1]Hugst!$R$4:$W$4,0))))</f>
        <v>0</v>
      </c>
    </row>
    <row r="151" spans="1:36" x14ac:dyDescent="0.25">
      <c r="A151" t="s">
        <v>178</v>
      </c>
      <c r="B151" t="s">
        <v>23</v>
      </c>
      <c r="C151">
        <v>2045</v>
      </c>
      <c r="D151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0</v>
      </c>
      <c r="E151">
        <f t="shared" ca="1" si="3"/>
        <v>0</v>
      </c>
      <c r="F151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>
        <f ca="1">IF($C151-G$1&lt;År1,0,F150*(1-VLOOKUP($A151,[1]Hugst!$R$5:$W$9,MATCH(ROUNDUP((G$1)/10,0)*10,[1]Hugst!$R$4:$W$4,0))))</f>
        <v>0</v>
      </c>
      <c r="H151">
        <f ca="1">IF($C151-H$1&lt;År1,0,G150*(1-VLOOKUP($A151,[1]Hugst!$R$5:$W$9,MATCH(ROUNDUP((H$1)/10,0)*10,[1]Hugst!$R$4:$W$4,0))))</f>
        <v>0</v>
      </c>
      <c r="I151">
        <f ca="1">IF($C151-I$1&lt;År1,0,H150*(1-VLOOKUP($A151,[1]Hugst!$R$5:$W$9,MATCH(ROUNDUP((I$1)/10,0)*10,[1]Hugst!$R$4:$W$4,0))))</f>
        <v>0</v>
      </c>
      <c r="J151">
        <f ca="1">IF($C151-J$1&lt;År1,0,I150*(1-VLOOKUP($A151,[1]Hugst!$R$5:$W$9,MATCH(ROUNDUP((J$1)/10,0)*10,[1]Hugst!$R$4:$W$4,0))))</f>
        <v>0</v>
      </c>
      <c r="K151">
        <f ca="1">IF($C151-K$1&lt;År1,0,J150*(1-VLOOKUP($A151,[1]Hugst!$R$5:$W$9,MATCH(ROUNDUP((K$1)/10,0)*10,[1]Hugst!$R$4:$W$4,0))))</f>
        <v>0</v>
      </c>
      <c r="L151">
        <f ca="1">IF($C151-L$1&lt;År1,0,K150*(1-VLOOKUP($A151,[1]Hugst!$R$5:$W$9,MATCH(ROUNDUP((L$1)/10,0)*10,[1]Hugst!$R$4:$W$4,0))))</f>
        <v>0</v>
      </c>
      <c r="M151">
        <f ca="1">IF($C151-M$1&lt;År1,0,L150*(1-VLOOKUP($A151,[1]Hugst!$R$5:$W$9,MATCH(ROUNDUP((M$1)/10,0)*10,[1]Hugst!$R$4:$W$4,0))))</f>
        <v>0</v>
      </c>
      <c r="N151">
        <f ca="1">IF($C151-N$1&lt;År1,0,M150*(1-VLOOKUP($A151,[1]Hugst!$R$5:$W$9,MATCH(ROUNDUP((N$1)/10,0)*10,[1]Hugst!$R$4:$W$4,0))))</f>
        <v>0</v>
      </c>
      <c r="O151">
        <f ca="1">IF($C151-O$1&lt;År1,0,N150*(1-VLOOKUP($A151,[1]Hugst!$R$5:$W$9,MATCH(ROUNDUP((O$1)/10,0)*10,[1]Hugst!$R$4:$W$4,0))))</f>
        <v>0</v>
      </c>
      <c r="P151">
        <f ca="1">IF($C151-P$1&lt;År1,0,O150*(1-VLOOKUP($A151,[1]Hugst!$R$5:$W$9,MATCH(ROUNDUP((P$1)/10,0)*10,[1]Hugst!$R$4:$W$4,0))))</f>
        <v>0</v>
      </c>
      <c r="Q151">
        <f ca="1">IF($C151-Q$1&lt;År1,0,P150*(1-VLOOKUP($A151,[1]Hugst!$R$5:$W$9,MATCH(ROUNDUP((Q$1)/10,0)*10,[1]Hugst!$R$4:$W$4,0))))</f>
        <v>0</v>
      </c>
      <c r="R151">
        <f ca="1">IF($C151-R$1&lt;År1,0,Q150*(1-VLOOKUP($A151,[1]Hugst!$R$5:$W$9,MATCH(ROUNDUP((R$1)/10,0)*10,[1]Hugst!$R$4:$W$4,0))))</f>
        <v>0</v>
      </c>
      <c r="S151">
        <f ca="1">IF($C151-S$1&lt;År1,0,R150*(1-VLOOKUP($A151,[1]Hugst!$R$5:$W$9,MATCH(ROUNDUP((S$1)/10,0)*10,[1]Hugst!$R$4:$W$4,0))))</f>
        <v>0</v>
      </c>
      <c r="T151">
        <f ca="1">IF($C151-T$1&lt;År1,0,S150*(1-VLOOKUP($A151,[1]Hugst!$R$5:$W$9,MATCH(ROUNDUP((T$1)/10,0)*10,[1]Hugst!$R$4:$W$4,0))))</f>
        <v>0</v>
      </c>
      <c r="U151">
        <f ca="1">IF($C151-U$1&lt;År1,0,T150*(1-VLOOKUP($A151,[1]Hugst!$R$5:$W$9,MATCH(ROUNDUP((U$1)/10,0)*10,[1]Hugst!$R$4:$W$4,0))))</f>
        <v>0</v>
      </c>
      <c r="V151">
        <f ca="1">IF($C151-V$1&lt;År1,0,U150*(1-VLOOKUP($A151,[1]Hugst!$R$5:$W$9,MATCH(ROUNDUP((V$1)/10,0)*10,[1]Hugst!$R$4:$W$4,0))))</f>
        <v>0</v>
      </c>
      <c r="W151">
        <f ca="1">IF($C151-W$1&lt;År1,0,V150*(1-VLOOKUP($A151,[1]Hugst!$R$5:$W$9,MATCH(ROUNDUP((W$1)/10,0)*10,[1]Hugst!$R$4:$W$4,0))))</f>
        <v>0</v>
      </c>
      <c r="X151">
        <f ca="1">IF($C151-X$1&lt;År1,0,W150*(1-VLOOKUP($A151,[1]Hugst!$R$5:$W$9,MATCH(ROUNDUP((X$1)/10,0)*10,[1]Hugst!$R$4:$W$4,0))))</f>
        <v>0</v>
      </c>
      <c r="Y151">
        <f ca="1">IF($C151-Y$1&lt;År1,0,X150*(1-VLOOKUP($A151,[1]Hugst!$R$5:$W$9,MATCH(ROUNDUP((Y$1)/10,0)*10,[1]Hugst!$R$4:$W$4,0))))</f>
        <v>0</v>
      </c>
      <c r="Z151">
        <f ca="1">IF($C151-Z$1&lt;År1,0,Y150*(1-VLOOKUP($A151,[1]Hugst!$R$5:$W$9,MATCH(ROUNDUP((Z$1)/10,0)*10,[1]Hugst!$R$4:$W$4,0))))</f>
        <v>0</v>
      </c>
      <c r="AA151">
        <f ca="1">IF($C151-AA$1&lt;År1,0,Z150*(1-VLOOKUP($A151,[1]Hugst!$R$5:$W$9,MATCH(ROUNDUP((AA$1)/10,0)*10,[1]Hugst!$R$4:$W$4,0))))</f>
        <v>0</v>
      </c>
      <c r="AB151">
        <f ca="1">IF($C151-AB$1&lt;År1,0,AA150*(1-VLOOKUP($A151,[1]Hugst!$R$5:$W$9,MATCH(ROUNDUP((AB$1)/10,0)*10,[1]Hugst!$R$4:$W$4,0))))</f>
        <v>0</v>
      </c>
      <c r="AC151">
        <f ca="1">IF($C151-AC$1&lt;År1,0,AB150*(1-VLOOKUP($A151,[1]Hugst!$R$5:$W$9,MATCH(ROUNDUP((AC$1)/10,0)*10,[1]Hugst!$R$4:$W$4,0))))</f>
        <v>0</v>
      </c>
      <c r="AD151">
        <f ca="1">IF($C151-AD$1&lt;År1,0,AC150*(1-VLOOKUP($A151,[1]Hugst!$R$5:$W$9,MATCH(ROUNDUP((AD$1)/10,0)*10,[1]Hugst!$R$4:$W$4,0))))</f>
        <v>0</v>
      </c>
      <c r="AE151">
        <f ca="1">IF($C151-AE$1&lt;År1,0,AD150*(1-VLOOKUP($A151,[1]Hugst!$R$5:$W$9,MATCH(ROUNDUP((AE$1)/10,0)*10,[1]Hugst!$R$4:$W$4,0))))</f>
        <v>0</v>
      </c>
      <c r="AF151">
        <f>IF($C151-AF$1&lt;År1,0,AE150*(1-VLOOKUP($A151,[1]Hugst!$R$5:$W$9,MATCH(ROUNDUP((AF$1)/10,0)*10,[1]Hugst!$R$4:$W$4,0))))</f>
        <v>0</v>
      </c>
      <c r="AG151">
        <f>IF($C151-AG$1&lt;År1,0,AF150*(1-VLOOKUP($A151,[1]Hugst!$R$5:$W$9,MATCH(ROUNDUP((AG$1)/10,0)*10,[1]Hugst!$R$4:$W$4,0))))</f>
        <v>0</v>
      </c>
      <c r="AH151">
        <f>IF($C151-AH$1&lt;År1,0,AG150*(1-VLOOKUP($A151,[1]Hugst!$R$5:$W$9,MATCH(ROUNDUP((AH$1)/10,0)*10,[1]Hugst!$R$4:$W$4,0))))</f>
        <v>0</v>
      </c>
      <c r="AI151">
        <f>IF($C151-AI$1&lt;År1,0,AH150*(1-VLOOKUP($A151,[1]Hugst!$R$5:$W$9,MATCH(ROUNDUP((AI$1)/10,0)*10,[1]Hugst!$R$4:$W$4,0))))</f>
        <v>0</v>
      </c>
      <c r="AJ151">
        <f>IF($C151-AJ$1&lt;År1,0,AI150*(1-VLOOKUP($A151,[1]Hugst!$R$5:$W$9,MATCH(ROUNDUP((AJ$1)/10,0)*10,[1]Hugst!$R$4:$W$4,0))))</f>
        <v>0</v>
      </c>
    </row>
    <row r="152" spans="1:36" x14ac:dyDescent="0.25">
      <c r="A152" t="s">
        <v>178</v>
      </c>
      <c r="B152" t="s">
        <v>23</v>
      </c>
      <c r="C152">
        <v>2046</v>
      </c>
      <c r="D152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0</v>
      </c>
      <c r="E152">
        <f t="shared" ca="1" si="3"/>
        <v>0</v>
      </c>
      <c r="F152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>
        <f ca="1">IF($C152-G$1&lt;År1,0,F151*(1-VLOOKUP($A152,[1]Hugst!$R$5:$W$9,MATCH(ROUNDUP((G$1)/10,0)*10,[1]Hugst!$R$4:$W$4,0))))</f>
        <v>0</v>
      </c>
      <c r="H152">
        <f ca="1">IF($C152-H$1&lt;År1,0,G151*(1-VLOOKUP($A152,[1]Hugst!$R$5:$W$9,MATCH(ROUNDUP((H$1)/10,0)*10,[1]Hugst!$R$4:$W$4,0))))</f>
        <v>0</v>
      </c>
      <c r="I152">
        <f ca="1">IF($C152-I$1&lt;År1,0,H151*(1-VLOOKUP($A152,[1]Hugst!$R$5:$W$9,MATCH(ROUNDUP((I$1)/10,0)*10,[1]Hugst!$R$4:$W$4,0))))</f>
        <v>0</v>
      </c>
      <c r="J152">
        <f ca="1">IF($C152-J$1&lt;År1,0,I151*(1-VLOOKUP($A152,[1]Hugst!$R$5:$W$9,MATCH(ROUNDUP((J$1)/10,0)*10,[1]Hugst!$R$4:$W$4,0))))</f>
        <v>0</v>
      </c>
      <c r="K152">
        <f ca="1">IF($C152-K$1&lt;År1,0,J151*(1-VLOOKUP($A152,[1]Hugst!$R$5:$W$9,MATCH(ROUNDUP((K$1)/10,0)*10,[1]Hugst!$R$4:$W$4,0))))</f>
        <v>0</v>
      </c>
      <c r="L152">
        <f ca="1">IF($C152-L$1&lt;År1,0,K151*(1-VLOOKUP($A152,[1]Hugst!$R$5:$W$9,MATCH(ROUNDUP((L$1)/10,0)*10,[1]Hugst!$R$4:$W$4,0))))</f>
        <v>0</v>
      </c>
      <c r="M152">
        <f ca="1">IF($C152-M$1&lt;År1,0,L151*(1-VLOOKUP($A152,[1]Hugst!$R$5:$W$9,MATCH(ROUNDUP((M$1)/10,0)*10,[1]Hugst!$R$4:$W$4,0))))</f>
        <v>0</v>
      </c>
      <c r="N152">
        <f ca="1">IF($C152-N$1&lt;År1,0,M151*(1-VLOOKUP($A152,[1]Hugst!$R$5:$W$9,MATCH(ROUNDUP((N$1)/10,0)*10,[1]Hugst!$R$4:$W$4,0))))</f>
        <v>0</v>
      </c>
      <c r="O152">
        <f ca="1">IF($C152-O$1&lt;År1,0,N151*(1-VLOOKUP($A152,[1]Hugst!$R$5:$W$9,MATCH(ROUNDUP((O$1)/10,0)*10,[1]Hugst!$R$4:$W$4,0))))</f>
        <v>0</v>
      </c>
      <c r="P152">
        <f ca="1">IF($C152-P$1&lt;År1,0,O151*(1-VLOOKUP($A152,[1]Hugst!$R$5:$W$9,MATCH(ROUNDUP((P$1)/10,0)*10,[1]Hugst!$R$4:$W$4,0))))</f>
        <v>0</v>
      </c>
      <c r="Q152">
        <f ca="1">IF($C152-Q$1&lt;År1,0,P151*(1-VLOOKUP($A152,[1]Hugst!$R$5:$W$9,MATCH(ROUNDUP((Q$1)/10,0)*10,[1]Hugst!$R$4:$W$4,0))))</f>
        <v>0</v>
      </c>
      <c r="R152">
        <f ca="1">IF($C152-R$1&lt;År1,0,Q151*(1-VLOOKUP($A152,[1]Hugst!$R$5:$W$9,MATCH(ROUNDUP((R$1)/10,0)*10,[1]Hugst!$R$4:$W$4,0))))</f>
        <v>0</v>
      </c>
      <c r="S152">
        <f ca="1">IF($C152-S$1&lt;År1,0,R151*(1-VLOOKUP($A152,[1]Hugst!$R$5:$W$9,MATCH(ROUNDUP((S$1)/10,0)*10,[1]Hugst!$R$4:$W$4,0))))</f>
        <v>0</v>
      </c>
      <c r="T152">
        <f ca="1">IF($C152-T$1&lt;År1,0,S151*(1-VLOOKUP($A152,[1]Hugst!$R$5:$W$9,MATCH(ROUNDUP((T$1)/10,0)*10,[1]Hugst!$R$4:$W$4,0))))</f>
        <v>0</v>
      </c>
      <c r="U152">
        <f ca="1">IF($C152-U$1&lt;År1,0,T151*(1-VLOOKUP($A152,[1]Hugst!$R$5:$W$9,MATCH(ROUNDUP((U$1)/10,0)*10,[1]Hugst!$R$4:$W$4,0))))</f>
        <v>0</v>
      </c>
      <c r="V152">
        <f ca="1">IF($C152-V$1&lt;År1,0,U151*(1-VLOOKUP($A152,[1]Hugst!$R$5:$W$9,MATCH(ROUNDUP((V$1)/10,0)*10,[1]Hugst!$R$4:$W$4,0))))</f>
        <v>0</v>
      </c>
      <c r="W152">
        <f ca="1">IF($C152-W$1&lt;År1,0,V151*(1-VLOOKUP($A152,[1]Hugst!$R$5:$W$9,MATCH(ROUNDUP((W$1)/10,0)*10,[1]Hugst!$R$4:$W$4,0))))</f>
        <v>0</v>
      </c>
      <c r="X152">
        <f ca="1">IF($C152-X$1&lt;År1,0,W151*(1-VLOOKUP($A152,[1]Hugst!$R$5:$W$9,MATCH(ROUNDUP((X$1)/10,0)*10,[1]Hugst!$R$4:$W$4,0))))</f>
        <v>0</v>
      </c>
      <c r="Y152">
        <f ca="1">IF($C152-Y$1&lt;År1,0,X151*(1-VLOOKUP($A152,[1]Hugst!$R$5:$W$9,MATCH(ROUNDUP((Y$1)/10,0)*10,[1]Hugst!$R$4:$W$4,0))))</f>
        <v>0</v>
      </c>
      <c r="Z152">
        <f ca="1">IF($C152-Z$1&lt;År1,0,Y151*(1-VLOOKUP($A152,[1]Hugst!$R$5:$W$9,MATCH(ROUNDUP((Z$1)/10,0)*10,[1]Hugst!$R$4:$W$4,0))))</f>
        <v>0</v>
      </c>
      <c r="AA152">
        <f ca="1">IF($C152-AA$1&lt;År1,0,Z151*(1-VLOOKUP($A152,[1]Hugst!$R$5:$W$9,MATCH(ROUNDUP((AA$1)/10,0)*10,[1]Hugst!$R$4:$W$4,0))))</f>
        <v>0</v>
      </c>
      <c r="AB152">
        <f ca="1">IF($C152-AB$1&lt;År1,0,AA151*(1-VLOOKUP($A152,[1]Hugst!$R$5:$W$9,MATCH(ROUNDUP((AB$1)/10,0)*10,[1]Hugst!$R$4:$W$4,0))))</f>
        <v>0</v>
      </c>
      <c r="AC152">
        <f ca="1">IF($C152-AC$1&lt;År1,0,AB151*(1-VLOOKUP($A152,[1]Hugst!$R$5:$W$9,MATCH(ROUNDUP((AC$1)/10,0)*10,[1]Hugst!$R$4:$W$4,0))))</f>
        <v>0</v>
      </c>
      <c r="AD152">
        <f ca="1">IF($C152-AD$1&lt;År1,0,AC151*(1-VLOOKUP($A152,[1]Hugst!$R$5:$W$9,MATCH(ROUNDUP((AD$1)/10,0)*10,[1]Hugst!$R$4:$W$4,0))))</f>
        <v>0</v>
      </c>
      <c r="AE152">
        <f ca="1">IF($C152-AE$1&lt;År1,0,AD151*(1-VLOOKUP($A152,[1]Hugst!$R$5:$W$9,MATCH(ROUNDUP((AE$1)/10,0)*10,[1]Hugst!$R$4:$W$4,0))))</f>
        <v>0</v>
      </c>
      <c r="AF152">
        <f ca="1">IF($C152-AF$1&lt;År1,0,AE151*(1-VLOOKUP($A152,[1]Hugst!$R$5:$W$9,MATCH(ROUNDUP((AF$1)/10,0)*10,[1]Hugst!$R$4:$W$4,0))))</f>
        <v>0</v>
      </c>
      <c r="AG152">
        <f>IF($C152-AG$1&lt;År1,0,AF151*(1-VLOOKUP($A152,[1]Hugst!$R$5:$W$9,MATCH(ROUNDUP((AG$1)/10,0)*10,[1]Hugst!$R$4:$W$4,0))))</f>
        <v>0</v>
      </c>
      <c r="AH152">
        <f>IF($C152-AH$1&lt;År1,0,AG151*(1-VLOOKUP($A152,[1]Hugst!$R$5:$W$9,MATCH(ROUNDUP((AH$1)/10,0)*10,[1]Hugst!$R$4:$W$4,0))))</f>
        <v>0</v>
      </c>
      <c r="AI152">
        <f>IF($C152-AI$1&lt;År1,0,AH151*(1-VLOOKUP($A152,[1]Hugst!$R$5:$W$9,MATCH(ROUNDUP((AI$1)/10,0)*10,[1]Hugst!$R$4:$W$4,0))))</f>
        <v>0</v>
      </c>
      <c r="AJ152">
        <f>IF($C152-AJ$1&lt;År1,0,AI151*(1-VLOOKUP($A152,[1]Hugst!$R$5:$W$9,MATCH(ROUNDUP((AJ$1)/10,0)*10,[1]Hugst!$R$4:$W$4,0))))</f>
        <v>0</v>
      </c>
    </row>
    <row r="153" spans="1:36" x14ac:dyDescent="0.25">
      <c r="A153" t="s">
        <v>178</v>
      </c>
      <c r="B153" t="s">
        <v>23</v>
      </c>
      <c r="C153">
        <v>2047</v>
      </c>
      <c r="D153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0</v>
      </c>
      <c r="E153">
        <f t="shared" ca="1" si="3"/>
        <v>0</v>
      </c>
      <c r="F153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>
        <f ca="1">IF($C153-G$1&lt;År1,0,F152*(1-VLOOKUP($A153,[1]Hugst!$R$5:$W$9,MATCH(ROUNDUP((G$1)/10,0)*10,[1]Hugst!$R$4:$W$4,0))))</f>
        <v>0</v>
      </c>
      <c r="H153">
        <f ca="1">IF($C153-H$1&lt;År1,0,G152*(1-VLOOKUP($A153,[1]Hugst!$R$5:$W$9,MATCH(ROUNDUP((H$1)/10,0)*10,[1]Hugst!$R$4:$W$4,0))))</f>
        <v>0</v>
      </c>
      <c r="I153">
        <f ca="1">IF($C153-I$1&lt;År1,0,H152*(1-VLOOKUP($A153,[1]Hugst!$R$5:$W$9,MATCH(ROUNDUP((I$1)/10,0)*10,[1]Hugst!$R$4:$W$4,0))))</f>
        <v>0</v>
      </c>
      <c r="J153">
        <f ca="1">IF($C153-J$1&lt;År1,0,I152*(1-VLOOKUP($A153,[1]Hugst!$R$5:$W$9,MATCH(ROUNDUP((J$1)/10,0)*10,[1]Hugst!$R$4:$W$4,0))))</f>
        <v>0</v>
      </c>
      <c r="K153">
        <f ca="1">IF($C153-K$1&lt;År1,0,J152*(1-VLOOKUP($A153,[1]Hugst!$R$5:$W$9,MATCH(ROUNDUP((K$1)/10,0)*10,[1]Hugst!$R$4:$W$4,0))))</f>
        <v>0</v>
      </c>
      <c r="L153">
        <f ca="1">IF($C153-L$1&lt;År1,0,K152*(1-VLOOKUP($A153,[1]Hugst!$R$5:$W$9,MATCH(ROUNDUP((L$1)/10,0)*10,[1]Hugst!$R$4:$W$4,0))))</f>
        <v>0</v>
      </c>
      <c r="M153">
        <f ca="1">IF($C153-M$1&lt;År1,0,L152*(1-VLOOKUP($A153,[1]Hugst!$R$5:$W$9,MATCH(ROUNDUP((M$1)/10,0)*10,[1]Hugst!$R$4:$W$4,0))))</f>
        <v>0</v>
      </c>
      <c r="N153">
        <f ca="1">IF($C153-N$1&lt;År1,0,M152*(1-VLOOKUP($A153,[1]Hugst!$R$5:$W$9,MATCH(ROUNDUP((N$1)/10,0)*10,[1]Hugst!$R$4:$W$4,0))))</f>
        <v>0</v>
      </c>
      <c r="O153">
        <f ca="1">IF($C153-O$1&lt;År1,0,N152*(1-VLOOKUP($A153,[1]Hugst!$R$5:$W$9,MATCH(ROUNDUP((O$1)/10,0)*10,[1]Hugst!$R$4:$W$4,0))))</f>
        <v>0</v>
      </c>
      <c r="P153">
        <f ca="1">IF($C153-P$1&lt;År1,0,O152*(1-VLOOKUP($A153,[1]Hugst!$R$5:$W$9,MATCH(ROUNDUP((P$1)/10,0)*10,[1]Hugst!$R$4:$W$4,0))))</f>
        <v>0</v>
      </c>
      <c r="Q153">
        <f ca="1">IF($C153-Q$1&lt;År1,0,P152*(1-VLOOKUP($A153,[1]Hugst!$R$5:$W$9,MATCH(ROUNDUP((Q$1)/10,0)*10,[1]Hugst!$R$4:$W$4,0))))</f>
        <v>0</v>
      </c>
      <c r="R153">
        <f ca="1">IF($C153-R$1&lt;År1,0,Q152*(1-VLOOKUP($A153,[1]Hugst!$R$5:$W$9,MATCH(ROUNDUP((R$1)/10,0)*10,[1]Hugst!$R$4:$W$4,0))))</f>
        <v>0</v>
      </c>
      <c r="S153">
        <f ca="1">IF($C153-S$1&lt;År1,0,R152*(1-VLOOKUP($A153,[1]Hugst!$R$5:$W$9,MATCH(ROUNDUP((S$1)/10,0)*10,[1]Hugst!$R$4:$W$4,0))))</f>
        <v>0</v>
      </c>
      <c r="T153">
        <f ca="1">IF($C153-T$1&lt;År1,0,S152*(1-VLOOKUP($A153,[1]Hugst!$R$5:$W$9,MATCH(ROUNDUP((T$1)/10,0)*10,[1]Hugst!$R$4:$W$4,0))))</f>
        <v>0</v>
      </c>
      <c r="U153">
        <f ca="1">IF($C153-U$1&lt;År1,0,T152*(1-VLOOKUP($A153,[1]Hugst!$R$5:$W$9,MATCH(ROUNDUP((U$1)/10,0)*10,[1]Hugst!$R$4:$W$4,0))))</f>
        <v>0</v>
      </c>
      <c r="V153">
        <f ca="1">IF($C153-V$1&lt;År1,0,U152*(1-VLOOKUP($A153,[1]Hugst!$R$5:$W$9,MATCH(ROUNDUP((V$1)/10,0)*10,[1]Hugst!$R$4:$W$4,0))))</f>
        <v>0</v>
      </c>
      <c r="W153">
        <f ca="1">IF($C153-W$1&lt;År1,0,V152*(1-VLOOKUP($A153,[1]Hugst!$R$5:$W$9,MATCH(ROUNDUP((W$1)/10,0)*10,[1]Hugst!$R$4:$W$4,0))))</f>
        <v>0</v>
      </c>
      <c r="X153">
        <f ca="1">IF($C153-X$1&lt;År1,0,W152*(1-VLOOKUP($A153,[1]Hugst!$R$5:$W$9,MATCH(ROUNDUP((X$1)/10,0)*10,[1]Hugst!$R$4:$W$4,0))))</f>
        <v>0</v>
      </c>
      <c r="Y153">
        <f ca="1">IF($C153-Y$1&lt;År1,0,X152*(1-VLOOKUP($A153,[1]Hugst!$R$5:$W$9,MATCH(ROUNDUP((Y$1)/10,0)*10,[1]Hugst!$R$4:$W$4,0))))</f>
        <v>0</v>
      </c>
      <c r="Z153">
        <f ca="1">IF($C153-Z$1&lt;År1,0,Y152*(1-VLOOKUP($A153,[1]Hugst!$R$5:$W$9,MATCH(ROUNDUP((Z$1)/10,0)*10,[1]Hugst!$R$4:$W$4,0))))</f>
        <v>0</v>
      </c>
      <c r="AA153">
        <f ca="1">IF($C153-AA$1&lt;År1,0,Z152*(1-VLOOKUP($A153,[1]Hugst!$R$5:$W$9,MATCH(ROUNDUP((AA$1)/10,0)*10,[1]Hugst!$R$4:$W$4,0))))</f>
        <v>0</v>
      </c>
      <c r="AB153">
        <f ca="1">IF($C153-AB$1&lt;År1,0,AA152*(1-VLOOKUP($A153,[1]Hugst!$R$5:$W$9,MATCH(ROUNDUP((AB$1)/10,0)*10,[1]Hugst!$R$4:$W$4,0))))</f>
        <v>0</v>
      </c>
      <c r="AC153">
        <f ca="1">IF($C153-AC$1&lt;År1,0,AB152*(1-VLOOKUP($A153,[1]Hugst!$R$5:$W$9,MATCH(ROUNDUP((AC$1)/10,0)*10,[1]Hugst!$R$4:$W$4,0))))</f>
        <v>0</v>
      </c>
      <c r="AD153">
        <f ca="1">IF($C153-AD$1&lt;År1,0,AC152*(1-VLOOKUP($A153,[1]Hugst!$R$5:$W$9,MATCH(ROUNDUP((AD$1)/10,0)*10,[1]Hugst!$R$4:$W$4,0))))</f>
        <v>0</v>
      </c>
      <c r="AE153">
        <f ca="1">IF($C153-AE$1&lt;År1,0,AD152*(1-VLOOKUP($A153,[1]Hugst!$R$5:$W$9,MATCH(ROUNDUP((AE$1)/10,0)*10,[1]Hugst!$R$4:$W$4,0))))</f>
        <v>0</v>
      </c>
      <c r="AF153">
        <f ca="1">IF($C153-AF$1&lt;År1,0,AE152*(1-VLOOKUP($A153,[1]Hugst!$R$5:$W$9,MATCH(ROUNDUP((AF$1)/10,0)*10,[1]Hugst!$R$4:$W$4,0))))</f>
        <v>0</v>
      </c>
      <c r="AG153">
        <f ca="1">IF($C153-AG$1&lt;År1,0,AF152*(1-VLOOKUP($A153,[1]Hugst!$R$5:$W$9,MATCH(ROUNDUP((AG$1)/10,0)*10,[1]Hugst!$R$4:$W$4,0))))</f>
        <v>0</v>
      </c>
      <c r="AH153">
        <f>IF($C153-AH$1&lt;År1,0,AG152*(1-VLOOKUP($A153,[1]Hugst!$R$5:$W$9,MATCH(ROUNDUP((AH$1)/10,0)*10,[1]Hugst!$R$4:$W$4,0))))</f>
        <v>0</v>
      </c>
      <c r="AI153">
        <f>IF($C153-AI$1&lt;År1,0,AH152*(1-VLOOKUP($A153,[1]Hugst!$R$5:$W$9,MATCH(ROUNDUP((AI$1)/10,0)*10,[1]Hugst!$R$4:$W$4,0))))</f>
        <v>0</v>
      </c>
      <c r="AJ153">
        <f>IF($C153-AJ$1&lt;År1,0,AI152*(1-VLOOKUP($A153,[1]Hugst!$R$5:$W$9,MATCH(ROUNDUP((AJ$1)/10,0)*10,[1]Hugst!$R$4:$W$4,0))))</f>
        <v>0</v>
      </c>
    </row>
    <row r="154" spans="1:36" x14ac:dyDescent="0.25">
      <c r="A154" t="s">
        <v>178</v>
      </c>
      <c r="B154" t="s">
        <v>23</v>
      </c>
      <c r="C154">
        <v>2048</v>
      </c>
      <c r="D154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0</v>
      </c>
      <c r="E154">
        <f t="shared" ca="1" si="3"/>
        <v>0</v>
      </c>
      <c r="F154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>
        <f ca="1">IF($C154-G$1&lt;År1,0,F153*(1-VLOOKUP($A154,[1]Hugst!$R$5:$W$9,MATCH(ROUNDUP((G$1)/10,0)*10,[1]Hugst!$R$4:$W$4,0))))</f>
        <v>0</v>
      </c>
      <c r="H154">
        <f ca="1">IF($C154-H$1&lt;År1,0,G153*(1-VLOOKUP($A154,[1]Hugst!$R$5:$W$9,MATCH(ROUNDUP((H$1)/10,0)*10,[1]Hugst!$R$4:$W$4,0))))</f>
        <v>0</v>
      </c>
      <c r="I154">
        <f ca="1">IF($C154-I$1&lt;År1,0,H153*(1-VLOOKUP($A154,[1]Hugst!$R$5:$W$9,MATCH(ROUNDUP((I$1)/10,0)*10,[1]Hugst!$R$4:$W$4,0))))</f>
        <v>0</v>
      </c>
      <c r="J154">
        <f ca="1">IF($C154-J$1&lt;År1,0,I153*(1-VLOOKUP($A154,[1]Hugst!$R$5:$W$9,MATCH(ROUNDUP((J$1)/10,0)*10,[1]Hugst!$R$4:$W$4,0))))</f>
        <v>0</v>
      </c>
      <c r="K154">
        <f ca="1">IF($C154-K$1&lt;År1,0,J153*(1-VLOOKUP($A154,[1]Hugst!$R$5:$W$9,MATCH(ROUNDUP((K$1)/10,0)*10,[1]Hugst!$R$4:$W$4,0))))</f>
        <v>0</v>
      </c>
      <c r="L154">
        <f ca="1">IF($C154-L$1&lt;År1,0,K153*(1-VLOOKUP($A154,[1]Hugst!$R$5:$W$9,MATCH(ROUNDUP((L$1)/10,0)*10,[1]Hugst!$R$4:$W$4,0))))</f>
        <v>0</v>
      </c>
      <c r="M154">
        <f ca="1">IF($C154-M$1&lt;År1,0,L153*(1-VLOOKUP($A154,[1]Hugst!$R$5:$W$9,MATCH(ROUNDUP((M$1)/10,0)*10,[1]Hugst!$R$4:$W$4,0))))</f>
        <v>0</v>
      </c>
      <c r="N154">
        <f ca="1">IF($C154-N$1&lt;År1,0,M153*(1-VLOOKUP($A154,[1]Hugst!$R$5:$W$9,MATCH(ROUNDUP((N$1)/10,0)*10,[1]Hugst!$R$4:$W$4,0))))</f>
        <v>0</v>
      </c>
      <c r="O154">
        <f ca="1">IF($C154-O$1&lt;År1,0,N153*(1-VLOOKUP($A154,[1]Hugst!$R$5:$W$9,MATCH(ROUNDUP((O$1)/10,0)*10,[1]Hugst!$R$4:$W$4,0))))</f>
        <v>0</v>
      </c>
      <c r="P154">
        <f ca="1">IF($C154-P$1&lt;År1,0,O153*(1-VLOOKUP($A154,[1]Hugst!$R$5:$W$9,MATCH(ROUNDUP((P$1)/10,0)*10,[1]Hugst!$R$4:$W$4,0))))</f>
        <v>0</v>
      </c>
      <c r="Q154">
        <f ca="1">IF($C154-Q$1&lt;År1,0,P153*(1-VLOOKUP($A154,[1]Hugst!$R$5:$W$9,MATCH(ROUNDUP((Q$1)/10,0)*10,[1]Hugst!$R$4:$W$4,0))))</f>
        <v>0</v>
      </c>
      <c r="R154">
        <f ca="1">IF($C154-R$1&lt;År1,0,Q153*(1-VLOOKUP($A154,[1]Hugst!$R$5:$W$9,MATCH(ROUNDUP((R$1)/10,0)*10,[1]Hugst!$R$4:$W$4,0))))</f>
        <v>0</v>
      </c>
      <c r="S154">
        <f ca="1">IF($C154-S$1&lt;År1,0,R153*(1-VLOOKUP($A154,[1]Hugst!$R$5:$W$9,MATCH(ROUNDUP((S$1)/10,0)*10,[1]Hugst!$R$4:$W$4,0))))</f>
        <v>0</v>
      </c>
      <c r="T154">
        <f ca="1">IF($C154-T$1&lt;År1,0,S153*(1-VLOOKUP($A154,[1]Hugst!$R$5:$W$9,MATCH(ROUNDUP((T$1)/10,0)*10,[1]Hugst!$R$4:$W$4,0))))</f>
        <v>0</v>
      </c>
      <c r="U154">
        <f ca="1">IF($C154-U$1&lt;År1,0,T153*(1-VLOOKUP($A154,[1]Hugst!$R$5:$W$9,MATCH(ROUNDUP((U$1)/10,0)*10,[1]Hugst!$R$4:$W$4,0))))</f>
        <v>0</v>
      </c>
      <c r="V154">
        <f ca="1">IF($C154-V$1&lt;År1,0,U153*(1-VLOOKUP($A154,[1]Hugst!$R$5:$W$9,MATCH(ROUNDUP((V$1)/10,0)*10,[1]Hugst!$R$4:$W$4,0))))</f>
        <v>0</v>
      </c>
      <c r="W154">
        <f ca="1">IF($C154-W$1&lt;År1,0,V153*(1-VLOOKUP($A154,[1]Hugst!$R$5:$W$9,MATCH(ROUNDUP((W$1)/10,0)*10,[1]Hugst!$R$4:$W$4,0))))</f>
        <v>0</v>
      </c>
      <c r="X154">
        <f ca="1">IF($C154-X$1&lt;År1,0,W153*(1-VLOOKUP($A154,[1]Hugst!$R$5:$W$9,MATCH(ROUNDUP((X$1)/10,0)*10,[1]Hugst!$R$4:$W$4,0))))</f>
        <v>0</v>
      </c>
      <c r="Y154">
        <f ca="1">IF($C154-Y$1&lt;År1,0,X153*(1-VLOOKUP($A154,[1]Hugst!$R$5:$W$9,MATCH(ROUNDUP((Y$1)/10,0)*10,[1]Hugst!$R$4:$W$4,0))))</f>
        <v>0</v>
      </c>
      <c r="Z154">
        <f ca="1">IF($C154-Z$1&lt;År1,0,Y153*(1-VLOOKUP($A154,[1]Hugst!$R$5:$W$9,MATCH(ROUNDUP((Z$1)/10,0)*10,[1]Hugst!$R$4:$W$4,0))))</f>
        <v>0</v>
      </c>
      <c r="AA154">
        <f ca="1">IF($C154-AA$1&lt;År1,0,Z153*(1-VLOOKUP($A154,[1]Hugst!$R$5:$W$9,MATCH(ROUNDUP((AA$1)/10,0)*10,[1]Hugst!$R$4:$W$4,0))))</f>
        <v>0</v>
      </c>
      <c r="AB154">
        <f ca="1">IF($C154-AB$1&lt;År1,0,AA153*(1-VLOOKUP($A154,[1]Hugst!$R$5:$W$9,MATCH(ROUNDUP((AB$1)/10,0)*10,[1]Hugst!$R$4:$W$4,0))))</f>
        <v>0</v>
      </c>
      <c r="AC154">
        <f ca="1">IF($C154-AC$1&lt;År1,0,AB153*(1-VLOOKUP($A154,[1]Hugst!$R$5:$W$9,MATCH(ROUNDUP((AC$1)/10,0)*10,[1]Hugst!$R$4:$W$4,0))))</f>
        <v>0</v>
      </c>
      <c r="AD154">
        <f ca="1">IF($C154-AD$1&lt;År1,0,AC153*(1-VLOOKUP($A154,[1]Hugst!$R$5:$W$9,MATCH(ROUNDUP((AD$1)/10,0)*10,[1]Hugst!$R$4:$W$4,0))))</f>
        <v>0</v>
      </c>
      <c r="AE154">
        <f ca="1">IF($C154-AE$1&lt;År1,0,AD153*(1-VLOOKUP($A154,[1]Hugst!$R$5:$W$9,MATCH(ROUNDUP((AE$1)/10,0)*10,[1]Hugst!$R$4:$W$4,0))))</f>
        <v>0</v>
      </c>
      <c r="AF154">
        <f ca="1">IF($C154-AF$1&lt;År1,0,AE153*(1-VLOOKUP($A154,[1]Hugst!$R$5:$W$9,MATCH(ROUNDUP((AF$1)/10,0)*10,[1]Hugst!$R$4:$W$4,0))))</f>
        <v>0</v>
      </c>
      <c r="AG154">
        <f ca="1">IF($C154-AG$1&lt;År1,0,AF153*(1-VLOOKUP($A154,[1]Hugst!$R$5:$W$9,MATCH(ROUNDUP((AG$1)/10,0)*10,[1]Hugst!$R$4:$W$4,0))))</f>
        <v>0</v>
      </c>
      <c r="AH154">
        <f ca="1">IF($C154-AH$1&lt;År1,0,AG153*(1-VLOOKUP($A154,[1]Hugst!$R$5:$W$9,MATCH(ROUNDUP((AH$1)/10,0)*10,[1]Hugst!$R$4:$W$4,0))))</f>
        <v>0</v>
      </c>
      <c r="AI154">
        <f>IF($C154-AI$1&lt;År1,0,AH153*(1-VLOOKUP($A154,[1]Hugst!$R$5:$W$9,MATCH(ROUNDUP((AI$1)/10,0)*10,[1]Hugst!$R$4:$W$4,0))))</f>
        <v>0</v>
      </c>
      <c r="AJ154">
        <f>IF($C154-AJ$1&lt;År1,0,AI153*(1-VLOOKUP($A154,[1]Hugst!$R$5:$W$9,MATCH(ROUNDUP((AJ$1)/10,0)*10,[1]Hugst!$R$4:$W$4,0))))</f>
        <v>0</v>
      </c>
    </row>
    <row r="155" spans="1:36" x14ac:dyDescent="0.25">
      <c r="A155" t="s">
        <v>178</v>
      </c>
      <c r="B155" t="s">
        <v>23</v>
      </c>
      <c r="C155">
        <v>2049</v>
      </c>
      <c r="D155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0</v>
      </c>
      <c r="E155">
        <f t="shared" ca="1" si="3"/>
        <v>0</v>
      </c>
      <c r="F155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>
        <f ca="1">IF($C155-G$1&lt;År1,0,F154*(1-VLOOKUP($A155,[1]Hugst!$R$5:$W$9,MATCH(ROUNDUP((G$1)/10,0)*10,[1]Hugst!$R$4:$W$4,0))))</f>
        <v>0</v>
      </c>
      <c r="H155">
        <f ca="1">IF($C155-H$1&lt;År1,0,G154*(1-VLOOKUP($A155,[1]Hugst!$R$5:$W$9,MATCH(ROUNDUP((H$1)/10,0)*10,[1]Hugst!$R$4:$W$4,0))))</f>
        <v>0</v>
      </c>
      <c r="I155">
        <f ca="1">IF($C155-I$1&lt;År1,0,H154*(1-VLOOKUP($A155,[1]Hugst!$R$5:$W$9,MATCH(ROUNDUP((I$1)/10,0)*10,[1]Hugst!$R$4:$W$4,0))))</f>
        <v>0</v>
      </c>
      <c r="J155">
        <f ca="1">IF($C155-J$1&lt;År1,0,I154*(1-VLOOKUP($A155,[1]Hugst!$R$5:$W$9,MATCH(ROUNDUP((J$1)/10,0)*10,[1]Hugst!$R$4:$W$4,0))))</f>
        <v>0</v>
      </c>
      <c r="K155">
        <f ca="1">IF($C155-K$1&lt;År1,0,J154*(1-VLOOKUP($A155,[1]Hugst!$R$5:$W$9,MATCH(ROUNDUP((K$1)/10,0)*10,[1]Hugst!$R$4:$W$4,0))))</f>
        <v>0</v>
      </c>
      <c r="L155">
        <f ca="1">IF($C155-L$1&lt;År1,0,K154*(1-VLOOKUP($A155,[1]Hugst!$R$5:$W$9,MATCH(ROUNDUP((L$1)/10,0)*10,[1]Hugst!$R$4:$W$4,0))))</f>
        <v>0</v>
      </c>
      <c r="M155">
        <f ca="1">IF($C155-M$1&lt;År1,0,L154*(1-VLOOKUP($A155,[1]Hugst!$R$5:$W$9,MATCH(ROUNDUP((M$1)/10,0)*10,[1]Hugst!$R$4:$W$4,0))))</f>
        <v>0</v>
      </c>
      <c r="N155">
        <f ca="1">IF($C155-N$1&lt;År1,0,M154*(1-VLOOKUP($A155,[1]Hugst!$R$5:$W$9,MATCH(ROUNDUP((N$1)/10,0)*10,[1]Hugst!$R$4:$W$4,0))))</f>
        <v>0</v>
      </c>
      <c r="O155">
        <f ca="1">IF($C155-O$1&lt;År1,0,N154*(1-VLOOKUP($A155,[1]Hugst!$R$5:$W$9,MATCH(ROUNDUP((O$1)/10,0)*10,[1]Hugst!$R$4:$W$4,0))))</f>
        <v>0</v>
      </c>
      <c r="P155">
        <f ca="1">IF($C155-P$1&lt;År1,0,O154*(1-VLOOKUP($A155,[1]Hugst!$R$5:$W$9,MATCH(ROUNDUP((P$1)/10,0)*10,[1]Hugst!$R$4:$W$4,0))))</f>
        <v>0</v>
      </c>
      <c r="Q155">
        <f ca="1">IF($C155-Q$1&lt;År1,0,P154*(1-VLOOKUP($A155,[1]Hugst!$R$5:$W$9,MATCH(ROUNDUP((Q$1)/10,0)*10,[1]Hugst!$R$4:$W$4,0))))</f>
        <v>0</v>
      </c>
      <c r="R155">
        <f ca="1">IF($C155-R$1&lt;År1,0,Q154*(1-VLOOKUP($A155,[1]Hugst!$R$5:$W$9,MATCH(ROUNDUP((R$1)/10,0)*10,[1]Hugst!$R$4:$W$4,0))))</f>
        <v>0</v>
      </c>
      <c r="S155">
        <f ca="1">IF($C155-S$1&lt;År1,0,R154*(1-VLOOKUP($A155,[1]Hugst!$R$5:$W$9,MATCH(ROUNDUP((S$1)/10,0)*10,[1]Hugst!$R$4:$W$4,0))))</f>
        <v>0</v>
      </c>
      <c r="T155">
        <f ca="1">IF($C155-T$1&lt;År1,0,S154*(1-VLOOKUP($A155,[1]Hugst!$R$5:$W$9,MATCH(ROUNDUP((T$1)/10,0)*10,[1]Hugst!$R$4:$W$4,0))))</f>
        <v>0</v>
      </c>
      <c r="U155">
        <f ca="1">IF($C155-U$1&lt;År1,0,T154*(1-VLOOKUP($A155,[1]Hugst!$R$5:$W$9,MATCH(ROUNDUP((U$1)/10,0)*10,[1]Hugst!$R$4:$W$4,0))))</f>
        <v>0</v>
      </c>
      <c r="V155">
        <f ca="1">IF($C155-V$1&lt;År1,0,U154*(1-VLOOKUP($A155,[1]Hugst!$R$5:$W$9,MATCH(ROUNDUP((V$1)/10,0)*10,[1]Hugst!$R$4:$W$4,0))))</f>
        <v>0</v>
      </c>
      <c r="W155">
        <f ca="1">IF($C155-W$1&lt;År1,0,V154*(1-VLOOKUP($A155,[1]Hugst!$R$5:$W$9,MATCH(ROUNDUP((W$1)/10,0)*10,[1]Hugst!$R$4:$W$4,0))))</f>
        <v>0</v>
      </c>
      <c r="X155">
        <f ca="1">IF($C155-X$1&lt;År1,0,W154*(1-VLOOKUP($A155,[1]Hugst!$R$5:$W$9,MATCH(ROUNDUP((X$1)/10,0)*10,[1]Hugst!$R$4:$W$4,0))))</f>
        <v>0</v>
      </c>
      <c r="Y155">
        <f ca="1">IF($C155-Y$1&lt;År1,0,X154*(1-VLOOKUP($A155,[1]Hugst!$R$5:$W$9,MATCH(ROUNDUP((Y$1)/10,0)*10,[1]Hugst!$R$4:$W$4,0))))</f>
        <v>0</v>
      </c>
      <c r="Z155">
        <f ca="1">IF($C155-Z$1&lt;År1,0,Y154*(1-VLOOKUP($A155,[1]Hugst!$R$5:$W$9,MATCH(ROUNDUP((Z$1)/10,0)*10,[1]Hugst!$R$4:$W$4,0))))</f>
        <v>0</v>
      </c>
      <c r="AA155">
        <f ca="1">IF($C155-AA$1&lt;År1,0,Z154*(1-VLOOKUP($A155,[1]Hugst!$R$5:$W$9,MATCH(ROUNDUP((AA$1)/10,0)*10,[1]Hugst!$R$4:$W$4,0))))</f>
        <v>0</v>
      </c>
      <c r="AB155">
        <f ca="1">IF($C155-AB$1&lt;År1,0,AA154*(1-VLOOKUP($A155,[1]Hugst!$R$5:$W$9,MATCH(ROUNDUP((AB$1)/10,0)*10,[1]Hugst!$R$4:$W$4,0))))</f>
        <v>0</v>
      </c>
      <c r="AC155">
        <f ca="1">IF($C155-AC$1&lt;År1,0,AB154*(1-VLOOKUP($A155,[1]Hugst!$R$5:$W$9,MATCH(ROUNDUP((AC$1)/10,0)*10,[1]Hugst!$R$4:$W$4,0))))</f>
        <v>0</v>
      </c>
      <c r="AD155">
        <f ca="1">IF($C155-AD$1&lt;År1,0,AC154*(1-VLOOKUP($A155,[1]Hugst!$R$5:$W$9,MATCH(ROUNDUP((AD$1)/10,0)*10,[1]Hugst!$R$4:$W$4,0))))</f>
        <v>0</v>
      </c>
      <c r="AE155">
        <f ca="1">IF($C155-AE$1&lt;År1,0,AD154*(1-VLOOKUP($A155,[1]Hugst!$R$5:$W$9,MATCH(ROUNDUP((AE$1)/10,0)*10,[1]Hugst!$R$4:$W$4,0))))</f>
        <v>0</v>
      </c>
      <c r="AF155">
        <f ca="1">IF($C155-AF$1&lt;År1,0,AE154*(1-VLOOKUP($A155,[1]Hugst!$R$5:$W$9,MATCH(ROUNDUP((AF$1)/10,0)*10,[1]Hugst!$R$4:$W$4,0))))</f>
        <v>0</v>
      </c>
      <c r="AG155">
        <f ca="1">IF($C155-AG$1&lt;År1,0,AF154*(1-VLOOKUP($A155,[1]Hugst!$R$5:$W$9,MATCH(ROUNDUP((AG$1)/10,0)*10,[1]Hugst!$R$4:$W$4,0))))</f>
        <v>0</v>
      </c>
      <c r="AH155">
        <f ca="1">IF($C155-AH$1&lt;År1,0,AG154*(1-VLOOKUP($A155,[1]Hugst!$R$5:$W$9,MATCH(ROUNDUP((AH$1)/10,0)*10,[1]Hugst!$R$4:$W$4,0))))</f>
        <v>0</v>
      </c>
      <c r="AI155">
        <f ca="1">IF($C155-AI$1&lt;År1,0,AH154*(1-VLOOKUP($A155,[1]Hugst!$R$5:$W$9,MATCH(ROUNDUP((AI$1)/10,0)*10,[1]Hugst!$R$4:$W$4,0))))</f>
        <v>0</v>
      </c>
      <c r="AJ155">
        <f>IF($C155-AJ$1&lt;År1,0,AI154*(1-VLOOKUP($A155,[1]Hugst!$R$5:$W$9,MATCH(ROUNDUP((AJ$1)/10,0)*10,[1]Hugst!$R$4:$W$4,0))))</f>
        <v>0</v>
      </c>
    </row>
    <row r="156" spans="1:36" x14ac:dyDescent="0.25">
      <c r="A156" t="s">
        <v>178</v>
      </c>
      <c r="B156" t="s">
        <v>23</v>
      </c>
      <c r="C156">
        <v>2050</v>
      </c>
      <c r="D156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0</v>
      </c>
      <c r="E156">
        <f t="shared" ca="1" si="3"/>
        <v>0</v>
      </c>
      <c r="F156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>
        <f ca="1">IF($C156-G$1&lt;År1,0,F155*(1-VLOOKUP($A156,[1]Hugst!$R$5:$W$9,MATCH(ROUNDUP((G$1)/10,0)*10,[1]Hugst!$R$4:$W$4,0))))</f>
        <v>0</v>
      </c>
      <c r="H156">
        <f ca="1">IF($C156-H$1&lt;År1,0,G155*(1-VLOOKUP($A156,[1]Hugst!$R$5:$W$9,MATCH(ROUNDUP((H$1)/10,0)*10,[1]Hugst!$R$4:$W$4,0))))</f>
        <v>0</v>
      </c>
      <c r="I156">
        <f ca="1">IF($C156-I$1&lt;År1,0,H155*(1-VLOOKUP($A156,[1]Hugst!$R$5:$W$9,MATCH(ROUNDUP((I$1)/10,0)*10,[1]Hugst!$R$4:$W$4,0))))</f>
        <v>0</v>
      </c>
      <c r="J156">
        <f ca="1">IF($C156-J$1&lt;År1,0,I155*(1-VLOOKUP($A156,[1]Hugst!$R$5:$W$9,MATCH(ROUNDUP((J$1)/10,0)*10,[1]Hugst!$R$4:$W$4,0))))</f>
        <v>0</v>
      </c>
      <c r="K156">
        <f ca="1">IF($C156-K$1&lt;År1,0,J155*(1-VLOOKUP($A156,[1]Hugst!$R$5:$W$9,MATCH(ROUNDUP((K$1)/10,0)*10,[1]Hugst!$R$4:$W$4,0))))</f>
        <v>0</v>
      </c>
      <c r="L156">
        <f ca="1">IF($C156-L$1&lt;År1,0,K155*(1-VLOOKUP($A156,[1]Hugst!$R$5:$W$9,MATCH(ROUNDUP((L$1)/10,0)*10,[1]Hugst!$R$4:$W$4,0))))</f>
        <v>0</v>
      </c>
      <c r="M156">
        <f ca="1">IF($C156-M$1&lt;År1,0,L155*(1-VLOOKUP($A156,[1]Hugst!$R$5:$W$9,MATCH(ROUNDUP((M$1)/10,0)*10,[1]Hugst!$R$4:$W$4,0))))</f>
        <v>0</v>
      </c>
      <c r="N156">
        <f ca="1">IF($C156-N$1&lt;År1,0,M155*(1-VLOOKUP($A156,[1]Hugst!$R$5:$W$9,MATCH(ROUNDUP((N$1)/10,0)*10,[1]Hugst!$R$4:$W$4,0))))</f>
        <v>0</v>
      </c>
      <c r="O156">
        <f ca="1">IF($C156-O$1&lt;År1,0,N155*(1-VLOOKUP($A156,[1]Hugst!$R$5:$W$9,MATCH(ROUNDUP((O$1)/10,0)*10,[1]Hugst!$R$4:$W$4,0))))</f>
        <v>0</v>
      </c>
      <c r="P156">
        <f ca="1">IF($C156-P$1&lt;År1,0,O155*(1-VLOOKUP($A156,[1]Hugst!$R$5:$W$9,MATCH(ROUNDUP((P$1)/10,0)*10,[1]Hugst!$R$4:$W$4,0))))</f>
        <v>0</v>
      </c>
      <c r="Q156">
        <f ca="1">IF($C156-Q$1&lt;År1,0,P155*(1-VLOOKUP($A156,[1]Hugst!$R$5:$W$9,MATCH(ROUNDUP((Q$1)/10,0)*10,[1]Hugst!$R$4:$W$4,0))))</f>
        <v>0</v>
      </c>
      <c r="R156">
        <f ca="1">IF($C156-R$1&lt;År1,0,Q155*(1-VLOOKUP($A156,[1]Hugst!$R$5:$W$9,MATCH(ROUNDUP((R$1)/10,0)*10,[1]Hugst!$R$4:$W$4,0))))</f>
        <v>0</v>
      </c>
      <c r="S156">
        <f ca="1">IF($C156-S$1&lt;År1,0,R155*(1-VLOOKUP($A156,[1]Hugst!$R$5:$W$9,MATCH(ROUNDUP((S$1)/10,0)*10,[1]Hugst!$R$4:$W$4,0))))</f>
        <v>0</v>
      </c>
      <c r="T156">
        <f ca="1">IF($C156-T$1&lt;År1,0,S155*(1-VLOOKUP($A156,[1]Hugst!$R$5:$W$9,MATCH(ROUNDUP((T$1)/10,0)*10,[1]Hugst!$R$4:$W$4,0))))</f>
        <v>0</v>
      </c>
      <c r="U156">
        <f ca="1">IF($C156-U$1&lt;År1,0,T155*(1-VLOOKUP($A156,[1]Hugst!$R$5:$W$9,MATCH(ROUNDUP((U$1)/10,0)*10,[1]Hugst!$R$4:$W$4,0))))</f>
        <v>0</v>
      </c>
      <c r="V156">
        <f ca="1">IF($C156-V$1&lt;År1,0,U155*(1-VLOOKUP($A156,[1]Hugst!$R$5:$W$9,MATCH(ROUNDUP((V$1)/10,0)*10,[1]Hugst!$R$4:$W$4,0))))</f>
        <v>0</v>
      </c>
      <c r="W156">
        <f ca="1">IF($C156-W$1&lt;År1,0,V155*(1-VLOOKUP($A156,[1]Hugst!$R$5:$W$9,MATCH(ROUNDUP((W$1)/10,0)*10,[1]Hugst!$R$4:$W$4,0))))</f>
        <v>0</v>
      </c>
      <c r="X156">
        <f ca="1">IF($C156-X$1&lt;År1,0,W155*(1-VLOOKUP($A156,[1]Hugst!$R$5:$W$9,MATCH(ROUNDUP((X$1)/10,0)*10,[1]Hugst!$R$4:$W$4,0))))</f>
        <v>0</v>
      </c>
      <c r="Y156">
        <f ca="1">IF($C156-Y$1&lt;År1,0,X155*(1-VLOOKUP($A156,[1]Hugst!$R$5:$W$9,MATCH(ROUNDUP((Y$1)/10,0)*10,[1]Hugst!$R$4:$W$4,0))))</f>
        <v>0</v>
      </c>
      <c r="Z156">
        <f ca="1">IF($C156-Z$1&lt;År1,0,Y155*(1-VLOOKUP($A156,[1]Hugst!$R$5:$W$9,MATCH(ROUNDUP((Z$1)/10,0)*10,[1]Hugst!$R$4:$W$4,0))))</f>
        <v>0</v>
      </c>
      <c r="AA156">
        <f ca="1">IF($C156-AA$1&lt;År1,0,Z155*(1-VLOOKUP($A156,[1]Hugst!$R$5:$W$9,MATCH(ROUNDUP((AA$1)/10,0)*10,[1]Hugst!$R$4:$W$4,0))))</f>
        <v>0</v>
      </c>
      <c r="AB156">
        <f ca="1">IF($C156-AB$1&lt;År1,0,AA155*(1-VLOOKUP($A156,[1]Hugst!$R$5:$W$9,MATCH(ROUNDUP((AB$1)/10,0)*10,[1]Hugst!$R$4:$W$4,0))))</f>
        <v>0</v>
      </c>
      <c r="AC156">
        <f ca="1">IF($C156-AC$1&lt;År1,0,AB155*(1-VLOOKUP($A156,[1]Hugst!$R$5:$W$9,MATCH(ROUNDUP((AC$1)/10,0)*10,[1]Hugst!$R$4:$W$4,0))))</f>
        <v>0</v>
      </c>
      <c r="AD156">
        <f ca="1">IF($C156-AD$1&lt;År1,0,AC155*(1-VLOOKUP($A156,[1]Hugst!$R$5:$W$9,MATCH(ROUNDUP((AD$1)/10,0)*10,[1]Hugst!$R$4:$W$4,0))))</f>
        <v>0</v>
      </c>
      <c r="AE156">
        <f ca="1">IF($C156-AE$1&lt;År1,0,AD155*(1-VLOOKUP($A156,[1]Hugst!$R$5:$W$9,MATCH(ROUNDUP((AE$1)/10,0)*10,[1]Hugst!$R$4:$W$4,0))))</f>
        <v>0</v>
      </c>
      <c r="AF156">
        <f ca="1">IF($C156-AF$1&lt;År1,0,AE155*(1-VLOOKUP($A156,[1]Hugst!$R$5:$W$9,MATCH(ROUNDUP((AF$1)/10,0)*10,[1]Hugst!$R$4:$W$4,0))))</f>
        <v>0</v>
      </c>
      <c r="AG156">
        <f ca="1">IF($C156-AG$1&lt;År1,0,AF155*(1-VLOOKUP($A156,[1]Hugst!$R$5:$W$9,MATCH(ROUNDUP((AG$1)/10,0)*10,[1]Hugst!$R$4:$W$4,0))))</f>
        <v>0</v>
      </c>
      <c r="AH156">
        <f ca="1">IF($C156-AH$1&lt;År1,0,AG155*(1-VLOOKUP($A156,[1]Hugst!$R$5:$W$9,MATCH(ROUNDUP((AH$1)/10,0)*10,[1]Hugst!$R$4:$W$4,0))))</f>
        <v>0</v>
      </c>
      <c r="AI156">
        <f ca="1">IF($C156-AI$1&lt;År1,0,AH155*(1-VLOOKUP($A156,[1]Hugst!$R$5:$W$9,MATCH(ROUNDUP((AI$1)/10,0)*10,[1]Hugst!$R$4:$W$4,0))))</f>
        <v>0</v>
      </c>
      <c r="AJ156">
        <f ca="1">IF($C156-AJ$1&lt;År1,0,AI155*(1-VLOOKUP($A156,[1]Hugst!$R$5:$W$9,MATCH(ROUNDUP((AJ$1)/10,0)*10,[1]Hugst!$R$4:$W$4,0))))</f>
        <v>0</v>
      </c>
    </row>
    <row r="157" spans="1:36" x14ac:dyDescent="0.25">
      <c r="A157" t="s">
        <v>178</v>
      </c>
      <c r="B157" t="s">
        <v>24</v>
      </c>
      <c r="C157">
        <v>2020</v>
      </c>
      <c r="D157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0</v>
      </c>
      <c r="E157">
        <f t="shared" si="3"/>
        <v>0</v>
      </c>
      <c r="F157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>
        <f>IF($C157-G$1&lt;År1,0,F156*(1-VLOOKUP($A157,[1]Hugst!$R$5:$W$9,MATCH(ROUNDUP((G$1)/10,0)*10,[1]Hugst!$R$4:$W$4,0))))</f>
        <v>0</v>
      </c>
      <c r="H157">
        <f>IF($C157-H$1&lt;År1,0,G156*(1-VLOOKUP($A157,[1]Hugst!$R$5:$W$9,MATCH(ROUNDUP((H$1)/10,0)*10,[1]Hugst!$R$4:$W$4,0))))</f>
        <v>0</v>
      </c>
      <c r="I157">
        <f>IF($C157-I$1&lt;År1,0,H156*(1-VLOOKUP($A157,[1]Hugst!$R$5:$W$9,MATCH(ROUNDUP((I$1)/10,0)*10,[1]Hugst!$R$4:$W$4,0))))</f>
        <v>0</v>
      </c>
      <c r="J157">
        <f>IF($C157-J$1&lt;År1,0,I156*(1-VLOOKUP($A157,[1]Hugst!$R$5:$W$9,MATCH(ROUNDUP((J$1)/10,0)*10,[1]Hugst!$R$4:$W$4,0))))</f>
        <v>0</v>
      </c>
      <c r="K157">
        <f>IF($C157-K$1&lt;År1,0,J156*(1-VLOOKUP($A157,[1]Hugst!$R$5:$W$9,MATCH(ROUNDUP((K$1)/10,0)*10,[1]Hugst!$R$4:$W$4,0))))</f>
        <v>0</v>
      </c>
      <c r="L157">
        <f>IF($C157-L$1&lt;År1,0,K156*(1-VLOOKUP($A157,[1]Hugst!$R$5:$W$9,MATCH(ROUNDUP((L$1)/10,0)*10,[1]Hugst!$R$4:$W$4,0))))</f>
        <v>0</v>
      </c>
      <c r="M157">
        <f>IF($C157-M$1&lt;År1,0,L156*(1-VLOOKUP($A157,[1]Hugst!$R$5:$W$9,MATCH(ROUNDUP((M$1)/10,0)*10,[1]Hugst!$R$4:$W$4,0))))</f>
        <v>0</v>
      </c>
      <c r="N157">
        <f>IF($C157-N$1&lt;År1,0,M156*(1-VLOOKUP($A157,[1]Hugst!$R$5:$W$9,MATCH(ROUNDUP((N$1)/10,0)*10,[1]Hugst!$R$4:$W$4,0))))</f>
        <v>0</v>
      </c>
      <c r="O157">
        <f>IF($C157-O$1&lt;År1,0,N156*(1-VLOOKUP($A157,[1]Hugst!$R$5:$W$9,MATCH(ROUNDUP((O$1)/10,0)*10,[1]Hugst!$R$4:$W$4,0))))</f>
        <v>0</v>
      </c>
      <c r="P157">
        <f>IF($C157-P$1&lt;År1,0,O156*(1-VLOOKUP($A157,[1]Hugst!$R$5:$W$9,MATCH(ROUNDUP((P$1)/10,0)*10,[1]Hugst!$R$4:$W$4,0))))</f>
        <v>0</v>
      </c>
      <c r="Q157">
        <f>IF($C157-Q$1&lt;År1,0,P156*(1-VLOOKUP($A157,[1]Hugst!$R$5:$W$9,MATCH(ROUNDUP((Q$1)/10,0)*10,[1]Hugst!$R$4:$W$4,0))))</f>
        <v>0</v>
      </c>
      <c r="R157">
        <f>IF($C157-R$1&lt;År1,0,Q156*(1-VLOOKUP($A157,[1]Hugst!$R$5:$W$9,MATCH(ROUNDUP((R$1)/10,0)*10,[1]Hugst!$R$4:$W$4,0))))</f>
        <v>0</v>
      </c>
      <c r="S157">
        <f>IF($C157-S$1&lt;År1,0,R156*(1-VLOOKUP($A157,[1]Hugst!$R$5:$W$9,MATCH(ROUNDUP((S$1)/10,0)*10,[1]Hugst!$R$4:$W$4,0))))</f>
        <v>0</v>
      </c>
      <c r="T157">
        <f>IF($C157-T$1&lt;År1,0,S156*(1-VLOOKUP($A157,[1]Hugst!$R$5:$W$9,MATCH(ROUNDUP((T$1)/10,0)*10,[1]Hugst!$R$4:$W$4,0))))</f>
        <v>0</v>
      </c>
      <c r="U157">
        <f>IF($C157-U$1&lt;År1,0,T156*(1-VLOOKUP($A157,[1]Hugst!$R$5:$W$9,MATCH(ROUNDUP((U$1)/10,0)*10,[1]Hugst!$R$4:$W$4,0))))</f>
        <v>0</v>
      </c>
      <c r="V157">
        <f>IF($C157-V$1&lt;År1,0,U156*(1-VLOOKUP($A157,[1]Hugst!$R$5:$W$9,MATCH(ROUNDUP((V$1)/10,0)*10,[1]Hugst!$R$4:$W$4,0))))</f>
        <v>0</v>
      </c>
      <c r="W157">
        <f>IF($C157-W$1&lt;År1,0,V156*(1-VLOOKUP($A157,[1]Hugst!$R$5:$W$9,MATCH(ROUNDUP((W$1)/10,0)*10,[1]Hugst!$R$4:$W$4,0))))</f>
        <v>0</v>
      </c>
      <c r="X157">
        <f>IF($C157-X$1&lt;År1,0,W156*(1-VLOOKUP($A157,[1]Hugst!$R$5:$W$9,MATCH(ROUNDUP((X$1)/10,0)*10,[1]Hugst!$R$4:$W$4,0))))</f>
        <v>0</v>
      </c>
      <c r="Y157">
        <f>IF($C157-Y$1&lt;År1,0,X156*(1-VLOOKUP($A157,[1]Hugst!$R$5:$W$9,MATCH(ROUNDUP((Y$1)/10,0)*10,[1]Hugst!$R$4:$W$4,0))))</f>
        <v>0</v>
      </c>
      <c r="Z157">
        <f>IF($C157-Z$1&lt;År1,0,Y156*(1-VLOOKUP($A157,[1]Hugst!$R$5:$W$9,MATCH(ROUNDUP((Z$1)/10,0)*10,[1]Hugst!$R$4:$W$4,0))))</f>
        <v>0</v>
      </c>
      <c r="AA157">
        <f>IF($C157-AA$1&lt;År1,0,Z156*(1-VLOOKUP($A157,[1]Hugst!$R$5:$W$9,MATCH(ROUNDUP((AA$1)/10,0)*10,[1]Hugst!$R$4:$W$4,0))))</f>
        <v>0</v>
      </c>
      <c r="AB157">
        <f>IF($C157-AB$1&lt;År1,0,AA156*(1-VLOOKUP($A157,[1]Hugst!$R$5:$W$9,MATCH(ROUNDUP((AB$1)/10,0)*10,[1]Hugst!$R$4:$W$4,0))))</f>
        <v>0</v>
      </c>
      <c r="AC157">
        <f>IF($C157-AC$1&lt;År1,0,AB156*(1-VLOOKUP($A157,[1]Hugst!$R$5:$W$9,MATCH(ROUNDUP((AC$1)/10,0)*10,[1]Hugst!$R$4:$W$4,0))))</f>
        <v>0</v>
      </c>
      <c r="AD157">
        <f>IF($C157-AD$1&lt;År1,0,AC156*(1-VLOOKUP($A157,[1]Hugst!$R$5:$W$9,MATCH(ROUNDUP((AD$1)/10,0)*10,[1]Hugst!$R$4:$W$4,0))))</f>
        <v>0</v>
      </c>
      <c r="AE157">
        <f>IF($C157-AE$1&lt;År1,0,AD156*(1-VLOOKUP($A157,[1]Hugst!$R$5:$W$9,MATCH(ROUNDUP((AE$1)/10,0)*10,[1]Hugst!$R$4:$W$4,0))))</f>
        <v>0</v>
      </c>
      <c r="AF157">
        <f>IF($C157-AF$1&lt;År1,0,AE156*(1-VLOOKUP($A157,[1]Hugst!$R$5:$W$9,MATCH(ROUNDUP((AF$1)/10,0)*10,[1]Hugst!$R$4:$W$4,0))))</f>
        <v>0</v>
      </c>
      <c r="AG157">
        <f>IF($C157-AG$1&lt;År1,0,AF156*(1-VLOOKUP($A157,[1]Hugst!$R$5:$W$9,MATCH(ROUNDUP((AG$1)/10,0)*10,[1]Hugst!$R$4:$W$4,0))))</f>
        <v>0</v>
      </c>
      <c r="AH157">
        <f>IF($C157-AH$1&lt;År1,0,AG156*(1-VLOOKUP($A157,[1]Hugst!$R$5:$W$9,MATCH(ROUNDUP((AH$1)/10,0)*10,[1]Hugst!$R$4:$W$4,0))))</f>
        <v>0</v>
      </c>
      <c r="AI157">
        <f>IF($C157-AI$1&lt;År1,0,AH156*(1-VLOOKUP($A157,[1]Hugst!$R$5:$W$9,MATCH(ROUNDUP((AI$1)/10,0)*10,[1]Hugst!$R$4:$W$4,0))))</f>
        <v>0</v>
      </c>
      <c r="AJ157">
        <f>IF($C157-AJ$1&lt;År1,0,AI156*(1-VLOOKUP($A157,[1]Hugst!$R$5:$W$9,MATCH(ROUNDUP((AJ$1)/10,0)*10,[1]Hugst!$R$4:$W$4,0))))</f>
        <v>0</v>
      </c>
    </row>
    <row r="158" spans="1:36" x14ac:dyDescent="0.25">
      <c r="A158" t="s">
        <v>178</v>
      </c>
      <c r="B158" t="s">
        <v>24</v>
      </c>
      <c r="C158">
        <v>2021</v>
      </c>
      <c r="D15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0</v>
      </c>
      <c r="E158">
        <f t="shared" ca="1" si="3"/>
        <v>0</v>
      </c>
      <c r="F15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>
        <f ca="1">IF($C158-G$1&lt;År1,0,F157*(1-VLOOKUP($A158,[1]Hugst!$R$5:$W$9,MATCH(ROUNDUP((G$1)/10,0)*10,[1]Hugst!$R$4:$W$4,0))))</f>
        <v>0</v>
      </c>
      <c r="H158">
        <f>IF($C158-H$1&lt;År1,0,G157*(1-VLOOKUP($A158,[1]Hugst!$R$5:$W$9,MATCH(ROUNDUP((H$1)/10,0)*10,[1]Hugst!$R$4:$W$4,0))))</f>
        <v>0</v>
      </c>
      <c r="I158">
        <f>IF($C158-I$1&lt;År1,0,H157*(1-VLOOKUP($A158,[1]Hugst!$R$5:$W$9,MATCH(ROUNDUP((I$1)/10,0)*10,[1]Hugst!$R$4:$W$4,0))))</f>
        <v>0</v>
      </c>
      <c r="J158">
        <f>IF($C158-J$1&lt;År1,0,I157*(1-VLOOKUP($A158,[1]Hugst!$R$5:$W$9,MATCH(ROUNDUP((J$1)/10,0)*10,[1]Hugst!$R$4:$W$4,0))))</f>
        <v>0</v>
      </c>
      <c r="K158">
        <f>IF($C158-K$1&lt;År1,0,J157*(1-VLOOKUP($A158,[1]Hugst!$R$5:$W$9,MATCH(ROUNDUP((K$1)/10,0)*10,[1]Hugst!$R$4:$W$4,0))))</f>
        <v>0</v>
      </c>
      <c r="L158">
        <f>IF($C158-L$1&lt;År1,0,K157*(1-VLOOKUP($A158,[1]Hugst!$R$5:$W$9,MATCH(ROUNDUP((L$1)/10,0)*10,[1]Hugst!$R$4:$W$4,0))))</f>
        <v>0</v>
      </c>
      <c r="M158">
        <f>IF($C158-M$1&lt;År1,0,L157*(1-VLOOKUP($A158,[1]Hugst!$R$5:$W$9,MATCH(ROUNDUP((M$1)/10,0)*10,[1]Hugst!$R$4:$W$4,0))))</f>
        <v>0</v>
      </c>
      <c r="N158">
        <f>IF($C158-N$1&lt;År1,0,M157*(1-VLOOKUP($A158,[1]Hugst!$R$5:$W$9,MATCH(ROUNDUP((N$1)/10,0)*10,[1]Hugst!$R$4:$W$4,0))))</f>
        <v>0</v>
      </c>
      <c r="O158">
        <f>IF($C158-O$1&lt;År1,0,N157*(1-VLOOKUP($A158,[1]Hugst!$R$5:$W$9,MATCH(ROUNDUP((O$1)/10,0)*10,[1]Hugst!$R$4:$W$4,0))))</f>
        <v>0</v>
      </c>
      <c r="P158">
        <f>IF($C158-P$1&lt;År1,0,O157*(1-VLOOKUP($A158,[1]Hugst!$R$5:$W$9,MATCH(ROUNDUP((P$1)/10,0)*10,[1]Hugst!$R$4:$W$4,0))))</f>
        <v>0</v>
      </c>
      <c r="Q158">
        <f>IF($C158-Q$1&lt;År1,0,P157*(1-VLOOKUP($A158,[1]Hugst!$R$5:$W$9,MATCH(ROUNDUP((Q$1)/10,0)*10,[1]Hugst!$R$4:$W$4,0))))</f>
        <v>0</v>
      </c>
      <c r="R158">
        <f>IF($C158-R$1&lt;År1,0,Q157*(1-VLOOKUP($A158,[1]Hugst!$R$5:$W$9,MATCH(ROUNDUP((R$1)/10,0)*10,[1]Hugst!$R$4:$W$4,0))))</f>
        <v>0</v>
      </c>
      <c r="S158">
        <f>IF($C158-S$1&lt;År1,0,R157*(1-VLOOKUP($A158,[1]Hugst!$R$5:$W$9,MATCH(ROUNDUP((S$1)/10,0)*10,[1]Hugst!$R$4:$W$4,0))))</f>
        <v>0</v>
      </c>
      <c r="T158">
        <f>IF($C158-T$1&lt;År1,0,S157*(1-VLOOKUP($A158,[1]Hugst!$R$5:$W$9,MATCH(ROUNDUP((T$1)/10,0)*10,[1]Hugst!$R$4:$W$4,0))))</f>
        <v>0</v>
      </c>
      <c r="U158">
        <f>IF($C158-U$1&lt;År1,0,T157*(1-VLOOKUP($A158,[1]Hugst!$R$5:$W$9,MATCH(ROUNDUP((U$1)/10,0)*10,[1]Hugst!$R$4:$W$4,0))))</f>
        <v>0</v>
      </c>
      <c r="V158">
        <f>IF($C158-V$1&lt;År1,0,U157*(1-VLOOKUP($A158,[1]Hugst!$R$5:$W$9,MATCH(ROUNDUP((V$1)/10,0)*10,[1]Hugst!$R$4:$W$4,0))))</f>
        <v>0</v>
      </c>
      <c r="W158">
        <f>IF($C158-W$1&lt;År1,0,V157*(1-VLOOKUP($A158,[1]Hugst!$R$5:$W$9,MATCH(ROUNDUP((W$1)/10,0)*10,[1]Hugst!$R$4:$W$4,0))))</f>
        <v>0</v>
      </c>
      <c r="X158">
        <f>IF($C158-X$1&lt;År1,0,W157*(1-VLOOKUP($A158,[1]Hugst!$R$5:$W$9,MATCH(ROUNDUP((X$1)/10,0)*10,[1]Hugst!$R$4:$W$4,0))))</f>
        <v>0</v>
      </c>
      <c r="Y158">
        <f>IF($C158-Y$1&lt;År1,0,X157*(1-VLOOKUP($A158,[1]Hugst!$R$5:$W$9,MATCH(ROUNDUP((Y$1)/10,0)*10,[1]Hugst!$R$4:$W$4,0))))</f>
        <v>0</v>
      </c>
      <c r="Z158">
        <f>IF($C158-Z$1&lt;År1,0,Y157*(1-VLOOKUP($A158,[1]Hugst!$R$5:$W$9,MATCH(ROUNDUP((Z$1)/10,0)*10,[1]Hugst!$R$4:$W$4,0))))</f>
        <v>0</v>
      </c>
      <c r="AA158">
        <f>IF($C158-AA$1&lt;År1,0,Z157*(1-VLOOKUP($A158,[1]Hugst!$R$5:$W$9,MATCH(ROUNDUP((AA$1)/10,0)*10,[1]Hugst!$R$4:$W$4,0))))</f>
        <v>0</v>
      </c>
      <c r="AB158">
        <f>IF($C158-AB$1&lt;År1,0,AA157*(1-VLOOKUP($A158,[1]Hugst!$R$5:$W$9,MATCH(ROUNDUP((AB$1)/10,0)*10,[1]Hugst!$R$4:$W$4,0))))</f>
        <v>0</v>
      </c>
      <c r="AC158">
        <f>IF($C158-AC$1&lt;År1,0,AB157*(1-VLOOKUP($A158,[1]Hugst!$R$5:$W$9,MATCH(ROUNDUP((AC$1)/10,0)*10,[1]Hugst!$R$4:$W$4,0))))</f>
        <v>0</v>
      </c>
      <c r="AD158">
        <f>IF($C158-AD$1&lt;År1,0,AC157*(1-VLOOKUP($A158,[1]Hugst!$R$5:$W$9,MATCH(ROUNDUP((AD$1)/10,0)*10,[1]Hugst!$R$4:$W$4,0))))</f>
        <v>0</v>
      </c>
      <c r="AE158">
        <f>IF($C158-AE$1&lt;År1,0,AD157*(1-VLOOKUP($A158,[1]Hugst!$R$5:$W$9,MATCH(ROUNDUP((AE$1)/10,0)*10,[1]Hugst!$R$4:$W$4,0))))</f>
        <v>0</v>
      </c>
      <c r="AF158">
        <f>IF($C158-AF$1&lt;År1,0,AE157*(1-VLOOKUP($A158,[1]Hugst!$R$5:$W$9,MATCH(ROUNDUP((AF$1)/10,0)*10,[1]Hugst!$R$4:$W$4,0))))</f>
        <v>0</v>
      </c>
      <c r="AG158">
        <f>IF($C158-AG$1&lt;År1,0,AF157*(1-VLOOKUP($A158,[1]Hugst!$R$5:$W$9,MATCH(ROUNDUP((AG$1)/10,0)*10,[1]Hugst!$R$4:$W$4,0))))</f>
        <v>0</v>
      </c>
      <c r="AH158">
        <f>IF($C158-AH$1&lt;År1,0,AG157*(1-VLOOKUP($A158,[1]Hugst!$R$5:$W$9,MATCH(ROUNDUP((AH$1)/10,0)*10,[1]Hugst!$R$4:$W$4,0))))</f>
        <v>0</v>
      </c>
      <c r="AI158">
        <f>IF($C158-AI$1&lt;År1,0,AH157*(1-VLOOKUP($A158,[1]Hugst!$R$5:$W$9,MATCH(ROUNDUP((AI$1)/10,0)*10,[1]Hugst!$R$4:$W$4,0))))</f>
        <v>0</v>
      </c>
      <c r="AJ158">
        <f>IF($C158-AJ$1&lt;År1,0,AI157*(1-VLOOKUP($A158,[1]Hugst!$R$5:$W$9,MATCH(ROUNDUP((AJ$1)/10,0)*10,[1]Hugst!$R$4:$W$4,0))))</f>
        <v>0</v>
      </c>
    </row>
    <row r="159" spans="1:36" x14ac:dyDescent="0.25">
      <c r="A159" t="s">
        <v>178</v>
      </c>
      <c r="B159" t="s">
        <v>24</v>
      </c>
      <c r="C159">
        <v>2022</v>
      </c>
      <c r="D159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0</v>
      </c>
      <c r="E159">
        <f t="shared" ca="1" si="3"/>
        <v>0</v>
      </c>
      <c r="F15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>
        <f ca="1">IF($C159-G$1&lt;År1,0,F158*(1-VLOOKUP($A159,[1]Hugst!$R$5:$W$9,MATCH(ROUNDUP((G$1)/10,0)*10,[1]Hugst!$R$4:$W$4,0))))</f>
        <v>0</v>
      </c>
      <c r="H159">
        <f ca="1">IF($C159-H$1&lt;År1,0,G158*(1-VLOOKUP($A159,[1]Hugst!$R$5:$W$9,MATCH(ROUNDUP((H$1)/10,0)*10,[1]Hugst!$R$4:$W$4,0))))</f>
        <v>0</v>
      </c>
      <c r="I159">
        <f>IF($C159-I$1&lt;År1,0,H158*(1-VLOOKUP($A159,[1]Hugst!$R$5:$W$9,MATCH(ROUNDUP((I$1)/10,0)*10,[1]Hugst!$R$4:$W$4,0))))</f>
        <v>0</v>
      </c>
      <c r="J159">
        <f>IF($C159-J$1&lt;År1,0,I158*(1-VLOOKUP($A159,[1]Hugst!$R$5:$W$9,MATCH(ROUNDUP((J$1)/10,0)*10,[1]Hugst!$R$4:$W$4,0))))</f>
        <v>0</v>
      </c>
      <c r="K159">
        <f>IF($C159-K$1&lt;År1,0,J158*(1-VLOOKUP($A159,[1]Hugst!$R$5:$W$9,MATCH(ROUNDUP((K$1)/10,0)*10,[1]Hugst!$R$4:$W$4,0))))</f>
        <v>0</v>
      </c>
      <c r="L159">
        <f>IF($C159-L$1&lt;År1,0,K158*(1-VLOOKUP($A159,[1]Hugst!$R$5:$W$9,MATCH(ROUNDUP((L$1)/10,0)*10,[1]Hugst!$R$4:$W$4,0))))</f>
        <v>0</v>
      </c>
      <c r="M159">
        <f>IF($C159-M$1&lt;År1,0,L158*(1-VLOOKUP($A159,[1]Hugst!$R$5:$W$9,MATCH(ROUNDUP((M$1)/10,0)*10,[1]Hugst!$R$4:$W$4,0))))</f>
        <v>0</v>
      </c>
      <c r="N159">
        <f>IF($C159-N$1&lt;År1,0,M158*(1-VLOOKUP($A159,[1]Hugst!$R$5:$W$9,MATCH(ROUNDUP((N$1)/10,0)*10,[1]Hugst!$R$4:$W$4,0))))</f>
        <v>0</v>
      </c>
      <c r="O159">
        <f>IF($C159-O$1&lt;År1,0,N158*(1-VLOOKUP($A159,[1]Hugst!$R$5:$W$9,MATCH(ROUNDUP((O$1)/10,0)*10,[1]Hugst!$R$4:$W$4,0))))</f>
        <v>0</v>
      </c>
      <c r="P159">
        <f>IF($C159-P$1&lt;År1,0,O158*(1-VLOOKUP($A159,[1]Hugst!$R$5:$W$9,MATCH(ROUNDUP((P$1)/10,0)*10,[1]Hugst!$R$4:$W$4,0))))</f>
        <v>0</v>
      </c>
      <c r="Q159">
        <f>IF($C159-Q$1&lt;År1,0,P158*(1-VLOOKUP($A159,[1]Hugst!$R$5:$W$9,MATCH(ROUNDUP((Q$1)/10,0)*10,[1]Hugst!$R$4:$W$4,0))))</f>
        <v>0</v>
      </c>
      <c r="R159">
        <f>IF($C159-R$1&lt;År1,0,Q158*(1-VLOOKUP($A159,[1]Hugst!$R$5:$W$9,MATCH(ROUNDUP((R$1)/10,0)*10,[1]Hugst!$R$4:$W$4,0))))</f>
        <v>0</v>
      </c>
      <c r="S159">
        <f>IF($C159-S$1&lt;År1,0,R158*(1-VLOOKUP($A159,[1]Hugst!$R$5:$W$9,MATCH(ROUNDUP((S$1)/10,0)*10,[1]Hugst!$R$4:$W$4,0))))</f>
        <v>0</v>
      </c>
      <c r="T159">
        <f>IF($C159-T$1&lt;År1,0,S158*(1-VLOOKUP($A159,[1]Hugst!$R$5:$W$9,MATCH(ROUNDUP((T$1)/10,0)*10,[1]Hugst!$R$4:$W$4,0))))</f>
        <v>0</v>
      </c>
      <c r="U159">
        <f>IF($C159-U$1&lt;År1,0,T158*(1-VLOOKUP($A159,[1]Hugst!$R$5:$W$9,MATCH(ROUNDUP((U$1)/10,0)*10,[1]Hugst!$R$4:$W$4,0))))</f>
        <v>0</v>
      </c>
      <c r="V159">
        <f>IF($C159-V$1&lt;År1,0,U158*(1-VLOOKUP($A159,[1]Hugst!$R$5:$W$9,MATCH(ROUNDUP((V$1)/10,0)*10,[1]Hugst!$R$4:$W$4,0))))</f>
        <v>0</v>
      </c>
      <c r="W159">
        <f>IF($C159-W$1&lt;År1,0,V158*(1-VLOOKUP($A159,[1]Hugst!$R$5:$W$9,MATCH(ROUNDUP((W$1)/10,0)*10,[1]Hugst!$R$4:$W$4,0))))</f>
        <v>0</v>
      </c>
      <c r="X159">
        <f>IF($C159-X$1&lt;År1,0,W158*(1-VLOOKUP($A159,[1]Hugst!$R$5:$W$9,MATCH(ROUNDUP((X$1)/10,0)*10,[1]Hugst!$R$4:$W$4,0))))</f>
        <v>0</v>
      </c>
      <c r="Y159">
        <f>IF($C159-Y$1&lt;År1,0,X158*(1-VLOOKUP($A159,[1]Hugst!$R$5:$W$9,MATCH(ROUNDUP((Y$1)/10,0)*10,[1]Hugst!$R$4:$W$4,0))))</f>
        <v>0</v>
      </c>
      <c r="Z159">
        <f>IF($C159-Z$1&lt;År1,0,Y158*(1-VLOOKUP($A159,[1]Hugst!$R$5:$W$9,MATCH(ROUNDUP((Z$1)/10,0)*10,[1]Hugst!$R$4:$W$4,0))))</f>
        <v>0</v>
      </c>
      <c r="AA159">
        <f>IF($C159-AA$1&lt;År1,0,Z158*(1-VLOOKUP($A159,[1]Hugst!$R$5:$W$9,MATCH(ROUNDUP((AA$1)/10,0)*10,[1]Hugst!$R$4:$W$4,0))))</f>
        <v>0</v>
      </c>
      <c r="AB159">
        <f>IF($C159-AB$1&lt;År1,0,AA158*(1-VLOOKUP($A159,[1]Hugst!$R$5:$W$9,MATCH(ROUNDUP((AB$1)/10,0)*10,[1]Hugst!$R$4:$W$4,0))))</f>
        <v>0</v>
      </c>
      <c r="AC159">
        <f>IF($C159-AC$1&lt;År1,0,AB158*(1-VLOOKUP($A159,[1]Hugst!$R$5:$W$9,MATCH(ROUNDUP((AC$1)/10,0)*10,[1]Hugst!$R$4:$W$4,0))))</f>
        <v>0</v>
      </c>
      <c r="AD159">
        <f>IF($C159-AD$1&lt;År1,0,AC158*(1-VLOOKUP($A159,[1]Hugst!$R$5:$W$9,MATCH(ROUNDUP((AD$1)/10,0)*10,[1]Hugst!$R$4:$W$4,0))))</f>
        <v>0</v>
      </c>
      <c r="AE159">
        <f>IF($C159-AE$1&lt;År1,0,AD158*(1-VLOOKUP($A159,[1]Hugst!$R$5:$W$9,MATCH(ROUNDUP((AE$1)/10,0)*10,[1]Hugst!$R$4:$W$4,0))))</f>
        <v>0</v>
      </c>
      <c r="AF159">
        <f>IF($C159-AF$1&lt;År1,0,AE158*(1-VLOOKUP($A159,[1]Hugst!$R$5:$W$9,MATCH(ROUNDUP((AF$1)/10,0)*10,[1]Hugst!$R$4:$W$4,0))))</f>
        <v>0</v>
      </c>
      <c r="AG159">
        <f>IF($C159-AG$1&lt;År1,0,AF158*(1-VLOOKUP($A159,[1]Hugst!$R$5:$W$9,MATCH(ROUNDUP((AG$1)/10,0)*10,[1]Hugst!$R$4:$W$4,0))))</f>
        <v>0</v>
      </c>
      <c r="AH159">
        <f>IF($C159-AH$1&lt;År1,0,AG158*(1-VLOOKUP($A159,[1]Hugst!$R$5:$W$9,MATCH(ROUNDUP((AH$1)/10,0)*10,[1]Hugst!$R$4:$W$4,0))))</f>
        <v>0</v>
      </c>
      <c r="AI159">
        <f>IF($C159-AI$1&lt;År1,0,AH158*(1-VLOOKUP($A159,[1]Hugst!$R$5:$W$9,MATCH(ROUNDUP((AI$1)/10,0)*10,[1]Hugst!$R$4:$W$4,0))))</f>
        <v>0</v>
      </c>
      <c r="AJ159">
        <f>IF($C159-AJ$1&lt;År1,0,AI158*(1-VLOOKUP($A159,[1]Hugst!$R$5:$W$9,MATCH(ROUNDUP((AJ$1)/10,0)*10,[1]Hugst!$R$4:$W$4,0))))</f>
        <v>0</v>
      </c>
    </row>
    <row r="160" spans="1:36" x14ac:dyDescent="0.25">
      <c r="A160" t="s">
        <v>178</v>
      </c>
      <c r="B160" t="s">
        <v>24</v>
      </c>
      <c r="C160">
        <v>2023</v>
      </c>
      <c r="D160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0</v>
      </c>
      <c r="E160">
        <f t="shared" ca="1" si="3"/>
        <v>0</v>
      </c>
      <c r="F160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>
        <f ca="1">IF($C160-G$1&lt;År1,0,F159*(1-VLOOKUP($A160,[1]Hugst!$R$5:$W$9,MATCH(ROUNDUP((G$1)/10,0)*10,[1]Hugst!$R$4:$W$4,0))))</f>
        <v>0</v>
      </c>
      <c r="H160">
        <f ca="1">IF($C160-H$1&lt;År1,0,G159*(1-VLOOKUP($A160,[1]Hugst!$R$5:$W$9,MATCH(ROUNDUP((H$1)/10,0)*10,[1]Hugst!$R$4:$W$4,0))))</f>
        <v>0</v>
      </c>
      <c r="I160">
        <f ca="1">IF($C160-I$1&lt;År1,0,H159*(1-VLOOKUP($A160,[1]Hugst!$R$5:$W$9,MATCH(ROUNDUP((I$1)/10,0)*10,[1]Hugst!$R$4:$W$4,0))))</f>
        <v>0</v>
      </c>
      <c r="J160">
        <f>IF($C160-J$1&lt;År1,0,I159*(1-VLOOKUP($A160,[1]Hugst!$R$5:$W$9,MATCH(ROUNDUP((J$1)/10,0)*10,[1]Hugst!$R$4:$W$4,0))))</f>
        <v>0</v>
      </c>
      <c r="K160">
        <f>IF($C160-K$1&lt;År1,0,J159*(1-VLOOKUP($A160,[1]Hugst!$R$5:$W$9,MATCH(ROUNDUP((K$1)/10,0)*10,[1]Hugst!$R$4:$W$4,0))))</f>
        <v>0</v>
      </c>
      <c r="L160">
        <f>IF($C160-L$1&lt;År1,0,K159*(1-VLOOKUP($A160,[1]Hugst!$R$5:$W$9,MATCH(ROUNDUP((L$1)/10,0)*10,[1]Hugst!$R$4:$W$4,0))))</f>
        <v>0</v>
      </c>
      <c r="M160">
        <f>IF($C160-M$1&lt;År1,0,L159*(1-VLOOKUP($A160,[1]Hugst!$R$5:$W$9,MATCH(ROUNDUP((M$1)/10,0)*10,[1]Hugst!$R$4:$W$4,0))))</f>
        <v>0</v>
      </c>
      <c r="N160">
        <f>IF($C160-N$1&lt;År1,0,M159*(1-VLOOKUP($A160,[1]Hugst!$R$5:$W$9,MATCH(ROUNDUP((N$1)/10,0)*10,[1]Hugst!$R$4:$W$4,0))))</f>
        <v>0</v>
      </c>
      <c r="O160">
        <f>IF($C160-O$1&lt;År1,0,N159*(1-VLOOKUP($A160,[1]Hugst!$R$5:$W$9,MATCH(ROUNDUP((O$1)/10,0)*10,[1]Hugst!$R$4:$W$4,0))))</f>
        <v>0</v>
      </c>
      <c r="P160">
        <f>IF($C160-P$1&lt;År1,0,O159*(1-VLOOKUP($A160,[1]Hugst!$R$5:$W$9,MATCH(ROUNDUP((P$1)/10,0)*10,[1]Hugst!$R$4:$W$4,0))))</f>
        <v>0</v>
      </c>
      <c r="Q160">
        <f>IF($C160-Q$1&lt;År1,0,P159*(1-VLOOKUP($A160,[1]Hugst!$R$5:$W$9,MATCH(ROUNDUP((Q$1)/10,0)*10,[1]Hugst!$R$4:$W$4,0))))</f>
        <v>0</v>
      </c>
      <c r="R160">
        <f>IF($C160-R$1&lt;År1,0,Q159*(1-VLOOKUP($A160,[1]Hugst!$R$5:$W$9,MATCH(ROUNDUP((R$1)/10,0)*10,[1]Hugst!$R$4:$W$4,0))))</f>
        <v>0</v>
      </c>
      <c r="S160">
        <f>IF($C160-S$1&lt;År1,0,R159*(1-VLOOKUP($A160,[1]Hugst!$R$5:$W$9,MATCH(ROUNDUP((S$1)/10,0)*10,[1]Hugst!$R$4:$W$4,0))))</f>
        <v>0</v>
      </c>
      <c r="T160">
        <f>IF($C160-T$1&lt;År1,0,S159*(1-VLOOKUP($A160,[1]Hugst!$R$5:$W$9,MATCH(ROUNDUP((T$1)/10,0)*10,[1]Hugst!$R$4:$W$4,0))))</f>
        <v>0</v>
      </c>
      <c r="U160">
        <f>IF($C160-U$1&lt;År1,0,T159*(1-VLOOKUP($A160,[1]Hugst!$R$5:$W$9,MATCH(ROUNDUP((U$1)/10,0)*10,[1]Hugst!$R$4:$W$4,0))))</f>
        <v>0</v>
      </c>
      <c r="V160">
        <f>IF($C160-V$1&lt;År1,0,U159*(1-VLOOKUP($A160,[1]Hugst!$R$5:$W$9,MATCH(ROUNDUP((V$1)/10,0)*10,[1]Hugst!$R$4:$W$4,0))))</f>
        <v>0</v>
      </c>
      <c r="W160">
        <f>IF($C160-W$1&lt;År1,0,V159*(1-VLOOKUP($A160,[1]Hugst!$R$5:$W$9,MATCH(ROUNDUP((W$1)/10,0)*10,[1]Hugst!$R$4:$W$4,0))))</f>
        <v>0</v>
      </c>
      <c r="X160">
        <f>IF($C160-X$1&lt;År1,0,W159*(1-VLOOKUP($A160,[1]Hugst!$R$5:$W$9,MATCH(ROUNDUP((X$1)/10,0)*10,[1]Hugst!$R$4:$W$4,0))))</f>
        <v>0</v>
      </c>
      <c r="Y160">
        <f>IF($C160-Y$1&lt;År1,0,X159*(1-VLOOKUP($A160,[1]Hugst!$R$5:$W$9,MATCH(ROUNDUP((Y$1)/10,0)*10,[1]Hugst!$R$4:$W$4,0))))</f>
        <v>0</v>
      </c>
      <c r="Z160">
        <f>IF($C160-Z$1&lt;År1,0,Y159*(1-VLOOKUP($A160,[1]Hugst!$R$5:$W$9,MATCH(ROUNDUP((Z$1)/10,0)*10,[1]Hugst!$R$4:$W$4,0))))</f>
        <v>0</v>
      </c>
      <c r="AA160">
        <f>IF($C160-AA$1&lt;År1,0,Z159*(1-VLOOKUP($A160,[1]Hugst!$R$5:$W$9,MATCH(ROUNDUP((AA$1)/10,0)*10,[1]Hugst!$R$4:$W$4,0))))</f>
        <v>0</v>
      </c>
      <c r="AB160">
        <f>IF($C160-AB$1&lt;År1,0,AA159*(1-VLOOKUP($A160,[1]Hugst!$R$5:$W$9,MATCH(ROUNDUP((AB$1)/10,0)*10,[1]Hugst!$R$4:$W$4,0))))</f>
        <v>0</v>
      </c>
      <c r="AC160">
        <f>IF($C160-AC$1&lt;År1,0,AB159*(1-VLOOKUP($A160,[1]Hugst!$R$5:$W$9,MATCH(ROUNDUP((AC$1)/10,0)*10,[1]Hugst!$R$4:$W$4,0))))</f>
        <v>0</v>
      </c>
      <c r="AD160">
        <f>IF($C160-AD$1&lt;År1,0,AC159*(1-VLOOKUP($A160,[1]Hugst!$R$5:$W$9,MATCH(ROUNDUP((AD$1)/10,0)*10,[1]Hugst!$R$4:$W$4,0))))</f>
        <v>0</v>
      </c>
      <c r="AE160">
        <f>IF($C160-AE$1&lt;År1,0,AD159*(1-VLOOKUP($A160,[1]Hugst!$R$5:$W$9,MATCH(ROUNDUP((AE$1)/10,0)*10,[1]Hugst!$R$4:$W$4,0))))</f>
        <v>0</v>
      </c>
      <c r="AF160">
        <f>IF($C160-AF$1&lt;År1,0,AE159*(1-VLOOKUP($A160,[1]Hugst!$R$5:$W$9,MATCH(ROUNDUP((AF$1)/10,0)*10,[1]Hugst!$R$4:$W$4,0))))</f>
        <v>0</v>
      </c>
      <c r="AG160">
        <f>IF($C160-AG$1&lt;År1,0,AF159*(1-VLOOKUP($A160,[1]Hugst!$R$5:$W$9,MATCH(ROUNDUP((AG$1)/10,0)*10,[1]Hugst!$R$4:$W$4,0))))</f>
        <v>0</v>
      </c>
      <c r="AH160">
        <f>IF($C160-AH$1&lt;År1,0,AG159*(1-VLOOKUP($A160,[1]Hugst!$R$5:$W$9,MATCH(ROUNDUP((AH$1)/10,0)*10,[1]Hugst!$R$4:$W$4,0))))</f>
        <v>0</v>
      </c>
      <c r="AI160">
        <f>IF($C160-AI$1&lt;År1,0,AH159*(1-VLOOKUP($A160,[1]Hugst!$R$5:$W$9,MATCH(ROUNDUP((AI$1)/10,0)*10,[1]Hugst!$R$4:$W$4,0))))</f>
        <v>0</v>
      </c>
      <c r="AJ160">
        <f>IF($C160-AJ$1&lt;År1,0,AI159*(1-VLOOKUP($A160,[1]Hugst!$R$5:$W$9,MATCH(ROUNDUP((AJ$1)/10,0)*10,[1]Hugst!$R$4:$W$4,0))))</f>
        <v>0</v>
      </c>
    </row>
    <row r="161" spans="1:36" x14ac:dyDescent="0.25">
      <c r="A161" t="s">
        <v>178</v>
      </c>
      <c r="B161" t="s">
        <v>24</v>
      </c>
      <c r="C161">
        <v>2024</v>
      </c>
      <c r="D161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0</v>
      </c>
      <c r="E161">
        <f t="shared" ca="1" si="3"/>
        <v>0</v>
      </c>
      <c r="F161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>
        <f ca="1">IF($C161-G$1&lt;År1,0,F160*(1-VLOOKUP($A161,[1]Hugst!$R$5:$W$9,MATCH(ROUNDUP((G$1)/10,0)*10,[1]Hugst!$R$4:$W$4,0))))</f>
        <v>0</v>
      </c>
      <c r="H161">
        <f ca="1">IF($C161-H$1&lt;År1,0,G160*(1-VLOOKUP($A161,[1]Hugst!$R$5:$W$9,MATCH(ROUNDUP((H$1)/10,0)*10,[1]Hugst!$R$4:$W$4,0))))</f>
        <v>0</v>
      </c>
      <c r="I161">
        <f ca="1">IF($C161-I$1&lt;År1,0,H160*(1-VLOOKUP($A161,[1]Hugst!$R$5:$W$9,MATCH(ROUNDUP((I$1)/10,0)*10,[1]Hugst!$R$4:$W$4,0))))</f>
        <v>0</v>
      </c>
      <c r="J161">
        <f ca="1">IF($C161-J$1&lt;År1,0,I160*(1-VLOOKUP($A161,[1]Hugst!$R$5:$W$9,MATCH(ROUNDUP((J$1)/10,0)*10,[1]Hugst!$R$4:$W$4,0))))</f>
        <v>0</v>
      </c>
      <c r="K161">
        <f>IF($C161-K$1&lt;År1,0,J160*(1-VLOOKUP($A161,[1]Hugst!$R$5:$W$9,MATCH(ROUNDUP((K$1)/10,0)*10,[1]Hugst!$R$4:$W$4,0))))</f>
        <v>0</v>
      </c>
      <c r="L161">
        <f>IF($C161-L$1&lt;År1,0,K160*(1-VLOOKUP($A161,[1]Hugst!$R$5:$W$9,MATCH(ROUNDUP((L$1)/10,0)*10,[1]Hugst!$R$4:$W$4,0))))</f>
        <v>0</v>
      </c>
      <c r="M161">
        <f>IF($C161-M$1&lt;År1,0,L160*(1-VLOOKUP($A161,[1]Hugst!$R$5:$W$9,MATCH(ROUNDUP((M$1)/10,0)*10,[1]Hugst!$R$4:$W$4,0))))</f>
        <v>0</v>
      </c>
      <c r="N161">
        <f>IF($C161-N$1&lt;År1,0,M160*(1-VLOOKUP($A161,[1]Hugst!$R$5:$W$9,MATCH(ROUNDUP((N$1)/10,0)*10,[1]Hugst!$R$4:$W$4,0))))</f>
        <v>0</v>
      </c>
      <c r="O161">
        <f>IF($C161-O$1&lt;År1,0,N160*(1-VLOOKUP($A161,[1]Hugst!$R$5:$W$9,MATCH(ROUNDUP((O$1)/10,0)*10,[1]Hugst!$R$4:$W$4,0))))</f>
        <v>0</v>
      </c>
      <c r="P161">
        <f>IF($C161-P$1&lt;År1,0,O160*(1-VLOOKUP($A161,[1]Hugst!$R$5:$W$9,MATCH(ROUNDUP((P$1)/10,0)*10,[1]Hugst!$R$4:$W$4,0))))</f>
        <v>0</v>
      </c>
      <c r="Q161">
        <f>IF($C161-Q$1&lt;År1,0,P160*(1-VLOOKUP($A161,[1]Hugst!$R$5:$W$9,MATCH(ROUNDUP((Q$1)/10,0)*10,[1]Hugst!$R$4:$W$4,0))))</f>
        <v>0</v>
      </c>
      <c r="R161">
        <f>IF($C161-R$1&lt;År1,0,Q160*(1-VLOOKUP($A161,[1]Hugst!$R$5:$W$9,MATCH(ROUNDUP((R$1)/10,0)*10,[1]Hugst!$R$4:$W$4,0))))</f>
        <v>0</v>
      </c>
      <c r="S161">
        <f>IF($C161-S$1&lt;År1,0,R160*(1-VLOOKUP($A161,[1]Hugst!$R$5:$W$9,MATCH(ROUNDUP((S$1)/10,0)*10,[1]Hugst!$R$4:$W$4,0))))</f>
        <v>0</v>
      </c>
      <c r="T161">
        <f>IF($C161-T$1&lt;År1,0,S160*(1-VLOOKUP($A161,[1]Hugst!$R$5:$W$9,MATCH(ROUNDUP((T$1)/10,0)*10,[1]Hugst!$R$4:$W$4,0))))</f>
        <v>0</v>
      </c>
      <c r="U161">
        <f>IF($C161-U$1&lt;År1,0,T160*(1-VLOOKUP($A161,[1]Hugst!$R$5:$W$9,MATCH(ROUNDUP((U$1)/10,0)*10,[1]Hugst!$R$4:$W$4,0))))</f>
        <v>0</v>
      </c>
      <c r="V161">
        <f>IF($C161-V$1&lt;År1,0,U160*(1-VLOOKUP($A161,[1]Hugst!$R$5:$W$9,MATCH(ROUNDUP((V$1)/10,0)*10,[1]Hugst!$R$4:$W$4,0))))</f>
        <v>0</v>
      </c>
      <c r="W161">
        <f>IF($C161-W$1&lt;År1,0,V160*(1-VLOOKUP($A161,[1]Hugst!$R$5:$W$9,MATCH(ROUNDUP((W$1)/10,0)*10,[1]Hugst!$R$4:$W$4,0))))</f>
        <v>0</v>
      </c>
      <c r="X161">
        <f>IF($C161-X$1&lt;År1,0,W160*(1-VLOOKUP($A161,[1]Hugst!$R$5:$W$9,MATCH(ROUNDUP((X$1)/10,0)*10,[1]Hugst!$R$4:$W$4,0))))</f>
        <v>0</v>
      </c>
      <c r="Y161">
        <f>IF($C161-Y$1&lt;År1,0,X160*(1-VLOOKUP($A161,[1]Hugst!$R$5:$W$9,MATCH(ROUNDUP((Y$1)/10,0)*10,[1]Hugst!$R$4:$W$4,0))))</f>
        <v>0</v>
      </c>
      <c r="Z161">
        <f>IF($C161-Z$1&lt;År1,0,Y160*(1-VLOOKUP($A161,[1]Hugst!$R$5:$W$9,MATCH(ROUNDUP((Z$1)/10,0)*10,[1]Hugst!$R$4:$W$4,0))))</f>
        <v>0</v>
      </c>
      <c r="AA161">
        <f>IF($C161-AA$1&lt;År1,0,Z160*(1-VLOOKUP($A161,[1]Hugst!$R$5:$W$9,MATCH(ROUNDUP((AA$1)/10,0)*10,[1]Hugst!$R$4:$W$4,0))))</f>
        <v>0</v>
      </c>
      <c r="AB161">
        <f>IF($C161-AB$1&lt;År1,0,AA160*(1-VLOOKUP($A161,[1]Hugst!$R$5:$W$9,MATCH(ROUNDUP((AB$1)/10,0)*10,[1]Hugst!$R$4:$W$4,0))))</f>
        <v>0</v>
      </c>
      <c r="AC161">
        <f>IF($C161-AC$1&lt;År1,0,AB160*(1-VLOOKUP($A161,[1]Hugst!$R$5:$W$9,MATCH(ROUNDUP((AC$1)/10,0)*10,[1]Hugst!$R$4:$W$4,0))))</f>
        <v>0</v>
      </c>
      <c r="AD161">
        <f>IF($C161-AD$1&lt;År1,0,AC160*(1-VLOOKUP($A161,[1]Hugst!$R$5:$W$9,MATCH(ROUNDUP((AD$1)/10,0)*10,[1]Hugst!$R$4:$W$4,0))))</f>
        <v>0</v>
      </c>
      <c r="AE161">
        <f>IF($C161-AE$1&lt;År1,0,AD160*(1-VLOOKUP($A161,[1]Hugst!$R$5:$W$9,MATCH(ROUNDUP((AE$1)/10,0)*10,[1]Hugst!$R$4:$W$4,0))))</f>
        <v>0</v>
      </c>
      <c r="AF161">
        <f>IF($C161-AF$1&lt;År1,0,AE160*(1-VLOOKUP($A161,[1]Hugst!$R$5:$W$9,MATCH(ROUNDUP((AF$1)/10,0)*10,[1]Hugst!$R$4:$W$4,0))))</f>
        <v>0</v>
      </c>
      <c r="AG161">
        <f>IF($C161-AG$1&lt;År1,0,AF160*(1-VLOOKUP($A161,[1]Hugst!$R$5:$W$9,MATCH(ROUNDUP((AG$1)/10,0)*10,[1]Hugst!$R$4:$W$4,0))))</f>
        <v>0</v>
      </c>
      <c r="AH161">
        <f>IF($C161-AH$1&lt;År1,0,AG160*(1-VLOOKUP($A161,[1]Hugst!$R$5:$W$9,MATCH(ROUNDUP((AH$1)/10,0)*10,[1]Hugst!$R$4:$W$4,0))))</f>
        <v>0</v>
      </c>
      <c r="AI161">
        <f>IF($C161-AI$1&lt;År1,0,AH160*(1-VLOOKUP($A161,[1]Hugst!$R$5:$W$9,MATCH(ROUNDUP((AI$1)/10,0)*10,[1]Hugst!$R$4:$W$4,0))))</f>
        <v>0</v>
      </c>
      <c r="AJ161">
        <f>IF($C161-AJ$1&lt;År1,0,AI160*(1-VLOOKUP($A161,[1]Hugst!$R$5:$W$9,MATCH(ROUNDUP((AJ$1)/10,0)*10,[1]Hugst!$R$4:$W$4,0))))</f>
        <v>0</v>
      </c>
    </row>
    <row r="162" spans="1:36" x14ac:dyDescent="0.25">
      <c r="A162" t="s">
        <v>178</v>
      </c>
      <c r="B162" t="s">
        <v>24</v>
      </c>
      <c r="C162">
        <v>2025</v>
      </c>
      <c r="D162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0</v>
      </c>
      <c r="E162">
        <f t="shared" ca="1" si="3"/>
        <v>0</v>
      </c>
      <c r="F162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>
        <f ca="1">IF($C162-G$1&lt;År1,0,F161*(1-VLOOKUP($A162,[1]Hugst!$R$5:$W$9,MATCH(ROUNDUP((G$1)/10,0)*10,[1]Hugst!$R$4:$W$4,0))))</f>
        <v>0</v>
      </c>
      <c r="H162">
        <f ca="1">IF($C162-H$1&lt;År1,0,G161*(1-VLOOKUP($A162,[1]Hugst!$R$5:$W$9,MATCH(ROUNDUP((H$1)/10,0)*10,[1]Hugst!$R$4:$W$4,0))))</f>
        <v>0</v>
      </c>
      <c r="I162">
        <f ca="1">IF($C162-I$1&lt;År1,0,H161*(1-VLOOKUP($A162,[1]Hugst!$R$5:$W$9,MATCH(ROUNDUP((I$1)/10,0)*10,[1]Hugst!$R$4:$W$4,0))))</f>
        <v>0</v>
      </c>
      <c r="J162">
        <f ca="1">IF($C162-J$1&lt;År1,0,I161*(1-VLOOKUP($A162,[1]Hugst!$R$5:$W$9,MATCH(ROUNDUP((J$1)/10,0)*10,[1]Hugst!$R$4:$W$4,0))))</f>
        <v>0</v>
      </c>
      <c r="K162">
        <f ca="1">IF($C162-K$1&lt;År1,0,J161*(1-VLOOKUP($A162,[1]Hugst!$R$5:$W$9,MATCH(ROUNDUP((K$1)/10,0)*10,[1]Hugst!$R$4:$W$4,0))))</f>
        <v>0</v>
      </c>
      <c r="L162">
        <f>IF($C162-L$1&lt;År1,0,K161*(1-VLOOKUP($A162,[1]Hugst!$R$5:$W$9,MATCH(ROUNDUP((L$1)/10,0)*10,[1]Hugst!$R$4:$W$4,0))))</f>
        <v>0</v>
      </c>
      <c r="M162">
        <f>IF($C162-M$1&lt;År1,0,L161*(1-VLOOKUP($A162,[1]Hugst!$R$5:$W$9,MATCH(ROUNDUP((M$1)/10,0)*10,[1]Hugst!$R$4:$W$4,0))))</f>
        <v>0</v>
      </c>
      <c r="N162">
        <f>IF($C162-N$1&lt;År1,0,M161*(1-VLOOKUP($A162,[1]Hugst!$R$5:$W$9,MATCH(ROUNDUP((N$1)/10,0)*10,[1]Hugst!$R$4:$W$4,0))))</f>
        <v>0</v>
      </c>
      <c r="O162">
        <f>IF($C162-O$1&lt;År1,0,N161*(1-VLOOKUP($A162,[1]Hugst!$R$5:$W$9,MATCH(ROUNDUP((O$1)/10,0)*10,[1]Hugst!$R$4:$W$4,0))))</f>
        <v>0</v>
      </c>
      <c r="P162">
        <f>IF($C162-P$1&lt;År1,0,O161*(1-VLOOKUP($A162,[1]Hugst!$R$5:$W$9,MATCH(ROUNDUP((P$1)/10,0)*10,[1]Hugst!$R$4:$W$4,0))))</f>
        <v>0</v>
      </c>
      <c r="Q162">
        <f>IF($C162-Q$1&lt;År1,0,P161*(1-VLOOKUP($A162,[1]Hugst!$R$5:$W$9,MATCH(ROUNDUP((Q$1)/10,0)*10,[1]Hugst!$R$4:$W$4,0))))</f>
        <v>0</v>
      </c>
      <c r="R162">
        <f>IF($C162-R$1&lt;År1,0,Q161*(1-VLOOKUP($A162,[1]Hugst!$R$5:$W$9,MATCH(ROUNDUP((R$1)/10,0)*10,[1]Hugst!$R$4:$W$4,0))))</f>
        <v>0</v>
      </c>
      <c r="S162">
        <f>IF($C162-S$1&lt;År1,0,R161*(1-VLOOKUP($A162,[1]Hugst!$R$5:$W$9,MATCH(ROUNDUP((S$1)/10,0)*10,[1]Hugst!$R$4:$W$4,0))))</f>
        <v>0</v>
      </c>
      <c r="T162">
        <f>IF($C162-T$1&lt;År1,0,S161*(1-VLOOKUP($A162,[1]Hugst!$R$5:$W$9,MATCH(ROUNDUP((T$1)/10,0)*10,[1]Hugst!$R$4:$W$4,0))))</f>
        <v>0</v>
      </c>
      <c r="U162">
        <f>IF($C162-U$1&lt;År1,0,T161*(1-VLOOKUP($A162,[1]Hugst!$R$5:$W$9,MATCH(ROUNDUP((U$1)/10,0)*10,[1]Hugst!$R$4:$W$4,0))))</f>
        <v>0</v>
      </c>
      <c r="V162">
        <f>IF($C162-V$1&lt;År1,0,U161*(1-VLOOKUP($A162,[1]Hugst!$R$5:$W$9,MATCH(ROUNDUP((V$1)/10,0)*10,[1]Hugst!$R$4:$W$4,0))))</f>
        <v>0</v>
      </c>
      <c r="W162">
        <f>IF($C162-W$1&lt;År1,0,V161*(1-VLOOKUP($A162,[1]Hugst!$R$5:$W$9,MATCH(ROUNDUP((W$1)/10,0)*10,[1]Hugst!$R$4:$W$4,0))))</f>
        <v>0</v>
      </c>
      <c r="X162">
        <f>IF($C162-X$1&lt;År1,0,W161*(1-VLOOKUP($A162,[1]Hugst!$R$5:$W$9,MATCH(ROUNDUP((X$1)/10,0)*10,[1]Hugst!$R$4:$W$4,0))))</f>
        <v>0</v>
      </c>
      <c r="Y162">
        <f>IF($C162-Y$1&lt;År1,0,X161*(1-VLOOKUP($A162,[1]Hugst!$R$5:$W$9,MATCH(ROUNDUP((Y$1)/10,0)*10,[1]Hugst!$R$4:$W$4,0))))</f>
        <v>0</v>
      </c>
      <c r="Z162">
        <f>IF($C162-Z$1&lt;År1,0,Y161*(1-VLOOKUP($A162,[1]Hugst!$R$5:$W$9,MATCH(ROUNDUP((Z$1)/10,0)*10,[1]Hugst!$R$4:$W$4,0))))</f>
        <v>0</v>
      </c>
      <c r="AA162">
        <f>IF($C162-AA$1&lt;År1,0,Z161*(1-VLOOKUP($A162,[1]Hugst!$R$5:$W$9,MATCH(ROUNDUP((AA$1)/10,0)*10,[1]Hugst!$R$4:$W$4,0))))</f>
        <v>0</v>
      </c>
      <c r="AB162">
        <f>IF($C162-AB$1&lt;År1,0,AA161*(1-VLOOKUP($A162,[1]Hugst!$R$5:$W$9,MATCH(ROUNDUP((AB$1)/10,0)*10,[1]Hugst!$R$4:$W$4,0))))</f>
        <v>0</v>
      </c>
      <c r="AC162">
        <f>IF($C162-AC$1&lt;År1,0,AB161*(1-VLOOKUP($A162,[1]Hugst!$R$5:$W$9,MATCH(ROUNDUP((AC$1)/10,0)*10,[1]Hugst!$R$4:$W$4,0))))</f>
        <v>0</v>
      </c>
      <c r="AD162">
        <f>IF($C162-AD$1&lt;År1,0,AC161*(1-VLOOKUP($A162,[1]Hugst!$R$5:$W$9,MATCH(ROUNDUP((AD$1)/10,0)*10,[1]Hugst!$R$4:$W$4,0))))</f>
        <v>0</v>
      </c>
      <c r="AE162">
        <f>IF($C162-AE$1&lt;År1,0,AD161*(1-VLOOKUP($A162,[1]Hugst!$R$5:$W$9,MATCH(ROUNDUP((AE$1)/10,0)*10,[1]Hugst!$R$4:$W$4,0))))</f>
        <v>0</v>
      </c>
      <c r="AF162">
        <f>IF($C162-AF$1&lt;År1,0,AE161*(1-VLOOKUP($A162,[1]Hugst!$R$5:$W$9,MATCH(ROUNDUP((AF$1)/10,0)*10,[1]Hugst!$R$4:$W$4,0))))</f>
        <v>0</v>
      </c>
      <c r="AG162">
        <f>IF($C162-AG$1&lt;År1,0,AF161*(1-VLOOKUP($A162,[1]Hugst!$R$5:$W$9,MATCH(ROUNDUP((AG$1)/10,0)*10,[1]Hugst!$R$4:$W$4,0))))</f>
        <v>0</v>
      </c>
      <c r="AH162">
        <f>IF($C162-AH$1&lt;År1,0,AG161*(1-VLOOKUP($A162,[1]Hugst!$R$5:$W$9,MATCH(ROUNDUP((AH$1)/10,0)*10,[1]Hugst!$R$4:$W$4,0))))</f>
        <v>0</v>
      </c>
      <c r="AI162">
        <f>IF($C162-AI$1&lt;År1,0,AH161*(1-VLOOKUP($A162,[1]Hugst!$R$5:$W$9,MATCH(ROUNDUP((AI$1)/10,0)*10,[1]Hugst!$R$4:$W$4,0))))</f>
        <v>0</v>
      </c>
      <c r="AJ162">
        <f>IF($C162-AJ$1&lt;År1,0,AI161*(1-VLOOKUP($A162,[1]Hugst!$R$5:$W$9,MATCH(ROUNDUP((AJ$1)/10,0)*10,[1]Hugst!$R$4:$W$4,0))))</f>
        <v>0</v>
      </c>
    </row>
    <row r="163" spans="1:36" x14ac:dyDescent="0.25">
      <c r="A163" t="s">
        <v>178</v>
      </c>
      <c r="B163" t="s">
        <v>24</v>
      </c>
      <c r="C163">
        <v>2026</v>
      </c>
      <c r="D163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0</v>
      </c>
      <c r="E163">
        <f t="shared" ca="1" si="3"/>
        <v>0</v>
      </c>
      <c r="F163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>
        <f ca="1">IF($C163-G$1&lt;År1,0,F162*(1-VLOOKUP($A163,[1]Hugst!$R$5:$W$9,MATCH(ROUNDUP((G$1)/10,0)*10,[1]Hugst!$R$4:$W$4,0))))</f>
        <v>0</v>
      </c>
      <c r="H163">
        <f ca="1">IF($C163-H$1&lt;År1,0,G162*(1-VLOOKUP($A163,[1]Hugst!$R$5:$W$9,MATCH(ROUNDUP((H$1)/10,0)*10,[1]Hugst!$R$4:$W$4,0))))</f>
        <v>0</v>
      </c>
      <c r="I163">
        <f ca="1">IF($C163-I$1&lt;År1,0,H162*(1-VLOOKUP($A163,[1]Hugst!$R$5:$W$9,MATCH(ROUNDUP((I$1)/10,0)*10,[1]Hugst!$R$4:$W$4,0))))</f>
        <v>0</v>
      </c>
      <c r="J163">
        <f ca="1">IF($C163-J$1&lt;År1,0,I162*(1-VLOOKUP($A163,[1]Hugst!$R$5:$W$9,MATCH(ROUNDUP((J$1)/10,0)*10,[1]Hugst!$R$4:$W$4,0))))</f>
        <v>0</v>
      </c>
      <c r="K163">
        <f ca="1">IF($C163-K$1&lt;År1,0,J162*(1-VLOOKUP($A163,[1]Hugst!$R$5:$W$9,MATCH(ROUNDUP((K$1)/10,0)*10,[1]Hugst!$R$4:$W$4,0))))</f>
        <v>0</v>
      </c>
      <c r="L163">
        <f ca="1">IF($C163-L$1&lt;År1,0,K162*(1-VLOOKUP($A163,[1]Hugst!$R$5:$W$9,MATCH(ROUNDUP((L$1)/10,0)*10,[1]Hugst!$R$4:$W$4,0))))</f>
        <v>0</v>
      </c>
      <c r="M163">
        <f>IF($C163-M$1&lt;År1,0,L162*(1-VLOOKUP($A163,[1]Hugst!$R$5:$W$9,MATCH(ROUNDUP((M$1)/10,0)*10,[1]Hugst!$R$4:$W$4,0))))</f>
        <v>0</v>
      </c>
      <c r="N163">
        <f>IF($C163-N$1&lt;År1,0,M162*(1-VLOOKUP($A163,[1]Hugst!$R$5:$W$9,MATCH(ROUNDUP((N$1)/10,0)*10,[1]Hugst!$R$4:$W$4,0))))</f>
        <v>0</v>
      </c>
      <c r="O163">
        <f>IF($C163-O$1&lt;År1,0,N162*(1-VLOOKUP($A163,[1]Hugst!$R$5:$W$9,MATCH(ROUNDUP((O$1)/10,0)*10,[1]Hugst!$R$4:$W$4,0))))</f>
        <v>0</v>
      </c>
      <c r="P163">
        <f>IF($C163-P$1&lt;År1,0,O162*(1-VLOOKUP($A163,[1]Hugst!$R$5:$W$9,MATCH(ROUNDUP((P$1)/10,0)*10,[1]Hugst!$R$4:$W$4,0))))</f>
        <v>0</v>
      </c>
      <c r="Q163">
        <f>IF($C163-Q$1&lt;År1,0,P162*(1-VLOOKUP($A163,[1]Hugst!$R$5:$W$9,MATCH(ROUNDUP((Q$1)/10,0)*10,[1]Hugst!$R$4:$W$4,0))))</f>
        <v>0</v>
      </c>
      <c r="R163">
        <f>IF($C163-R$1&lt;År1,0,Q162*(1-VLOOKUP($A163,[1]Hugst!$R$5:$W$9,MATCH(ROUNDUP((R$1)/10,0)*10,[1]Hugst!$R$4:$W$4,0))))</f>
        <v>0</v>
      </c>
      <c r="S163">
        <f>IF($C163-S$1&lt;År1,0,R162*(1-VLOOKUP($A163,[1]Hugst!$R$5:$W$9,MATCH(ROUNDUP((S$1)/10,0)*10,[1]Hugst!$R$4:$W$4,0))))</f>
        <v>0</v>
      </c>
      <c r="T163">
        <f>IF($C163-T$1&lt;År1,0,S162*(1-VLOOKUP($A163,[1]Hugst!$R$5:$W$9,MATCH(ROUNDUP((T$1)/10,0)*10,[1]Hugst!$R$4:$W$4,0))))</f>
        <v>0</v>
      </c>
      <c r="U163">
        <f>IF($C163-U$1&lt;År1,0,T162*(1-VLOOKUP($A163,[1]Hugst!$R$5:$W$9,MATCH(ROUNDUP((U$1)/10,0)*10,[1]Hugst!$R$4:$W$4,0))))</f>
        <v>0</v>
      </c>
      <c r="V163">
        <f>IF($C163-V$1&lt;År1,0,U162*(1-VLOOKUP($A163,[1]Hugst!$R$5:$W$9,MATCH(ROUNDUP((V$1)/10,0)*10,[1]Hugst!$R$4:$W$4,0))))</f>
        <v>0</v>
      </c>
      <c r="W163">
        <f>IF($C163-W$1&lt;År1,0,V162*(1-VLOOKUP($A163,[1]Hugst!$R$5:$W$9,MATCH(ROUNDUP((W$1)/10,0)*10,[1]Hugst!$R$4:$W$4,0))))</f>
        <v>0</v>
      </c>
      <c r="X163">
        <f>IF($C163-X$1&lt;År1,0,W162*(1-VLOOKUP($A163,[1]Hugst!$R$5:$W$9,MATCH(ROUNDUP((X$1)/10,0)*10,[1]Hugst!$R$4:$W$4,0))))</f>
        <v>0</v>
      </c>
      <c r="Y163">
        <f>IF($C163-Y$1&lt;År1,0,X162*(1-VLOOKUP($A163,[1]Hugst!$R$5:$W$9,MATCH(ROUNDUP((Y$1)/10,0)*10,[1]Hugst!$R$4:$W$4,0))))</f>
        <v>0</v>
      </c>
      <c r="Z163">
        <f>IF($C163-Z$1&lt;År1,0,Y162*(1-VLOOKUP($A163,[1]Hugst!$R$5:$W$9,MATCH(ROUNDUP((Z$1)/10,0)*10,[1]Hugst!$R$4:$W$4,0))))</f>
        <v>0</v>
      </c>
      <c r="AA163">
        <f>IF($C163-AA$1&lt;År1,0,Z162*(1-VLOOKUP($A163,[1]Hugst!$R$5:$W$9,MATCH(ROUNDUP((AA$1)/10,0)*10,[1]Hugst!$R$4:$W$4,0))))</f>
        <v>0</v>
      </c>
      <c r="AB163">
        <f>IF($C163-AB$1&lt;År1,0,AA162*(1-VLOOKUP($A163,[1]Hugst!$R$5:$W$9,MATCH(ROUNDUP((AB$1)/10,0)*10,[1]Hugst!$R$4:$W$4,0))))</f>
        <v>0</v>
      </c>
      <c r="AC163">
        <f>IF($C163-AC$1&lt;År1,0,AB162*(1-VLOOKUP($A163,[1]Hugst!$R$5:$W$9,MATCH(ROUNDUP((AC$1)/10,0)*10,[1]Hugst!$R$4:$W$4,0))))</f>
        <v>0</v>
      </c>
      <c r="AD163">
        <f>IF($C163-AD$1&lt;År1,0,AC162*(1-VLOOKUP($A163,[1]Hugst!$R$5:$W$9,MATCH(ROUNDUP((AD$1)/10,0)*10,[1]Hugst!$R$4:$W$4,0))))</f>
        <v>0</v>
      </c>
      <c r="AE163">
        <f>IF($C163-AE$1&lt;År1,0,AD162*(1-VLOOKUP($A163,[1]Hugst!$R$5:$W$9,MATCH(ROUNDUP((AE$1)/10,0)*10,[1]Hugst!$R$4:$W$4,0))))</f>
        <v>0</v>
      </c>
      <c r="AF163">
        <f>IF($C163-AF$1&lt;År1,0,AE162*(1-VLOOKUP($A163,[1]Hugst!$R$5:$W$9,MATCH(ROUNDUP((AF$1)/10,0)*10,[1]Hugst!$R$4:$W$4,0))))</f>
        <v>0</v>
      </c>
      <c r="AG163">
        <f>IF($C163-AG$1&lt;År1,0,AF162*(1-VLOOKUP($A163,[1]Hugst!$R$5:$W$9,MATCH(ROUNDUP((AG$1)/10,0)*10,[1]Hugst!$R$4:$W$4,0))))</f>
        <v>0</v>
      </c>
      <c r="AH163">
        <f>IF($C163-AH$1&lt;År1,0,AG162*(1-VLOOKUP($A163,[1]Hugst!$R$5:$W$9,MATCH(ROUNDUP((AH$1)/10,0)*10,[1]Hugst!$R$4:$W$4,0))))</f>
        <v>0</v>
      </c>
      <c r="AI163">
        <f>IF($C163-AI$1&lt;År1,0,AH162*(1-VLOOKUP($A163,[1]Hugst!$R$5:$W$9,MATCH(ROUNDUP((AI$1)/10,0)*10,[1]Hugst!$R$4:$W$4,0))))</f>
        <v>0</v>
      </c>
      <c r="AJ163">
        <f>IF($C163-AJ$1&lt;År1,0,AI162*(1-VLOOKUP($A163,[1]Hugst!$R$5:$W$9,MATCH(ROUNDUP((AJ$1)/10,0)*10,[1]Hugst!$R$4:$W$4,0))))</f>
        <v>0</v>
      </c>
    </row>
    <row r="164" spans="1:36" x14ac:dyDescent="0.25">
      <c r="A164" t="s">
        <v>178</v>
      </c>
      <c r="B164" t="s">
        <v>24</v>
      </c>
      <c r="C164">
        <v>2027</v>
      </c>
      <c r="D164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0</v>
      </c>
      <c r="E164">
        <f t="shared" ca="1" si="3"/>
        <v>0</v>
      </c>
      <c r="F164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>
        <f ca="1">IF($C164-G$1&lt;År1,0,F163*(1-VLOOKUP($A164,[1]Hugst!$R$5:$W$9,MATCH(ROUNDUP((G$1)/10,0)*10,[1]Hugst!$R$4:$W$4,0))))</f>
        <v>0</v>
      </c>
      <c r="H164">
        <f ca="1">IF($C164-H$1&lt;År1,0,G163*(1-VLOOKUP($A164,[1]Hugst!$R$5:$W$9,MATCH(ROUNDUP((H$1)/10,0)*10,[1]Hugst!$R$4:$W$4,0))))</f>
        <v>0</v>
      </c>
      <c r="I164">
        <f ca="1">IF($C164-I$1&lt;År1,0,H163*(1-VLOOKUP($A164,[1]Hugst!$R$5:$W$9,MATCH(ROUNDUP((I$1)/10,0)*10,[1]Hugst!$R$4:$W$4,0))))</f>
        <v>0</v>
      </c>
      <c r="J164">
        <f ca="1">IF($C164-J$1&lt;År1,0,I163*(1-VLOOKUP($A164,[1]Hugst!$R$5:$W$9,MATCH(ROUNDUP((J$1)/10,0)*10,[1]Hugst!$R$4:$W$4,0))))</f>
        <v>0</v>
      </c>
      <c r="K164">
        <f ca="1">IF($C164-K$1&lt;År1,0,J163*(1-VLOOKUP($A164,[1]Hugst!$R$5:$W$9,MATCH(ROUNDUP((K$1)/10,0)*10,[1]Hugst!$R$4:$W$4,0))))</f>
        <v>0</v>
      </c>
      <c r="L164">
        <f ca="1">IF($C164-L$1&lt;År1,0,K163*(1-VLOOKUP($A164,[1]Hugst!$R$5:$W$9,MATCH(ROUNDUP((L$1)/10,0)*10,[1]Hugst!$R$4:$W$4,0))))</f>
        <v>0</v>
      </c>
      <c r="M164">
        <f ca="1">IF($C164-M$1&lt;År1,0,L163*(1-VLOOKUP($A164,[1]Hugst!$R$5:$W$9,MATCH(ROUNDUP((M$1)/10,0)*10,[1]Hugst!$R$4:$W$4,0))))</f>
        <v>0</v>
      </c>
      <c r="N164">
        <f>IF($C164-N$1&lt;År1,0,M163*(1-VLOOKUP($A164,[1]Hugst!$R$5:$W$9,MATCH(ROUNDUP((N$1)/10,0)*10,[1]Hugst!$R$4:$W$4,0))))</f>
        <v>0</v>
      </c>
      <c r="O164">
        <f>IF($C164-O$1&lt;År1,0,N163*(1-VLOOKUP($A164,[1]Hugst!$R$5:$W$9,MATCH(ROUNDUP((O$1)/10,0)*10,[1]Hugst!$R$4:$W$4,0))))</f>
        <v>0</v>
      </c>
      <c r="P164">
        <f>IF($C164-P$1&lt;År1,0,O163*(1-VLOOKUP($A164,[1]Hugst!$R$5:$W$9,MATCH(ROUNDUP((P$1)/10,0)*10,[1]Hugst!$R$4:$W$4,0))))</f>
        <v>0</v>
      </c>
      <c r="Q164">
        <f>IF($C164-Q$1&lt;År1,0,P163*(1-VLOOKUP($A164,[1]Hugst!$R$5:$W$9,MATCH(ROUNDUP((Q$1)/10,0)*10,[1]Hugst!$R$4:$W$4,0))))</f>
        <v>0</v>
      </c>
      <c r="R164">
        <f>IF($C164-R$1&lt;År1,0,Q163*(1-VLOOKUP($A164,[1]Hugst!$R$5:$W$9,MATCH(ROUNDUP((R$1)/10,0)*10,[1]Hugst!$R$4:$W$4,0))))</f>
        <v>0</v>
      </c>
      <c r="S164">
        <f>IF($C164-S$1&lt;År1,0,R163*(1-VLOOKUP($A164,[1]Hugst!$R$5:$W$9,MATCH(ROUNDUP((S$1)/10,0)*10,[1]Hugst!$R$4:$W$4,0))))</f>
        <v>0</v>
      </c>
      <c r="T164">
        <f>IF($C164-T$1&lt;År1,0,S163*(1-VLOOKUP($A164,[1]Hugst!$R$5:$W$9,MATCH(ROUNDUP((T$1)/10,0)*10,[1]Hugst!$R$4:$W$4,0))))</f>
        <v>0</v>
      </c>
      <c r="U164">
        <f>IF($C164-U$1&lt;År1,0,T163*(1-VLOOKUP($A164,[1]Hugst!$R$5:$W$9,MATCH(ROUNDUP((U$1)/10,0)*10,[1]Hugst!$R$4:$W$4,0))))</f>
        <v>0</v>
      </c>
      <c r="V164">
        <f>IF($C164-V$1&lt;År1,0,U163*(1-VLOOKUP($A164,[1]Hugst!$R$5:$W$9,MATCH(ROUNDUP((V$1)/10,0)*10,[1]Hugst!$R$4:$W$4,0))))</f>
        <v>0</v>
      </c>
      <c r="W164">
        <f>IF($C164-W$1&lt;År1,0,V163*(1-VLOOKUP($A164,[1]Hugst!$R$5:$W$9,MATCH(ROUNDUP((W$1)/10,0)*10,[1]Hugst!$R$4:$W$4,0))))</f>
        <v>0</v>
      </c>
      <c r="X164">
        <f>IF($C164-X$1&lt;År1,0,W163*(1-VLOOKUP($A164,[1]Hugst!$R$5:$W$9,MATCH(ROUNDUP((X$1)/10,0)*10,[1]Hugst!$R$4:$W$4,0))))</f>
        <v>0</v>
      </c>
      <c r="Y164">
        <f>IF($C164-Y$1&lt;År1,0,X163*(1-VLOOKUP($A164,[1]Hugst!$R$5:$W$9,MATCH(ROUNDUP((Y$1)/10,0)*10,[1]Hugst!$R$4:$W$4,0))))</f>
        <v>0</v>
      </c>
      <c r="Z164">
        <f>IF($C164-Z$1&lt;År1,0,Y163*(1-VLOOKUP($A164,[1]Hugst!$R$5:$W$9,MATCH(ROUNDUP((Z$1)/10,0)*10,[1]Hugst!$R$4:$W$4,0))))</f>
        <v>0</v>
      </c>
      <c r="AA164">
        <f>IF($C164-AA$1&lt;År1,0,Z163*(1-VLOOKUP($A164,[1]Hugst!$R$5:$W$9,MATCH(ROUNDUP((AA$1)/10,0)*10,[1]Hugst!$R$4:$W$4,0))))</f>
        <v>0</v>
      </c>
      <c r="AB164">
        <f>IF($C164-AB$1&lt;År1,0,AA163*(1-VLOOKUP($A164,[1]Hugst!$R$5:$W$9,MATCH(ROUNDUP((AB$1)/10,0)*10,[1]Hugst!$R$4:$W$4,0))))</f>
        <v>0</v>
      </c>
      <c r="AC164">
        <f>IF($C164-AC$1&lt;År1,0,AB163*(1-VLOOKUP($A164,[1]Hugst!$R$5:$W$9,MATCH(ROUNDUP((AC$1)/10,0)*10,[1]Hugst!$R$4:$W$4,0))))</f>
        <v>0</v>
      </c>
      <c r="AD164">
        <f>IF($C164-AD$1&lt;År1,0,AC163*(1-VLOOKUP($A164,[1]Hugst!$R$5:$W$9,MATCH(ROUNDUP((AD$1)/10,0)*10,[1]Hugst!$R$4:$W$4,0))))</f>
        <v>0</v>
      </c>
      <c r="AE164">
        <f>IF($C164-AE$1&lt;År1,0,AD163*(1-VLOOKUP($A164,[1]Hugst!$R$5:$W$9,MATCH(ROUNDUP((AE$1)/10,0)*10,[1]Hugst!$R$4:$W$4,0))))</f>
        <v>0</v>
      </c>
      <c r="AF164">
        <f>IF($C164-AF$1&lt;År1,0,AE163*(1-VLOOKUP($A164,[1]Hugst!$R$5:$W$9,MATCH(ROUNDUP((AF$1)/10,0)*10,[1]Hugst!$R$4:$W$4,0))))</f>
        <v>0</v>
      </c>
      <c r="AG164">
        <f>IF($C164-AG$1&lt;År1,0,AF163*(1-VLOOKUP($A164,[1]Hugst!$R$5:$W$9,MATCH(ROUNDUP((AG$1)/10,0)*10,[1]Hugst!$R$4:$W$4,0))))</f>
        <v>0</v>
      </c>
      <c r="AH164">
        <f>IF($C164-AH$1&lt;År1,0,AG163*(1-VLOOKUP($A164,[1]Hugst!$R$5:$W$9,MATCH(ROUNDUP((AH$1)/10,0)*10,[1]Hugst!$R$4:$W$4,0))))</f>
        <v>0</v>
      </c>
      <c r="AI164">
        <f>IF($C164-AI$1&lt;År1,0,AH163*(1-VLOOKUP($A164,[1]Hugst!$R$5:$W$9,MATCH(ROUNDUP((AI$1)/10,0)*10,[1]Hugst!$R$4:$W$4,0))))</f>
        <v>0</v>
      </c>
      <c r="AJ164">
        <f>IF($C164-AJ$1&lt;År1,0,AI163*(1-VLOOKUP($A164,[1]Hugst!$R$5:$W$9,MATCH(ROUNDUP((AJ$1)/10,0)*10,[1]Hugst!$R$4:$W$4,0))))</f>
        <v>0</v>
      </c>
    </row>
    <row r="165" spans="1:36" x14ac:dyDescent="0.25">
      <c r="A165" t="s">
        <v>178</v>
      </c>
      <c r="B165" t="s">
        <v>24</v>
      </c>
      <c r="C165">
        <v>2028</v>
      </c>
      <c r="D165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0</v>
      </c>
      <c r="E165">
        <f t="shared" ca="1" si="3"/>
        <v>0</v>
      </c>
      <c r="F165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>
        <f ca="1">IF($C165-G$1&lt;År1,0,F164*(1-VLOOKUP($A165,[1]Hugst!$R$5:$W$9,MATCH(ROUNDUP((G$1)/10,0)*10,[1]Hugst!$R$4:$W$4,0))))</f>
        <v>0</v>
      </c>
      <c r="H165">
        <f ca="1">IF($C165-H$1&lt;År1,0,G164*(1-VLOOKUP($A165,[1]Hugst!$R$5:$W$9,MATCH(ROUNDUP((H$1)/10,0)*10,[1]Hugst!$R$4:$W$4,0))))</f>
        <v>0</v>
      </c>
      <c r="I165">
        <f ca="1">IF($C165-I$1&lt;År1,0,H164*(1-VLOOKUP($A165,[1]Hugst!$R$5:$W$9,MATCH(ROUNDUP((I$1)/10,0)*10,[1]Hugst!$R$4:$W$4,0))))</f>
        <v>0</v>
      </c>
      <c r="J165">
        <f ca="1">IF($C165-J$1&lt;År1,0,I164*(1-VLOOKUP($A165,[1]Hugst!$R$5:$W$9,MATCH(ROUNDUP((J$1)/10,0)*10,[1]Hugst!$R$4:$W$4,0))))</f>
        <v>0</v>
      </c>
      <c r="K165">
        <f ca="1">IF($C165-K$1&lt;År1,0,J164*(1-VLOOKUP($A165,[1]Hugst!$R$5:$W$9,MATCH(ROUNDUP((K$1)/10,0)*10,[1]Hugst!$R$4:$W$4,0))))</f>
        <v>0</v>
      </c>
      <c r="L165">
        <f ca="1">IF($C165-L$1&lt;År1,0,K164*(1-VLOOKUP($A165,[1]Hugst!$R$5:$W$9,MATCH(ROUNDUP((L$1)/10,0)*10,[1]Hugst!$R$4:$W$4,0))))</f>
        <v>0</v>
      </c>
      <c r="M165">
        <f ca="1">IF($C165-M$1&lt;År1,0,L164*(1-VLOOKUP($A165,[1]Hugst!$R$5:$W$9,MATCH(ROUNDUP((M$1)/10,0)*10,[1]Hugst!$R$4:$W$4,0))))</f>
        <v>0</v>
      </c>
      <c r="N165">
        <f ca="1">IF($C165-N$1&lt;År1,0,M164*(1-VLOOKUP($A165,[1]Hugst!$R$5:$W$9,MATCH(ROUNDUP((N$1)/10,0)*10,[1]Hugst!$R$4:$W$4,0))))</f>
        <v>0</v>
      </c>
      <c r="O165">
        <f>IF($C165-O$1&lt;År1,0,N164*(1-VLOOKUP($A165,[1]Hugst!$R$5:$W$9,MATCH(ROUNDUP((O$1)/10,0)*10,[1]Hugst!$R$4:$W$4,0))))</f>
        <v>0</v>
      </c>
      <c r="P165">
        <f>IF($C165-P$1&lt;År1,0,O164*(1-VLOOKUP($A165,[1]Hugst!$R$5:$W$9,MATCH(ROUNDUP((P$1)/10,0)*10,[1]Hugst!$R$4:$W$4,0))))</f>
        <v>0</v>
      </c>
      <c r="Q165">
        <f>IF($C165-Q$1&lt;År1,0,P164*(1-VLOOKUP($A165,[1]Hugst!$R$5:$W$9,MATCH(ROUNDUP((Q$1)/10,0)*10,[1]Hugst!$R$4:$W$4,0))))</f>
        <v>0</v>
      </c>
      <c r="R165">
        <f>IF($C165-R$1&lt;År1,0,Q164*(1-VLOOKUP($A165,[1]Hugst!$R$5:$W$9,MATCH(ROUNDUP((R$1)/10,0)*10,[1]Hugst!$R$4:$W$4,0))))</f>
        <v>0</v>
      </c>
      <c r="S165">
        <f>IF($C165-S$1&lt;År1,0,R164*(1-VLOOKUP($A165,[1]Hugst!$R$5:$W$9,MATCH(ROUNDUP((S$1)/10,0)*10,[1]Hugst!$R$4:$W$4,0))))</f>
        <v>0</v>
      </c>
      <c r="T165">
        <f>IF($C165-T$1&lt;År1,0,S164*(1-VLOOKUP($A165,[1]Hugst!$R$5:$W$9,MATCH(ROUNDUP((T$1)/10,0)*10,[1]Hugst!$R$4:$W$4,0))))</f>
        <v>0</v>
      </c>
      <c r="U165">
        <f>IF($C165-U$1&lt;År1,0,T164*(1-VLOOKUP($A165,[1]Hugst!$R$5:$W$9,MATCH(ROUNDUP((U$1)/10,0)*10,[1]Hugst!$R$4:$W$4,0))))</f>
        <v>0</v>
      </c>
      <c r="V165">
        <f>IF($C165-V$1&lt;År1,0,U164*(1-VLOOKUP($A165,[1]Hugst!$R$5:$W$9,MATCH(ROUNDUP((V$1)/10,0)*10,[1]Hugst!$R$4:$W$4,0))))</f>
        <v>0</v>
      </c>
      <c r="W165">
        <f>IF($C165-W$1&lt;År1,0,V164*(1-VLOOKUP($A165,[1]Hugst!$R$5:$W$9,MATCH(ROUNDUP((W$1)/10,0)*10,[1]Hugst!$R$4:$W$4,0))))</f>
        <v>0</v>
      </c>
      <c r="X165">
        <f>IF($C165-X$1&lt;År1,0,W164*(1-VLOOKUP($A165,[1]Hugst!$R$5:$W$9,MATCH(ROUNDUP((X$1)/10,0)*10,[1]Hugst!$R$4:$W$4,0))))</f>
        <v>0</v>
      </c>
      <c r="Y165">
        <f>IF($C165-Y$1&lt;År1,0,X164*(1-VLOOKUP($A165,[1]Hugst!$R$5:$W$9,MATCH(ROUNDUP((Y$1)/10,0)*10,[1]Hugst!$R$4:$W$4,0))))</f>
        <v>0</v>
      </c>
      <c r="Z165">
        <f>IF($C165-Z$1&lt;År1,0,Y164*(1-VLOOKUP($A165,[1]Hugst!$R$5:$W$9,MATCH(ROUNDUP((Z$1)/10,0)*10,[1]Hugst!$R$4:$W$4,0))))</f>
        <v>0</v>
      </c>
      <c r="AA165">
        <f>IF($C165-AA$1&lt;År1,0,Z164*(1-VLOOKUP($A165,[1]Hugst!$R$5:$W$9,MATCH(ROUNDUP((AA$1)/10,0)*10,[1]Hugst!$R$4:$W$4,0))))</f>
        <v>0</v>
      </c>
      <c r="AB165">
        <f>IF($C165-AB$1&lt;År1,0,AA164*(1-VLOOKUP($A165,[1]Hugst!$R$5:$W$9,MATCH(ROUNDUP((AB$1)/10,0)*10,[1]Hugst!$R$4:$W$4,0))))</f>
        <v>0</v>
      </c>
      <c r="AC165">
        <f>IF($C165-AC$1&lt;År1,0,AB164*(1-VLOOKUP($A165,[1]Hugst!$R$5:$W$9,MATCH(ROUNDUP((AC$1)/10,0)*10,[1]Hugst!$R$4:$W$4,0))))</f>
        <v>0</v>
      </c>
      <c r="AD165">
        <f>IF($C165-AD$1&lt;År1,0,AC164*(1-VLOOKUP($A165,[1]Hugst!$R$5:$W$9,MATCH(ROUNDUP((AD$1)/10,0)*10,[1]Hugst!$R$4:$W$4,0))))</f>
        <v>0</v>
      </c>
      <c r="AE165">
        <f>IF($C165-AE$1&lt;År1,0,AD164*(1-VLOOKUP($A165,[1]Hugst!$R$5:$W$9,MATCH(ROUNDUP((AE$1)/10,0)*10,[1]Hugst!$R$4:$W$4,0))))</f>
        <v>0</v>
      </c>
      <c r="AF165">
        <f>IF($C165-AF$1&lt;År1,0,AE164*(1-VLOOKUP($A165,[1]Hugst!$R$5:$W$9,MATCH(ROUNDUP((AF$1)/10,0)*10,[1]Hugst!$R$4:$W$4,0))))</f>
        <v>0</v>
      </c>
      <c r="AG165">
        <f>IF($C165-AG$1&lt;År1,0,AF164*(1-VLOOKUP($A165,[1]Hugst!$R$5:$W$9,MATCH(ROUNDUP((AG$1)/10,0)*10,[1]Hugst!$R$4:$W$4,0))))</f>
        <v>0</v>
      </c>
      <c r="AH165">
        <f>IF($C165-AH$1&lt;År1,0,AG164*(1-VLOOKUP($A165,[1]Hugst!$R$5:$W$9,MATCH(ROUNDUP((AH$1)/10,0)*10,[1]Hugst!$R$4:$W$4,0))))</f>
        <v>0</v>
      </c>
      <c r="AI165">
        <f>IF($C165-AI$1&lt;År1,0,AH164*(1-VLOOKUP($A165,[1]Hugst!$R$5:$W$9,MATCH(ROUNDUP((AI$1)/10,0)*10,[1]Hugst!$R$4:$W$4,0))))</f>
        <v>0</v>
      </c>
      <c r="AJ165">
        <f>IF($C165-AJ$1&lt;År1,0,AI164*(1-VLOOKUP($A165,[1]Hugst!$R$5:$W$9,MATCH(ROUNDUP((AJ$1)/10,0)*10,[1]Hugst!$R$4:$W$4,0))))</f>
        <v>0</v>
      </c>
    </row>
    <row r="166" spans="1:36" x14ac:dyDescent="0.25">
      <c r="A166" t="s">
        <v>178</v>
      </c>
      <c r="B166" t="s">
        <v>24</v>
      </c>
      <c r="C166">
        <v>2029</v>
      </c>
      <c r="D166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0</v>
      </c>
      <c r="E166">
        <f t="shared" ca="1" si="3"/>
        <v>0</v>
      </c>
      <c r="F166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>
        <f ca="1">IF($C166-G$1&lt;År1,0,F165*(1-VLOOKUP($A166,[1]Hugst!$R$5:$W$9,MATCH(ROUNDUP((G$1)/10,0)*10,[1]Hugst!$R$4:$W$4,0))))</f>
        <v>0</v>
      </c>
      <c r="H166">
        <f ca="1">IF($C166-H$1&lt;År1,0,G165*(1-VLOOKUP($A166,[1]Hugst!$R$5:$W$9,MATCH(ROUNDUP((H$1)/10,0)*10,[1]Hugst!$R$4:$W$4,0))))</f>
        <v>0</v>
      </c>
      <c r="I166">
        <f ca="1">IF($C166-I$1&lt;År1,0,H165*(1-VLOOKUP($A166,[1]Hugst!$R$5:$W$9,MATCH(ROUNDUP((I$1)/10,0)*10,[1]Hugst!$R$4:$W$4,0))))</f>
        <v>0</v>
      </c>
      <c r="J166">
        <f ca="1">IF($C166-J$1&lt;År1,0,I165*(1-VLOOKUP($A166,[1]Hugst!$R$5:$W$9,MATCH(ROUNDUP((J$1)/10,0)*10,[1]Hugst!$R$4:$W$4,0))))</f>
        <v>0</v>
      </c>
      <c r="K166">
        <f ca="1">IF($C166-K$1&lt;År1,0,J165*(1-VLOOKUP($A166,[1]Hugst!$R$5:$W$9,MATCH(ROUNDUP((K$1)/10,0)*10,[1]Hugst!$R$4:$W$4,0))))</f>
        <v>0</v>
      </c>
      <c r="L166">
        <f ca="1">IF($C166-L$1&lt;År1,0,K165*(1-VLOOKUP($A166,[1]Hugst!$R$5:$W$9,MATCH(ROUNDUP((L$1)/10,0)*10,[1]Hugst!$R$4:$W$4,0))))</f>
        <v>0</v>
      </c>
      <c r="M166">
        <f ca="1">IF($C166-M$1&lt;År1,0,L165*(1-VLOOKUP($A166,[1]Hugst!$R$5:$W$9,MATCH(ROUNDUP((M$1)/10,0)*10,[1]Hugst!$R$4:$W$4,0))))</f>
        <v>0</v>
      </c>
      <c r="N166">
        <f ca="1">IF($C166-N$1&lt;År1,0,M165*(1-VLOOKUP($A166,[1]Hugst!$R$5:$W$9,MATCH(ROUNDUP((N$1)/10,0)*10,[1]Hugst!$R$4:$W$4,0))))</f>
        <v>0</v>
      </c>
      <c r="O166">
        <f ca="1">IF($C166-O$1&lt;År1,0,N165*(1-VLOOKUP($A166,[1]Hugst!$R$5:$W$9,MATCH(ROUNDUP((O$1)/10,0)*10,[1]Hugst!$R$4:$W$4,0))))</f>
        <v>0</v>
      </c>
      <c r="P166">
        <f>IF($C166-P$1&lt;År1,0,O165*(1-VLOOKUP($A166,[1]Hugst!$R$5:$W$9,MATCH(ROUNDUP((P$1)/10,0)*10,[1]Hugst!$R$4:$W$4,0))))</f>
        <v>0</v>
      </c>
      <c r="Q166">
        <f>IF($C166-Q$1&lt;År1,0,P165*(1-VLOOKUP($A166,[1]Hugst!$R$5:$W$9,MATCH(ROUNDUP((Q$1)/10,0)*10,[1]Hugst!$R$4:$W$4,0))))</f>
        <v>0</v>
      </c>
      <c r="R166">
        <f>IF($C166-R$1&lt;År1,0,Q165*(1-VLOOKUP($A166,[1]Hugst!$R$5:$W$9,MATCH(ROUNDUP((R$1)/10,0)*10,[1]Hugst!$R$4:$W$4,0))))</f>
        <v>0</v>
      </c>
      <c r="S166">
        <f>IF($C166-S$1&lt;År1,0,R165*(1-VLOOKUP($A166,[1]Hugst!$R$5:$W$9,MATCH(ROUNDUP((S$1)/10,0)*10,[1]Hugst!$R$4:$W$4,0))))</f>
        <v>0</v>
      </c>
      <c r="T166">
        <f>IF($C166-T$1&lt;År1,0,S165*(1-VLOOKUP($A166,[1]Hugst!$R$5:$W$9,MATCH(ROUNDUP((T$1)/10,0)*10,[1]Hugst!$R$4:$W$4,0))))</f>
        <v>0</v>
      </c>
      <c r="U166">
        <f>IF($C166-U$1&lt;År1,0,T165*(1-VLOOKUP($A166,[1]Hugst!$R$5:$W$9,MATCH(ROUNDUP((U$1)/10,0)*10,[1]Hugst!$R$4:$W$4,0))))</f>
        <v>0</v>
      </c>
      <c r="V166">
        <f>IF($C166-V$1&lt;År1,0,U165*(1-VLOOKUP($A166,[1]Hugst!$R$5:$W$9,MATCH(ROUNDUP((V$1)/10,0)*10,[1]Hugst!$R$4:$W$4,0))))</f>
        <v>0</v>
      </c>
      <c r="W166">
        <f>IF($C166-W$1&lt;År1,0,V165*(1-VLOOKUP($A166,[1]Hugst!$R$5:$W$9,MATCH(ROUNDUP((W$1)/10,0)*10,[1]Hugst!$R$4:$W$4,0))))</f>
        <v>0</v>
      </c>
      <c r="X166">
        <f>IF($C166-X$1&lt;År1,0,W165*(1-VLOOKUP($A166,[1]Hugst!$R$5:$W$9,MATCH(ROUNDUP((X$1)/10,0)*10,[1]Hugst!$R$4:$W$4,0))))</f>
        <v>0</v>
      </c>
      <c r="Y166">
        <f>IF($C166-Y$1&lt;År1,0,X165*(1-VLOOKUP($A166,[1]Hugst!$R$5:$W$9,MATCH(ROUNDUP((Y$1)/10,0)*10,[1]Hugst!$R$4:$W$4,0))))</f>
        <v>0</v>
      </c>
      <c r="Z166">
        <f>IF($C166-Z$1&lt;År1,0,Y165*(1-VLOOKUP($A166,[1]Hugst!$R$5:$W$9,MATCH(ROUNDUP((Z$1)/10,0)*10,[1]Hugst!$R$4:$W$4,0))))</f>
        <v>0</v>
      </c>
      <c r="AA166">
        <f>IF($C166-AA$1&lt;År1,0,Z165*(1-VLOOKUP($A166,[1]Hugst!$R$5:$W$9,MATCH(ROUNDUP((AA$1)/10,0)*10,[1]Hugst!$R$4:$W$4,0))))</f>
        <v>0</v>
      </c>
      <c r="AB166">
        <f>IF($C166-AB$1&lt;År1,0,AA165*(1-VLOOKUP($A166,[1]Hugst!$R$5:$W$9,MATCH(ROUNDUP((AB$1)/10,0)*10,[1]Hugst!$R$4:$W$4,0))))</f>
        <v>0</v>
      </c>
      <c r="AC166">
        <f>IF($C166-AC$1&lt;År1,0,AB165*(1-VLOOKUP($A166,[1]Hugst!$R$5:$W$9,MATCH(ROUNDUP((AC$1)/10,0)*10,[1]Hugst!$R$4:$W$4,0))))</f>
        <v>0</v>
      </c>
      <c r="AD166">
        <f>IF($C166-AD$1&lt;År1,0,AC165*(1-VLOOKUP($A166,[1]Hugst!$R$5:$W$9,MATCH(ROUNDUP((AD$1)/10,0)*10,[1]Hugst!$R$4:$W$4,0))))</f>
        <v>0</v>
      </c>
      <c r="AE166">
        <f>IF($C166-AE$1&lt;År1,0,AD165*(1-VLOOKUP($A166,[1]Hugst!$R$5:$W$9,MATCH(ROUNDUP((AE$1)/10,0)*10,[1]Hugst!$R$4:$W$4,0))))</f>
        <v>0</v>
      </c>
      <c r="AF166">
        <f>IF($C166-AF$1&lt;År1,0,AE165*(1-VLOOKUP($A166,[1]Hugst!$R$5:$W$9,MATCH(ROUNDUP((AF$1)/10,0)*10,[1]Hugst!$R$4:$W$4,0))))</f>
        <v>0</v>
      </c>
      <c r="AG166">
        <f>IF($C166-AG$1&lt;År1,0,AF165*(1-VLOOKUP($A166,[1]Hugst!$R$5:$W$9,MATCH(ROUNDUP((AG$1)/10,0)*10,[1]Hugst!$R$4:$W$4,0))))</f>
        <v>0</v>
      </c>
      <c r="AH166">
        <f>IF($C166-AH$1&lt;År1,0,AG165*(1-VLOOKUP($A166,[1]Hugst!$R$5:$W$9,MATCH(ROUNDUP((AH$1)/10,0)*10,[1]Hugst!$R$4:$W$4,0))))</f>
        <v>0</v>
      </c>
      <c r="AI166">
        <f>IF($C166-AI$1&lt;År1,0,AH165*(1-VLOOKUP($A166,[1]Hugst!$R$5:$W$9,MATCH(ROUNDUP((AI$1)/10,0)*10,[1]Hugst!$R$4:$W$4,0))))</f>
        <v>0</v>
      </c>
      <c r="AJ166">
        <f>IF($C166-AJ$1&lt;År1,0,AI165*(1-VLOOKUP($A166,[1]Hugst!$R$5:$W$9,MATCH(ROUNDUP((AJ$1)/10,0)*10,[1]Hugst!$R$4:$W$4,0))))</f>
        <v>0</v>
      </c>
    </row>
    <row r="167" spans="1:36" x14ac:dyDescent="0.25">
      <c r="A167" t="s">
        <v>178</v>
      </c>
      <c r="B167" t="s">
        <v>24</v>
      </c>
      <c r="C167">
        <v>2030</v>
      </c>
      <c r="D167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0</v>
      </c>
      <c r="E167">
        <f t="shared" ca="1" si="3"/>
        <v>0</v>
      </c>
      <c r="F167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>
        <f ca="1">IF($C167-G$1&lt;År1,0,F166*(1-VLOOKUP($A167,[1]Hugst!$R$5:$W$9,MATCH(ROUNDUP((G$1)/10,0)*10,[1]Hugst!$R$4:$W$4,0))))</f>
        <v>0</v>
      </c>
      <c r="H167">
        <f ca="1">IF($C167-H$1&lt;År1,0,G166*(1-VLOOKUP($A167,[1]Hugst!$R$5:$W$9,MATCH(ROUNDUP((H$1)/10,0)*10,[1]Hugst!$R$4:$W$4,0))))</f>
        <v>0</v>
      </c>
      <c r="I167">
        <f ca="1">IF($C167-I$1&lt;År1,0,H166*(1-VLOOKUP($A167,[1]Hugst!$R$5:$W$9,MATCH(ROUNDUP((I$1)/10,0)*10,[1]Hugst!$R$4:$W$4,0))))</f>
        <v>0</v>
      </c>
      <c r="J167">
        <f ca="1">IF($C167-J$1&lt;År1,0,I166*(1-VLOOKUP($A167,[1]Hugst!$R$5:$W$9,MATCH(ROUNDUP((J$1)/10,0)*10,[1]Hugst!$R$4:$W$4,0))))</f>
        <v>0</v>
      </c>
      <c r="K167">
        <f ca="1">IF($C167-K$1&lt;År1,0,J166*(1-VLOOKUP($A167,[1]Hugst!$R$5:$W$9,MATCH(ROUNDUP((K$1)/10,0)*10,[1]Hugst!$R$4:$W$4,0))))</f>
        <v>0</v>
      </c>
      <c r="L167">
        <f ca="1">IF($C167-L$1&lt;År1,0,K166*(1-VLOOKUP($A167,[1]Hugst!$R$5:$W$9,MATCH(ROUNDUP((L$1)/10,0)*10,[1]Hugst!$R$4:$W$4,0))))</f>
        <v>0</v>
      </c>
      <c r="M167">
        <f ca="1">IF($C167-M$1&lt;År1,0,L166*(1-VLOOKUP($A167,[1]Hugst!$R$5:$W$9,MATCH(ROUNDUP((M$1)/10,0)*10,[1]Hugst!$R$4:$W$4,0))))</f>
        <v>0</v>
      </c>
      <c r="N167">
        <f ca="1">IF($C167-N$1&lt;År1,0,M166*(1-VLOOKUP($A167,[1]Hugst!$R$5:$W$9,MATCH(ROUNDUP((N$1)/10,0)*10,[1]Hugst!$R$4:$W$4,0))))</f>
        <v>0</v>
      </c>
      <c r="O167">
        <f ca="1">IF($C167-O$1&lt;År1,0,N166*(1-VLOOKUP($A167,[1]Hugst!$R$5:$W$9,MATCH(ROUNDUP((O$1)/10,0)*10,[1]Hugst!$R$4:$W$4,0))))</f>
        <v>0</v>
      </c>
      <c r="P167">
        <f ca="1">IF($C167-P$1&lt;År1,0,O166*(1-VLOOKUP($A167,[1]Hugst!$R$5:$W$9,MATCH(ROUNDUP((P$1)/10,0)*10,[1]Hugst!$R$4:$W$4,0))))</f>
        <v>0</v>
      </c>
      <c r="Q167">
        <f>IF($C167-Q$1&lt;År1,0,P166*(1-VLOOKUP($A167,[1]Hugst!$R$5:$W$9,MATCH(ROUNDUP((Q$1)/10,0)*10,[1]Hugst!$R$4:$W$4,0))))</f>
        <v>0</v>
      </c>
      <c r="R167">
        <f>IF($C167-R$1&lt;År1,0,Q166*(1-VLOOKUP($A167,[1]Hugst!$R$5:$W$9,MATCH(ROUNDUP((R$1)/10,0)*10,[1]Hugst!$R$4:$W$4,0))))</f>
        <v>0</v>
      </c>
      <c r="S167">
        <f>IF($C167-S$1&lt;År1,0,R166*(1-VLOOKUP($A167,[1]Hugst!$R$5:$W$9,MATCH(ROUNDUP((S$1)/10,0)*10,[1]Hugst!$R$4:$W$4,0))))</f>
        <v>0</v>
      </c>
      <c r="T167">
        <f>IF($C167-T$1&lt;År1,0,S166*(1-VLOOKUP($A167,[1]Hugst!$R$5:$W$9,MATCH(ROUNDUP((T$1)/10,0)*10,[1]Hugst!$R$4:$W$4,0))))</f>
        <v>0</v>
      </c>
      <c r="U167">
        <f>IF($C167-U$1&lt;År1,0,T166*(1-VLOOKUP($A167,[1]Hugst!$R$5:$W$9,MATCH(ROUNDUP((U$1)/10,0)*10,[1]Hugst!$R$4:$W$4,0))))</f>
        <v>0</v>
      </c>
      <c r="V167">
        <f>IF($C167-V$1&lt;År1,0,U166*(1-VLOOKUP($A167,[1]Hugst!$R$5:$W$9,MATCH(ROUNDUP((V$1)/10,0)*10,[1]Hugst!$R$4:$W$4,0))))</f>
        <v>0</v>
      </c>
      <c r="W167">
        <f>IF($C167-W$1&lt;År1,0,V166*(1-VLOOKUP($A167,[1]Hugst!$R$5:$W$9,MATCH(ROUNDUP((W$1)/10,0)*10,[1]Hugst!$R$4:$W$4,0))))</f>
        <v>0</v>
      </c>
      <c r="X167">
        <f>IF($C167-X$1&lt;År1,0,W166*(1-VLOOKUP($A167,[1]Hugst!$R$5:$W$9,MATCH(ROUNDUP((X$1)/10,0)*10,[1]Hugst!$R$4:$W$4,0))))</f>
        <v>0</v>
      </c>
      <c r="Y167">
        <f>IF($C167-Y$1&lt;År1,0,X166*(1-VLOOKUP($A167,[1]Hugst!$R$5:$W$9,MATCH(ROUNDUP((Y$1)/10,0)*10,[1]Hugst!$R$4:$W$4,0))))</f>
        <v>0</v>
      </c>
      <c r="Z167">
        <f>IF($C167-Z$1&lt;År1,0,Y166*(1-VLOOKUP($A167,[1]Hugst!$R$5:$W$9,MATCH(ROUNDUP((Z$1)/10,0)*10,[1]Hugst!$R$4:$W$4,0))))</f>
        <v>0</v>
      </c>
      <c r="AA167">
        <f>IF($C167-AA$1&lt;År1,0,Z166*(1-VLOOKUP($A167,[1]Hugst!$R$5:$W$9,MATCH(ROUNDUP((AA$1)/10,0)*10,[1]Hugst!$R$4:$W$4,0))))</f>
        <v>0</v>
      </c>
      <c r="AB167">
        <f>IF($C167-AB$1&lt;År1,0,AA166*(1-VLOOKUP($A167,[1]Hugst!$R$5:$W$9,MATCH(ROUNDUP((AB$1)/10,0)*10,[1]Hugst!$R$4:$W$4,0))))</f>
        <v>0</v>
      </c>
      <c r="AC167">
        <f>IF($C167-AC$1&lt;År1,0,AB166*(1-VLOOKUP($A167,[1]Hugst!$R$5:$W$9,MATCH(ROUNDUP((AC$1)/10,0)*10,[1]Hugst!$R$4:$W$4,0))))</f>
        <v>0</v>
      </c>
      <c r="AD167">
        <f>IF($C167-AD$1&lt;År1,0,AC166*(1-VLOOKUP($A167,[1]Hugst!$R$5:$W$9,MATCH(ROUNDUP((AD$1)/10,0)*10,[1]Hugst!$R$4:$W$4,0))))</f>
        <v>0</v>
      </c>
      <c r="AE167">
        <f>IF($C167-AE$1&lt;År1,0,AD166*(1-VLOOKUP($A167,[1]Hugst!$R$5:$W$9,MATCH(ROUNDUP((AE$1)/10,0)*10,[1]Hugst!$R$4:$W$4,0))))</f>
        <v>0</v>
      </c>
      <c r="AF167">
        <f>IF($C167-AF$1&lt;År1,0,AE166*(1-VLOOKUP($A167,[1]Hugst!$R$5:$W$9,MATCH(ROUNDUP((AF$1)/10,0)*10,[1]Hugst!$R$4:$W$4,0))))</f>
        <v>0</v>
      </c>
      <c r="AG167">
        <f>IF($C167-AG$1&lt;År1,0,AF166*(1-VLOOKUP($A167,[1]Hugst!$R$5:$W$9,MATCH(ROUNDUP((AG$1)/10,0)*10,[1]Hugst!$R$4:$W$4,0))))</f>
        <v>0</v>
      </c>
      <c r="AH167">
        <f>IF($C167-AH$1&lt;År1,0,AG166*(1-VLOOKUP($A167,[1]Hugst!$R$5:$W$9,MATCH(ROUNDUP((AH$1)/10,0)*10,[1]Hugst!$R$4:$W$4,0))))</f>
        <v>0</v>
      </c>
      <c r="AI167">
        <f>IF($C167-AI$1&lt;År1,0,AH166*(1-VLOOKUP($A167,[1]Hugst!$R$5:$W$9,MATCH(ROUNDUP((AI$1)/10,0)*10,[1]Hugst!$R$4:$W$4,0))))</f>
        <v>0</v>
      </c>
      <c r="AJ167">
        <f>IF($C167-AJ$1&lt;År1,0,AI166*(1-VLOOKUP($A167,[1]Hugst!$R$5:$W$9,MATCH(ROUNDUP((AJ$1)/10,0)*10,[1]Hugst!$R$4:$W$4,0))))</f>
        <v>0</v>
      </c>
    </row>
    <row r="168" spans="1:36" x14ac:dyDescent="0.25">
      <c r="A168" t="s">
        <v>178</v>
      </c>
      <c r="B168" t="s">
        <v>24</v>
      </c>
      <c r="C168">
        <v>2031</v>
      </c>
      <c r="D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0</v>
      </c>
      <c r="E168">
        <f t="shared" ca="1" si="3"/>
        <v>0</v>
      </c>
      <c r="F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>
        <f ca="1">IF($C168-G$1&lt;År1,0,F167*(1-VLOOKUP($A168,[1]Hugst!$R$5:$W$9,MATCH(ROUNDUP((G$1)/10,0)*10,[1]Hugst!$R$4:$W$4,0))))</f>
        <v>0</v>
      </c>
      <c r="H168">
        <f ca="1">IF($C168-H$1&lt;År1,0,G167*(1-VLOOKUP($A168,[1]Hugst!$R$5:$W$9,MATCH(ROUNDUP((H$1)/10,0)*10,[1]Hugst!$R$4:$W$4,0))))</f>
        <v>0</v>
      </c>
      <c r="I168">
        <f ca="1">IF($C168-I$1&lt;År1,0,H167*(1-VLOOKUP($A168,[1]Hugst!$R$5:$W$9,MATCH(ROUNDUP((I$1)/10,0)*10,[1]Hugst!$R$4:$W$4,0))))</f>
        <v>0</v>
      </c>
      <c r="J168">
        <f ca="1">IF($C168-J$1&lt;År1,0,I167*(1-VLOOKUP($A168,[1]Hugst!$R$5:$W$9,MATCH(ROUNDUP((J$1)/10,0)*10,[1]Hugst!$R$4:$W$4,0))))</f>
        <v>0</v>
      </c>
      <c r="K168">
        <f ca="1">IF($C168-K$1&lt;År1,0,J167*(1-VLOOKUP($A168,[1]Hugst!$R$5:$W$9,MATCH(ROUNDUP((K$1)/10,0)*10,[1]Hugst!$R$4:$W$4,0))))</f>
        <v>0</v>
      </c>
      <c r="L168">
        <f ca="1">IF($C168-L$1&lt;År1,0,K167*(1-VLOOKUP($A168,[1]Hugst!$R$5:$W$9,MATCH(ROUNDUP((L$1)/10,0)*10,[1]Hugst!$R$4:$W$4,0))))</f>
        <v>0</v>
      </c>
      <c r="M168">
        <f ca="1">IF($C168-M$1&lt;År1,0,L167*(1-VLOOKUP($A168,[1]Hugst!$R$5:$W$9,MATCH(ROUNDUP((M$1)/10,0)*10,[1]Hugst!$R$4:$W$4,0))))</f>
        <v>0</v>
      </c>
      <c r="N168">
        <f ca="1">IF($C168-N$1&lt;År1,0,M167*(1-VLOOKUP($A168,[1]Hugst!$R$5:$W$9,MATCH(ROUNDUP((N$1)/10,0)*10,[1]Hugst!$R$4:$W$4,0))))</f>
        <v>0</v>
      </c>
      <c r="O168">
        <f ca="1">IF($C168-O$1&lt;År1,0,N167*(1-VLOOKUP($A168,[1]Hugst!$R$5:$W$9,MATCH(ROUNDUP((O$1)/10,0)*10,[1]Hugst!$R$4:$W$4,0))))</f>
        <v>0</v>
      </c>
      <c r="P168">
        <f ca="1">IF($C168-P$1&lt;År1,0,O167*(1-VLOOKUP($A168,[1]Hugst!$R$5:$W$9,MATCH(ROUNDUP((P$1)/10,0)*10,[1]Hugst!$R$4:$W$4,0))))</f>
        <v>0</v>
      </c>
      <c r="Q168">
        <f ca="1">IF($C168-Q$1&lt;År1,0,P167*(1-VLOOKUP($A168,[1]Hugst!$R$5:$W$9,MATCH(ROUNDUP((Q$1)/10,0)*10,[1]Hugst!$R$4:$W$4,0))))</f>
        <v>0</v>
      </c>
      <c r="R168">
        <f>IF($C168-R$1&lt;År1,0,Q167*(1-VLOOKUP($A168,[1]Hugst!$R$5:$W$9,MATCH(ROUNDUP((R$1)/10,0)*10,[1]Hugst!$R$4:$W$4,0))))</f>
        <v>0</v>
      </c>
      <c r="S168">
        <f>IF($C168-S$1&lt;År1,0,R167*(1-VLOOKUP($A168,[1]Hugst!$R$5:$W$9,MATCH(ROUNDUP((S$1)/10,0)*10,[1]Hugst!$R$4:$W$4,0))))</f>
        <v>0</v>
      </c>
      <c r="T168">
        <f>IF($C168-T$1&lt;År1,0,S167*(1-VLOOKUP($A168,[1]Hugst!$R$5:$W$9,MATCH(ROUNDUP((T$1)/10,0)*10,[1]Hugst!$R$4:$W$4,0))))</f>
        <v>0</v>
      </c>
      <c r="U168">
        <f>IF($C168-U$1&lt;År1,0,T167*(1-VLOOKUP($A168,[1]Hugst!$R$5:$W$9,MATCH(ROUNDUP((U$1)/10,0)*10,[1]Hugst!$R$4:$W$4,0))))</f>
        <v>0</v>
      </c>
      <c r="V168">
        <f>IF($C168-V$1&lt;År1,0,U167*(1-VLOOKUP($A168,[1]Hugst!$R$5:$W$9,MATCH(ROUNDUP((V$1)/10,0)*10,[1]Hugst!$R$4:$W$4,0))))</f>
        <v>0</v>
      </c>
      <c r="W168">
        <f>IF($C168-W$1&lt;År1,0,V167*(1-VLOOKUP($A168,[1]Hugst!$R$5:$W$9,MATCH(ROUNDUP((W$1)/10,0)*10,[1]Hugst!$R$4:$W$4,0))))</f>
        <v>0</v>
      </c>
      <c r="X168">
        <f>IF($C168-X$1&lt;År1,0,W167*(1-VLOOKUP($A168,[1]Hugst!$R$5:$W$9,MATCH(ROUNDUP((X$1)/10,0)*10,[1]Hugst!$R$4:$W$4,0))))</f>
        <v>0</v>
      </c>
      <c r="Y168">
        <f>IF($C168-Y$1&lt;År1,0,X167*(1-VLOOKUP($A168,[1]Hugst!$R$5:$W$9,MATCH(ROUNDUP((Y$1)/10,0)*10,[1]Hugst!$R$4:$W$4,0))))</f>
        <v>0</v>
      </c>
      <c r="Z168">
        <f>IF($C168-Z$1&lt;År1,0,Y167*(1-VLOOKUP($A168,[1]Hugst!$R$5:$W$9,MATCH(ROUNDUP((Z$1)/10,0)*10,[1]Hugst!$R$4:$W$4,0))))</f>
        <v>0</v>
      </c>
      <c r="AA168">
        <f>IF($C168-AA$1&lt;År1,0,Z167*(1-VLOOKUP($A168,[1]Hugst!$R$5:$W$9,MATCH(ROUNDUP((AA$1)/10,0)*10,[1]Hugst!$R$4:$W$4,0))))</f>
        <v>0</v>
      </c>
      <c r="AB168">
        <f>IF($C168-AB$1&lt;År1,0,AA167*(1-VLOOKUP($A168,[1]Hugst!$R$5:$W$9,MATCH(ROUNDUP((AB$1)/10,0)*10,[1]Hugst!$R$4:$W$4,0))))</f>
        <v>0</v>
      </c>
      <c r="AC168">
        <f>IF($C168-AC$1&lt;År1,0,AB167*(1-VLOOKUP($A168,[1]Hugst!$R$5:$W$9,MATCH(ROUNDUP((AC$1)/10,0)*10,[1]Hugst!$R$4:$W$4,0))))</f>
        <v>0</v>
      </c>
      <c r="AD168">
        <f>IF($C168-AD$1&lt;År1,0,AC167*(1-VLOOKUP($A168,[1]Hugst!$R$5:$W$9,MATCH(ROUNDUP((AD$1)/10,0)*10,[1]Hugst!$R$4:$W$4,0))))</f>
        <v>0</v>
      </c>
      <c r="AE168">
        <f>IF($C168-AE$1&lt;År1,0,AD167*(1-VLOOKUP($A168,[1]Hugst!$R$5:$W$9,MATCH(ROUNDUP((AE$1)/10,0)*10,[1]Hugst!$R$4:$W$4,0))))</f>
        <v>0</v>
      </c>
      <c r="AF168">
        <f>IF($C168-AF$1&lt;År1,0,AE167*(1-VLOOKUP($A168,[1]Hugst!$R$5:$W$9,MATCH(ROUNDUP((AF$1)/10,0)*10,[1]Hugst!$R$4:$W$4,0))))</f>
        <v>0</v>
      </c>
      <c r="AG168">
        <f>IF($C168-AG$1&lt;År1,0,AF167*(1-VLOOKUP($A168,[1]Hugst!$R$5:$W$9,MATCH(ROUNDUP((AG$1)/10,0)*10,[1]Hugst!$R$4:$W$4,0))))</f>
        <v>0</v>
      </c>
      <c r="AH168">
        <f>IF($C168-AH$1&lt;År1,0,AG167*(1-VLOOKUP($A168,[1]Hugst!$R$5:$W$9,MATCH(ROUNDUP((AH$1)/10,0)*10,[1]Hugst!$R$4:$W$4,0))))</f>
        <v>0</v>
      </c>
      <c r="AI168">
        <f>IF($C168-AI$1&lt;År1,0,AH167*(1-VLOOKUP($A168,[1]Hugst!$R$5:$W$9,MATCH(ROUNDUP((AI$1)/10,0)*10,[1]Hugst!$R$4:$W$4,0))))</f>
        <v>0</v>
      </c>
      <c r="AJ168">
        <f>IF($C168-AJ$1&lt;År1,0,AI167*(1-VLOOKUP($A168,[1]Hugst!$R$5:$W$9,MATCH(ROUNDUP((AJ$1)/10,0)*10,[1]Hugst!$R$4:$W$4,0))))</f>
        <v>0</v>
      </c>
    </row>
    <row r="169" spans="1:36" x14ac:dyDescent="0.25">
      <c r="A169" t="s">
        <v>178</v>
      </c>
      <c r="B169" t="s">
        <v>24</v>
      </c>
      <c r="C169">
        <v>2032</v>
      </c>
      <c r="D169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0</v>
      </c>
      <c r="E169">
        <f t="shared" ca="1" si="3"/>
        <v>0</v>
      </c>
      <c r="F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>
        <f ca="1">IF($C169-G$1&lt;År1,0,F168*(1-VLOOKUP($A169,[1]Hugst!$R$5:$W$9,MATCH(ROUNDUP((G$1)/10,0)*10,[1]Hugst!$R$4:$W$4,0))))</f>
        <v>0</v>
      </c>
      <c r="H169">
        <f ca="1">IF($C169-H$1&lt;År1,0,G168*(1-VLOOKUP($A169,[1]Hugst!$R$5:$W$9,MATCH(ROUNDUP((H$1)/10,0)*10,[1]Hugst!$R$4:$W$4,0))))</f>
        <v>0</v>
      </c>
      <c r="I169">
        <f ca="1">IF($C169-I$1&lt;År1,0,H168*(1-VLOOKUP($A169,[1]Hugst!$R$5:$W$9,MATCH(ROUNDUP((I$1)/10,0)*10,[1]Hugst!$R$4:$W$4,0))))</f>
        <v>0</v>
      </c>
      <c r="J169">
        <f ca="1">IF($C169-J$1&lt;År1,0,I168*(1-VLOOKUP($A169,[1]Hugst!$R$5:$W$9,MATCH(ROUNDUP((J$1)/10,0)*10,[1]Hugst!$R$4:$W$4,0))))</f>
        <v>0</v>
      </c>
      <c r="K169">
        <f ca="1">IF($C169-K$1&lt;År1,0,J168*(1-VLOOKUP($A169,[1]Hugst!$R$5:$W$9,MATCH(ROUNDUP((K$1)/10,0)*10,[1]Hugst!$R$4:$W$4,0))))</f>
        <v>0</v>
      </c>
      <c r="L169">
        <f ca="1">IF($C169-L$1&lt;År1,0,K168*(1-VLOOKUP($A169,[1]Hugst!$R$5:$W$9,MATCH(ROUNDUP((L$1)/10,0)*10,[1]Hugst!$R$4:$W$4,0))))</f>
        <v>0</v>
      </c>
      <c r="M169">
        <f ca="1">IF($C169-M$1&lt;År1,0,L168*(1-VLOOKUP($A169,[1]Hugst!$R$5:$W$9,MATCH(ROUNDUP((M$1)/10,0)*10,[1]Hugst!$R$4:$W$4,0))))</f>
        <v>0</v>
      </c>
      <c r="N169">
        <f ca="1">IF($C169-N$1&lt;År1,0,M168*(1-VLOOKUP($A169,[1]Hugst!$R$5:$W$9,MATCH(ROUNDUP((N$1)/10,0)*10,[1]Hugst!$R$4:$W$4,0))))</f>
        <v>0</v>
      </c>
      <c r="O169">
        <f ca="1">IF($C169-O$1&lt;År1,0,N168*(1-VLOOKUP($A169,[1]Hugst!$R$5:$W$9,MATCH(ROUNDUP((O$1)/10,0)*10,[1]Hugst!$R$4:$W$4,0))))</f>
        <v>0</v>
      </c>
      <c r="P169">
        <f ca="1">IF($C169-P$1&lt;År1,0,O168*(1-VLOOKUP($A169,[1]Hugst!$R$5:$W$9,MATCH(ROUNDUP((P$1)/10,0)*10,[1]Hugst!$R$4:$W$4,0))))</f>
        <v>0</v>
      </c>
      <c r="Q169">
        <f ca="1">IF($C169-Q$1&lt;År1,0,P168*(1-VLOOKUP($A169,[1]Hugst!$R$5:$W$9,MATCH(ROUNDUP((Q$1)/10,0)*10,[1]Hugst!$R$4:$W$4,0))))</f>
        <v>0</v>
      </c>
      <c r="R169">
        <f ca="1">IF($C169-R$1&lt;År1,0,Q168*(1-VLOOKUP($A169,[1]Hugst!$R$5:$W$9,MATCH(ROUNDUP((R$1)/10,0)*10,[1]Hugst!$R$4:$W$4,0))))</f>
        <v>0</v>
      </c>
      <c r="S169">
        <f>IF($C169-S$1&lt;År1,0,R168*(1-VLOOKUP($A169,[1]Hugst!$R$5:$W$9,MATCH(ROUNDUP((S$1)/10,0)*10,[1]Hugst!$R$4:$W$4,0))))</f>
        <v>0</v>
      </c>
      <c r="T169">
        <f>IF($C169-T$1&lt;År1,0,S168*(1-VLOOKUP($A169,[1]Hugst!$R$5:$W$9,MATCH(ROUNDUP((T$1)/10,0)*10,[1]Hugst!$R$4:$W$4,0))))</f>
        <v>0</v>
      </c>
      <c r="U169">
        <f>IF($C169-U$1&lt;År1,0,T168*(1-VLOOKUP($A169,[1]Hugst!$R$5:$W$9,MATCH(ROUNDUP((U$1)/10,0)*10,[1]Hugst!$R$4:$W$4,0))))</f>
        <v>0</v>
      </c>
      <c r="V169">
        <f>IF($C169-V$1&lt;År1,0,U168*(1-VLOOKUP($A169,[1]Hugst!$R$5:$W$9,MATCH(ROUNDUP((V$1)/10,0)*10,[1]Hugst!$R$4:$W$4,0))))</f>
        <v>0</v>
      </c>
      <c r="W169">
        <f>IF($C169-W$1&lt;År1,0,V168*(1-VLOOKUP($A169,[1]Hugst!$R$5:$W$9,MATCH(ROUNDUP((W$1)/10,0)*10,[1]Hugst!$R$4:$W$4,0))))</f>
        <v>0</v>
      </c>
      <c r="X169">
        <f>IF($C169-X$1&lt;År1,0,W168*(1-VLOOKUP($A169,[1]Hugst!$R$5:$W$9,MATCH(ROUNDUP((X$1)/10,0)*10,[1]Hugst!$R$4:$W$4,0))))</f>
        <v>0</v>
      </c>
      <c r="Y169">
        <f>IF($C169-Y$1&lt;År1,0,X168*(1-VLOOKUP($A169,[1]Hugst!$R$5:$W$9,MATCH(ROUNDUP((Y$1)/10,0)*10,[1]Hugst!$R$4:$W$4,0))))</f>
        <v>0</v>
      </c>
      <c r="Z169">
        <f>IF($C169-Z$1&lt;År1,0,Y168*(1-VLOOKUP($A169,[1]Hugst!$R$5:$W$9,MATCH(ROUNDUP((Z$1)/10,0)*10,[1]Hugst!$R$4:$W$4,0))))</f>
        <v>0</v>
      </c>
      <c r="AA169">
        <f>IF($C169-AA$1&lt;År1,0,Z168*(1-VLOOKUP($A169,[1]Hugst!$R$5:$W$9,MATCH(ROUNDUP((AA$1)/10,0)*10,[1]Hugst!$R$4:$W$4,0))))</f>
        <v>0</v>
      </c>
      <c r="AB169">
        <f>IF($C169-AB$1&lt;År1,0,AA168*(1-VLOOKUP($A169,[1]Hugst!$R$5:$W$9,MATCH(ROUNDUP((AB$1)/10,0)*10,[1]Hugst!$R$4:$W$4,0))))</f>
        <v>0</v>
      </c>
      <c r="AC169">
        <f>IF($C169-AC$1&lt;År1,0,AB168*(1-VLOOKUP($A169,[1]Hugst!$R$5:$W$9,MATCH(ROUNDUP((AC$1)/10,0)*10,[1]Hugst!$R$4:$W$4,0))))</f>
        <v>0</v>
      </c>
      <c r="AD169">
        <f>IF($C169-AD$1&lt;År1,0,AC168*(1-VLOOKUP($A169,[1]Hugst!$R$5:$W$9,MATCH(ROUNDUP((AD$1)/10,0)*10,[1]Hugst!$R$4:$W$4,0))))</f>
        <v>0</v>
      </c>
      <c r="AE169">
        <f>IF($C169-AE$1&lt;År1,0,AD168*(1-VLOOKUP($A169,[1]Hugst!$R$5:$W$9,MATCH(ROUNDUP((AE$1)/10,0)*10,[1]Hugst!$R$4:$W$4,0))))</f>
        <v>0</v>
      </c>
      <c r="AF169">
        <f>IF($C169-AF$1&lt;År1,0,AE168*(1-VLOOKUP($A169,[1]Hugst!$R$5:$W$9,MATCH(ROUNDUP((AF$1)/10,0)*10,[1]Hugst!$R$4:$W$4,0))))</f>
        <v>0</v>
      </c>
      <c r="AG169">
        <f>IF($C169-AG$1&lt;År1,0,AF168*(1-VLOOKUP($A169,[1]Hugst!$R$5:$W$9,MATCH(ROUNDUP((AG$1)/10,0)*10,[1]Hugst!$R$4:$W$4,0))))</f>
        <v>0</v>
      </c>
      <c r="AH169">
        <f>IF($C169-AH$1&lt;År1,0,AG168*(1-VLOOKUP($A169,[1]Hugst!$R$5:$W$9,MATCH(ROUNDUP((AH$1)/10,0)*10,[1]Hugst!$R$4:$W$4,0))))</f>
        <v>0</v>
      </c>
      <c r="AI169">
        <f>IF($C169-AI$1&lt;År1,0,AH168*(1-VLOOKUP($A169,[1]Hugst!$R$5:$W$9,MATCH(ROUNDUP((AI$1)/10,0)*10,[1]Hugst!$R$4:$W$4,0))))</f>
        <v>0</v>
      </c>
      <c r="AJ169">
        <f>IF($C169-AJ$1&lt;År1,0,AI168*(1-VLOOKUP($A169,[1]Hugst!$R$5:$W$9,MATCH(ROUNDUP((AJ$1)/10,0)*10,[1]Hugst!$R$4:$W$4,0))))</f>
        <v>0</v>
      </c>
    </row>
    <row r="170" spans="1:36" x14ac:dyDescent="0.25">
      <c r="A170" t="s">
        <v>178</v>
      </c>
      <c r="B170" t="s">
        <v>24</v>
      </c>
      <c r="C170">
        <v>2033</v>
      </c>
      <c r="D170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0</v>
      </c>
      <c r="E170">
        <f t="shared" ca="1" si="3"/>
        <v>0</v>
      </c>
      <c r="F170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>
        <f ca="1">IF($C170-G$1&lt;År1,0,F169*(1-VLOOKUP($A170,[1]Hugst!$R$5:$W$9,MATCH(ROUNDUP((G$1)/10,0)*10,[1]Hugst!$R$4:$W$4,0))))</f>
        <v>0</v>
      </c>
      <c r="H170">
        <f ca="1">IF($C170-H$1&lt;År1,0,G169*(1-VLOOKUP($A170,[1]Hugst!$R$5:$W$9,MATCH(ROUNDUP((H$1)/10,0)*10,[1]Hugst!$R$4:$W$4,0))))</f>
        <v>0</v>
      </c>
      <c r="I170">
        <f ca="1">IF($C170-I$1&lt;År1,0,H169*(1-VLOOKUP($A170,[1]Hugst!$R$5:$W$9,MATCH(ROUNDUP((I$1)/10,0)*10,[1]Hugst!$R$4:$W$4,0))))</f>
        <v>0</v>
      </c>
      <c r="J170">
        <f ca="1">IF($C170-J$1&lt;År1,0,I169*(1-VLOOKUP($A170,[1]Hugst!$R$5:$W$9,MATCH(ROUNDUP((J$1)/10,0)*10,[1]Hugst!$R$4:$W$4,0))))</f>
        <v>0</v>
      </c>
      <c r="K170">
        <f ca="1">IF($C170-K$1&lt;År1,0,J169*(1-VLOOKUP($A170,[1]Hugst!$R$5:$W$9,MATCH(ROUNDUP((K$1)/10,0)*10,[1]Hugst!$R$4:$W$4,0))))</f>
        <v>0</v>
      </c>
      <c r="L170">
        <f ca="1">IF($C170-L$1&lt;År1,0,K169*(1-VLOOKUP($A170,[1]Hugst!$R$5:$W$9,MATCH(ROUNDUP((L$1)/10,0)*10,[1]Hugst!$R$4:$W$4,0))))</f>
        <v>0</v>
      </c>
      <c r="M170">
        <f ca="1">IF($C170-M$1&lt;År1,0,L169*(1-VLOOKUP($A170,[1]Hugst!$R$5:$W$9,MATCH(ROUNDUP((M$1)/10,0)*10,[1]Hugst!$R$4:$W$4,0))))</f>
        <v>0</v>
      </c>
      <c r="N170">
        <f ca="1">IF($C170-N$1&lt;År1,0,M169*(1-VLOOKUP($A170,[1]Hugst!$R$5:$W$9,MATCH(ROUNDUP((N$1)/10,0)*10,[1]Hugst!$R$4:$W$4,0))))</f>
        <v>0</v>
      </c>
      <c r="O170">
        <f ca="1">IF($C170-O$1&lt;År1,0,N169*(1-VLOOKUP($A170,[1]Hugst!$R$5:$W$9,MATCH(ROUNDUP((O$1)/10,0)*10,[1]Hugst!$R$4:$W$4,0))))</f>
        <v>0</v>
      </c>
      <c r="P170">
        <f ca="1">IF($C170-P$1&lt;År1,0,O169*(1-VLOOKUP($A170,[1]Hugst!$R$5:$W$9,MATCH(ROUNDUP((P$1)/10,0)*10,[1]Hugst!$R$4:$W$4,0))))</f>
        <v>0</v>
      </c>
      <c r="Q170">
        <f ca="1">IF($C170-Q$1&lt;År1,0,P169*(1-VLOOKUP($A170,[1]Hugst!$R$5:$W$9,MATCH(ROUNDUP((Q$1)/10,0)*10,[1]Hugst!$R$4:$W$4,0))))</f>
        <v>0</v>
      </c>
      <c r="R170">
        <f ca="1">IF($C170-R$1&lt;År1,0,Q169*(1-VLOOKUP($A170,[1]Hugst!$R$5:$W$9,MATCH(ROUNDUP((R$1)/10,0)*10,[1]Hugst!$R$4:$W$4,0))))</f>
        <v>0</v>
      </c>
      <c r="S170">
        <f ca="1">IF($C170-S$1&lt;År1,0,R169*(1-VLOOKUP($A170,[1]Hugst!$R$5:$W$9,MATCH(ROUNDUP((S$1)/10,0)*10,[1]Hugst!$R$4:$W$4,0))))</f>
        <v>0</v>
      </c>
      <c r="T170">
        <f>IF($C170-T$1&lt;År1,0,S169*(1-VLOOKUP($A170,[1]Hugst!$R$5:$W$9,MATCH(ROUNDUP((T$1)/10,0)*10,[1]Hugst!$R$4:$W$4,0))))</f>
        <v>0</v>
      </c>
      <c r="U170">
        <f>IF($C170-U$1&lt;År1,0,T169*(1-VLOOKUP($A170,[1]Hugst!$R$5:$W$9,MATCH(ROUNDUP((U$1)/10,0)*10,[1]Hugst!$R$4:$W$4,0))))</f>
        <v>0</v>
      </c>
      <c r="V170">
        <f>IF($C170-V$1&lt;År1,0,U169*(1-VLOOKUP($A170,[1]Hugst!$R$5:$W$9,MATCH(ROUNDUP((V$1)/10,0)*10,[1]Hugst!$R$4:$W$4,0))))</f>
        <v>0</v>
      </c>
      <c r="W170">
        <f>IF($C170-W$1&lt;År1,0,V169*(1-VLOOKUP($A170,[1]Hugst!$R$5:$W$9,MATCH(ROUNDUP((W$1)/10,0)*10,[1]Hugst!$R$4:$W$4,0))))</f>
        <v>0</v>
      </c>
      <c r="X170">
        <f>IF($C170-X$1&lt;År1,0,W169*(1-VLOOKUP($A170,[1]Hugst!$R$5:$W$9,MATCH(ROUNDUP((X$1)/10,0)*10,[1]Hugst!$R$4:$W$4,0))))</f>
        <v>0</v>
      </c>
      <c r="Y170">
        <f>IF($C170-Y$1&lt;År1,0,X169*(1-VLOOKUP($A170,[1]Hugst!$R$5:$W$9,MATCH(ROUNDUP((Y$1)/10,0)*10,[1]Hugst!$R$4:$W$4,0))))</f>
        <v>0</v>
      </c>
      <c r="Z170">
        <f>IF($C170-Z$1&lt;År1,0,Y169*(1-VLOOKUP($A170,[1]Hugst!$R$5:$W$9,MATCH(ROUNDUP((Z$1)/10,0)*10,[1]Hugst!$R$4:$W$4,0))))</f>
        <v>0</v>
      </c>
      <c r="AA170">
        <f>IF($C170-AA$1&lt;År1,0,Z169*(1-VLOOKUP($A170,[1]Hugst!$R$5:$W$9,MATCH(ROUNDUP((AA$1)/10,0)*10,[1]Hugst!$R$4:$W$4,0))))</f>
        <v>0</v>
      </c>
      <c r="AB170">
        <f>IF($C170-AB$1&lt;År1,0,AA169*(1-VLOOKUP($A170,[1]Hugst!$R$5:$W$9,MATCH(ROUNDUP((AB$1)/10,0)*10,[1]Hugst!$R$4:$W$4,0))))</f>
        <v>0</v>
      </c>
      <c r="AC170">
        <f>IF($C170-AC$1&lt;År1,0,AB169*(1-VLOOKUP($A170,[1]Hugst!$R$5:$W$9,MATCH(ROUNDUP((AC$1)/10,0)*10,[1]Hugst!$R$4:$W$4,0))))</f>
        <v>0</v>
      </c>
      <c r="AD170">
        <f>IF($C170-AD$1&lt;År1,0,AC169*(1-VLOOKUP($A170,[1]Hugst!$R$5:$W$9,MATCH(ROUNDUP((AD$1)/10,0)*10,[1]Hugst!$R$4:$W$4,0))))</f>
        <v>0</v>
      </c>
      <c r="AE170">
        <f>IF($C170-AE$1&lt;År1,0,AD169*(1-VLOOKUP($A170,[1]Hugst!$R$5:$W$9,MATCH(ROUNDUP((AE$1)/10,0)*10,[1]Hugst!$R$4:$W$4,0))))</f>
        <v>0</v>
      </c>
      <c r="AF170">
        <f>IF($C170-AF$1&lt;År1,0,AE169*(1-VLOOKUP($A170,[1]Hugst!$R$5:$W$9,MATCH(ROUNDUP((AF$1)/10,0)*10,[1]Hugst!$R$4:$W$4,0))))</f>
        <v>0</v>
      </c>
      <c r="AG170">
        <f>IF($C170-AG$1&lt;År1,0,AF169*(1-VLOOKUP($A170,[1]Hugst!$R$5:$W$9,MATCH(ROUNDUP((AG$1)/10,0)*10,[1]Hugst!$R$4:$W$4,0))))</f>
        <v>0</v>
      </c>
      <c r="AH170">
        <f>IF($C170-AH$1&lt;År1,0,AG169*(1-VLOOKUP($A170,[1]Hugst!$R$5:$W$9,MATCH(ROUNDUP((AH$1)/10,0)*10,[1]Hugst!$R$4:$W$4,0))))</f>
        <v>0</v>
      </c>
      <c r="AI170">
        <f>IF($C170-AI$1&lt;År1,0,AH169*(1-VLOOKUP($A170,[1]Hugst!$R$5:$W$9,MATCH(ROUNDUP((AI$1)/10,0)*10,[1]Hugst!$R$4:$W$4,0))))</f>
        <v>0</v>
      </c>
      <c r="AJ170">
        <f>IF($C170-AJ$1&lt;År1,0,AI169*(1-VLOOKUP($A170,[1]Hugst!$R$5:$W$9,MATCH(ROUNDUP((AJ$1)/10,0)*10,[1]Hugst!$R$4:$W$4,0))))</f>
        <v>0</v>
      </c>
    </row>
    <row r="171" spans="1:36" x14ac:dyDescent="0.25">
      <c r="A171" t="s">
        <v>178</v>
      </c>
      <c r="B171" t="s">
        <v>24</v>
      </c>
      <c r="C171">
        <v>2034</v>
      </c>
      <c r="D171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0</v>
      </c>
      <c r="E171">
        <f t="shared" ca="1" si="3"/>
        <v>0</v>
      </c>
      <c r="F171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>
        <f ca="1">IF($C171-G$1&lt;År1,0,F170*(1-VLOOKUP($A171,[1]Hugst!$R$5:$W$9,MATCH(ROUNDUP((G$1)/10,0)*10,[1]Hugst!$R$4:$W$4,0))))</f>
        <v>0</v>
      </c>
      <c r="H171">
        <f ca="1">IF($C171-H$1&lt;År1,0,G170*(1-VLOOKUP($A171,[1]Hugst!$R$5:$W$9,MATCH(ROUNDUP((H$1)/10,0)*10,[1]Hugst!$R$4:$W$4,0))))</f>
        <v>0</v>
      </c>
      <c r="I171">
        <f ca="1">IF($C171-I$1&lt;År1,0,H170*(1-VLOOKUP($A171,[1]Hugst!$R$5:$W$9,MATCH(ROUNDUP((I$1)/10,0)*10,[1]Hugst!$R$4:$W$4,0))))</f>
        <v>0</v>
      </c>
      <c r="J171">
        <f ca="1">IF($C171-J$1&lt;År1,0,I170*(1-VLOOKUP($A171,[1]Hugst!$R$5:$W$9,MATCH(ROUNDUP((J$1)/10,0)*10,[1]Hugst!$R$4:$W$4,0))))</f>
        <v>0</v>
      </c>
      <c r="K171">
        <f ca="1">IF($C171-K$1&lt;År1,0,J170*(1-VLOOKUP($A171,[1]Hugst!$R$5:$W$9,MATCH(ROUNDUP((K$1)/10,0)*10,[1]Hugst!$R$4:$W$4,0))))</f>
        <v>0</v>
      </c>
      <c r="L171">
        <f ca="1">IF($C171-L$1&lt;År1,0,K170*(1-VLOOKUP($A171,[1]Hugst!$R$5:$W$9,MATCH(ROUNDUP((L$1)/10,0)*10,[1]Hugst!$R$4:$W$4,0))))</f>
        <v>0</v>
      </c>
      <c r="M171">
        <f ca="1">IF($C171-M$1&lt;År1,0,L170*(1-VLOOKUP($A171,[1]Hugst!$R$5:$W$9,MATCH(ROUNDUP((M$1)/10,0)*10,[1]Hugst!$R$4:$W$4,0))))</f>
        <v>0</v>
      </c>
      <c r="N171">
        <f ca="1">IF($C171-N$1&lt;År1,0,M170*(1-VLOOKUP($A171,[1]Hugst!$R$5:$W$9,MATCH(ROUNDUP((N$1)/10,0)*10,[1]Hugst!$R$4:$W$4,0))))</f>
        <v>0</v>
      </c>
      <c r="O171">
        <f ca="1">IF($C171-O$1&lt;År1,0,N170*(1-VLOOKUP($A171,[1]Hugst!$R$5:$W$9,MATCH(ROUNDUP((O$1)/10,0)*10,[1]Hugst!$R$4:$W$4,0))))</f>
        <v>0</v>
      </c>
      <c r="P171">
        <f ca="1">IF($C171-P$1&lt;År1,0,O170*(1-VLOOKUP($A171,[1]Hugst!$R$5:$W$9,MATCH(ROUNDUP((P$1)/10,0)*10,[1]Hugst!$R$4:$W$4,0))))</f>
        <v>0</v>
      </c>
      <c r="Q171">
        <f ca="1">IF($C171-Q$1&lt;År1,0,P170*(1-VLOOKUP($A171,[1]Hugst!$R$5:$W$9,MATCH(ROUNDUP((Q$1)/10,0)*10,[1]Hugst!$R$4:$W$4,0))))</f>
        <v>0</v>
      </c>
      <c r="R171">
        <f ca="1">IF($C171-R$1&lt;År1,0,Q170*(1-VLOOKUP($A171,[1]Hugst!$R$5:$W$9,MATCH(ROUNDUP((R$1)/10,0)*10,[1]Hugst!$R$4:$W$4,0))))</f>
        <v>0</v>
      </c>
      <c r="S171">
        <f ca="1">IF($C171-S$1&lt;År1,0,R170*(1-VLOOKUP($A171,[1]Hugst!$R$5:$W$9,MATCH(ROUNDUP((S$1)/10,0)*10,[1]Hugst!$R$4:$W$4,0))))</f>
        <v>0</v>
      </c>
      <c r="T171">
        <f ca="1">IF($C171-T$1&lt;År1,0,S170*(1-VLOOKUP($A171,[1]Hugst!$R$5:$W$9,MATCH(ROUNDUP((T$1)/10,0)*10,[1]Hugst!$R$4:$W$4,0))))</f>
        <v>0</v>
      </c>
      <c r="U171">
        <f>IF($C171-U$1&lt;År1,0,T170*(1-VLOOKUP($A171,[1]Hugst!$R$5:$W$9,MATCH(ROUNDUP((U$1)/10,0)*10,[1]Hugst!$R$4:$W$4,0))))</f>
        <v>0</v>
      </c>
      <c r="V171">
        <f>IF($C171-V$1&lt;År1,0,U170*(1-VLOOKUP($A171,[1]Hugst!$R$5:$W$9,MATCH(ROUNDUP((V$1)/10,0)*10,[1]Hugst!$R$4:$W$4,0))))</f>
        <v>0</v>
      </c>
      <c r="W171">
        <f>IF($C171-W$1&lt;År1,0,V170*(1-VLOOKUP($A171,[1]Hugst!$R$5:$W$9,MATCH(ROUNDUP((W$1)/10,0)*10,[1]Hugst!$R$4:$W$4,0))))</f>
        <v>0</v>
      </c>
      <c r="X171">
        <f>IF($C171-X$1&lt;År1,0,W170*(1-VLOOKUP($A171,[1]Hugst!$R$5:$W$9,MATCH(ROUNDUP((X$1)/10,0)*10,[1]Hugst!$R$4:$W$4,0))))</f>
        <v>0</v>
      </c>
      <c r="Y171">
        <f>IF($C171-Y$1&lt;År1,0,X170*(1-VLOOKUP($A171,[1]Hugst!$R$5:$W$9,MATCH(ROUNDUP((Y$1)/10,0)*10,[1]Hugst!$R$4:$W$4,0))))</f>
        <v>0</v>
      </c>
      <c r="Z171">
        <f>IF($C171-Z$1&lt;År1,0,Y170*(1-VLOOKUP($A171,[1]Hugst!$R$5:$W$9,MATCH(ROUNDUP((Z$1)/10,0)*10,[1]Hugst!$R$4:$W$4,0))))</f>
        <v>0</v>
      </c>
      <c r="AA171">
        <f>IF($C171-AA$1&lt;År1,0,Z170*(1-VLOOKUP($A171,[1]Hugst!$R$5:$W$9,MATCH(ROUNDUP((AA$1)/10,0)*10,[1]Hugst!$R$4:$W$4,0))))</f>
        <v>0</v>
      </c>
      <c r="AB171">
        <f>IF($C171-AB$1&lt;År1,0,AA170*(1-VLOOKUP($A171,[1]Hugst!$R$5:$W$9,MATCH(ROUNDUP((AB$1)/10,0)*10,[1]Hugst!$R$4:$W$4,0))))</f>
        <v>0</v>
      </c>
      <c r="AC171">
        <f>IF($C171-AC$1&lt;År1,0,AB170*(1-VLOOKUP($A171,[1]Hugst!$R$5:$W$9,MATCH(ROUNDUP((AC$1)/10,0)*10,[1]Hugst!$R$4:$W$4,0))))</f>
        <v>0</v>
      </c>
      <c r="AD171">
        <f>IF($C171-AD$1&lt;År1,0,AC170*(1-VLOOKUP($A171,[1]Hugst!$R$5:$W$9,MATCH(ROUNDUP((AD$1)/10,0)*10,[1]Hugst!$R$4:$W$4,0))))</f>
        <v>0</v>
      </c>
      <c r="AE171">
        <f>IF($C171-AE$1&lt;År1,0,AD170*(1-VLOOKUP($A171,[1]Hugst!$R$5:$W$9,MATCH(ROUNDUP((AE$1)/10,0)*10,[1]Hugst!$R$4:$W$4,0))))</f>
        <v>0</v>
      </c>
      <c r="AF171">
        <f>IF($C171-AF$1&lt;År1,0,AE170*(1-VLOOKUP($A171,[1]Hugst!$R$5:$W$9,MATCH(ROUNDUP((AF$1)/10,0)*10,[1]Hugst!$R$4:$W$4,0))))</f>
        <v>0</v>
      </c>
      <c r="AG171">
        <f>IF($C171-AG$1&lt;År1,0,AF170*(1-VLOOKUP($A171,[1]Hugst!$R$5:$W$9,MATCH(ROUNDUP((AG$1)/10,0)*10,[1]Hugst!$R$4:$W$4,0))))</f>
        <v>0</v>
      </c>
      <c r="AH171">
        <f>IF($C171-AH$1&lt;År1,0,AG170*(1-VLOOKUP($A171,[1]Hugst!$R$5:$W$9,MATCH(ROUNDUP((AH$1)/10,0)*10,[1]Hugst!$R$4:$W$4,0))))</f>
        <v>0</v>
      </c>
      <c r="AI171">
        <f>IF($C171-AI$1&lt;År1,0,AH170*(1-VLOOKUP($A171,[1]Hugst!$R$5:$W$9,MATCH(ROUNDUP((AI$1)/10,0)*10,[1]Hugst!$R$4:$W$4,0))))</f>
        <v>0</v>
      </c>
      <c r="AJ171">
        <f>IF($C171-AJ$1&lt;År1,0,AI170*(1-VLOOKUP($A171,[1]Hugst!$R$5:$W$9,MATCH(ROUNDUP((AJ$1)/10,0)*10,[1]Hugst!$R$4:$W$4,0))))</f>
        <v>0</v>
      </c>
    </row>
    <row r="172" spans="1:36" x14ac:dyDescent="0.25">
      <c r="A172" t="s">
        <v>178</v>
      </c>
      <c r="B172" t="s">
        <v>24</v>
      </c>
      <c r="C172">
        <v>2035</v>
      </c>
      <c r="D172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0</v>
      </c>
      <c r="E172">
        <f t="shared" ca="1" si="3"/>
        <v>0</v>
      </c>
      <c r="F172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>
        <f ca="1">IF($C172-G$1&lt;År1,0,F171*(1-VLOOKUP($A172,[1]Hugst!$R$5:$W$9,MATCH(ROUNDUP((G$1)/10,0)*10,[1]Hugst!$R$4:$W$4,0))))</f>
        <v>0</v>
      </c>
      <c r="H172">
        <f ca="1">IF($C172-H$1&lt;År1,0,G171*(1-VLOOKUP($A172,[1]Hugst!$R$5:$W$9,MATCH(ROUNDUP((H$1)/10,0)*10,[1]Hugst!$R$4:$W$4,0))))</f>
        <v>0</v>
      </c>
      <c r="I172">
        <f ca="1">IF($C172-I$1&lt;År1,0,H171*(1-VLOOKUP($A172,[1]Hugst!$R$5:$W$9,MATCH(ROUNDUP((I$1)/10,0)*10,[1]Hugst!$R$4:$W$4,0))))</f>
        <v>0</v>
      </c>
      <c r="J172">
        <f ca="1">IF($C172-J$1&lt;År1,0,I171*(1-VLOOKUP($A172,[1]Hugst!$R$5:$W$9,MATCH(ROUNDUP((J$1)/10,0)*10,[1]Hugst!$R$4:$W$4,0))))</f>
        <v>0</v>
      </c>
      <c r="K172">
        <f ca="1">IF($C172-K$1&lt;År1,0,J171*(1-VLOOKUP($A172,[1]Hugst!$R$5:$W$9,MATCH(ROUNDUP((K$1)/10,0)*10,[1]Hugst!$R$4:$W$4,0))))</f>
        <v>0</v>
      </c>
      <c r="L172">
        <f ca="1">IF($C172-L$1&lt;År1,0,K171*(1-VLOOKUP($A172,[1]Hugst!$R$5:$W$9,MATCH(ROUNDUP((L$1)/10,0)*10,[1]Hugst!$R$4:$W$4,0))))</f>
        <v>0</v>
      </c>
      <c r="M172">
        <f ca="1">IF($C172-M$1&lt;År1,0,L171*(1-VLOOKUP($A172,[1]Hugst!$R$5:$W$9,MATCH(ROUNDUP((M$1)/10,0)*10,[1]Hugst!$R$4:$W$4,0))))</f>
        <v>0</v>
      </c>
      <c r="N172">
        <f ca="1">IF($C172-N$1&lt;År1,0,M171*(1-VLOOKUP($A172,[1]Hugst!$R$5:$W$9,MATCH(ROUNDUP((N$1)/10,0)*10,[1]Hugst!$R$4:$W$4,0))))</f>
        <v>0</v>
      </c>
      <c r="O172">
        <f ca="1">IF($C172-O$1&lt;År1,0,N171*(1-VLOOKUP($A172,[1]Hugst!$R$5:$W$9,MATCH(ROUNDUP((O$1)/10,0)*10,[1]Hugst!$R$4:$W$4,0))))</f>
        <v>0</v>
      </c>
      <c r="P172">
        <f ca="1">IF($C172-P$1&lt;År1,0,O171*(1-VLOOKUP($A172,[1]Hugst!$R$5:$W$9,MATCH(ROUNDUP((P$1)/10,0)*10,[1]Hugst!$R$4:$W$4,0))))</f>
        <v>0</v>
      </c>
      <c r="Q172">
        <f ca="1">IF($C172-Q$1&lt;År1,0,P171*(1-VLOOKUP($A172,[1]Hugst!$R$5:$W$9,MATCH(ROUNDUP((Q$1)/10,0)*10,[1]Hugst!$R$4:$W$4,0))))</f>
        <v>0</v>
      </c>
      <c r="R172">
        <f ca="1">IF($C172-R$1&lt;År1,0,Q171*(1-VLOOKUP($A172,[1]Hugst!$R$5:$W$9,MATCH(ROUNDUP((R$1)/10,0)*10,[1]Hugst!$R$4:$W$4,0))))</f>
        <v>0</v>
      </c>
      <c r="S172">
        <f ca="1">IF($C172-S$1&lt;År1,0,R171*(1-VLOOKUP($A172,[1]Hugst!$R$5:$W$9,MATCH(ROUNDUP((S$1)/10,0)*10,[1]Hugst!$R$4:$W$4,0))))</f>
        <v>0</v>
      </c>
      <c r="T172">
        <f ca="1">IF($C172-T$1&lt;År1,0,S171*(1-VLOOKUP($A172,[1]Hugst!$R$5:$W$9,MATCH(ROUNDUP((T$1)/10,0)*10,[1]Hugst!$R$4:$W$4,0))))</f>
        <v>0</v>
      </c>
      <c r="U172">
        <f ca="1">IF($C172-U$1&lt;År1,0,T171*(1-VLOOKUP($A172,[1]Hugst!$R$5:$W$9,MATCH(ROUNDUP((U$1)/10,0)*10,[1]Hugst!$R$4:$W$4,0))))</f>
        <v>0</v>
      </c>
      <c r="V172">
        <f>IF($C172-V$1&lt;År1,0,U171*(1-VLOOKUP($A172,[1]Hugst!$R$5:$W$9,MATCH(ROUNDUP((V$1)/10,0)*10,[1]Hugst!$R$4:$W$4,0))))</f>
        <v>0</v>
      </c>
      <c r="W172">
        <f>IF($C172-W$1&lt;År1,0,V171*(1-VLOOKUP($A172,[1]Hugst!$R$5:$W$9,MATCH(ROUNDUP((W$1)/10,0)*10,[1]Hugst!$R$4:$W$4,0))))</f>
        <v>0</v>
      </c>
      <c r="X172">
        <f>IF($C172-X$1&lt;År1,0,W171*(1-VLOOKUP($A172,[1]Hugst!$R$5:$W$9,MATCH(ROUNDUP((X$1)/10,0)*10,[1]Hugst!$R$4:$W$4,0))))</f>
        <v>0</v>
      </c>
      <c r="Y172">
        <f>IF($C172-Y$1&lt;År1,0,X171*(1-VLOOKUP($A172,[1]Hugst!$R$5:$W$9,MATCH(ROUNDUP((Y$1)/10,0)*10,[1]Hugst!$R$4:$W$4,0))))</f>
        <v>0</v>
      </c>
      <c r="Z172">
        <f>IF($C172-Z$1&lt;År1,0,Y171*(1-VLOOKUP($A172,[1]Hugst!$R$5:$W$9,MATCH(ROUNDUP((Z$1)/10,0)*10,[1]Hugst!$R$4:$W$4,0))))</f>
        <v>0</v>
      </c>
      <c r="AA172">
        <f>IF($C172-AA$1&lt;År1,0,Z171*(1-VLOOKUP($A172,[1]Hugst!$R$5:$W$9,MATCH(ROUNDUP((AA$1)/10,0)*10,[1]Hugst!$R$4:$W$4,0))))</f>
        <v>0</v>
      </c>
      <c r="AB172">
        <f>IF($C172-AB$1&lt;År1,0,AA171*(1-VLOOKUP($A172,[1]Hugst!$R$5:$W$9,MATCH(ROUNDUP((AB$1)/10,0)*10,[1]Hugst!$R$4:$W$4,0))))</f>
        <v>0</v>
      </c>
      <c r="AC172">
        <f>IF($C172-AC$1&lt;År1,0,AB171*(1-VLOOKUP($A172,[1]Hugst!$R$5:$W$9,MATCH(ROUNDUP((AC$1)/10,0)*10,[1]Hugst!$R$4:$W$4,0))))</f>
        <v>0</v>
      </c>
      <c r="AD172">
        <f>IF($C172-AD$1&lt;År1,0,AC171*(1-VLOOKUP($A172,[1]Hugst!$R$5:$W$9,MATCH(ROUNDUP((AD$1)/10,0)*10,[1]Hugst!$R$4:$W$4,0))))</f>
        <v>0</v>
      </c>
      <c r="AE172">
        <f>IF($C172-AE$1&lt;År1,0,AD171*(1-VLOOKUP($A172,[1]Hugst!$R$5:$W$9,MATCH(ROUNDUP((AE$1)/10,0)*10,[1]Hugst!$R$4:$W$4,0))))</f>
        <v>0</v>
      </c>
      <c r="AF172">
        <f>IF($C172-AF$1&lt;År1,0,AE171*(1-VLOOKUP($A172,[1]Hugst!$R$5:$W$9,MATCH(ROUNDUP((AF$1)/10,0)*10,[1]Hugst!$R$4:$W$4,0))))</f>
        <v>0</v>
      </c>
      <c r="AG172">
        <f>IF($C172-AG$1&lt;År1,0,AF171*(1-VLOOKUP($A172,[1]Hugst!$R$5:$W$9,MATCH(ROUNDUP((AG$1)/10,0)*10,[1]Hugst!$R$4:$W$4,0))))</f>
        <v>0</v>
      </c>
      <c r="AH172">
        <f>IF($C172-AH$1&lt;År1,0,AG171*(1-VLOOKUP($A172,[1]Hugst!$R$5:$W$9,MATCH(ROUNDUP((AH$1)/10,0)*10,[1]Hugst!$R$4:$W$4,0))))</f>
        <v>0</v>
      </c>
      <c r="AI172">
        <f>IF($C172-AI$1&lt;År1,0,AH171*(1-VLOOKUP($A172,[1]Hugst!$R$5:$W$9,MATCH(ROUNDUP((AI$1)/10,0)*10,[1]Hugst!$R$4:$W$4,0))))</f>
        <v>0</v>
      </c>
      <c r="AJ172">
        <f>IF($C172-AJ$1&lt;År1,0,AI171*(1-VLOOKUP($A172,[1]Hugst!$R$5:$W$9,MATCH(ROUNDUP((AJ$1)/10,0)*10,[1]Hugst!$R$4:$W$4,0))))</f>
        <v>0</v>
      </c>
    </row>
    <row r="173" spans="1:36" x14ac:dyDescent="0.25">
      <c r="A173" t="s">
        <v>178</v>
      </c>
      <c r="B173" t="s">
        <v>24</v>
      </c>
      <c r="C173">
        <v>2036</v>
      </c>
      <c r="D173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0</v>
      </c>
      <c r="E173">
        <f t="shared" ca="1" si="3"/>
        <v>0</v>
      </c>
      <c r="F173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>
        <f ca="1">IF($C173-G$1&lt;År1,0,F172*(1-VLOOKUP($A173,[1]Hugst!$R$5:$W$9,MATCH(ROUNDUP((G$1)/10,0)*10,[1]Hugst!$R$4:$W$4,0))))</f>
        <v>0</v>
      </c>
      <c r="H173">
        <f ca="1">IF($C173-H$1&lt;År1,0,G172*(1-VLOOKUP($A173,[1]Hugst!$R$5:$W$9,MATCH(ROUNDUP((H$1)/10,0)*10,[1]Hugst!$R$4:$W$4,0))))</f>
        <v>0</v>
      </c>
      <c r="I173">
        <f ca="1">IF($C173-I$1&lt;År1,0,H172*(1-VLOOKUP($A173,[1]Hugst!$R$5:$W$9,MATCH(ROUNDUP((I$1)/10,0)*10,[1]Hugst!$R$4:$W$4,0))))</f>
        <v>0</v>
      </c>
      <c r="J173">
        <f ca="1">IF($C173-J$1&lt;År1,0,I172*(1-VLOOKUP($A173,[1]Hugst!$R$5:$W$9,MATCH(ROUNDUP((J$1)/10,0)*10,[1]Hugst!$R$4:$W$4,0))))</f>
        <v>0</v>
      </c>
      <c r="K173">
        <f ca="1">IF($C173-K$1&lt;År1,0,J172*(1-VLOOKUP($A173,[1]Hugst!$R$5:$W$9,MATCH(ROUNDUP((K$1)/10,0)*10,[1]Hugst!$R$4:$W$4,0))))</f>
        <v>0</v>
      </c>
      <c r="L173">
        <f ca="1">IF($C173-L$1&lt;År1,0,K172*(1-VLOOKUP($A173,[1]Hugst!$R$5:$W$9,MATCH(ROUNDUP((L$1)/10,0)*10,[1]Hugst!$R$4:$W$4,0))))</f>
        <v>0</v>
      </c>
      <c r="M173">
        <f ca="1">IF($C173-M$1&lt;År1,0,L172*(1-VLOOKUP($A173,[1]Hugst!$R$5:$W$9,MATCH(ROUNDUP((M$1)/10,0)*10,[1]Hugst!$R$4:$W$4,0))))</f>
        <v>0</v>
      </c>
      <c r="N173">
        <f ca="1">IF($C173-N$1&lt;År1,0,M172*(1-VLOOKUP($A173,[1]Hugst!$R$5:$W$9,MATCH(ROUNDUP((N$1)/10,0)*10,[1]Hugst!$R$4:$W$4,0))))</f>
        <v>0</v>
      </c>
      <c r="O173">
        <f ca="1">IF($C173-O$1&lt;År1,0,N172*(1-VLOOKUP($A173,[1]Hugst!$R$5:$W$9,MATCH(ROUNDUP((O$1)/10,0)*10,[1]Hugst!$R$4:$W$4,0))))</f>
        <v>0</v>
      </c>
      <c r="P173">
        <f ca="1">IF($C173-P$1&lt;År1,0,O172*(1-VLOOKUP($A173,[1]Hugst!$R$5:$W$9,MATCH(ROUNDUP((P$1)/10,0)*10,[1]Hugst!$R$4:$W$4,0))))</f>
        <v>0</v>
      </c>
      <c r="Q173">
        <f ca="1">IF($C173-Q$1&lt;År1,0,P172*(1-VLOOKUP($A173,[1]Hugst!$R$5:$W$9,MATCH(ROUNDUP((Q$1)/10,0)*10,[1]Hugst!$R$4:$W$4,0))))</f>
        <v>0</v>
      </c>
      <c r="R173">
        <f ca="1">IF($C173-R$1&lt;År1,0,Q172*(1-VLOOKUP($A173,[1]Hugst!$R$5:$W$9,MATCH(ROUNDUP((R$1)/10,0)*10,[1]Hugst!$R$4:$W$4,0))))</f>
        <v>0</v>
      </c>
      <c r="S173">
        <f ca="1">IF($C173-S$1&lt;År1,0,R172*(1-VLOOKUP($A173,[1]Hugst!$R$5:$W$9,MATCH(ROUNDUP((S$1)/10,0)*10,[1]Hugst!$R$4:$W$4,0))))</f>
        <v>0</v>
      </c>
      <c r="T173">
        <f ca="1">IF($C173-T$1&lt;År1,0,S172*(1-VLOOKUP($A173,[1]Hugst!$R$5:$W$9,MATCH(ROUNDUP((T$1)/10,0)*10,[1]Hugst!$R$4:$W$4,0))))</f>
        <v>0</v>
      </c>
      <c r="U173">
        <f ca="1">IF($C173-U$1&lt;År1,0,T172*(1-VLOOKUP($A173,[1]Hugst!$R$5:$W$9,MATCH(ROUNDUP((U$1)/10,0)*10,[1]Hugst!$R$4:$W$4,0))))</f>
        <v>0</v>
      </c>
      <c r="V173">
        <f ca="1">IF($C173-V$1&lt;År1,0,U172*(1-VLOOKUP($A173,[1]Hugst!$R$5:$W$9,MATCH(ROUNDUP((V$1)/10,0)*10,[1]Hugst!$R$4:$W$4,0))))</f>
        <v>0</v>
      </c>
      <c r="W173">
        <f>IF($C173-W$1&lt;År1,0,V172*(1-VLOOKUP($A173,[1]Hugst!$R$5:$W$9,MATCH(ROUNDUP((W$1)/10,0)*10,[1]Hugst!$R$4:$W$4,0))))</f>
        <v>0</v>
      </c>
      <c r="X173">
        <f>IF($C173-X$1&lt;År1,0,W172*(1-VLOOKUP($A173,[1]Hugst!$R$5:$W$9,MATCH(ROUNDUP((X$1)/10,0)*10,[1]Hugst!$R$4:$W$4,0))))</f>
        <v>0</v>
      </c>
      <c r="Y173">
        <f>IF($C173-Y$1&lt;År1,0,X172*(1-VLOOKUP($A173,[1]Hugst!$R$5:$W$9,MATCH(ROUNDUP((Y$1)/10,0)*10,[1]Hugst!$R$4:$W$4,0))))</f>
        <v>0</v>
      </c>
      <c r="Z173">
        <f>IF($C173-Z$1&lt;År1,0,Y172*(1-VLOOKUP($A173,[1]Hugst!$R$5:$W$9,MATCH(ROUNDUP((Z$1)/10,0)*10,[1]Hugst!$R$4:$W$4,0))))</f>
        <v>0</v>
      </c>
      <c r="AA173">
        <f>IF($C173-AA$1&lt;År1,0,Z172*(1-VLOOKUP($A173,[1]Hugst!$R$5:$W$9,MATCH(ROUNDUP((AA$1)/10,0)*10,[1]Hugst!$R$4:$W$4,0))))</f>
        <v>0</v>
      </c>
      <c r="AB173">
        <f>IF($C173-AB$1&lt;År1,0,AA172*(1-VLOOKUP($A173,[1]Hugst!$R$5:$W$9,MATCH(ROUNDUP((AB$1)/10,0)*10,[1]Hugst!$R$4:$W$4,0))))</f>
        <v>0</v>
      </c>
      <c r="AC173">
        <f>IF($C173-AC$1&lt;År1,0,AB172*(1-VLOOKUP($A173,[1]Hugst!$R$5:$W$9,MATCH(ROUNDUP((AC$1)/10,0)*10,[1]Hugst!$R$4:$W$4,0))))</f>
        <v>0</v>
      </c>
      <c r="AD173">
        <f>IF($C173-AD$1&lt;År1,0,AC172*(1-VLOOKUP($A173,[1]Hugst!$R$5:$W$9,MATCH(ROUNDUP((AD$1)/10,0)*10,[1]Hugst!$R$4:$W$4,0))))</f>
        <v>0</v>
      </c>
      <c r="AE173">
        <f>IF($C173-AE$1&lt;År1,0,AD172*(1-VLOOKUP($A173,[1]Hugst!$R$5:$W$9,MATCH(ROUNDUP((AE$1)/10,0)*10,[1]Hugst!$R$4:$W$4,0))))</f>
        <v>0</v>
      </c>
      <c r="AF173">
        <f>IF($C173-AF$1&lt;År1,0,AE172*(1-VLOOKUP($A173,[1]Hugst!$R$5:$W$9,MATCH(ROUNDUP((AF$1)/10,0)*10,[1]Hugst!$R$4:$W$4,0))))</f>
        <v>0</v>
      </c>
      <c r="AG173">
        <f>IF($C173-AG$1&lt;År1,0,AF172*(1-VLOOKUP($A173,[1]Hugst!$R$5:$W$9,MATCH(ROUNDUP((AG$1)/10,0)*10,[1]Hugst!$R$4:$W$4,0))))</f>
        <v>0</v>
      </c>
      <c r="AH173">
        <f>IF($C173-AH$1&lt;År1,0,AG172*(1-VLOOKUP($A173,[1]Hugst!$R$5:$W$9,MATCH(ROUNDUP((AH$1)/10,0)*10,[1]Hugst!$R$4:$W$4,0))))</f>
        <v>0</v>
      </c>
      <c r="AI173">
        <f>IF($C173-AI$1&lt;År1,0,AH172*(1-VLOOKUP($A173,[1]Hugst!$R$5:$W$9,MATCH(ROUNDUP((AI$1)/10,0)*10,[1]Hugst!$R$4:$W$4,0))))</f>
        <v>0</v>
      </c>
      <c r="AJ173">
        <f>IF($C173-AJ$1&lt;År1,0,AI172*(1-VLOOKUP($A173,[1]Hugst!$R$5:$W$9,MATCH(ROUNDUP((AJ$1)/10,0)*10,[1]Hugst!$R$4:$W$4,0))))</f>
        <v>0</v>
      </c>
    </row>
    <row r="174" spans="1:36" x14ac:dyDescent="0.25">
      <c r="A174" t="s">
        <v>178</v>
      </c>
      <c r="B174" t="s">
        <v>24</v>
      </c>
      <c r="C174">
        <v>2037</v>
      </c>
      <c r="D174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0</v>
      </c>
      <c r="E174">
        <f t="shared" ca="1" si="3"/>
        <v>0</v>
      </c>
      <c r="F174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>
        <f ca="1">IF($C174-G$1&lt;År1,0,F173*(1-VLOOKUP($A174,[1]Hugst!$R$5:$W$9,MATCH(ROUNDUP((G$1)/10,0)*10,[1]Hugst!$R$4:$W$4,0))))</f>
        <v>0</v>
      </c>
      <c r="H174">
        <f ca="1">IF($C174-H$1&lt;År1,0,G173*(1-VLOOKUP($A174,[1]Hugst!$R$5:$W$9,MATCH(ROUNDUP((H$1)/10,0)*10,[1]Hugst!$R$4:$W$4,0))))</f>
        <v>0</v>
      </c>
      <c r="I174">
        <f ca="1">IF($C174-I$1&lt;År1,0,H173*(1-VLOOKUP($A174,[1]Hugst!$R$5:$W$9,MATCH(ROUNDUP((I$1)/10,0)*10,[1]Hugst!$R$4:$W$4,0))))</f>
        <v>0</v>
      </c>
      <c r="J174">
        <f ca="1">IF($C174-J$1&lt;År1,0,I173*(1-VLOOKUP($A174,[1]Hugst!$R$5:$W$9,MATCH(ROUNDUP((J$1)/10,0)*10,[1]Hugst!$R$4:$W$4,0))))</f>
        <v>0</v>
      </c>
      <c r="K174">
        <f ca="1">IF($C174-K$1&lt;År1,0,J173*(1-VLOOKUP($A174,[1]Hugst!$R$5:$W$9,MATCH(ROUNDUP((K$1)/10,0)*10,[1]Hugst!$R$4:$W$4,0))))</f>
        <v>0</v>
      </c>
      <c r="L174">
        <f ca="1">IF($C174-L$1&lt;År1,0,K173*(1-VLOOKUP($A174,[1]Hugst!$R$5:$W$9,MATCH(ROUNDUP((L$1)/10,0)*10,[1]Hugst!$R$4:$W$4,0))))</f>
        <v>0</v>
      </c>
      <c r="M174">
        <f ca="1">IF($C174-M$1&lt;År1,0,L173*(1-VLOOKUP($A174,[1]Hugst!$R$5:$W$9,MATCH(ROUNDUP((M$1)/10,0)*10,[1]Hugst!$R$4:$W$4,0))))</f>
        <v>0</v>
      </c>
      <c r="N174">
        <f ca="1">IF($C174-N$1&lt;År1,0,M173*(1-VLOOKUP($A174,[1]Hugst!$R$5:$W$9,MATCH(ROUNDUP((N$1)/10,0)*10,[1]Hugst!$R$4:$W$4,0))))</f>
        <v>0</v>
      </c>
      <c r="O174">
        <f ca="1">IF($C174-O$1&lt;År1,0,N173*(1-VLOOKUP($A174,[1]Hugst!$R$5:$W$9,MATCH(ROUNDUP((O$1)/10,0)*10,[1]Hugst!$R$4:$W$4,0))))</f>
        <v>0</v>
      </c>
      <c r="P174">
        <f ca="1">IF($C174-P$1&lt;År1,0,O173*(1-VLOOKUP($A174,[1]Hugst!$R$5:$W$9,MATCH(ROUNDUP((P$1)/10,0)*10,[1]Hugst!$R$4:$W$4,0))))</f>
        <v>0</v>
      </c>
      <c r="Q174">
        <f ca="1">IF($C174-Q$1&lt;År1,0,P173*(1-VLOOKUP($A174,[1]Hugst!$R$5:$W$9,MATCH(ROUNDUP((Q$1)/10,0)*10,[1]Hugst!$R$4:$W$4,0))))</f>
        <v>0</v>
      </c>
      <c r="R174">
        <f ca="1">IF($C174-R$1&lt;År1,0,Q173*(1-VLOOKUP($A174,[1]Hugst!$R$5:$W$9,MATCH(ROUNDUP((R$1)/10,0)*10,[1]Hugst!$R$4:$W$4,0))))</f>
        <v>0</v>
      </c>
      <c r="S174">
        <f ca="1">IF($C174-S$1&lt;År1,0,R173*(1-VLOOKUP($A174,[1]Hugst!$R$5:$W$9,MATCH(ROUNDUP((S$1)/10,0)*10,[1]Hugst!$R$4:$W$4,0))))</f>
        <v>0</v>
      </c>
      <c r="T174">
        <f ca="1">IF($C174-T$1&lt;År1,0,S173*(1-VLOOKUP($A174,[1]Hugst!$R$5:$W$9,MATCH(ROUNDUP((T$1)/10,0)*10,[1]Hugst!$R$4:$W$4,0))))</f>
        <v>0</v>
      </c>
      <c r="U174">
        <f ca="1">IF($C174-U$1&lt;År1,0,T173*(1-VLOOKUP($A174,[1]Hugst!$R$5:$W$9,MATCH(ROUNDUP((U$1)/10,0)*10,[1]Hugst!$R$4:$W$4,0))))</f>
        <v>0</v>
      </c>
      <c r="V174">
        <f ca="1">IF($C174-V$1&lt;År1,0,U173*(1-VLOOKUP($A174,[1]Hugst!$R$5:$W$9,MATCH(ROUNDUP((V$1)/10,0)*10,[1]Hugst!$R$4:$W$4,0))))</f>
        <v>0</v>
      </c>
      <c r="W174">
        <f ca="1">IF($C174-W$1&lt;År1,0,V173*(1-VLOOKUP($A174,[1]Hugst!$R$5:$W$9,MATCH(ROUNDUP((W$1)/10,0)*10,[1]Hugst!$R$4:$W$4,0))))</f>
        <v>0</v>
      </c>
      <c r="X174">
        <f>IF($C174-X$1&lt;År1,0,W173*(1-VLOOKUP($A174,[1]Hugst!$R$5:$W$9,MATCH(ROUNDUP((X$1)/10,0)*10,[1]Hugst!$R$4:$W$4,0))))</f>
        <v>0</v>
      </c>
      <c r="Y174">
        <f>IF($C174-Y$1&lt;År1,0,X173*(1-VLOOKUP($A174,[1]Hugst!$R$5:$W$9,MATCH(ROUNDUP((Y$1)/10,0)*10,[1]Hugst!$R$4:$W$4,0))))</f>
        <v>0</v>
      </c>
      <c r="Z174">
        <f>IF($C174-Z$1&lt;År1,0,Y173*(1-VLOOKUP($A174,[1]Hugst!$R$5:$W$9,MATCH(ROUNDUP((Z$1)/10,0)*10,[1]Hugst!$R$4:$W$4,0))))</f>
        <v>0</v>
      </c>
      <c r="AA174">
        <f>IF($C174-AA$1&lt;År1,0,Z173*(1-VLOOKUP($A174,[1]Hugst!$R$5:$W$9,MATCH(ROUNDUP((AA$1)/10,0)*10,[1]Hugst!$R$4:$W$4,0))))</f>
        <v>0</v>
      </c>
      <c r="AB174">
        <f>IF($C174-AB$1&lt;År1,0,AA173*(1-VLOOKUP($A174,[1]Hugst!$R$5:$W$9,MATCH(ROUNDUP((AB$1)/10,0)*10,[1]Hugst!$R$4:$W$4,0))))</f>
        <v>0</v>
      </c>
      <c r="AC174">
        <f>IF($C174-AC$1&lt;År1,0,AB173*(1-VLOOKUP($A174,[1]Hugst!$R$5:$W$9,MATCH(ROUNDUP((AC$1)/10,0)*10,[1]Hugst!$R$4:$W$4,0))))</f>
        <v>0</v>
      </c>
      <c r="AD174">
        <f>IF($C174-AD$1&lt;År1,0,AC173*(1-VLOOKUP($A174,[1]Hugst!$R$5:$W$9,MATCH(ROUNDUP((AD$1)/10,0)*10,[1]Hugst!$R$4:$W$4,0))))</f>
        <v>0</v>
      </c>
      <c r="AE174">
        <f>IF($C174-AE$1&lt;År1,0,AD173*(1-VLOOKUP($A174,[1]Hugst!$R$5:$W$9,MATCH(ROUNDUP((AE$1)/10,0)*10,[1]Hugst!$R$4:$W$4,0))))</f>
        <v>0</v>
      </c>
      <c r="AF174">
        <f>IF($C174-AF$1&lt;År1,0,AE173*(1-VLOOKUP($A174,[1]Hugst!$R$5:$W$9,MATCH(ROUNDUP((AF$1)/10,0)*10,[1]Hugst!$R$4:$W$4,0))))</f>
        <v>0</v>
      </c>
      <c r="AG174">
        <f>IF($C174-AG$1&lt;År1,0,AF173*(1-VLOOKUP($A174,[1]Hugst!$R$5:$W$9,MATCH(ROUNDUP((AG$1)/10,0)*10,[1]Hugst!$R$4:$W$4,0))))</f>
        <v>0</v>
      </c>
      <c r="AH174">
        <f>IF($C174-AH$1&lt;År1,0,AG173*(1-VLOOKUP($A174,[1]Hugst!$R$5:$W$9,MATCH(ROUNDUP((AH$1)/10,0)*10,[1]Hugst!$R$4:$W$4,0))))</f>
        <v>0</v>
      </c>
      <c r="AI174">
        <f>IF($C174-AI$1&lt;År1,0,AH173*(1-VLOOKUP($A174,[1]Hugst!$R$5:$W$9,MATCH(ROUNDUP((AI$1)/10,0)*10,[1]Hugst!$R$4:$W$4,0))))</f>
        <v>0</v>
      </c>
      <c r="AJ174">
        <f>IF($C174-AJ$1&lt;År1,0,AI173*(1-VLOOKUP($A174,[1]Hugst!$R$5:$W$9,MATCH(ROUNDUP((AJ$1)/10,0)*10,[1]Hugst!$R$4:$W$4,0))))</f>
        <v>0</v>
      </c>
    </row>
    <row r="175" spans="1:36" x14ac:dyDescent="0.25">
      <c r="A175" t="s">
        <v>178</v>
      </c>
      <c r="B175" t="s">
        <v>24</v>
      </c>
      <c r="C175">
        <v>2038</v>
      </c>
      <c r="D175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0</v>
      </c>
      <c r="E175">
        <f t="shared" ca="1" si="3"/>
        <v>0</v>
      </c>
      <c r="F175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>
        <f ca="1">IF($C175-G$1&lt;År1,0,F174*(1-VLOOKUP($A175,[1]Hugst!$R$5:$W$9,MATCH(ROUNDUP((G$1)/10,0)*10,[1]Hugst!$R$4:$W$4,0))))</f>
        <v>0</v>
      </c>
      <c r="H175">
        <f ca="1">IF($C175-H$1&lt;År1,0,G174*(1-VLOOKUP($A175,[1]Hugst!$R$5:$W$9,MATCH(ROUNDUP((H$1)/10,0)*10,[1]Hugst!$R$4:$W$4,0))))</f>
        <v>0</v>
      </c>
      <c r="I175">
        <f ca="1">IF($C175-I$1&lt;År1,0,H174*(1-VLOOKUP($A175,[1]Hugst!$R$5:$W$9,MATCH(ROUNDUP((I$1)/10,0)*10,[1]Hugst!$R$4:$W$4,0))))</f>
        <v>0</v>
      </c>
      <c r="J175">
        <f ca="1">IF($C175-J$1&lt;År1,0,I174*(1-VLOOKUP($A175,[1]Hugst!$R$5:$W$9,MATCH(ROUNDUP((J$1)/10,0)*10,[1]Hugst!$R$4:$W$4,0))))</f>
        <v>0</v>
      </c>
      <c r="K175">
        <f ca="1">IF($C175-K$1&lt;År1,0,J174*(1-VLOOKUP($A175,[1]Hugst!$R$5:$W$9,MATCH(ROUNDUP((K$1)/10,0)*10,[1]Hugst!$R$4:$W$4,0))))</f>
        <v>0</v>
      </c>
      <c r="L175">
        <f ca="1">IF($C175-L$1&lt;År1,0,K174*(1-VLOOKUP($A175,[1]Hugst!$R$5:$W$9,MATCH(ROUNDUP((L$1)/10,0)*10,[1]Hugst!$R$4:$W$4,0))))</f>
        <v>0</v>
      </c>
      <c r="M175">
        <f ca="1">IF($C175-M$1&lt;År1,0,L174*(1-VLOOKUP($A175,[1]Hugst!$R$5:$W$9,MATCH(ROUNDUP((M$1)/10,0)*10,[1]Hugst!$R$4:$W$4,0))))</f>
        <v>0</v>
      </c>
      <c r="N175">
        <f ca="1">IF($C175-N$1&lt;År1,0,M174*(1-VLOOKUP($A175,[1]Hugst!$R$5:$W$9,MATCH(ROUNDUP((N$1)/10,0)*10,[1]Hugst!$R$4:$W$4,0))))</f>
        <v>0</v>
      </c>
      <c r="O175">
        <f ca="1">IF($C175-O$1&lt;År1,0,N174*(1-VLOOKUP($A175,[1]Hugst!$R$5:$W$9,MATCH(ROUNDUP((O$1)/10,0)*10,[1]Hugst!$R$4:$W$4,0))))</f>
        <v>0</v>
      </c>
      <c r="P175">
        <f ca="1">IF($C175-P$1&lt;År1,0,O174*(1-VLOOKUP($A175,[1]Hugst!$R$5:$W$9,MATCH(ROUNDUP((P$1)/10,0)*10,[1]Hugst!$R$4:$W$4,0))))</f>
        <v>0</v>
      </c>
      <c r="Q175">
        <f ca="1">IF($C175-Q$1&lt;År1,0,P174*(1-VLOOKUP($A175,[1]Hugst!$R$5:$W$9,MATCH(ROUNDUP((Q$1)/10,0)*10,[1]Hugst!$R$4:$W$4,0))))</f>
        <v>0</v>
      </c>
      <c r="R175">
        <f ca="1">IF($C175-R$1&lt;År1,0,Q174*(1-VLOOKUP($A175,[1]Hugst!$R$5:$W$9,MATCH(ROUNDUP((R$1)/10,0)*10,[1]Hugst!$R$4:$W$4,0))))</f>
        <v>0</v>
      </c>
      <c r="S175">
        <f ca="1">IF($C175-S$1&lt;År1,0,R174*(1-VLOOKUP($A175,[1]Hugst!$R$5:$W$9,MATCH(ROUNDUP((S$1)/10,0)*10,[1]Hugst!$R$4:$W$4,0))))</f>
        <v>0</v>
      </c>
      <c r="T175">
        <f ca="1">IF($C175-T$1&lt;År1,0,S174*(1-VLOOKUP($A175,[1]Hugst!$R$5:$W$9,MATCH(ROUNDUP((T$1)/10,0)*10,[1]Hugst!$R$4:$W$4,0))))</f>
        <v>0</v>
      </c>
      <c r="U175">
        <f ca="1">IF($C175-U$1&lt;År1,0,T174*(1-VLOOKUP($A175,[1]Hugst!$R$5:$W$9,MATCH(ROUNDUP((U$1)/10,0)*10,[1]Hugst!$R$4:$W$4,0))))</f>
        <v>0</v>
      </c>
      <c r="V175">
        <f ca="1">IF($C175-V$1&lt;År1,0,U174*(1-VLOOKUP($A175,[1]Hugst!$R$5:$W$9,MATCH(ROUNDUP((V$1)/10,0)*10,[1]Hugst!$R$4:$W$4,0))))</f>
        <v>0</v>
      </c>
      <c r="W175">
        <f ca="1">IF($C175-W$1&lt;År1,0,V174*(1-VLOOKUP($A175,[1]Hugst!$R$5:$W$9,MATCH(ROUNDUP((W$1)/10,0)*10,[1]Hugst!$R$4:$W$4,0))))</f>
        <v>0</v>
      </c>
      <c r="X175">
        <f ca="1">IF($C175-X$1&lt;År1,0,W174*(1-VLOOKUP($A175,[1]Hugst!$R$5:$W$9,MATCH(ROUNDUP((X$1)/10,0)*10,[1]Hugst!$R$4:$W$4,0))))</f>
        <v>0</v>
      </c>
      <c r="Y175">
        <f>IF($C175-Y$1&lt;År1,0,X174*(1-VLOOKUP($A175,[1]Hugst!$R$5:$W$9,MATCH(ROUNDUP((Y$1)/10,0)*10,[1]Hugst!$R$4:$W$4,0))))</f>
        <v>0</v>
      </c>
      <c r="Z175">
        <f>IF($C175-Z$1&lt;År1,0,Y174*(1-VLOOKUP($A175,[1]Hugst!$R$5:$W$9,MATCH(ROUNDUP((Z$1)/10,0)*10,[1]Hugst!$R$4:$W$4,0))))</f>
        <v>0</v>
      </c>
      <c r="AA175">
        <f>IF($C175-AA$1&lt;År1,0,Z174*(1-VLOOKUP($A175,[1]Hugst!$R$5:$W$9,MATCH(ROUNDUP((AA$1)/10,0)*10,[1]Hugst!$R$4:$W$4,0))))</f>
        <v>0</v>
      </c>
      <c r="AB175">
        <f>IF($C175-AB$1&lt;År1,0,AA174*(1-VLOOKUP($A175,[1]Hugst!$R$5:$W$9,MATCH(ROUNDUP((AB$1)/10,0)*10,[1]Hugst!$R$4:$W$4,0))))</f>
        <v>0</v>
      </c>
      <c r="AC175">
        <f>IF($C175-AC$1&lt;År1,0,AB174*(1-VLOOKUP($A175,[1]Hugst!$R$5:$W$9,MATCH(ROUNDUP((AC$1)/10,0)*10,[1]Hugst!$R$4:$W$4,0))))</f>
        <v>0</v>
      </c>
      <c r="AD175">
        <f>IF($C175-AD$1&lt;År1,0,AC174*(1-VLOOKUP($A175,[1]Hugst!$R$5:$W$9,MATCH(ROUNDUP((AD$1)/10,0)*10,[1]Hugst!$R$4:$W$4,0))))</f>
        <v>0</v>
      </c>
      <c r="AE175">
        <f>IF($C175-AE$1&lt;År1,0,AD174*(1-VLOOKUP($A175,[1]Hugst!$R$5:$W$9,MATCH(ROUNDUP((AE$1)/10,0)*10,[1]Hugst!$R$4:$W$4,0))))</f>
        <v>0</v>
      </c>
      <c r="AF175">
        <f>IF($C175-AF$1&lt;År1,0,AE174*(1-VLOOKUP($A175,[1]Hugst!$R$5:$W$9,MATCH(ROUNDUP((AF$1)/10,0)*10,[1]Hugst!$R$4:$W$4,0))))</f>
        <v>0</v>
      </c>
      <c r="AG175">
        <f>IF($C175-AG$1&lt;År1,0,AF174*(1-VLOOKUP($A175,[1]Hugst!$R$5:$W$9,MATCH(ROUNDUP((AG$1)/10,0)*10,[1]Hugst!$R$4:$W$4,0))))</f>
        <v>0</v>
      </c>
      <c r="AH175">
        <f>IF($C175-AH$1&lt;År1,0,AG174*(1-VLOOKUP($A175,[1]Hugst!$R$5:$W$9,MATCH(ROUNDUP((AH$1)/10,0)*10,[1]Hugst!$R$4:$W$4,0))))</f>
        <v>0</v>
      </c>
      <c r="AI175">
        <f>IF($C175-AI$1&lt;År1,0,AH174*(1-VLOOKUP($A175,[1]Hugst!$R$5:$W$9,MATCH(ROUNDUP((AI$1)/10,0)*10,[1]Hugst!$R$4:$W$4,0))))</f>
        <v>0</v>
      </c>
      <c r="AJ175">
        <f>IF($C175-AJ$1&lt;År1,0,AI174*(1-VLOOKUP($A175,[1]Hugst!$R$5:$W$9,MATCH(ROUNDUP((AJ$1)/10,0)*10,[1]Hugst!$R$4:$W$4,0))))</f>
        <v>0</v>
      </c>
    </row>
    <row r="176" spans="1:36" x14ac:dyDescent="0.25">
      <c r="A176" t="s">
        <v>178</v>
      </c>
      <c r="B176" t="s">
        <v>24</v>
      </c>
      <c r="C176">
        <v>2039</v>
      </c>
      <c r="D176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0</v>
      </c>
      <c r="E176">
        <f t="shared" ca="1" si="3"/>
        <v>0</v>
      </c>
      <c r="F176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>
        <f ca="1">IF($C176-G$1&lt;År1,0,F175*(1-VLOOKUP($A176,[1]Hugst!$R$5:$W$9,MATCH(ROUNDUP((G$1)/10,0)*10,[1]Hugst!$R$4:$W$4,0))))</f>
        <v>0</v>
      </c>
      <c r="H176">
        <f ca="1">IF($C176-H$1&lt;År1,0,G175*(1-VLOOKUP($A176,[1]Hugst!$R$5:$W$9,MATCH(ROUNDUP((H$1)/10,0)*10,[1]Hugst!$R$4:$W$4,0))))</f>
        <v>0</v>
      </c>
      <c r="I176">
        <f ca="1">IF($C176-I$1&lt;År1,0,H175*(1-VLOOKUP($A176,[1]Hugst!$R$5:$W$9,MATCH(ROUNDUP((I$1)/10,0)*10,[1]Hugst!$R$4:$W$4,0))))</f>
        <v>0</v>
      </c>
      <c r="J176">
        <f ca="1">IF($C176-J$1&lt;År1,0,I175*(1-VLOOKUP($A176,[1]Hugst!$R$5:$W$9,MATCH(ROUNDUP((J$1)/10,0)*10,[1]Hugst!$R$4:$W$4,0))))</f>
        <v>0</v>
      </c>
      <c r="K176">
        <f ca="1">IF($C176-K$1&lt;År1,0,J175*(1-VLOOKUP($A176,[1]Hugst!$R$5:$W$9,MATCH(ROUNDUP((K$1)/10,0)*10,[1]Hugst!$R$4:$W$4,0))))</f>
        <v>0</v>
      </c>
      <c r="L176">
        <f ca="1">IF($C176-L$1&lt;År1,0,K175*(1-VLOOKUP($A176,[1]Hugst!$R$5:$W$9,MATCH(ROUNDUP((L$1)/10,0)*10,[1]Hugst!$R$4:$W$4,0))))</f>
        <v>0</v>
      </c>
      <c r="M176">
        <f ca="1">IF($C176-M$1&lt;År1,0,L175*(1-VLOOKUP($A176,[1]Hugst!$R$5:$W$9,MATCH(ROUNDUP((M$1)/10,0)*10,[1]Hugst!$R$4:$W$4,0))))</f>
        <v>0</v>
      </c>
      <c r="N176">
        <f ca="1">IF($C176-N$1&lt;År1,0,M175*(1-VLOOKUP($A176,[1]Hugst!$R$5:$W$9,MATCH(ROUNDUP((N$1)/10,0)*10,[1]Hugst!$R$4:$W$4,0))))</f>
        <v>0</v>
      </c>
      <c r="O176">
        <f ca="1">IF($C176-O$1&lt;År1,0,N175*(1-VLOOKUP($A176,[1]Hugst!$R$5:$W$9,MATCH(ROUNDUP((O$1)/10,0)*10,[1]Hugst!$R$4:$W$4,0))))</f>
        <v>0</v>
      </c>
      <c r="P176">
        <f ca="1">IF($C176-P$1&lt;År1,0,O175*(1-VLOOKUP($A176,[1]Hugst!$R$5:$W$9,MATCH(ROUNDUP((P$1)/10,0)*10,[1]Hugst!$R$4:$W$4,0))))</f>
        <v>0</v>
      </c>
      <c r="Q176">
        <f ca="1">IF($C176-Q$1&lt;År1,0,P175*(1-VLOOKUP($A176,[1]Hugst!$R$5:$W$9,MATCH(ROUNDUP((Q$1)/10,0)*10,[1]Hugst!$R$4:$W$4,0))))</f>
        <v>0</v>
      </c>
      <c r="R176">
        <f ca="1">IF($C176-R$1&lt;År1,0,Q175*(1-VLOOKUP($A176,[1]Hugst!$R$5:$W$9,MATCH(ROUNDUP((R$1)/10,0)*10,[1]Hugst!$R$4:$W$4,0))))</f>
        <v>0</v>
      </c>
      <c r="S176">
        <f ca="1">IF($C176-S$1&lt;År1,0,R175*(1-VLOOKUP($A176,[1]Hugst!$R$5:$W$9,MATCH(ROUNDUP((S$1)/10,0)*10,[1]Hugst!$R$4:$W$4,0))))</f>
        <v>0</v>
      </c>
      <c r="T176">
        <f ca="1">IF($C176-T$1&lt;År1,0,S175*(1-VLOOKUP($A176,[1]Hugst!$R$5:$W$9,MATCH(ROUNDUP((T$1)/10,0)*10,[1]Hugst!$R$4:$W$4,0))))</f>
        <v>0</v>
      </c>
      <c r="U176">
        <f ca="1">IF($C176-U$1&lt;År1,0,T175*(1-VLOOKUP($A176,[1]Hugst!$R$5:$W$9,MATCH(ROUNDUP((U$1)/10,0)*10,[1]Hugst!$R$4:$W$4,0))))</f>
        <v>0</v>
      </c>
      <c r="V176">
        <f ca="1">IF($C176-V$1&lt;År1,0,U175*(1-VLOOKUP($A176,[1]Hugst!$R$5:$W$9,MATCH(ROUNDUP((V$1)/10,0)*10,[1]Hugst!$R$4:$W$4,0))))</f>
        <v>0</v>
      </c>
      <c r="W176">
        <f ca="1">IF($C176-W$1&lt;År1,0,V175*(1-VLOOKUP($A176,[1]Hugst!$R$5:$W$9,MATCH(ROUNDUP((W$1)/10,0)*10,[1]Hugst!$R$4:$W$4,0))))</f>
        <v>0</v>
      </c>
      <c r="X176">
        <f ca="1">IF($C176-X$1&lt;År1,0,W175*(1-VLOOKUP($A176,[1]Hugst!$R$5:$W$9,MATCH(ROUNDUP((X$1)/10,0)*10,[1]Hugst!$R$4:$W$4,0))))</f>
        <v>0</v>
      </c>
      <c r="Y176">
        <f ca="1">IF($C176-Y$1&lt;År1,0,X175*(1-VLOOKUP($A176,[1]Hugst!$R$5:$W$9,MATCH(ROUNDUP((Y$1)/10,0)*10,[1]Hugst!$R$4:$W$4,0))))</f>
        <v>0</v>
      </c>
      <c r="Z176">
        <f>IF($C176-Z$1&lt;År1,0,Y175*(1-VLOOKUP($A176,[1]Hugst!$R$5:$W$9,MATCH(ROUNDUP((Z$1)/10,0)*10,[1]Hugst!$R$4:$W$4,0))))</f>
        <v>0</v>
      </c>
      <c r="AA176">
        <f>IF($C176-AA$1&lt;År1,0,Z175*(1-VLOOKUP($A176,[1]Hugst!$R$5:$W$9,MATCH(ROUNDUP((AA$1)/10,0)*10,[1]Hugst!$R$4:$W$4,0))))</f>
        <v>0</v>
      </c>
      <c r="AB176">
        <f>IF($C176-AB$1&lt;År1,0,AA175*(1-VLOOKUP($A176,[1]Hugst!$R$5:$W$9,MATCH(ROUNDUP((AB$1)/10,0)*10,[1]Hugst!$R$4:$W$4,0))))</f>
        <v>0</v>
      </c>
      <c r="AC176">
        <f>IF($C176-AC$1&lt;År1,0,AB175*(1-VLOOKUP($A176,[1]Hugst!$R$5:$W$9,MATCH(ROUNDUP((AC$1)/10,0)*10,[1]Hugst!$R$4:$W$4,0))))</f>
        <v>0</v>
      </c>
      <c r="AD176">
        <f>IF($C176-AD$1&lt;År1,0,AC175*(1-VLOOKUP($A176,[1]Hugst!$R$5:$W$9,MATCH(ROUNDUP((AD$1)/10,0)*10,[1]Hugst!$R$4:$W$4,0))))</f>
        <v>0</v>
      </c>
      <c r="AE176">
        <f>IF($C176-AE$1&lt;År1,0,AD175*(1-VLOOKUP($A176,[1]Hugst!$R$5:$W$9,MATCH(ROUNDUP((AE$1)/10,0)*10,[1]Hugst!$R$4:$W$4,0))))</f>
        <v>0</v>
      </c>
      <c r="AF176">
        <f>IF($C176-AF$1&lt;År1,0,AE175*(1-VLOOKUP($A176,[1]Hugst!$R$5:$W$9,MATCH(ROUNDUP((AF$1)/10,0)*10,[1]Hugst!$R$4:$W$4,0))))</f>
        <v>0</v>
      </c>
      <c r="AG176">
        <f>IF($C176-AG$1&lt;År1,0,AF175*(1-VLOOKUP($A176,[1]Hugst!$R$5:$W$9,MATCH(ROUNDUP((AG$1)/10,0)*10,[1]Hugst!$R$4:$W$4,0))))</f>
        <v>0</v>
      </c>
      <c r="AH176">
        <f>IF($C176-AH$1&lt;År1,0,AG175*(1-VLOOKUP($A176,[1]Hugst!$R$5:$W$9,MATCH(ROUNDUP((AH$1)/10,0)*10,[1]Hugst!$R$4:$W$4,0))))</f>
        <v>0</v>
      </c>
      <c r="AI176">
        <f>IF($C176-AI$1&lt;År1,0,AH175*(1-VLOOKUP($A176,[1]Hugst!$R$5:$W$9,MATCH(ROUNDUP((AI$1)/10,0)*10,[1]Hugst!$R$4:$W$4,0))))</f>
        <v>0</v>
      </c>
      <c r="AJ176">
        <f>IF($C176-AJ$1&lt;År1,0,AI175*(1-VLOOKUP($A176,[1]Hugst!$R$5:$W$9,MATCH(ROUNDUP((AJ$1)/10,0)*10,[1]Hugst!$R$4:$W$4,0))))</f>
        <v>0</v>
      </c>
    </row>
    <row r="177" spans="1:36" x14ac:dyDescent="0.25">
      <c r="A177" t="s">
        <v>178</v>
      </c>
      <c r="B177" t="s">
        <v>24</v>
      </c>
      <c r="C177">
        <v>2040</v>
      </c>
      <c r="D177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0</v>
      </c>
      <c r="E177">
        <f t="shared" ca="1" si="3"/>
        <v>0</v>
      </c>
      <c r="F177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>
        <f ca="1">IF($C177-G$1&lt;År1,0,F176*(1-VLOOKUP($A177,[1]Hugst!$R$5:$W$9,MATCH(ROUNDUP((G$1)/10,0)*10,[1]Hugst!$R$4:$W$4,0))))</f>
        <v>0</v>
      </c>
      <c r="H177">
        <f ca="1">IF($C177-H$1&lt;År1,0,G176*(1-VLOOKUP($A177,[1]Hugst!$R$5:$W$9,MATCH(ROUNDUP((H$1)/10,0)*10,[1]Hugst!$R$4:$W$4,0))))</f>
        <v>0</v>
      </c>
      <c r="I177">
        <f ca="1">IF($C177-I$1&lt;År1,0,H176*(1-VLOOKUP($A177,[1]Hugst!$R$5:$W$9,MATCH(ROUNDUP((I$1)/10,0)*10,[1]Hugst!$R$4:$W$4,0))))</f>
        <v>0</v>
      </c>
      <c r="J177">
        <f ca="1">IF($C177-J$1&lt;År1,0,I176*(1-VLOOKUP($A177,[1]Hugst!$R$5:$W$9,MATCH(ROUNDUP((J$1)/10,0)*10,[1]Hugst!$R$4:$W$4,0))))</f>
        <v>0</v>
      </c>
      <c r="K177">
        <f ca="1">IF($C177-K$1&lt;År1,0,J176*(1-VLOOKUP($A177,[1]Hugst!$R$5:$W$9,MATCH(ROUNDUP((K$1)/10,0)*10,[1]Hugst!$R$4:$W$4,0))))</f>
        <v>0</v>
      </c>
      <c r="L177">
        <f ca="1">IF($C177-L$1&lt;År1,0,K176*(1-VLOOKUP($A177,[1]Hugst!$R$5:$W$9,MATCH(ROUNDUP((L$1)/10,0)*10,[1]Hugst!$R$4:$W$4,0))))</f>
        <v>0</v>
      </c>
      <c r="M177">
        <f ca="1">IF($C177-M$1&lt;År1,0,L176*(1-VLOOKUP($A177,[1]Hugst!$R$5:$W$9,MATCH(ROUNDUP((M$1)/10,0)*10,[1]Hugst!$R$4:$W$4,0))))</f>
        <v>0</v>
      </c>
      <c r="N177">
        <f ca="1">IF($C177-N$1&lt;År1,0,M176*(1-VLOOKUP($A177,[1]Hugst!$R$5:$W$9,MATCH(ROUNDUP((N$1)/10,0)*10,[1]Hugst!$R$4:$W$4,0))))</f>
        <v>0</v>
      </c>
      <c r="O177">
        <f ca="1">IF($C177-O$1&lt;År1,0,N176*(1-VLOOKUP($A177,[1]Hugst!$R$5:$W$9,MATCH(ROUNDUP((O$1)/10,0)*10,[1]Hugst!$R$4:$W$4,0))))</f>
        <v>0</v>
      </c>
      <c r="P177">
        <f ca="1">IF($C177-P$1&lt;År1,0,O176*(1-VLOOKUP($A177,[1]Hugst!$R$5:$W$9,MATCH(ROUNDUP((P$1)/10,0)*10,[1]Hugst!$R$4:$W$4,0))))</f>
        <v>0</v>
      </c>
      <c r="Q177">
        <f ca="1">IF($C177-Q$1&lt;År1,0,P176*(1-VLOOKUP($A177,[1]Hugst!$R$5:$W$9,MATCH(ROUNDUP((Q$1)/10,0)*10,[1]Hugst!$R$4:$W$4,0))))</f>
        <v>0</v>
      </c>
      <c r="R177">
        <f ca="1">IF($C177-R$1&lt;År1,0,Q176*(1-VLOOKUP($A177,[1]Hugst!$R$5:$W$9,MATCH(ROUNDUP((R$1)/10,0)*10,[1]Hugst!$R$4:$W$4,0))))</f>
        <v>0</v>
      </c>
      <c r="S177">
        <f ca="1">IF($C177-S$1&lt;År1,0,R176*(1-VLOOKUP($A177,[1]Hugst!$R$5:$W$9,MATCH(ROUNDUP((S$1)/10,0)*10,[1]Hugst!$R$4:$W$4,0))))</f>
        <v>0</v>
      </c>
      <c r="T177">
        <f ca="1">IF($C177-T$1&lt;År1,0,S176*(1-VLOOKUP($A177,[1]Hugst!$R$5:$W$9,MATCH(ROUNDUP((T$1)/10,0)*10,[1]Hugst!$R$4:$W$4,0))))</f>
        <v>0</v>
      </c>
      <c r="U177">
        <f ca="1">IF($C177-U$1&lt;År1,0,T176*(1-VLOOKUP($A177,[1]Hugst!$R$5:$W$9,MATCH(ROUNDUP((U$1)/10,0)*10,[1]Hugst!$R$4:$W$4,0))))</f>
        <v>0</v>
      </c>
      <c r="V177">
        <f ca="1">IF($C177-V$1&lt;År1,0,U176*(1-VLOOKUP($A177,[1]Hugst!$R$5:$W$9,MATCH(ROUNDUP((V$1)/10,0)*10,[1]Hugst!$R$4:$W$4,0))))</f>
        <v>0</v>
      </c>
      <c r="W177">
        <f ca="1">IF($C177-W$1&lt;År1,0,V176*(1-VLOOKUP($A177,[1]Hugst!$R$5:$W$9,MATCH(ROUNDUP((W$1)/10,0)*10,[1]Hugst!$R$4:$W$4,0))))</f>
        <v>0</v>
      </c>
      <c r="X177">
        <f ca="1">IF($C177-X$1&lt;År1,0,W176*(1-VLOOKUP($A177,[1]Hugst!$R$5:$W$9,MATCH(ROUNDUP((X$1)/10,0)*10,[1]Hugst!$R$4:$W$4,0))))</f>
        <v>0</v>
      </c>
      <c r="Y177">
        <f ca="1">IF($C177-Y$1&lt;År1,0,X176*(1-VLOOKUP($A177,[1]Hugst!$R$5:$W$9,MATCH(ROUNDUP((Y$1)/10,0)*10,[1]Hugst!$R$4:$W$4,0))))</f>
        <v>0</v>
      </c>
      <c r="Z177">
        <f ca="1">IF($C177-Z$1&lt;År1,0,Y176*(1-VLOOKUP($A177,[1]Hugst!$R$5:$W$9,MATCH(ROUNDUP((Z$1)/10,0)*10,[1]Hugst!$R$4:$W$4,0))))</f>
        <v>0</v>
      </c>
      <c r="AA177">
        <f>IF($C177-AA$1&lt;År1,0,Z176*(1-VLOOKUP($A177,[1]Hugst!$R$5:$W$9,MATCH(ROUNDUP((AA$1)/10,0)*10,[1]Hugst!$R$4:$W$4,0))))</f>
        <v>0</v>
      </c>
      <c r="AB177">
        <f>IF($C177-AB$1&lt;År1,0,AA176*(1-VLOOKUP($A177,[1]Hugst!$R$5:$W$9,MATCH(ROUNDUP((AB$1)/10,0)*10,[1]Hugst!$R$4:$W$4,0))))</f>
        <v>0</v>
      </c>
      <c r="AC177">
        <f>IF($C177-AC$1&lt;År1,0,AB176*(1-VLOOKUP($A177,[1]Hugst!$R$5:$W$9,MATCH(ROUNDUP((AC$1)/10,0)*10,[1]Hugst!$R$4:$W$4,0))))</f>
        <v>0</v>
      </c>
      <c r="AD177">
        <f>IF($C177-AD$1&lt;År1,0,AC176*(1-VLOOKUP($A177,[1]Hugst!$R$5:$W$9,MATCH(ROUNDUP((AD$1)/10,0)*10,[1]Hugst!$R$4:$W$4,0))))</f>
        <v>0</v>
      </c>
      <c r="AE177">
        <f>IF($C177-AE$1&lt;År1,0,AD176*(1-VLOOKUP($A177,[1]Hugst!$R$5:$W$9,MATCH(ROUNDUP((AE$1)/10,0)*10,[1]Hugst!$R$4:$W$4,0))))</f>
        <v>0</v>
      </c>
      <c r="AF177">
        <f>IF($C177-AF$1&lt;År1,0,AE176*(1-VLOOKUP($A177,[1]Hugst!$R$5:$W$9,MATCH(ROUNDUP((AF$1)/10,0)*10,[1]Hugst!$R$4:$W$4,0))))</f>
        <v>0</v>
      </c>
      <c r="AG177">
        <f>IF($C177-AG$1&lt;År1,0,AF176*(1-VLOOKUP($A177,[1]Hugst!$R$5:$W$9,MATCH(ROUNDUP((AG$1)/10,0)*10,[1]Hugst!$R$4:$W$4,0))))</f>
        <v>0</v>
      </c>
      <c r="AH177">
        <f>IF($C177-AH$1&lt;År1,0,AG176*(1-VLOOKUP($A177,[1]Hugst!$R$5:$W$9,MATCH(ROUNDUP((AH$1)/10,0)*10,[1]Hugst!$R$4:$W$4,0))))</f>
        <v>0</v>
      </c>
      <c r="AI177">
        <f>IF($C177-AI$1&lt;År1,0,AH176*(1-VLOOKUP($A177,[1]Hugst!$R$5:$W$9,MATCH(ROUNDUP((AI$1)/10,0)*10,[1]Hugst!$R$4:$W$4,0))))</f>
        <v>0</v>
      </c>
      <c r="AJ177">
        <f>IF($C177-AJ$1&lt;År1,0,AI176*(1-VLOOKUP($A177,[1]Hugst!$R$5:$W$9,MATCH(ROUNDUP((AJ$1)/10,0)*10,[1]Hugst!$R$4:$W$4,0))))</f>
        <v>0</v>
      </c>
    </row>
    <row r="178" spans="1:36" x14ac:dyDescent="0.25">
      <c r="A178" t="s">
        <v>178</v>
      </c>
      <c r="B178" t="s">
        <v>24</v>
      </c>
      <c r="C178">
        <v>2041</v>
      </c>
      <c r="D17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0</v>
      </c>
      <c r="E178">
        <f t="shared" ca="1" si="3"/>
        <v>0</v>
      </c>
      <c r="F17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>
        <f ca="1">IF($C178-G$1&lt;År1,0,F177*(1-VLOOKUP($A178,[1]Hugst!$R$5:$W$9,MATCH(ROUNDUP((G$1)/10,0)*10,[1]Hugst!$R$4:$W$4,0))))</f>
        <v>0</v>
      </c>
      <c r="H178">
        <f ca="1">IF($C178-H$1&lt;År1,0,G177*(1-VLOOKUP($A178,[1]Hugst!$R$5:$W$9,MATCH(ROUNDUP((H$1)/10,0)*10,[1]Hugst!$R$4:$W$4,0))))</f>
        <v>0</v>
      </c>
      <c r="I178">
        <f ca="1">IF($C178-I$1&lt;År1,0,H177*(1-VLOOKUP($A178,[1]Hugst!$R$5:$W$9,MATCH(ROUNDUP((I$1)/10,0)*10,[1]Hugst!$R$4:$W$4,0))))</f>
        <v>0</v>
      </c>
      <c r="J178">
        <f ca="1">IF($C178-J$1&lt;År1,0,I177*(1-VLOOKUP($A178,[1]Hugst!$R$5:$W$9,MATCH(ROUNDUP((J$1)/10,0)*10,[1]Hugst!$R$4:$W$4,0))))</f>
        <v>0</v>
      </c>
      <c r="K178">
        <f ca="1">IF($C178-K$1&lt;År1,0,J177*(1-VLOOKUP($A178,[1]Hugst!$R$5:$W$9,MATCH(ROUNDUP((K$1)/10,0)*10,[1]Hugst!$R$4:$W$4,0))))</f>
        <v>0</v>
      </c>
      <c r="L178">
        <f ca="1">IF($C178-L$1&lt;År1,0,K177*(1-VLOOKUP($A178,[1]Hugst!$R$5:$W$9,MATCH(ROUNDUP((L$1)/10,0)*10,[1]Hugst!$R$4:$W$4,0))))</f>
        <v>0</v>
      </c>
      <c r="M178">
        <f ca="1">IF($C178-M$1&lt;År1,0,L177*(1-VLOOKUP($A178,[1]Hugst!$R$5:$W$9,MATCH(ROUNDUP((M$1)/10,0)*10,[1]Hugst!$R$4:$W$4,0))))</f>
        <v>0</v>
      </c>
      <c r="N178">
        <f ca="1">IF($C178-N$1&lt;År1,0,M177*(1-VLOOKUP($A178,[1]Hugst!$R$5:$W$9,MATCH(ROUNDUP((N$1)/10,0)*10,[1]Hugst!$R$4:$W$4,0))))</f>
        <v>0</v>
      </c>
      <c r="O178">
        <f ca="1">IF($C178-O$1&lt;År1,0,N177*(1-VLOOKUP($A178,[1]Hugst!$R$5:$W$9,MATCH(ROUNDUP((O$1)/10,0)*10,[1]Hugst!$R$4:$W$4,0))))</f>
        <v>0</v>
      </c>
      <c r="P178">
        <f ca="1">IF($C178-P$1&lt;År1,0,O177*(1-VLOOKUP($A178,[1]Hugst!$R$5:$W$9,MATCH(ROUNDUP((P$1)/10,0)*10,[1]Hugst!$R$4:$W$4,0))))</f>
        <v>0</v>
      </c>
      <c r="Q178">
        <f ca="1">IF($C178-Q$1&lt;År1,0,P177*(1-VLOOKUP($A178,[1]Hugst!$R$5:$W$9,MATCH(ROUNDUP((Q$1)/10,0)*10,[1]Hugst!$R$4:$W$4,0))))</f>
        <v>0</v>
      </c>
      <c r="R178">
        <f ca="1">IF($C178-R$1&lt;År1,0,Q177*(1-VLOOKUP($A178,[1]Hugst!$R$5:$W$9,MATCH(ROUNDUP((R$1)/10,0)*10,[1]Hugst!$R$4:$W$4,0))))</f>
        <v>0</v>
      </c>
      <c r="S178">
        <f ca="1">IF($C178-S$1&lt;År1,0,R177*(1-VLOOKUP($A178,[1]Hugst!$R$5:$W$9,MATCH(ROUNDUP((S$1)/10,0)*10,[1]Hugst!$R$4:$W$4,0))))</f>
        <v>0</v>
      </c>
      <c r="T178">
        <f ca="1">IF($C178-T$1&lt;År1,0,S177*(1-VLOOKUP($A178,[1]Hugst!$R$5:$W$9,MATCH(ROUNDUP((T$1)/10,0)*10,[1]Hugst!$R$4:$W$4,0))))</f>
        <v>0</v>
      </c>
      <c r="U178">
        <f ca="1">IF($C178-U$1&lt;År1,0,T177*(1-VLOOKUP($A178,[1]Hugst!$R$5:$W$9,MATCH(ROUNDUP((U$1)/10,0)*10,[1]Hugst!$R$4:$W$4,0))))</f>
        <v>0</v>
      </c>
      <c r="V178">
        <f ca="1">IF($C178-V$1&lt;År1,0,U177*(1-VLOOKUP($A178,[1]Hugst!$R$5:$W$9,MATCH(ROUNDUP((V$1)/10,0)*10,[1]Hugst!$R$4:$W$4,0))))</f>
        <v>0</v>
      </c>
      <c r="W178">
        <f ca="1">IF($C178-W$1&lt;År1,0,V177*(1-VLOOKUP($A178,[1]Hugst!$R$5:$W$9,MATCH(ROUNDUP((W$1)/10,0)*10,[1]Hugst!$R$4:$W$4,0))))</f>
        <v>0</v>
      </c>
      <c r="X178">
        <f ca="1">IF($C178-X$1&lt;År1,0,W177*(1-VLOOKUP($A178,[1]Hugst!$R$5:$W$9,MATCH(ROUNDUP((X$1)/10,0)*10,[1]Hugst!$R$4:$W$4,0))))</f>
        <v>0</v>
      </c>
      <c r="Y178">
        <f ca="1">IF($C178-Y$1&lt;År1,0,X177*(1-VLOOKUP($A178,[1]Hugst!$R$5:$W$9,MATCH(ROUNDUP((Y$1)/10,0)*10,[1]Hugst!$R$4:$W$4,0))))</f>
        <v>0</v>
      </c>
      <c r="Z178">
        <f ca="1">IF($C178-Z$1&lt;År1,0,Y177*(1-VLOOKUP($A178,[1]Hugst!$R$5:$W$9,MATCH(ROUNDUP((Z$1)/10,0)*10,[1]Hugst!$R$4:$W$4,0))))</f>
        <v>0</v>
      </c>
      <c r="AA178">
        <f ca="1">IF($C178-AA$1&lt;År1,0,Z177*(1-VLOOKUP($A178,[1]Hugst!$R$5:$W$9,MATCH(ROUNDUP((AA$1)/10,0)*10,[1]Hugst!$R$4:$W$4,0))))</f>
        <v>0</v>
      </c>
      <c r="AB178">
        <f>IF($C178-AB$1&lt;År1,0,AA177*(1-VLOOKUP($A178,[1]Hugst!$R$5:$W$9,MATCH(ROUNDUP((AB$1)/10,0)*10,[1]Hugst!$R$4:$W$4,0))))</f>
        <v>0</v>
      </c>
      <c r="AC178">
        <f>IF($C178-AC$1&lt;År1,0,AB177*(1-VLOOKUP($A178,[1]Hugst!$R$5:$W$9,MATCH(ROUNDUP((AC$1)/10,0)*10,[1]Hugst!$R$4:$W$4,0))))</f>
        <v>0</v>
      </c>
      <c r="AD178">
        <f>IF($C178-AD$1&lt;År1,0,AC177*(1-VLOOKUP($A178,[1]Hugst!$R$5:$W$9,MATCH(ROUNDUP((AD$1)/10,0)*10,[1]Hugst!$R$4:$W$4,0))))</f>
        <v>0</v>
      </c>
      <c r="AE178">
        <f>IF($C178-AE$1&lt;År1,0,AD177*(1-VLOOKUP($A178,[1]Hugst!$R$5:$W$9,MATCH(ROUNDUP((AE$1)/10,0)*10,[1]Hugst!$R$4:$W$4,0))))</f>
        <v>0</v>
      </c>
      <c r="AF178">
        <f>IF($C178-AF$1&lt;År1,0,AE177*(1-VLOOKUP($A178,[1]Hugst!$R$5:$W$9,MATCH(ROUNDUP((AF$1)/10,0)*10,[1]Hugst!$R$4:$W$4,0))))</f>
        <v>0</v>
      </c>
      <c r="AG178">
        <f>IF($C178-AG$1&lt;År1,0,AF177*(1-VLOOKUP($A178,[1]Hugst!$R$5:$W$9,MATCH(ROUNDUP((AG$1)/10,0)*10,[1]Hugst!$R$4:$W$4,0))))</f>
        <v>0</v>
      </c>
      <c r="AH178">
        <f>IF($C178-AH$1&lt;År1,0,AG177*(1-VLOOKUP($A178,[1]Hugst!$R$5:$W$9,MATCH(ROUNDUP((AH$1)/10,0)*10,[1]Hugst!$R$4:$W$4,0))))</f>
        <v>0</v>
      </c>
      <c r="AI178">
        <f>IF($C178-AI$1&lt;År1,0,AH177*(1-VLOOKUP($A178,[1]Hugst!$R$5:$W$9,MATCH(ROUNDUP((AI$1)/10,0)*10,[1]Hugst!$R$4:$W$4,0))))</f>
        <v>0</v>
      </c>
      <c r="AJ178">
        <f>IF($C178-AJ$1&lt;År1,0,AI177*(1-VLOOKUP($A178,[1]Hugst!$R$5:$W$9,MATCH(ROUNDUP((AJ$1)/10,0)*10,[1]Hugst!$R$4:$W$4,0))))</f>
        <v>0</v>
      </c>
    </row>
    <row r="179" spans="1:36" x14ac:dyDescent="0.25">
      <c r="A179" t="s">
        <v>178</v>
      </c>
      <c r="B179" t="s">
        <v>24</v>
      </c>
      <c r="C179">
        <v>2042</v>
      </c>
      <c r="D179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0</v>
      </c>
      <c r="E179">
        <f t="shared" ca="1" si="3"/>
        <v>0</v>
      </c>
      <c r="F17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>
        <f ca="1">IF($C179-G$1&lt;År1,0,F178*(1-VLOOKUP($A179,[1]Hugst!$R$5:$W$9,MATCH(ROUNDUP((G$1)/10,0)*10,[1]Hugst!$R$4:$W$4,0))))</f>
        <v>0</v>
      </c>
      <c r="H179">
        <f ca="1">IF($C179-H$1&lt;År1,0,G178*(1-VLOOKUP($A179,[1]Hugst!$R$5:$W$9,MATCH(ROUNDUP((H$1)/10,0)*10,[1]Hugst!$R$4:$W$4,0))))</f>
        <v>0</v>
      </c>
      <c r="I179">
        <f ca="1">IF($C179-I$1&lt;År1,0,H178*(1-VLOOKUP($A179,[1]Hugst!$R$5:$W$9,MATCH(ROUNDUP((I$1)/10,0)*10,[1]Hugst!$R$4:$W$4,0))))</f>
        <v>0</v>
      </c>
      <c r="J179">
        <f ca="1">IF($C179-J$1&lt;År1,0,I178*(1-VLOOKUP($A179,[1]Hugst!$R$5:$W$9,MATCH(ROUNDUP((J$1)/10,0)*10,[1]Hugst!$R$4:$W$4,0))))</f>
        <v>0</v>
      </c>
      <c r="K179">
        <f ca="1">IF($C179-K$1&lt;År1,0,J178*(1-VLOOKUP($A179,[1]Hugst!$R$5:$W$9,MATCH(ROUNDUP((K$1)/10,0)*10,[1]Hugst!$R$4:$W$4,0))))</f>
        <v>0</v>
      </c>
      <c r="L179">
        <f ca="1">IF($C179-L$1&lt;År1,0,K178*(1-VLOOKUP($A179,[1]Hugst!$R$5:$W$9,MATCH(ROUNDUP((L$1)/10,0)*10,[1]Hugst!$R$4:$W$4,0))))</f>
        <v>0</v>
      </c>
      <c r="M179">
        <f ca="1">IF($C179-M$1&lt;År1,0,L178*(1-VLOOKUP($A179,[1]Hugst!$R$5:$W$9,MATCH(ROUNDUP((M$1)/10,0)*10,[1]Hugst!$R$4:$W$4,0))))</f>
        <v>0</v>
      </c>
      <c r="N179">
        <f ca="1">IF($C179-N$1&lt;År1,0,M178*(1-VLOOKUP($A179,[1]Hugst!$R$5:$W$9,MATCH(ROUNDUP((N$1)/10,0)*10,[1]Hugst!$R$4:$W$4,0))))</f>
        <v>0</v>
      </c>
      <c r="O179">
        <f ca="1">IF($C179-O$1&lt;År1,0,N178*(1-VLOOKUP($A179,[1]Hugst!$R$5:$W$9,MATCH(ROUNDUP((O$1)/10,0)*10,[1]Hugst!$R$4:$W$4,0))))</f>
        <v>0</v>
      </c>
      <c r="P179">
        <f ca="1">IF($C179-P$1&lt;År1,0,O178*(1-VLOOKUP($A179,[1]Hugst!$R$5:$W$9,MATCH(ROUNDUP((P$1)/10,0)*10,[1]Hugst!$R$4:$W$4,0))))</f>
        <v>0</v>
      </c>
      <c r="Q179">
        <f ca="1">IF($C179-Q$1&lt;År1,0,P178*(1-VLOOKUP($A179,[1]Hugst!$R$5:$W$9,MATCH(ROUNDUP((Q$1)/10,0)*10,[1]Hugst!$R$4:$W$4,0))))</f>
        <v>0</v>
      </c>
      <c r="R179">
        <f ca="1">IF($C179-R$1&lt;År1,0,Q178*(1-VLOOKUP($A179,[1]Hugst!$R$5:$W$9,MATCH(ROUNDUP((R$1)/10,0)*10,[1]Hugst!$R$4:$W$4,0))))</f>
        <v>0</v>
      </c>
      <c r="S179">
        <f ca="1">IF($C179-S$1&lt;År1,0,R178*(1-VLOOKUP($A179,[1]Hugst!$R$5:$W$9,MATCH(ROUNDUP((S$1)/10,0)*10,[1]Hugst!$R$4:$W$4,0))))</f>
        <v>0</v>
      </c>
      <c r="T179">
        <f ca="1">IF($C179-T$1&lt;År1,0,S178*(1-VLOOKUP($A179,[1]Hugst!$R$5:$W$9,MATCH(ROUNDUP((T$1)/10,0)*10,[1]Hugst!$R$4:$W$4,0))))</f>
        <v>0</v>
      </c>
      <c r="U179">
        <f ca="1">IF($C179-U$1&lt;År1,0,T178*(1-VLOOKUP($A179,[1]Hugst!$R$5:$W$9,MATCH(ROUNDUP((U$1)/10,0)*10,[1]Hugst!$R$4:$W$4,0))))</f>
        <v>0</v>
      </c>
      <c r="V179">
        <f ca="1">IF($C179-V$1&lt;År1,0,U178*(1-VLOOKUP($A179,[1]Hugst!$R$5:$W$9,MATCH(ROUNDUP((V$1)/10,0)*10,[1]Hugst!$R$4:$W$4,0))))</f>
        <v>0</v>
      </c>
      <c r="W179">
        <f ca="1">IF($C179-W$1&lt;År1,0,V178*(1-VLOOKUP($A179,[1]Hugst!$R$5:$W$9,MATCH(ROUNDUP((W$1)/10,0)*10,[1]Hugst!$R$4:$W$4,0))))</f>
        <v>0</v>
      </c>
      <c r="X179">
        <f ca="1">IF($C179-X$1&lt;År1,0,W178*(1-VLOOKUP($A179,[1]Hugst!$R$5:$W$9,MATCH(ROUNDUP((X$1)/10,0)*10,[1]Hugst!$R$4:$W$4,0))))</f>
        <v>0</v>
      </c>
      <c r="Y179">
        <f ca="1">IF($C179-Y$1&lt;År1,0,X178*(1-VLOOKUP($A179,[1]Hugst!$R$5:$W$9,MATCH(ROUNDUP((Y$1)/10,0)*10,[1]Hugst!$R$4:$W$4,0))))</f>
        <v>0</v>
      </c>
      <c r="Z179">
        <f ca="1">IF($C179-Z$1&lt;År1,0,Y178*(1-VLOOKUP($A179,[1]Hugst!$R$5:$W$9,MATCH(ROUNDUP((Z$1)/10,0)*10,[1]Hugst!$R$4:$W$4,0))))</f>
        <v>0</v>
      </c>
      <c r="AA179">
        <f ca="1">IF($C179-AA$1&lt;År1,0,Z178*(1-VLOOKUP($A179,[1]Hugst!$R$5:$W$9,MATCH(ROUNDUP((AA$1)/10,0)*10,[1]Hugst!$R$4:$W$4,0))))</f>
        <v>0</v>
      </c>
      <c r="AB179">
        <f ca="1">IF($C179-AB$1&lt;År1,0,AA178*(1-VLOOKUP($A179,[1]Hugst!$R$5:$W$9,MATCH(ROUNDUP((AB$1)/10,0)*10,[1]Hugst!$R$4:$W$4,0))))</f>
        <v>0</v>
      </c>
      <c r="AC179">
        <f>IF($C179-AC$1&lt;År1,0,AB178*(1-VLOOKUP($A179,[1]Hugst!$R$5:$W$9,MATCH(ROUNDUP((AC$1)/10,0)*10,[1]Hugst!$R$4:$W$4,0))))</f>
        <v>0</v>
      </c>
      <c r="AD179">
        <f>IF($C179-AD$1&lt;År1,0,AC178*(1-VLOOKUP($A179,[1]Hugst!$R$5:$W$9,MATCH(ROUNDUP((AD$1)/10,0)*10,[1]Hugst!$R$4:$W$4,0))))</f>
        <v>0</v>
      </c>
      <c r="AE179">
        <f>IF($C179-AE$1&lt;År1,0,AD178*(1-VLOOKUP($A179,[1]Hugst!$R$5:$W$9,MATCH(ROUNDUP((AE$1)/10,0)*10,[1]Hugst!$R$4:$W$4,0))))</f>
        <v>0</v>
      </c>
      <c r="AF179">
        <f>IF($C179-AF$1&lt;År1,0,AE178*(1-VLOOKUP($A179,[1]Hugst!$R$5:$W$9,MATCH(ROUNDUP((AF$1)/10,0)*10,[1]Hugst!$R$4:$W$4,0))))</f>
        <v>0</v>
      </c>
      <c r="AG179">
        <f>IF($C179-AG$1&lt;År1,0,AF178*(1-VLOOKUP($A179,[1]Hugst!$R$5:$W$9,MATCH(ROUNDUP((AG$1)/10,0)*10,[1]Hugst!$R$4:$W$4,0))))</f>
        <v>0</v>
      </c>
      <c r="AH179">
        <f>IF($C179-AH$1&lt;År1,0,AG178*(1-VLOOKUP($A179,[1]Hugst!$R$5:$W$9,MATCH(ROUNDUP((AH$1)/10,0)*10,[1]Hugst!$R$4:$W$4,0))))</f>
        <v>0</v>
      </c>
      <c r="AI179">
        <f>IF($C179-AI$1&lt;År1,0,AH178*(1-VLOOKUP($A179,[1]Hugst!$R$5:$W$9,MATCH(ROUNDUP((AI$1)/10,0)*10,[1]Hugst!$R$4:$W$4,0))))</f>
        <v>0</v>
      </c>
      <c r="AJ179">
        <f>IF($C179-AJ$1&lt;År1,0,AI178*(1-VLOOKUP($A179,[1]Hugst!$R$5:$W$9,MATCH(ROUNDUP((AJ$1)/10,0)*10,[1]Hugst!$R$4:$W$4,0))))</f>
        <v>0</v>
      </c>
    </row>
    <row r="180" spans="1:36" x14ac:dyDescent="0.25">
      <c r="A180" t="s">
        <v>178</v>
      </c>
      <c r="B180" t="s">
        <v>24</v>
      </c>
      <c r="C180">
        <v>2043</v>
      </c>
      <c r="D180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0</v>
      </c>
      <c r="E180">
        <f t="shared" ca="1" si="3"/>
        <v>0</v>
      </c>
      <c r="F180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>
        <f ca="1">IF($C180-G$1&lt;År1,0,F179*(1-VLOOKUP($A180,[1]Hugst!$R$5:$W$9,MATCH(ROUNDUP((G$1)/10,0)*10,[1]Hugst!$R$4:$W$4,0))))</f>
        <v>0</v>
      </c>
      <c r="H180">
        <f ca="1">IF($C180-H$1&lt;År1,0,G179*(1-VLOOKUP($A180,[1]Hugst!$R$5:$W$9,MATCH(ROUNDUP((H$1)/10,0)*10,[1]Hugst!$R$4:$W$4,0))))</f>
        <v>0</v>
      </c>
      <c r="I180">
        <f ca="1">IF($C180-I$1&lt;År1,0,H179*(1-VLOOKUP($A180,[1]Hugst!$R$5:$W$9,MATCH(ROUNDUP((I$1)/10,0)*10,[1]Hugst!$R$4:$W$4,0))))</f>
        <v>0</v>
      </c>
      <c r="J180">
        <f ca="1">IF($C180-J$1&lt;År1,0,I179*(1-VLOOKUP($A180,[1]Hugst!$R$5:$W$9,MATCH(ROUNDUP((J$1)/10,0)*10,[1]Hugst!$R$4:$W$4,0))))</f>
        <v>0</v>
      </c>
      <c r="K180">
        <f ca="1">IF($C180-K$1&lt;År1,0,J179*(1-VLOOKUP($A180,[1]Hugst!$R$5:$W$9,MATCH(ROUNDUP((K$1)/10,0)*10,[1]Hugst!$R$4:$W$4,0))))</f>
        <v>0</v>
      </c>
      <c r="L180">
        <f ca="1">IF($C180-L$1&lt;År1,0,K179*(1-VLOOKUP($A180,[1]Hugst!$R$5:$W$9,MATCH(ROUNDUP((L$1)/10,0)*10,[1]Hugst!$R$4:$W$4,0))))</f>
        <v>0</v>
      </c>
      <c r="M180">
        <f ca="1">IF($C180-M$1&lt;År1,0,L179*(1-VLOOKUP($A180,[1]Hugst!$R$5:$W$9,MATCH(ROUNDUP((M$1)/10,0)*10,[1]Hugst!$R$4:$W$4,0))))</f>
        <v>0</v>
      </c>
      <c r="N180">
        <f ca="1">IF($C180-N$1&lt;År1,0,M179*(1-VLOOKUP($A180,[1]Hugst!$R$5:$W$9,MATCH(ROUNDUP((N$1)/10,0)*10,[1]Hugst!$R$4:$W$4,0))))</f>
        <v>0</v>
      </c>
      <c r="O180">
        <f ca="1">IF($C180-O$1&lt;År1,0,N179*(1-VLOOKUP($A180,[1]Hugst!$R$5:$W$9,MATCH(ROUNDUP((O$1)/10,0)*10,[1]Hugst!$R$4:$W$4,0))))</f>
        <v>0</v>
      </c>
      <c r="P180">
        <f ca="1">IF($C180-P$1&lt;År1,0,O179*(1-VLOOKUP($A180,[1]Hugst!$R$5:$W$9,MATCH(ROUNDUP((P$1)/10,0)*10,[1]Hugst!$R$4:$W$4,0))))</f>
        <v>0</v>
      </c>
      <c r="Q180">
        <f ca="1">IF($C180-Q$1&lt;År1,0,P179*(1-VLOOKUP($A180,[1]Hugst!$R$5:$W$9,MATCH(ROUNDUP((Q$1)/10,0)*10,[1]Hugst!$R$4:$W$4,0))))</f>
        <v>0</v>
      </c>
      <c r="R180">
        <f ca="1">IF($C180-R$1&lt;År1,0,Q179*(1-VLOOKUP($A180,[1]Hugst!$R$5:$W$9,MATCH(ROUNDUP((R$1)/10,0)*10,[1]Hugst!$R$4:$W$4,0))))</f>
        <v>0</v>
      </c>
      <c r="S180">
        <f ca="1">IF($C180-S$1&lt;År1,0,R179*(1-VLOOKUP($A180,[1]Hugst!$R$5:$W$9,MATCH(ROUNDUP((S$1)/10,0)*10,[1]Hugst!$R$4:$W$4,0))))</f>
        <v>0</v>
      </c>
      <c r="T180">
        <f ca="1">IF($C180-T$1&lt;År1,0,S179*(1-VLOOKUP($A180,[1]Hugst!$R$5:$W$9,MATCH(ROUNDUP((T$1)/10,0)*10,[1]Hugst!$R$4:$W$4,0))))</f>
        <v>0</v>
      </c>
      <c r="U180">
        <f ca="1">IF($C180-U$1&lt;År1,0,T179*(1-VLOOKUP($A180,[1]Hugst!$R$5:$W$9,MATCH(ROUNDUP((U$1)/10,0)*10,[1]Hugst!$R$4:$W$4,0))))</f>
        <v>0</v>
      </c>
      <c r="V180">
        <f ca="1">IF($C180-V$1&lt;År1,0,U179*(1-VLOOKUP($A180,[1]Hugst!$R$5:$W$9,MATCH(ROUNDUP((V$1)/10,0)*10,[1]Hugst!$R$4:$W$4,0))))</f>
        <v>0</v>
      </c>
      <c r="W180">
        <f ca="1">IF($C180-W$1&lt;År1,0,V179*(1-VLOOKUP($A180,[1]Hugst!$R$5:$W$9,MATCH(ROUNDUP((W$1)/10,0)*10,[1]Hugst!$R$4:$W$4,0))))</f>
        <v>0</v>
      </c>
      <c r="X180">
        <f ca="1">IF($C180-X$1&lt;År1,0,W179*(1-VLOOKUP($A180,[1]Hugst!$R$5:$W$9,MATCH(ROUNDUP((X$1)/10,0)*10,[1]Hugst!$R$4:$W$4,0))))</f>
        <v>0</v>
      </c>
      <c r="Y180">
        <f ca="1">IF($C180-Y$1&lt;År1,0,X179*(1-VLOOKUP($A180,[1]Hugst!$R$5:$W$9,MATCH(ROUNDUP((Y$1)/10,0)*10,[1]Hugst!$R$4:$W$4,0))))</f>
        <v>0</v>
      </c>
      <c r="Z180">
        <f ca="1">IF($C180-Z$1&lt;År1,0,Y179*(1-VLOOKUP($A180,[1]Hugst!$R$5:$W$9,MATCH(ROUNDUP((Z$1)/10,0)*10,[1]Hugst!$R$4:$W$4,0))))</f>
        <v>0</v>
      </c>
      <c r="AA180">
        <f ca="1">IF($C180-AA$1&lt;År1,0,Z179*(1-VLOOKUP($A180,[1]Hugst!$R$5:$W$9,MATCH(ROUNDUP((AA$1)/10,0)*10,[1]Hugst!$R$4:$W$4,0))))</f>
        <v>0</v>
      </c>
      <c r="AB180">
        <f ca="1">IF($C180-AB$1&lt;År1,0,AA179*(1-VLOOKUP($A180,[1]Hugst!$R$5:$W$9,MATCH(ROUNDUP((AB$1)/10,0)*10,[1]Hugst!$R$4:$W$4,0))))</f>
        <v>0</v>
      </c>
      <c r="AC180">
        <f ca="1">IF($C180-AC$1&lt;År1,0,AB179*(1-VLOOKUP($A180,[1]Hugst!$R$5:$W$9,MATCH(ROUNDUP((AC$1)/10,0)*10,[1]Hugst!$R$4:$W$4,0))))</f>
        <v>0</v>
      </c>
      <c r="AD180">
        <f>IF($C180-AD$1&lt;År1,0,AC179*(1-VLOOKUP($A180,[1]Hugst!$R$5:$W$9,MATCH(ROUNDUP((AD$1)/10,0)*10,[1]Hugst!$R$4:$W$4,0))))</f>
        <v>0</v>
      </c>
      <c r="AE180">
        <f>IF($C180-AE$1&lt;År1,0,AD179*(1-VLOOKUP($A180,[1]Hugst!$R$5:$W$9,MATCH(ROUNDUP((AE$1)/10,0)*10,[1]Hugst!$R$4:$W$4,0))))</f>
        <v>0</v>
      </c>
      <c r="AF180">
        <f>IF($C180-AF$1&lt;År1,0,AE179*(1-VLOOKUP($A180,[1]Hugst!$R$5:$W$9,MATCH(ROUNDUP((AF$1)/10,0)*10,[1]Hugst!$R$4:$W$4,0))))</f>
        <v>0</v>
      </c>
      <c r="AG180">
        <f>IF($C180-AG$1&lt;År1,0,AF179*(1-VLOOKUP($A180,[1]Hugst!$R$5:$W$9,MATCH(ROUNDUP((AG$1)/10,0)*10,[1]Hugst!$R$4:$W$4,0))))</f>
        <v>0</v>
      </c>
      <c r="AH180">
        <f>IF($C180-AH$1&lt;År1,0,AG179*(1-VLOOKUP($A180,[1]Hugst!$R$5:$W$9,MATCH(ROUNDUP((AH$1)/10,0)*10,[1]Hugst!$R$4:$W$4,0))))</f>
        <v>0</v>
      </c>
      <c r="AI180">
        <f>IF($C180-AI$1&lt;År1,0,AH179*(1-VLOOKUP($A180,[1]Hugst!$R$5:$W$9,MATCH(ROUNDUP((AI$1)/10,0)*10,[1]Hugst!$R$4:$W$4,0))))</f>
        <v>0</v>
      </c>
      <c r="AJ180">
        <f>IF($C180-AJ$1&lt;År1,0,AI179*(1-VLOOKUP($A180,[1]Hugst!$R$5:$W$9,MATCH(ROUNDUP((AJ$1)/10,0)*10,[1]Hugst!$R$4:$W$4,0))))</f>
        <v>0</v>
      </c>
    </row>
    <row r="181" spans="1:36" x14ac:dyDescent="0.25">
      <c r="A181" t="s">
        <v>178</v>
      </c>
      <c r="B181" t="s">
        <v>24</v>
      </c>
      <c r="C181">
        <v>2044</v>
      </c>
      <c r="D181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0</v>
      </c>
      <c r="E181">
        <f t="shared" ca="1" si="3"/>
        <v>0</v>
      </c>
      <c r="F181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>
        <f ca="1">IF($C181-G$1&lt;År1,0,F180*(1-VLOOKUP($A181,[1]Hugst!$R$5:$W$9,MATCH(ROUNDUP((G$1)/10,0)*10,[1]Hugst!$R$4:$W$4,0))))</f>
        <v>0</v>
      </c>
      <c r="H181">
        <f ca="1">IF($C181-H$1&lt;År1,0,G180*(1-VLOOKUP($A181,[1]Hugst!$R$5:$W$9,MATCH(ROUNDUP((H$1)/10,0)*10,[1]Hugst!$R$4:$W$4,0))))</f>
        <v>0</v>
      </c>
      <c r="I181">
        <f ca="1">IF($C181-I$1&lt;År1,0,H180*(1-VLOOKUP($A181,[1]Hugst!$R$5:$W$9,MATCH(ROUNDUP((I$1)/10,0)*10,[1]Hugst!$R$4:$W$4,0))))</f>
        <v>0</v>
      </c>
      <c r="J181">
        <f ca="1">IF($C181-J$1&lt;År1,0,I180*(1-VLOOKUP($A181,[1]Hugst!$R$5:$W$9,MATCH(ROUNDUP((J$1)/10,0)*10,[1]Hugst!$R$4:$W$4,0))))</f>
        <v>0</v>
      </c>
      <c r="K181">
        <f ca="1">IF($C181-K$1&lt;År1,0,J180*(1-VLOOKUP($A181,[1]Hugst!$R$5:$W$9,MATCH(ROUNDUP((K$1)/10,0)*10,[1]Hugst!$R$4:$W$4,0))))</f>
        <v>0</v>
      </c>
      <c r="L181">
        <f ca="1">IF($C181-L$1&lt;År1,0,K180*(1-VLOOKUP($A181,[1]Hugst!$R$5:$W$9,MATCH(ROUNDUP((L$1)/10,0)*10,[1]Hugst!$R$4:$W$4,0))))</f>
        <v>0</v>
      </c>
      <c r="M181">
        <f ca="1">IF($C181-M$1&lt;År1,0,L180*(1-VLOOKUP($A181,[1]Hugst!$R$5:$W$9,MATCH(ROUNDUP((M$1)/10,0)*10,[1]Hugst!$R$4:$W$4,0))))</f>
        <v>0</v>
      </c>
      <c r="N181">
        <f ca="1">IF($C181-N$1&lt;År1,0,M180*(1-VLOOKUP($A181,[1]Hugst!$R$5:$W$9,MATCH(ROUNDUP((N$1)/10,0)*10,[1]Hugst!$R$4:$W$4,0))))</f>
        <v>0</v>
      </c>
      <c r="O181">
        <f ca="1">IF($C181-O$1&lt;År1,0,N180*(1-VLOOKUP($A181,[1]Hugst!$R$5:$W$9,MATCH(ROUNDUP((O$1)/10,0)*10,[1]Hugst!$R$4:$W$4,0))))</f>
        <v>0</v>
      </c>
      <c r="P181">
        <f ca="1">IF($C181-P$1&lt;År1,0,O180*(1-VLOOKUP($A181,[1]Hugst!$R$5:$W$9,MATCH(ROUNDUP((P$1)/10,0)*10,[1]Hugst!$R$4:$W$4,0))))</f>
        <v>0</v>
      </c>
      <c r="Q181">
        <f ca="1">IF($C181-Q$1&lt;År1,0,P180*(1-VLOOKUP($A181,[1]Hugst!$R$5:$W$9,MATCH(ROUNDUP((Q$1)/10,0)*10,[1]Hugst!$R$4:$W$4,0))))</f>
        <v>0</v>
      </c>
      <c r="R181">
        <f ca="1">IF($C181-R$1&lt;År1,0,Q180*(1-VLOOKUP($A181,[1]Hugst!$R$5:$W$9,MATCH(ROUNDUP((R$1)/10,0)*10,[1]Hugst!$R$4:$W$4,0))))</f>
        <v>0</v>
      </c>
      <c r="S181">
        <f ca="1">IF($C181-S$1&lt;År1,0,R180*(1-VLOOKUP($A181,[1]Hugst!$R$5:$W$9,MATCH(ROUNDUP((S$1)/10,0)*10,[1]Hugst!$R$4:$W$4,0))))</f>
        <v>0</v>
      </c>
      <c r="T181">
        <f ca="1">IF($C181-T$1&lt;År1,0,S180*(1-VLOOKUP($A181,[1]Hugst!$R$5:$W$9,MATCH(ROUNDUP((T$1)/10,0)*10,[1]Hugst!$R$4:$W$4,0))))</f>
        <v>0</v>
      </c>
      <c r="U181">
        <f ca="1">IF($C181-U$1&lt;År1,0,T180*(1-VLOOKUP($A181,[1]Hugst!$R$5:$W$9,MATCH(ROUNDUP((U$1)/10,0)*10,[1]Hugst!$R$4:$W$4,0))))</f>
        <v>0</v>
      </c>
      <c r="V181">
        <f ca="1">IF($C181-V$1&lt;År1,0,U180*(1-VLOOKUP($A181,[1]Hugst!$R$5:$W$9,MATCH(ROUNDUP((V$1)/10,0)*10,[1]Hugst!$R$4:$W$4,0))))</f>
        <v>0</v>
      </c>
      <c r="W181">
        <f ca="1">IF($C181-W$1&lt;År1,0,V180*(1-VLOOKUP($A181,[1]Hugst!$R$5:$W$9,MATCH(ROUNDUP((W$1)/10,0)*10,[1]Hugst!$R$4:$W$4,0))))</f>
        <v>0</v>
      </c>
      <c r="X181">
        <f ca="1">IF($C181-X$1&lt;År1,0,W180*(1-VLOOKUP($A181,[1]Hugst!$R$5:$W$9,MATCH(ROUNDUP((X$1)/10,0)*10,[1]Hugst!$R$4:$W$4,0))))</f>
        <v>0</v>
      </c>
      <c r="Y181">
        <f ca="1">IF($C181-Y$1&lt;År1,0,X180*(1-VLOOKUP($A181,[1]Hugst!$R$5:$W$9,MATCH(ROUNDUP((Y$1)/10,0)*10,[1]Hugst!$R$4:$W$4,0))))</f>
        <v>0</v>
      </c>
      <c r="Z181">
        <f ca="1">IF($C181-Z$1&lt;År1,0,Y180*(1-VLOOKUP($A181,[1]Hugst!$R$5:$W$9,MATCH(ROUNDUP((Z$1)/10,0)*10,[1]Hugst!$R$4:$W$4,0))))</f>
        <v>0</v>
      </c>
      <c r="AA181">
        <f ca="1">IF($C181-AA$1&lt;År1,0,Z180*(1-VLOOKUP($A181,[1]Hugst!$R$5:$W$9,MATCH(ROUNDUP((AA$1)/10,0)*10,[1]Hugst!$R$4:$W$4,0))))</f>
        <v>0</v>
      </c>
      <c r="AB181">
        <f ca="1">IF($C181-AB$1&lt;År1,0,AA180*(1-VLOOKUP($A181,[1]Hugst!$R$5:$W$9,MATCH(ROUNDUP((AB$1)/10,0)*10,[1]Hugst!$R$4:$W$4,0))))</f>
        <v>0</v>
      </c>
      <c r="AC181">
        <f ca="1">IF($C181-AC$1&lt;År1,0,AB180*(1-VLOOKUP($A181,[1]Hugst!$R$5:$W$9,MATCH(ROUNDUP((AC$1)/10,0)*10,[1]Hugst!$R$4:$W$4,0))))</f>
        <v>0</v>
      </c>
      <c r="AD181">
        <f ca="1">IF($C181-AD$1&lt;År1,0,AC180*(1-VLOOKUP($A181,[1]Hugst!$R$5:$W$9,MATCH(ROUNDUP((AD$1)/10,0)*10,[1]Hugst!$R$4:$W$4,0))))</f>
        <v>0</v>
      </c>
      <c r="AE181">
        <f>IF($C181-AE$1&lt;År1,0,AD180*(1-VLOOKUP($A181,[1]Hugst!$R$5:$W$9,MATCH(ROUNDUP((AE$1)/10,0)*10,[1]Hugst!$R$4:$W$4,0))))</f>
        <v>0</v>
      </c>
      <c r="AF181">
        <f>IF($C181-AF$1&lt;År1,0,AE180*(1-VLOOKUP($A181,[1]Hugst!$R$5:$W$9,MATCH(ROUNDUP((AF$1)/10,0)*10,[1]Hugst!$R$4:$W$4,0))))</f>
        <v>0</v>
      </c>
      <c r="AG181">
        <f>IF($C181-AG$1&lt;År1,0,AF180*(1-VLOOKUP($A181,[1]Hugst!$R$5:$W$9,MATCH(ROUNDUP((AG$1)/10,0)*10,[1]Hugst!$R$4:$W$4,0))))</f>
        <v>0</v>
      </c>
      <c r="AH181">
        <f>IF($C181-AH$1&lt;År1,0,AG180*(1-VLOOKUP($A181,[1]Hugst!$R$5:$W$9,MATCH(ROUNDUP((AH$1)/10,0)*10,[1]Hugst!$R$4:$W$4,0))))</f>
        <v>0</v>
      </c>
      <c r="AI181">
        <f>IF($C181-AI$1&lt;År1,0,AH180*(1-VLOOKUP($A181,[1]Hugst!$R$5:$W$9,MATCH(ROUNDUP((AI$1)/10,0)*10,[1]Hugst!$R$4:$W$4,0))))</f>
        <v>0</v>
      </c>
      <c r="AJ181">
        <f>IF($C181-AJ$1&lt;År1,0,AI180*(1-VLOOKUP($A181,[1]Hugst!$R$5:$W$9,MATCH(ROUNDUP((AJ$1)/10,0)*10,[1]Hugst!$R$4:$W$4,0))))</f>
        <v>0</v>
      </c>
    </row>
    <row r="182" spans="1:36" x14ac:dyDescent="0.25">
      <c r="A182" t="s">
        <v>178</v>
      </c>
      <c r="B182" t="s">
        <v>24</v>
      </c>
      <c r="C182">
        <v>2045</v>
      </c>
      <c r="D182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0</v>
      </c>
      <c r="E182">
        <f t="shared" ca="1" si="3"/>
        <v>0</v>
      </c>
      <c r="F182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>
        <f ca="1">IF($C182-G$1&lt;År1,0,F181*(1-VLOOKUP($A182,[1]Hugst!$R$5:$W$9,MATCH(ROUNDUP((G$1)/10,0)*10,[1]Hugst!$R$4:$W$4,0))))</f>
        <v>0</v>
      </c>
      <c r="H182">
        <f ca="1">IF($C182-H$1&lt;År1,0,G181*(1-VLOOKUP($A182,[1]Hugst!$R$5:$W$9,MATCH(ROUNDUP((H$1)/10,0)*10,[1]Hugst!$R$4:$W$4,0))))</f>
        <v>0</v>
      </c>
      <c r="I182">
        <f ca="1">IF($C182-I$1&lt;År1,0,H181*(1-VLOOKUP($A182,[1]Hugst!$R$5:$W$9,MATCH(ROUNDUP((I$1)/10,0)*10,[1]Hugst!$R$4:$W$4,0))))</f>
        <v>0</v>
      </c>
      <c r="J182">
        <f ca="1">IF($C182-J$1&lt;År1,0,I181*(1-VLOOKUP($A182,[1]Hugst!$R$5:$W$9,MATCH(ROUNDUP((J$1)/10,0)*10,[1]Hugst!$R$4:$W$4,0))))</f>
        <v>0</v>
      </c>
      <c r="K182">
        <f ca="1">IF($C182-K$1&lt;År1,0,J181*(1-VLOOKUP($A182,[1]Hugst!$R$5:$W$9,MATCH(ROUNDUP((K$1)/10,0)*10,[1]Hugst!$R$4:$W$4,0))))</f>
        <v>0</v>
      </c>
      <c r="L182">
        <f ca="1">IF($C182-L$1&lt;År1,0,K181*(1-VLOOKUP($A182,[1]Hugst!$R$5:$W$9,MATCH(ROUNDUP((L$1)/10,0)*10,[1]Hugst!$R$4:$W$4,0))))</f>
        <v>0</v>
      </c>
      <c r="M182">
        <f ca="1">IF($C182-M$1&lt;År1,0,L181*(1-VLOOKUP($A182,[1]Hugst!$R$5:$W$9,MATCH(ROUNDUP((M$1)/10,0)*10,[1]Hugst!$R$4:$W$4,0))))</f>
        <v>0</v>
      </c>
      <c r="N182">
        <f ca="1">IF($C182-N$1&lt;År1,0,M181*(1-VLOOKUP($A182,[1]Hugst!$R$5:$W$9,MATCH(ROUNDUP((N$1)/10,0)*10,[1]Hugst!$R$4:$W$4,0))))</f>
        <v>0</v>
      </c>
      <c r="O182">
        <f ca="1">IF($C182-O$1&lt;År1,0,N181*(1-VLOOKUP($A182,[1]Hugst!$R$5:$W$9,MATCH(ROUNDUP((O$1)/10,0)*10,[1]Hugst!$R$4:$W$4,0))))</f>
        <v>0</v>
      </c>
      <c r="P182">
        <f ca="1">IF($C182-P$1&lt;År1,0,O181*(1-VLOOKUP($A182,[1]Hugst!$R$5:$W$9,MATCH(ROUNDUP((P$1)/10,0)*10,[1]Hugst!$R$4:$W$4,0))))</f>
        <v>0</v>
      </c>
      <c r="Q182">
        <f ca="1">IF($C182-Q$1&lt;År1,0,P181*(1-VLOOKUP($A182,[1]Hugst!$R$5:$W$9,MATCH(ROUNDUP((Q$1)/10,0)*10,[1]Hugst!$R$4:$W$4,0))))</f>
        <v>0</v>
      </c>
      <c r="R182">
        <f ca="1">IF($C182-R$1&lt;År1,0,Q181*(1-VLOOKUP($A182,[1]Hugst!$R$5:$W$9,MATCH(ROUNDUP((R$1)/10,0)*10,[1]Hugst!$R$4:$W$4,0))))</f>
        <v>0</v>
      </c>
      <c r="S182">
        <f ca="1">IF($C182-S$1&lt;År1,0,R181*(1-VLOOKUP($A182,[1]Hugst!$R$5:$W$9,MATCH(ROUNDUP((S$1)/10,0)*10,[1]Hugst!$R$4:$W$4,0))))</f>
        <v>0</v>
      </c>
      <c r="T182">
        <f ca="1">IF($C182-T$1&lt;År1,0,S181*(1-VLOOKUP($A182,[1]Hugst!$R$5:$W$9,MATCH(ROUNDUP((T$1)/10,0)*10,[1]Hugst!$R$4:$W$4,0))))</f>
        <v>0</v>
      </c>
      <c r="U182">
        <f ca="1">IF($C182-U$1&lt;År1,0,T181*(1-VLOOKUP($A182,[1]Hugst!$R$5:$W$9,MATCH(ROUNDUP((U$1)/10,0)*10,[1]Hugst!$R$4:$W$4,0))))</f>
        <v>0</v>
      </c>
      <c r="V182">
        <f ca="1">IF($C182-V$1&lt;År1,0,U181*(1-VLOOKUP($A182,[1]Hugst!$R$5:$W$9,MATCH(ROUNDUP((V$1)/10,0)*10,[1]Hugst!$R$4:$W$4,0))))</f>
        <v>0</v>
      </c>
      <c r="W182">
        <f ca="1">IF($C182-W$1&lt;År1,0,V181*(1-VLOOKUP($A182,[1]Hugst!$R$5:$W$9,MATCH(ROUNDUP((W$1)/10,0)*10,[1]Hugst!$R$4:$W$4,0))))</f>
        <v>0</v>
      </c>
      <c r="X182">
        <f ca="1">IF($C182-X$1&lt;År1,0,W181*(1-VLOOKUP($A182,[1]Hugst!$R$5:$W$9,MATCH(ROUNDUP((X$1)/10,0)*10,[1]Hugst!$R$4:$W$4,0))))</f>
        <v>0</v>
      </c>
      <c r="Y182">
        <f ca="1">IF($C182-Y$1&lt;År1,0,X181*(1-VLOOKUP($A182,[1]Hugst!$R$5:$W$9,MATCH(ROUNDUP((Y$1)/10,0)*10,[1]Hugst!$R$4:$W$4,0))))</f>
        <v>0</v>
      </c>
      <c r="Z182">
        <f ca="1">IF($C182-Z$1&lt;År1,0,Y181*(1-VLOOKUP($A182,[1]Hugst!$R$5:$W$9,MATCH(ROUNDUP((Z$1)/10,0)*10,[1]Hugst!$R$4:$W$4,0))))</f>
        <v>0</v>
      </c>
      <c r="AA182">
        <f ca="1">IF($C182-AA$1&lt;År1,0,Z181*(1-VLOOKUP($A182,[1]Hugst!$R$5:$W$9,MATCH(ROUNDUP((AA$1)/10,0)*10,[1]Hugst!$R$4:$W$4,0))))</f>
        <v>0</v>
      </c>
      <c r="AB182">
        <f ca="1">IF($C182-AB$1&lt;År1,0,AA181*(1-VLOOKUP($A182,[1]Hugst!$R$5:$W$9,MATCH(ROUNDUP((AB$1)/10,0)*10,[1]Hugst!$R$4:$W$4,0))))</f>
        <v>0</v>
      </c>
      <c r="AC182">
        <f ca="1">IF($C182-AC$1&lt;År1,0,AB181*(1-VLOOKUP($A182,[1]Hugst!$R$5:$W$9,MATCH(ROUNDUP((AC$1)/10,0)*10,[1]Hugst!$R$4:$W$4,0))))</f>
        <v>0</v>
      </c>
      <c r="AD182">
        <f ca="1">IF($C182-AD$1&lt;År1,0,AC181*(1-VLOOKUP($A182,[1]Hugst!$R$5:$W$9,MATCH(ROUNDUP((AD$1)/10,0)*10,[1]Hugst!$R$4:$W$4,0))))</f>
        <v>0</v>
      </c>
      <c r="AE182">
        <f ca="1">IF($C182-AE$1&lt;År1,0,AD181*(1-VLOOKUP($A182,[1]Hugst!$R$5:$W$9,MATCH(ROUNDUP((AE$1)/10,0)*10,[1]Hugst!$R$4:$W$4,0))))</f>
        <v>0</v>
      </c>
      <c r="AF182">
        <f>IF($C182-AF$1&lt;År1,0,AE181*(1-VLOOKUP($A182,[1]Hugst!$R$5:$W$9,MATCH(ROUNDUP((AF$1)/10,0)*10,[1]Hugst!$R$4:$W$4,0))))</f>
        <v>0</v>
      </c>
      <c r="AG182">
        <f>IF($C182-AG$1&lt;År1,0,AF181*(1-VLOOKUP($A182,[1]Hugst!$R$5:$W$9,MATCH(ROUNDUP((AG$1)/10,0)*10,[1]Hugst!$R$4:$W$4,0))))</f>
        <v>0</v>
      </c>
      <c r="AH182">
        <f>IF($C182-AH$1&lt;År1,0,AG181*(1-VLOOKUP($A182,[1]Hugst!$R$5:$W$9,MATCH(ROUNDUP((AH$1)/10,0)*10,[1]Hugst!$R$4:$W$4,0))))</f>
        <v>0</v>
      </c>
      <c r="AI182">
        <f>IF($C182-AI$1&lt;År1,0,AH181*(1-VLOOKUP($A182,[1]Hugst!$R$5:$W$9,MATCH(ROUNDUP((AI$1)/10,0)*10,[1]Hugst!$R$4:$W$4,0))))</f>
        <v>0</v>
      </c>
      <c r="AJ182">
        <f>IF($C182-AJ$1&lt;År1,0,AI181*(1-VLOOKUP($A182,[1]Hugst!$R$5:$W$9,MATCH(ROUNDUP((AJ$1)/10,0)*10,[1]Hugst!$R$4:$W$4,0))))</f>
        <v>0</v>
      </c>
    </row>
    <row r="183" spans="1:36" x14ac:dyDescent="0.25">
      <c r="A183" t="s">
        <v>178</v>
      </c>
      <c r="B183" t="s">
        <v>24</v>
      </c>
      <c r="C183">
        <v>2046</v>
      </c>
      <c r="D183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0</v>
      </c>
      <c r="E183">
        <f t="shared" ca="1" si="3"/>
        <v>0</v>
      </c>
      <c r="F183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>
        <f ca="1">IF($C183-G$1&lt;År1,0,F182*(1-VLOOKUP($A183,[1]Hugst!$R$5:$W$9,MATCH(ROUNDUP((G$1)/10,0)*10,[1]Hugst!$R$4:$W$4,0))))</f>
        <v>0</v>
      </c>
      <c r="H183">
        <f ca="1">IF($C183-H$1&lt;År1,0,G182*(1-VLOOKUP($A183,[1]Hugst!$R$5:$W$9,MATCH(ROUNDUP((H$1)/10,0)*10,[1]Hugst!$R$4:$W$4,0))))</f>
        <v>0</v>
      </c>
      <c r="I183">
        <f ca="1">IF($C183-I$1&lt;År1,0,H182*(1-VLOOKUP($A183,[1]Hugst!$R$5:$W$9,MATCH(ROUNDUP((I$1)/10,0)*10,[1]Hugst!$R$4:$W$4,0))))</f>
        <v>0</v>
      </c>
      <c r="J183">
        <f ca="1">IF($C183-J$1&lt;År1,0,I182*(1-VLOOKUP($A183,[1]Hugst!$R$5:$W$9,MATCH(ROUNDUP((J$1)/10,0)*10,[1]Hugst!$R$4:$W$4,0))))</f>
        <v>0</v>
      </c>
      <c r="K183">
        <f ca="1">IF($C183-K$1&lt;År1,0,J182*(1-VLOOKUP($A183,[1]Hugst!$R$5:$W$9,MATCH(ROUNDUP((K$1)/10,0)*10,[1]Hugst!$R$4:$W$4,0))))</f>
        <v>0</v>
      </c>
      <c r="L183">
        <f ca="1">IF($C183-L$1&lt;År1,0,K182*(1-VLOOKUP($A183,[1]Hugst!$R$5:$W$9,MATCH(ROUNDUP((L$1)/10,0)*10,[1]Hugst!$R$4:$W$4,0))))</f>
        <v>0</v>
      </c>
      <c r="M183">
        <f ca="1">IF($C183-M$1&lt;År1,0,L182*(1-VLOOKUP($A183,[1]Hugst!$R$5:$W$9,MATCH(ROUNDUP((M$1)/10,0)*10,[1]Hugst!$R$4:$W$4,0))))</f>
        <v>0</v>
      </c>
      <c r="N183">
        <f ca="1">IF($C183-N$1&lt;År1,0,M182*(1-VLOOKUP($A183,[1]Hugst!$R$5:$W$9,MATCH(ROUNDUP((N$1)/10,0)*10,[1]Hugst!$R$4:$W$4,0))))</f>
        <v>0</v>
      </c>
      <c r="O183">
        <f ca="1">IF($C183-O$1&lt;År1,0,N182*(1-VLOOKUP($A183,[1]Hugst!$R$5:$W$9,MATCH(ROUNDUP((O$1)/10,0)*10,[1]Hugst!$R$4:$W$4,0))))</f>
        <v>0</v>
      </c>
      <c r="P183">
        <f ca="1">IF($C183-P$1&lt;År1,0,O182*(1-VLOOKUP($A183,[1]Hugst!$R$5:$W$9,MATCH(ROUNDUP((P$1)/10,0)*10,[1]Hugst!$R$4:$W$4,0))))</f>
        <v>0</v>
      </c>
      <c r="Q183">
        <f ca="1">IF($C183-Q$1&lt;År1,0,P182*(1-VLOOKUP($A183,[1]Hugst!$R$5:$W$9,MATCH(ROUNDUP((Q$1)/10,0)*10,[1]Hugst!$R$4:$W$4,0))))</f>
        <v>0</v>
      </c>
      <c r="R183">
        <f ca="1">IF($C183-R$1&lt;År1,0,Q182*(1-VLOOKUP($A183,[1]Hugst!$R$5:$W$9,MATCH(ROUNDUP((R$1)/10,0)*10,[1]Hugst!$R$4:$W$4,0))))</f>
        <v>0</v>
      </c>
      <c r="S183">
        <f ca="1">IF($C183-S$1&lt;År1,0,R182*(1-VLOOKUP($A183,[1]Hugst!$R$5:$W$9,MATCH(ROUNDUP((S$1)/10,0)*10,[1]Hugst!$R$4:$W$4,0))))</f>
        <v>0</v>
      </c>
      <c r="T183">
        <f ca="1">IF($C183-T$1&lt;År1,0,S182*(1-VLOOKUP($A183,[1]Hugst!$R$5:$W$9,MATCH(ROUNDUP((T$1)/10,0)*10,[1]Hugst!$R$4:$W$4,0))))</f>
        <v>0</v>
      </c>
      <c r="U183">
        <f ca="1">IF($C183-U$1&lt;År1,0,T182*(1-VLOOKUP($A183,[1]Hugst!$R$5:$W$9,MATCH(ROUNDUP((U$1)/10,0)*10,[1]Hugst!$R$4:$W$4,0))))</f>
        <v>0</v>
      </c>
      <c r="V183">
        <f ca="1">IF($C183-V$1&lt;År1,0,U182*(1-VLOOKUP($A183,[1]Hugst!$R$5:$W$9,MATCH(ROUNDUP((V$1)/10,0)*10,[1]Hugst!$R$4:$W$4,0))))</f>
        <v>0</v>
      </c>
      <c r="W183">
        <f ca="1">IF($C183-W$1&lt;År1,0,V182*(1-VLOOKUP($A183,[1]Hugst!$R$5:$W$9,MATCH(ROUNDUP((W$1)/10,0)*10,[1]Hugst!$R$4:$W$4,0))))</f>
        <v>0</v>
      </c>
      <c r="X183">
        <f ca="1">IF($C183-X$1&lt;År1,0,W182*(1-VLOOKUP($A183,[1]Hugst!$R$5:$W$9,MATCH(ROUNDUP((X$1)/10,0)*10,[1]Hugst!$R$4:$W$4,0))))</f>
        <v>0</v>
      </c>
      <c r="Y183">
        <f ca="1">IF($C183-Y$1&lt;År1,0,X182*(1-VLOOKUP($A183,[1]Hugst!$R$5:$W$9,MATCH(ROUNDUP((Y$1)/10,0)*10,[1]Hugst!$R$4:$W$4,0))))</f>
        <v>0</v>
      </c>
      <c r="Z183">
        <f ca="1">IF($C183-Z$1&lt;År1,0,Y182*(1-VLOOKUP($A183,[1]Hugst!$R$5:$W$9,MATCH(ROUNDUP((Z$1)/10,0)*10,[1]Hugst!$R$4:$W$4,0))))</f>
        <v>0</v>
      </c>
      <c r="AA183">
        <f ca="1">IF($C183-AA$1&lt;År1,0,Z182*(1-VLOOKUP($A183,[1]Hugst!$R$5:$W$9,MATCH(ROUNDUP((AA$1)/10,0)*10,[1]Hugst!$R$4:$W$4,0))))</f>
        <v>0</v>
      </c>
      <c r="AB183">
        <f ca="1">IF($C183-AB$1&lt;År1,0,AA182*(1-VLOOKUP($A183,[1]Hugst!$R$5:$W$9,MATCH(ROUNDUP((AB$1)/10,0)*10,[1]Hugst!$R$4:$W$4,0))))</f>
        <v>0</v>
      </c>
      <c r="AC183">
        <f ca="1">IF($C183-AC$1&lt;År1,0,AB182*(1-VLOOKUP($A183,[1]Hugst!$R$5:$W$9,MATCH(ROUNDUP((AC$1)/10,0)*10,[1]Hugst!$R$4:$W$4,0))))</f>
        <v>0</v>
      </c>
      <c r="AD183">
        <f ca="1">IF($C183-AD$1&lt;År1,0,AC182*(1-VLOOKUP($A183,[1]Hugst!$R$5:$W$9,MATCH(ROUNDUP((AD$1)/10,0)*10,[1]Hugst!$R$4:$W$4,0))))</f>
        <v>0</v>
      </c>
      <c r="AE183">
        <f ca="1">IF($C183-AE$1&lt;År1,0,AD182*(1-VLOOKUP($A183,[1]Hugst!$R$5:$W$9,MATCH(ROUNDUP((AE$1)/10,0)*10,[1]Hugst!$R$4:$W$4,0))))</f>
        <v>0</v>
      </c>
      <c r="AF183">
        <f ca="1">IF($C183-AF$1&lt;År1,0,AE182*(1-VLOOKUP($A183,[1]Hugst!$R$5:$W$9,MATCH(ROUNDUP((AF$1)/10,0)*10,[1]Hugst!$R$4:$W$4,0))))</f>
        <v>0</v>
      </c>
      <c r="AG183">
        <f>IF($C183-AG$1&lt;År1,0,AF182*(1-VLOOKUP($A183,[1]Hugst!$R$5:$W$9,MATCH(ROUNDUP((AG$1)/10,0)*10,[1]Hugst!$R$4:$W$4,0))))</f>
        <v>0</v>
      </c>
      <c r="AH183">
        <f>IF($C183-AH$1&lt;År1,0,AG182*(1-VLOOKUP($A183,[1]Hugst!$R$5:$W$9,MATCH(ROUNDUP((AH$1)/10,0)*10,[1]Hugst!$R$4:$W$4,0))))</f>
        <v>0</v>
      </c>
      <c r="AI183">
        <f>IF($C183-AI$1&lt;År1,0,AH182*(1-VLOOKUP($A183,[1]Hugst!$R$5:$W$9,MATCH(ROUNDUP((AI$1)/10,0)*10,[1]Hugst!$R$4:$W$4,0))))</f>
        <v>0</v>
      </c>
      <c r="AJ183">
        <f>IF($C183-AJ$1&lt;År1,0,AI182*(1-VLOOKUP($A183,[1]Hugst!$R$5:$W$9,MATCH(ROUNDUP((AJ$1)/10,0)*10,[1]Hugst!$R$4:$W$4,0))))</f>
        <v>0</v>
      </c>
    </row>
    <row r="184" spans="1:36" x14ac:dyDescent="0.25">
      <c r="A184" t="s">
        <v>178</v>
      </c>
      <c r="B184" t="s">
        <v>24</v>
      </c>
      <c r="C184">
        <v>2047</v>
      </c>
      <c r="D184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0</v>
      </c>
      <c r="E184">
        <f t="shared" ca="1" si="3"/>
        <v>0</v>
      </c>
      <c r="F184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>
        <f ca="1">IF($C184-G$1&lt;År1,0,F183*(1-VLOOKUP($A184,[1]Hugst!$R$5:$W$9,MATCH(ROUNDUP((G$1)/10,0)*10,[1]Hugst!$R$4:$W$4,0))))</f>
        <v>0</v>
      </c>
      <c r="H184">
        <f ca="1">IF($C184-H$1&lt;År1,0,G183*(1-VLOOKUP($A184,[1]Hugst!$R$5:$W$9,MATCH(ROUNDUP((H$1)/10,0)*10,[1]Hugst!$R$4:$W$4,0))))</f>
        <v>0</v>
      </c>
      <c r="I184">
        <f ca="1">IF($C184-I$1&lt;År1,0,H183*(1-VLOOKUP($A184,[1]Hugst!$R$5:$W$9,MATCH(ROUNDUP((I$1)/10,0)*10,[1]Hugst!$R$4:$W$4,0))))</f>
        <v>0</v>
      </c>
      <c r="J184">
        <f ca="1">IF($C184-J$1&lt;År1,0,I183*(1-VLOOKUP($A184,[1]Hugst!$R$5:$W$9,MATCH(ROUNDUP((J$1)/10,0)*10,[1]Hugst!$R$4:$W$4,0))))</f>
        <v>0</v>
      </c>
      <c r="K184">
        <f ca="1">IF($C184-K$1&lt;År1,0,J183*(1-VLOOKUP($A184,[1]Hugst!$R$5:$W$9,MATCH(ROUNDUP((K$1)/10,0)*10,[1]Hugst!$R$4:$W$4,0))))</f>
        <v>0</v>
      </c>
      <c r="L184">
        <f ca="1">IF($C184-L$1&lt;År1,0,K183*(1-VLOOKUP($A184,[1]Hugst!$R$5:$W$9,MATCH(ROUNDUP((L$1)/10,0)*10,[1]Hugst!$R$4:$W$4,0))))</f>
        <v>0</v>
      </c>
      <c r="M184">
        <f ca="1">IF($C184-M$1&lt;År1,0,L183*(1-VLOOKUP($A184,[1]Hugst!$R$5:$W$9,MATCH(ROUNDUP((M$1)/10,0)*10,[1]Hugst!$R$4:$W$4,0))))</f>
        <v>0</v>
      </c>
      <c r="N184">
        <f ca="1">IF($C184-N$1&lt;År1,0,M183*(1-VLOOKUP($A184,[1]Hugst!$R$5:$W$9,MATCH(ROUNDUP((N$1)/10,0)*10,[1]Hugst!$R$4:$W$4,0))))</f>
        <v>0</v>
      </c>
      <c r="O184">
        <f ca="1">IF($C184-O$1&lt;År1,0,N183*(1-VLOOKUP($A184,[1]Hugst!$R$5:$W$9,MATCH(ROUNDUP((O$1)/10,0)*10,[1]Hugst!$R$4:$W$4,0))))</f>
        <v>0</v>
      </c>
      <c r="P184">
        <f ca="1">IF($C184-P$1&lt;År1,0,O183*(1-VLOOKUP($A184,[1]Hugst!$R$5:$W$9,MATCH(ROUNDUP((P$1)/10,0)*10,[1]Hugst!$R$4:$W$4,0))))</f>
        <v>0</v>
      </c>
      <c r="Q184">
        <f ca="1">IF($C184-Q$1&lt;År1,0,P183*(1-VLOOKUP($A184,[1]Hugst!$R$5:$W$9,MATCH(ROUNDUP((Q$1)/10,0)*10,[1]Hugst!$R$4:$W$4,0))))</f>
        <v>0</v>
      </c>
      <c r="R184">
        <f ca="1">IF($C184-R$1&lt;År1,0,Q183*(1-VLOOKUP($A184,[1]Hugst!$R$5:$W$9,MATCH(ROUNDUP((R$1)/10,0)*10,[1]Hugst!$R$4:$W$4,0))))</f>
        <v>0</v>
      </c>
      <c r="S184">
        <f ca="1">IF($C184-S$1&lt;År1,0,R183*(1-VLOOKUP($A184,[1]Hugst!$R$5:$W$9,MATCH(ROUNDUP((S$1)/10,0)*10,[1]Hugst!$R$4:$W$4,0))))</f>
        <v>0</v>
      </c>
      <c r="T184">
        <f ca="1">IF($C184-T$1&lt;År1,0,S183*(1-VLOOKUP($A184,[1]Hugst!$R$5:$W$9,MATCH(ROUNDUP((T$1)/10,0)*10,[1]Hugst!$R$4:$W$4,0))))</f>
        <v>0</v>
      </c>
      <c r="U184">
        <f ca="1">IF($C184-U$1&lt;År1,0,T183*(1-VLOOKUP($A184,[1]Hugst!$R$5:$W$9,MATCH(ROUNDUP((U$1)/10,0)*10,[1]Hugst!$R$4:$W$4,0))))</f>
        <v>0</v>
      </c>
      <c r="V184">
        <f ca="1">IF($C184-V$1&lt;År1,0,U183*(1-VLOOKUP($A184,[1]Hugst!$R$5:$W$9,MATCH(ROUNDUP((V$1)/10,0)*10,[1]Hugst!$R$4:$W$4,0))))</f>
        <v>0</v>
      </c>
      <c r="W184">
        <f ca="1">IF($C184-W$1&lt;År1,0,V183*(1-VLOOKUP($A184,[1]Hugst!$R$5:$W$9,MATCH(ROUNDUP((W$1)/10,0)*10,[1]Hugst!$R$4:$W$4,0))))</f>
        <v>0</v>
      </c>
      <c r="X184">
        <f ca="1">IF($C184-X$1&lt;År1,0,W183*(1-VLOOKUP($A184,[1]Hugst!$R$5:$W$9,MATCH(ROUNDUP((X$1)/10,0)*10,[1]Hugst!$R$4:$W$4,0))))</f>
        <v>0</v>
      </c>
      <c r="Y184">
        <f ca="1">IF($C184-Y$1&lt;År1,0,X183*(1-VLOOKUP($A184,[1]Hugst!$R$5:$W$9,MATCH(ROUNDUP((Y$1)/10,0)*10,[1]Hugst!$R$4:$W$4,0))))</f>
        <v>0</v>
      </c>
      <c r="Z184">
        <f ca="1">IF($C184-Z$1&lt;År1,0,Y183*(1-VLOOKUP($A184,[1]Hugst!$R$5:$W$9,MATCH(ROUNDUP((Z$1)/10,0)*10,[1]Hugst!$R$4:$W$4,0))))</f>
        <v>0</v>
      </c>
      <c r="AA184">
        <f ca="1">IF($C184-AA$1&lt;År1,0,Z183*(1-VLOOKUP($A184,[1]Hugst!$R$5:$W$9,MATCH(ROUNDUP((AA$1)/10,0)*10,[1]Hugst!$R$4:$W$4,0))))</f>
        <v>0</v>
      </c>
      <c r="AB184">
        <f ca="1">IF($C184-AB$1&lt;År1,0,AA183*(1-VLOOKUP($A184,[1]Hugst!$R$5:$W$9,MATCH(ROUNDUP((AB$1)/10,0)*10,[1]Hugst!$R$4:$W$4,0))))</f>
        <v>0</v>
      </c>
      <c r="AC184">
        <f ca="1">IF($C184-AC$1&lt;År1,0,AB183*(1-VLOOKUP($A184,[1]Hugst!$R$5:$W$9,MATCH(ROUNDUP((AC$1)/10,0)*10,[1]Hugst!$R$4:$W$4,0))))</f>
        <v>0</v>
      </c>
      <c r="AD184">
        <f ca="1">IF($C184-AD$1&lt;År1,0,AC183*(1-VLOOKUP($A184,[1]Hugst!$R$5:$W$9,MATCH(ROUNDUP((AD$1)/10,0)*10,[1]Hugst!$R$4:$W$4,0))))</f>
        <v>0</v>
      </c>
      <c r="AE184">
        <f ca="1">IF($C184-AE$1&lt;År1,0,AD183*(1-VLOOKUP($A184,[1]Hugst!$R$5:$W$9,MATCH(ROUNDUP((AE$1)/10,0)*10,[1]Hugst!$R$4:$W$4,0))))</f>
        <v>0</v>
      </c>
      <c r="AF184">
        <f ca="1">IF($C184-AF$1&lt;År1,0,AE183*(1-VLOOKUP($A184,[1]Hugst!$R$5:$W$9,MATCH(ROUNDUP((AF$1)/10,0)*10,[1]Hugst!$R$4:$W$4,0))))</f>
        <v>0</v>
      </c>
      <c r="AG184">
        <f ca="1">IF($C184-AG$1&lt;År1,0,AF183*(1-VLOOKUP($A184,[1]Hugst!$R$5:$W$9,MATCH(ROUNDUP((AG$1)/10,0)*10,[1]Hugst!$R$4:$W$4,0))))</f>
        <v>0</v>
      </c>
      <c r="AH184">
        <f>IF($C184-AH$1&lt;År1,0,AG183*(1-VLOOKUP($A184,[1]Hugst!$R$5:$W$9,MATCH(ROUNDUP((AH$1)/10,0)*10,[1]Hugst!$R$4:$W$4,0))))</f>
        <v>0</v>
      </c>
      <c r="AI184">
        <f>IF($C184-AI$1&lt;År1,0,AH183*(1-VLOOKUP($A184,[1]Hugst!$R$5:$W$9,MATCH(ROUNDUP((AI$1)/10,0)*10,[1]Hugst!$R$4:$W$4,0))))</f>
        <v>0</v>
      </c>
      <c r="AJ184">
        <f>IF($C184-AJ$1&lt;År1,0,AI183*(1-VLOOKUP($A184,[1]Hugst!$R$5:$W$9,MATCH(ROUNDUP((AJ$1)/10,0)*10,[1]Hugst!$R$4:$W$4,0))))</f>
        <v>0</v>
      </c>
    </row>
    <row r="185" spans="1:36" x14ac:dyDescent="0.25">
      <c r="A185" t="s">
        <v>178</v>
      </c>
      <c r="B185" t="s">
        <v>24</v>
      </c>
      <c r="C185">
        <v>2048</v>
      </c>
      <c r="D185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0</v>
      </c>
      <c r="E185">
        <f t="shared" ca="1" si="3"/>
        <v>0</v>
      </c>
      <c r="F185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>
        <f ca="1">IF($C185-G$1&lt;År1,0,F184*(1-VLOOKUP($A185,[1]Hugst!$R$5:$W$9,MATCH(ROUNDUP((G$1)/10,0)*10,[1]Hugst!$R$4:$W$4,0))))</f>
        <v>0</v>
      </c>
      <c r="H185">
        <f ca="1">IF($C185-H$1&lt;År1,0,G184*(1-VLOOKUP($A185,[1]Hugst!$R$5:$W$9,MATCH(ROUNDUP((H$1)/10,0)*10,[1]Hugst!$R$4:$W$4,0))))</f>
        <v>0</v>
      </c>
      <c r="I185">
        <f ca="1">IF($C185-I$1&lt;År1,0,H184*(1-VLOOKUP($A185,[1]Hugst!$R$5:$W$9,MATCH(ROUNDUP((I$1)/10,0)*10,[1]Hugst!$R$4:$W$4,0))))</f>
        <v>0</v>
      </c>
      <c r="J185">
        <f ca="1">IF($C185-J$1&lt;År1,0,I184*(1-VLOOKUP($A185,[1]Hugst!$R$5:$W$9,MATCH(ROUNDUP((J$1)/10,0)*10,[1]Hugst!$R$4:$W$4,0))))</f>
        <v>0</v>
      </c>
      <c r="K185">
        <f ca="1">IF($C185-K$1&lt;År1,0,J184*(1-VLOOKUP($A185,[1]Hugst!$R$5:$W$9,MATCH(ROUNDUP((K$1)/10,0)*10,[1]Hugst!$R$4:$W$4,0))))</f>
        <v>0</v>
      </c>
      <c r="L185">
        <f ca="1">IF($C185-L$1&lt;År1,0,K184*(1-VLOOKUP($A185,[1]Hugst!$R$5:$W$9,MATCH(ROUNDUP((L$1)/10,0)*10,[1]Hugst!$R$4:$W$4,0))))</f>
        <v>0</v>
      </c>
      <c r="M185">
        <f ca="1">IF($C185-M$1&lt;År1,0,L184*(1-VLOOKUP($A185,[1]Hugst!$R$5:$W$9,MATCH(ROUNDUP((M$1)/10,0)*10,[1]Hugst!$R$4:$W$4,0))))</f>
        <v>0</v>
      </c>
      <c r="N185">
        <f ca="1">IF($C185-N$1&lt;År1,0,M184*(1-VLOOKUP($A185,[1]Hugst!$R$5:$W$9,MATCH(ROUNDUP((N$1)/10,0)*10,[1]Hugst!$R$4:$W$4,0))))</f>
        <v>0</v>
      </c>
      <c r="O185">
        <f ca="1">IF($C185-O$1&lt;År1,0,N184*(1-VLOOKUP($A185,[1]Hugst!$R$5:$W$9,MATCH(ROUNDUP((O$1)/10,0)*10,[1]Hugst!$R$4:$W$4,0))))</f>
        <v>0</v>
      </c>
      <c r="P185">
        <f ca="1">IF($C185-P$1&lt;År1,0,O184*(1-VLOOKUP($A185,[1]Hugst!$R$5:$W$9,MATCH(ROUNDUP((P$1)/10,0)*10,[1]Hugst!$R$4:$W$4,0))))</f>
        <v>0</v>
      </c>
      <c r="Q185">
        <f ca="1">IF($C185-Q$1&lt;År1,0,P184*(1-VLOOKUP($A185,[1]Hugst!$R$5:$W$9,MATCH(ROUNDUP((Q$1)/10,0)*10,[1]Hugst!$R$4:$W$4,0))))</f>
        <v>0</v>
      </c>
      <c r="R185">
        <f ca="1">IF($C185-R$1&lt;År1,0,Q184*(1-VLOOKUP($A185,[1]Hugst!$R$5:$W$9,MATCH(ROUNDUP((R$1)/10,0)*10,[1]Hugst!$R$4:$W$4,0))))</f>
        <v>0</v>
      </c>
      <c r="S185">
        <f ca="1">IF($C185-S$1&lt;År1,0,R184*(1-VLOOKUP($A185,[1]Hugst!$R$5:$W$9,MATCH(ROUNDUP((S$1)/10,0)*10,[1]Hugst!$R$4:$W$4,0))))</f>
        <v>0</v>
      </c>
      <c r="T185">
        <f ca="1">IF($C185-T$1&lt;År1,0,S184*(1-VLOOKUP($A185,[1]Hugst!$R$5:$W$9,MATCH(ROUNDUP((T$1)/10,0)*10,[1]Hugst!$R$4:$W$4,0))))</f>
        <v>0</v>
      </c>
      <c r="U185">
        <f ca="1">IF($C185-U$1&lt;År1,0,T184*(1-VLOOKUP($A185,[1]Hugst!$R$5:$W$9,MATCH(ROUNDUP((U$1)/10,0)*10,[1]Hugst!$R$4:$W$4,0))))</f>
        <v>0</v>
      </c>
      <c r="V185">
        <f ca="1">IF($C185-V$1&lt;År1,0,U184*(1-VLOOKUP($A185,[1]Hugst!$R$5:$W$9,MATCH(ROUNDUP((V$1)/10,0)*10,[1]Hugst!$R$4:$W$4,0))))</f>
        <v>0</v>
      </c>
      <c r="W185">
        <f ca="1">IF($C185-W$1&lt;År1,0,V184*(1-VLOOKUP($A185,[1]Hugst!$R$5:$W$9,MATCH(ROUNDUP((W$1)/10,0)*10,[1]Hugst!$R$4:$W$4,0))))</f>
        <v>0</v>
      </c>
      <c r="X185">
        <f ca="1">IF($C185-X$1&lt;År1,0,W184*(1-VLOOKUP($A185,[1]Hugst!$R$5:$W$9,MATCH(ROUNDUP((X$1)/10,0)*10,[1]Hugst!$R$4:$W$4,0))))</f>
        <v>0</v>
      </c>
      <c r="Y185">
        <f ca="1">IF($C185-Y$1&lt;År1,0,X184*(1-VLOOKUP($A185,[1]Hugst!$R$5:$W$9,MATCH(ROUNDUP((Y$1)/10,0)*10,[1]Hugst!$R$4:$W$4,0))))</f>
        <v>0</v>
      </c>
      <c r="Z185">
        <f ca="1">IF($C185-Z$1&lt;År1,0,Y184*(1-VLOOKUP($A185,[1]Hugst!$R$5:$W$9,MATCH(ROUNDUP((Z$1)/10,0)*10,[1]Hugst!$R$4:$W$4,0))))</f>
        <v>0</v>
      </c>
      <c r="AA185">
        <f ca="1">IF($C185-AA$1&lt;År1,0,Z184*(1-VLOOKUP($A185,[1]Hugst!$R$5:$W$9,MATCH(ROUNDUP((AA$1)/10,0)*10,[1]Hugst!$R$4:$W$4,0))))</f>
        <v>0</v>
      </c>
      <c r="AB185">
        <f ca="1">IF($C185-AB$1&lt;År1,0,AA184*(1-VLOOKUP($A185,[1]Hugst!$R$5:$W$9,MATCH(ROUNDUP((AB$1)/10,0)*10,[1]Hugst!$R$4:$W$4,0))))</f>
        <v>0</v>
      </c>
      <c r="AC185">
        <f ca="1">IF($C185-AC$1&lt;År1,0,AB184*(1-VLOOKUP($A185,[1]Hugst!$R$5:$W$9,MATCH(ROUNDUP((AC$1)/10,0)*10,[1]Hugst!$R$4:$W$4,0))))</f>
        <v>0</v>
      </c>
      <c r="AD185">
        <f ca="1">IF($C185-AD$1&lt;År1,0,AC184*(1-VLOOKUP($A185,[1]Hugst!$R$5:$W$9,MATCH(ROUNDUP((AD$1)/10,0)*10,[1]Hugst!$R$4:$W$4,0))))</f>
        <v>0</v>
      </c>
      <c r="AE185">
        <f ca="1">IF($C185-AE$1&lt;År1,0,AD184*(1-VLOOKUP($A185,[1]Hugst!$R$5:$W$9,MATCH(ROUNDUP((AE$1)/10,0)*10,[1]Hugst!$R$4:$W$4,0))))</f>
        <v>0</v>
      </c>
      <c r="AF185">
        <f ca="1">IF($C185-AF$1&lt;År1,0,AE184*(1-VLOOKUP($A185,[1]Hugst!$R$5:$W$9,MATCH(ROUNDUP((AF$1)/10,0)*10,[1]Hugst!$R$4:$W$4,0))))</f>
        <v>0</v>
      </c>
      <c r="AG185">
        <f ca="1">IF($C185-AG$1&lt;År1,0,AF184*(1-VLOOKUP($A185,[1]Hugst!$R$5:$W$9,MATCH(ROUNDUP((AG$1)/10,0)*10,[1]Hugst!$R$4:$W$4,0))))</f>
        <v>0</v>
      </c>
      <c r="AH185">
        <f ca="1">IF($C185-AH$1&lt;År1,0,AG184*(1-VLOOKUP($A185,[1]Hugst!$R$5:$W$9,MATCH(ROUNDUP((AH$1)/10,0)*10,[1]Hugst!$R$4:$W$4,0))))</f>
        <v>0</v>
      </c>
      <c r="AI185">
        <f>IF($C185-AI$1&lt;År1,0,AH184*(1-VLOOKUP($A185,[1]Hugst!$R$5:$W$9,MATCH(ROUNDUP((AI$1)/10,0)*10,[1]Hugst!$R$4:$W$4,0))))</f>
        <v>0</v>
      </c>
      <c r="AJ185">
        <f>IF($C185-AJ$1&lt;År1,0,AI184*(1-VLOOKUP($A185,[1]Hugst!$R$5:$W$9,MATCH(ROUNDUP((AJ$1)/10,0)*10,[1]Hugst!$R$4:$W$4,0))))</f>
        <v>0</v>
      </c>
    </row>
    <row r="186" spans="1:36" x14ac:dyDescent="0.25">
      <c r="A186" t="s">
        <v>178</v>
      </c>
      <c r="B186" t="s">
        <v>24</v>
      </c>
      <c r="C186">
        <v>2049</v>
      </c>
      <c r="D186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0</v>
      </c>
      <c r="E186">
        <f t="shared" ca="1" si="3"/>
        <v>0</v>
      </c>
      <c r="F186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>
        <f ca="1">IF($C186-G$1&lt;År1,0,F185*(1-VLOOKUP($A186,[1]Hugst!$R$5:$W$9,MATCH(ROUNDUP((G$1)/10,0)*10,[1]Hugst!$R$4:$W$4,0))))</f>
        <v>0</v>
      </c>
      <c r="H186">
        <f ca="1">IF($C186-H$1&lt;År1,0,G185*(1-VLOOKUP($A186,[1]Hugst!$R$5:$W$9,MATCH(ROUNDUP((H$1)/10,0)*10,[1]Hugst!$R$4:$W$4,0))))</f>
        <v>0</v>
      </c>
      <c r="I186">
        <f ca="1">IF($C186-I$1&lt;År1,0,H185*(1-VLOOKUP($A186,[1]Hugst!$R$5:$W$9,MATCH(ROUNDUP((I$1)/10,0)*10,[1]Hugst!$R$4:$W$4,0))))</f>
        <v>0</v>
      </c>
      <c r="J186">
        <f ca="1">IF($C186-J$1&lt;År1,0,I185*(1-VLOOKUP($A186,[1]Hugst!$R$5:$W$9,MATCH(ROUNDUP((J$1)/10,0)*10,[1]Hugst!$R$4:$W$4,0))))</f>
        <v>0</v>
      </c>
      <c r="K186">
        <f ca="1">IF($C186-K$1&lt;År1,0,J185*(1-VLOOKUP($A186,[1]Hugst!$R$5:$W$9,MATCH(ROUNDUP((K$1)/10,0)*10,[1]Hugst!$R$4:$W$4,0))))</f>
        <v>0</v>
      </c>
      <c r="L186">
        <f ca="1">IF($C186-L$1&lt;År1,0,K185*(1-VLOOKUP($A186,[1]Hugst!$R$5:$W$9,MATCH(ROUNDUP((L$1)/10,0)*10,[1]Hugst!$R$4:$W$4,0))))</f>
        <v>0</v>
      </c>
      <c r="M186">
        <f ca="1">IF($C186-M$1&lt;År1,0,L185*(1-VLOOKUP($A186,[1]Hugst!$R$5:$W$9,MATCH(ROUNDUP((M$1)/10,0)*10,[1]Hugst!$R$4:$W$4,0))))</f>
        <v>0</v>
      </c>
      <c r="N186">
        <f ca="1">IF($C186-N$1&lt;År1,0,M185*(1-VLOOKUP($A186,[1]Hugst!$R$5:$W$9,MATCH(ROUNDUP((N$1)/10,0)*10,[1]Hugst!$R$4:$W$4,0))))</f>
        <v>0</v>
      </c>
      <c r="O186">
        <f ca="1">IF($C186-O$1&lt;År1,0,N185*(1-VLOOKUP($A186,[1]Hugst!$R$5:$W$9,MATCH(ROUNDUP((O$1)/10,0)*10,[1]Hugst!$R$4:$W$4,0))))</f>
        <v>0</v>
      </c>
      <c r="P186">
        <f ca="1">IF($C186-P$1&lt;År1,0,O185*(1-VLOOKUP($A186,[1]Hugst!$R$5:$W$9,MATCH(ROUNDUP((P$1)/10,0)*10,[1]Hugst!$R$4:$W$4,0))))</f>
        <v>0</v>
      </c>
      <c r="Q186">
        <f ca="1">IF($C186-Q$1&lt;År1,0,P185*(1-VLOOKUP($A186,[1]Hugst!$R$5:$W$9,MATCH(ROUNDUP((Q$1)/10,0)*10,[1]Hugst!$R$4:$W$4,0))))</f>
        <v>0</v>
      </c>
      <c r="R186">
        <f ca="1">IF($C186-R$1&lt;År1,0,Q185*(1-VLOOKUP($A186,[1]Hugst!$R$5:$W$9,MATCH(ROUNDUP((R$1)/10,0)*10,[1]Hugst!$R$4:$W$4,0))))</f>
        <v>0</v>
      </c>
      <c r="S186">
        <f ca="1">IF($C186-S$1&lt;År1,0,R185*(1-VLOOKUP($A186,[1]Hugst!$R$5:$W$9,MATCH(ROUNDUP((S$1)/10,0)*10,[1]Hugst!$R$4:$W$4,0))))</f>
        <v>0</v>
      </c>
      <c r="T186">
        <f ca="1">IF($C186-T$1&lt;År1,0,S185*(1-VLOOKUP($A186,[1]Hugst!$R$5:$W$9,MATCH(ROUNDUP((T$1)/10,0)*10,[1]Hugst!$R$4:$W$4,0))))</f>
        <v>0</v>
      </c>
      <c r="U186">
        <f ca="1">IF($C186-U$1&lt;År1,0,T185*(1-VLOOKUP($A186,[1]Hugst!$R$5:$W$9,MATCH(ROUNDUP((U$1)/10,0)*10,[1]Hugst!$R$4:$W$4,0))))</f>
        <v>0</v>
      </c>
      <c r="V186">
        <f ca="1">IF($C186-V$1&lt;År1,0,U185*(1-VLOOKUP($A186,[1]Hugst!$R$5:$W$9,MATCH(ROUNDUP((V$1)/10,0)*10,[1]Hugst!$R$4:$W$4,0))))</f>
        <v>0</v>
      </c>
      <c r="W186">
        <f ca="1">IF($C186-W$1&lt;År1,0,V185*(1-VLOOKUP($A186,[1]Hugst!$R$5:$W$9,MATCH(ROUNDUP((W$1)/10,0)*10,[1]Hugst!$R$4:$W$4,0))))</f>
        <v>0</v>
      </c>
      <c r="X186">
        <f ca="1">IF($C186-X$1&lt;År1,0,W185*(1-VLOOKUP($A186,[1]Hugst!$R$5:$W$9,MATCH(ROUNDUP((X$1)/10,0)*10,[1]Hugst!$R$4:$W$4,0))))</f>
        <v>0</v>
      </c>
      <c r="Y186">
        <f ca="1">IF($C186-Y$1&lt;År1,0,X185*(1-VLOOKUP($A186,[1]Hugst!$R$5:$W$9,MATCH(ROUNDUP((Y$1)/10,0)*10,[1]Hugst!$R$4:$W$4,0))))</f>
        <v>0</v>
      </c>
      <c r="Z186">
        <f ca="1">IF($C186-Z$1&lt;År1,0,Y185*(1-VLOOKUP($A186,[1]Hugst!$R$5:$W$9,MATCH(ROUNDUP((Z$1)/10,0)*10,[1]Hugst!$R$4:$W$4,0))))</f>
        <v>0</v>
      </c>
      <c r="AA186">
        <f ca="1">IF($C186-AA$1&lt;År1,0,Z185*(1-VLOOKUP($A186,[1]Hugst!$R$5:$W$9,MATCH(ROUNDUP((AA$1)/10,0)*10,[1]Hugst!$R$4:$W$4,0))))</f>
        <v>0</v>
      </c>
      <c r="AB186">
        <f ca="1">IF($C186-AB$1&lt;År1,0,AA185*(1-VLOOKUP($A186,[1]Hugst!$R$5:$W$9,MATCH(ROUNDUP((AB$1)/10,0)*10,[1]Hugst!$R$4:$W$4,0))))</f>
        <v>0</v>
      </c>
      <c r="AC186">
        <f ca="1">IF($C186-AC$1&lt;År1,0,AB185*(1-VLOOKUP($A186,[1]Hugst!$R$5:$W$9,MATCH(ROUNDUP((AC$1)/10,0)*10,[1]Hugst!$R$4:$W$4,0))))</f>
        <v>0</v>
      </c>
      <c r="AD186">
        <f ca="1">IF($C186-AD$1&lt;År1,0,AC185*(1-VLOOKUP($A186,[1]Hugst!$R$5:$W$9,MATCH(ROUNDUP((AD$1)/10,0)*10,[1]Hugst!$R$4:$W$4,0))))</f>
        <v>0</v>
      </c>
      <c r="AE186">
        <f ca="1">IF($C186-AE$1&lt;År1,0,AD185*(1-VLOOKUP($A186,[1]Hugst!$R$5:$W$9,MATCH(ROUNDUP((AE$1)/10,0)*10,[1]Hugst!$R$4:$W$4,0))))</f>
        <v>0</v>
      </c>
      <c r="AF186">
        <f ca="1">IF($C186-AF$1&lt;År1,0,AE185*(1-VLOOKUP($A186,[1]Hugst!$R$5:$W$9,MATCH(ROUNDUP((AF$1)/10,0)*10,[1]Hugst!$R$4:$W$4,0))))</f>
        <v>0</v>
      </c>
      <c r="AG186">
        <f ca="1">IF($C186-AG$1&lt;År1,0,AF185*(1-VLOOKUP($A186,[1]Hugst!$R$5:$W$9,MATCH(ROUNDUP((AG$1)/10,0)*10,[1]Hugst!$R$4:$W$4,0))))</f>
        <v>0</v>
      </c>
      <c r="AH186">
        <f ca="1">IF($C186-AH$1&lt;År1,0,AG185*(1-VLOOKUP($A186,[1]Hugst!$R$5:$W$9,MATCH(ROUNDUP((AH$1)/10,0)*10,[1]Hugst!$R$4:$W$4,0))))</f>
        <v>0</v>
      </c>
      <c r="AI186">
        <f ca="1">IF($C186-AI$1&lt;År1,0,AH185*(1-VLOOKUP($A186,[1]Hugst!$R$5:$W$9,MATCH(ROUNDUP((AI$1)/10,0)*10,[1]Hugst!$R$4:$W$4,0))))</f>
        <v>0</v>
      </c>
      <c r="AJ186">
        <f>IF($C186-AJ$1&lt;År1,0,AI185*(1-VLOOKUP($A186,[1]Hugst!$R$5:$W$9,MATCH(ROUNDUP((AJ$1)/10,0)*10,[1]Hugst!$R$4:$W$4,0))))</f>
        <v>0</v>
      </c>
    </row>
    <row r="187" spans="1:36" x14ac:dyDescent="0.25">
      <c r="A187" t="s">
        <v>178</v>
      </c>
      <c r="B187" t="s">
        <v>24</v>
      </c>
      <c r="C187">
        <v>2050</v>
      </c>
      <c r="D187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0</v>
      </c>
      <c r="E187">
        <f t="shared" ca="1" si="3"/>
        <v>0</v>
      </c>
      <c r="F187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>
        <f ca="1">IF($C187-G$1&lt;År1,0,F186*(1-VLOOKUP($A187,[1]Hugst!$R$5:$W$9,MATCH(ROUNDUP((G$1)/10,0)*10,[1]Hugst!$R$4:$W$4,0))))</f>
        <v>0</v>
      </c>
      <c r="H187">
        <f ca="1">IF($C187-H$1&lt;År1,0,G186*(1-VLOOKUP($A187,[1]Hugst!$R$5:$W$9,MATCH(ROUNDUP((H$1)/10,0)*10,[1]Hugst!$R$4:$W$4,0))))</f>
        <v>0</v>
      </c>
      <c r="I187">
        <f ca="1">IF($C187-I$1&lt;År1,0,H186*(1-VLOOKUP($A187,[1]Hugst!$R$5:$W$9,MATCH(ROUNDUP((I$1)/10,0)*10,[1]Hugst!$R$4:$W$4,0))))</f>
        <v>0</v>
      </c>
      <c r="J187">
        <f ca="1">IF($C187-J$1&lt;År1,0,I186*(1-VLOOKUP($A187,[1]Hugst!$R$5:$W$9,MATCH(ROUNDUP((J$1)/10,0)*10,[1]Hugst!$R$4:$W$4,0))))</f>
        <v>0</v>
      </c>
      <c r="K187">
        <f ca="1">IF($C187-K$1&lt;År1,0,J186*(1-VLOOKUP($A187,[1]Hugst!$R$5:$W$9,MATCH(ROUNDUP((K$1)/10,0)*10,[1]Hugst!$R$4:$W$4,0))))</f>
        <v>0</v>
      </c>
      <c r="L187">
        <f ca="1">IF($C187-L$1&lt;År1,0,K186*(1-VLOOKUP($A187,[1]Hugst!$R$5:$W$9,MATCH(ROUNDUP((L$1)/10,0)*10,[1]Hugst!$R$4:$W$4,0))))</f>
        <v>0</v>
      </c>
      <c r="M187">
        <f ca="1">IF($C187-M$1&lt;År1,0,L186*(1-VLOOKUP($A187,[1]Hugst!$R$5:$W$9,MATCH(ROUNDUP((M$1)/10,0)*10,[1]Hugst!$R$4:$W$4,0))))</f>
        <v>0</v>
      </c>
      <c r="N187">
        <f ca="1">IF($C187-N$1&lt;År1,0,M186*(1-VLOOKUP($A187,[1]Hugst!$R$5:$W$9,MATCH(ROUNDUP((N$1)/10,0)*10,[1]Hugst!$R$4:$W$4,0))))</f>
        <v>0</v>
      </c>
      <c r="O187">
        <f ca="1">IF($C187-O$1&lt;År1,0,N186*(1-VLOOKUP($A187,[1]Hugst!$R$5:$W$9,MATCH(ROUNDUP((O$1)/10,0)*10,[1]Hugst!$R$4:$W$4,0))))</f>
        <v>0</v>
      </c>
      <c r="P187">
        <f ca="1">IF($C187-P$1&lt;År1,0,O186*(1-VLOOKUP($A187,[1]Hugst!$R$5:$W$9,MATCH(ROUNDUP((P$1)/10,0)*10,[1]Hugst!$R$4:$W$4,0))))</f>
        <v>0</v>
      </c>
      <c r="Q187">
        <f ca="1">IF($C187-Q$1&lt;År1,0,P186*(1-VLOOKUP($A187,[1]Hugst!$R$5:$W$9,MATCH(ROUNDUP((Q$1)/10,0)*10,[1]Hugst!$R$4:$W$4,0))))</f>
        <v>0</v>
      </c>
      <c r="R187">
        <f ca="1">IF($C187-R$1&lt;År1,0,Q186*(1-VLOOKUP($A187,[1]Hugst!$R$5:$W$9,MATCH(ROUNDUP((R$1)/10,0)*10,[1]Hugst!$R$4:$W$4,0))))</f>
        <v>0</v>
      </c>
      <c r="S187">
        <f ca="1">IF($C187-S$1&lt;År1,0,R186*(1-VLOOKUP($A187,[1]Hugst!$R$5:$W$9,MATCH(ROUNDUP((S$1)/10,0)*10,[1]Hugst!$R$4:$W$4,0))))</f>
        <v>0</v>
      </c>
      <c r="T187">
        <f ca="1">IF($C187-T$1&lt;År1,0,S186*(1-VLOOKUP($A187,[1]Hugst!$R$5:$W$9,MATCH(ROUNDUP((T$1)/10,0)*10,[1]Hugst!$R$4:$W$4,0))))</f>
        <v>0</v>
      </c>
      <c r="U187">
        <f ca="1">IF($C187-U$1&lt;År1,0,T186*(1-VLOOKUP($A187,[1]Hugst!$R$5:$W$9,MATCH(ROUNDUP((U$1)/10,0)*10,[1]Hugst!$R$4:$W$4,0))))</f>
        <v>0</v>
      </c>
      <c r="V187">
        <f ca="1">IF($C187-V$1&lt;År1,0,U186*(1-VLOOKUP($A187,[1]Hugst!$R$5:$W$9,MATCH(ROUNDUP((V$1)/10,0)*10,[1]Hugst!$R$4:$W$4,0))))</f>
        <v>0</v>
      </c>
      <c r="W187">
        <f ca="1">IF($C187-W$1&lt;År1,0,V186*(1-VLOOKUP($A187,[1]Hugst!$R$5:$W$9,MATCH(ROUNDUP((W$1)/10,0)*10,[1]Hugst!$R$4:$W$4,0))))</f>
        <v>0</v>
      </c>
      <c r="X187">
        <f ca="1">IF($C187-X$1&lt;År1,0,W186*(1-VLOOKUP($A187,[1]Hugst!$R$5:$W$9,MATCH(ROUNDUP((X$1)/10,0)*10,[1]Hugst!$R$4:$W$4,0))))</f>
        <v>0</v>
      </c>
      <c r="Y187">
        <f ca="1">IF($C187-Y$1&lt;År1,0,X186*(1-VLOOKUP($A187,[1]Hugst!$R$5:$W$9,MATCH(ROUNDUP((Y$1)/10,0)*10,[1]Hugst!$R$4:$W$4,0))))</f>
        <v>0</v>
      </c>
      <c r="Z187">
        <f ca="1">IF($C187-Z$1&lt;År1,0,Y186*(1-VLOOKUP($A187,[1]Hugst!$R$5:$W$9,MATCH(ROUNDUP((Z$1)/10,0)*10,[1]Hugst!$R$4:$W$4,0))))</f>
        <v>0</v>
      </c>
      <c r="AA187">
        <f ca="1">IF($C187-AA$1&lt;År1,0,Z186*(1-VLOOKUP($A187,[1]Hugst!$R$5:$W$9,MATCH(ROUNDUP((AA$1)/10,0)*10,[1]Hugst!$R$4:$W$4,0))))</f>
        <v>0</v>
      </c>
      <c r="AB187">
        <f ca="1">IF($C187-AB$1&lt;År1,0,AA186*(1-VLOOKUP($A187,[1]Hugst!$R$5:$W$9,MATCH(ROUNDUP((AB$1)/10,0)*10,[1]Hugst!$R$4:$W$4,0))))</f>
        <v>0</v>
      </c>
      <c r="AC187">
        <f ca="1">IF($C187-AC$1&lt;År1,0,AB186*(1-VLOOKUP($A187,[1]Hugst!$R$5:$W$9,MATCH(ROUNDUP((AC$1)/10,0)*10,[1]Hugst!$R$4:$W$4,0))))</f>
        <v>0</v>
      </c>
      <c r="AD187">
        <f ca="1">IF($C187-AD$1&lt;År1,0,AC186*(1-VLOOKUP($A187,[1]Hugst!$R$5:$W$9,MATCH(ROUNDUP((AD$1)/10,0)*10,[1]Hugst!$R$4:$W$4,0))))</f>
        <v>0</v>
      </c>
      <c r="AE187">
        <f ca="1">IF($C187-AE$1&lt;År1,0,AD186*(1-VLOOKUP($A187,[1]Hugst!$R$5:$W$9,MATCH(ROUNDUP((AE$1)/10,0)*10,[1]Hugst!$R$4:$W$4,0))))</f>
        <v>0</v>
      </c>
      <c r="AF187">
        <f ca="1">IF($C187-AF$1&lt;År1,0,AE186*(1-VLOOKUP($A187,[1]Hugst!$R$5:$W$9,MATCH(ROUNDUP((AF$1)/10,0)*10,[1]Hugst!$R$4:$W$4,0))))</f>
        <v>0</v>
      </c>
      <c r="AG187">
        <f ca="1">IF($C187-AG$1&lt;År1,0,AF186*(1-VLOOKUP($A187,[1]Hugst!$R$5:$W$9,MATCH(ROUNDUP((AG$1)/10,0)*10,[1]Hugst!$R$4:$W$4,0))))</f>
        <v>0</v>
      </c>
      <c r="AH187">
        <f ca="1">IF($C187-AH$1&lt;År1,0,AG186*(1-VLOOKUP($A187,[1]Hugst!$R$5:$W$9,MATCH(ROUNDUP((AH$1)/10,0)*10,[1]Hugst!$R$4:$W$4,0))))</f>
        <v>0</v>
      </c>
      <c r="AI187">
        <f ca="1">IF($C187-AI$1&lt;År1,0,AH186*(1-VLOOKUP($A187,[1]Hugst!$R$5:$W$9,MATCH(ROUNDUP((AI$1)/10,0)*10,[1]Hugst!$R$4:$W$4,0))))</f>
        <v>0</v>
      </c>
      <c r="AJ187">
        <f ca="1">IF($C187-AJ$1&lt;År1,0,AI186*(1-VLOOKUP($A187,[1]Hugst!$R$5:$W$9,MATCH(ROUNDUP((AJ$1)/10,0)*10,[1]Hugst!$R$4:$W$4,0))))</f>
        <v>0</v>
      </c>
    </row>
    <row r="188" spans="1:36" x14ac:dyDescent="0.25">
      <c r="A188" t="s">
        <v>179</v>
      </c>
      <c r="B188" t="s">
        <v>23</v>
      </c>
      <c r="C188">
        <v>2020</v>
      </c>
      <c r="D18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0</v>
      </c>
      <c r="E188">
        <f>IF(C188=2020,SUM(G188:AJ188),SUM(F187:AJ187)-SUM(G188:AJ188))</f>
        <v>0</v>
      </c>
      <c r="F18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>
        <f>IF($C188-G$1&lt;År1,0,F187*(1-VLOOKUP($A188,[1]Hugst!$R$5:$W$9,MATCH(ROUNDUP((G$1)/10,0)*10,[1]Hugst!$R$4:$W$4,0))))</f>
        <v>0</v>
      </c>
      <c r="H188">
        <f>IF($C188-H$1&lt;År1,0,G187*(1-VLOOKUP($A188,[1]Hugst!$R$5:$W$9,MATCH(ROUNDUP((H$1)/10,0)*10,[1]Hugst!$R$4:$W$4,0))))</f>
        <v>0</v>
      </c>
      <c r="I188">
        <f>IF($C188-I$1&lt;År1,0,H187*(1-VLOOKUP($A188,[1]Hugst!$R$5:$W$9,MATCH(ROUNDUP((I$1)/10,0)*10,[1]Hugst!$R$4:$W$4,0))))</f>
        <v>0</v>
      </c>
      <c r="J188">
        <f>IF($C188-J$1&lt;År1,0,I187*(1-VLOOKUP($A188,[1]Hugst!$R$5:$W$9,MATCH(ROUNDUP((J$1)/10,0)*10,[1]Hugst!$R$4:$W$4,0))))</f>
        <v>0</v>
      </c>
      <c r="K188">
        <f>IF($C188-K$1&lt;År1,0,J187*(1-VLOOKUP($A188,[1]Hugst!$R$5:$W$9,MATCH(ROUNDUP((K$1)/10,0)*10,[1]Hugst!$R$4:$W$4,0))))</f>
        <v>0</v>
      </c>
      <c r="L188">
        <f>IF($C188-L$1&lt;År1,0,K187*(1-VLOOKUP($A188,[1]Hugst!$R$5:$W$9,MATCH(ROUNDUP((L$1)/10,0)*10,[1]Hugst!$R$4:$W$4,0))))</f>
        <v>0</v>
      </c>
      <c r="M188">
        <f>IF($C188-M$1&lt;År1,0,L187*(1-VLOOKUP($A188,[1]Hugst!$R$5:$W$9,MATCH(ROUNDUP((M$1)/10,0)*10,[1]Hugst!$R$4:$W$4,0))))</f>
        <v>0</v>
      </c>
      <c r="N188">
        <f>IF($C188-N$1&lt;År1,0,M187*(1-VLOOKUP($A188,[1]Hugst!$R$5:$W$9,MATCH(ROUNDUP((N$1)/10,0)*10,[1]Hugst!$R$4:$W$4,0))))</f>
        <v>0</v>
      </c>
      <c r="O188">
        <f>IF($C188-O$1&lt;År1,0,N187*(1-VLOOKUP($A188,[1]Hugst!$R$5:$W$9,MATCH(ROUNDUP((O$1)/10,0)*10,[1]Hugst!$R$4:$W$4,0))))</f>
        <v>0</v>
      </c>
      <c r="P188">
        <f>IF($C188-P$1&lt;År1,0,O187*(1-VLOOKUP($A188,[1]Hugst!$R$5:$W$9,MATCH(ROUNDUP((P$1)/10,0)*10,[1]Hugst!$R$4:$W$4,0))))</f>
        <v>0</v>
      </c>
      <c r="Q188">
        <f>IF($C188-Q$1&lt;År1,0,P187*(1-VLOOKUP($A188,[1]Hugst!$R$5:$W$9,MATCH(ROUNDUP((Q$1)/10,0)*10,[1]Hugst!$R$4:$W$4,0))))</f>
        <v>0</v>
      </c>
      <c r="R188">
        <f>IF($C188-R$1&lt;År1,0,Q187*(1-VLOOKUP($A188,[1]Hugst!$R$5:$W$9,MATCH(ROUNDUP((R$1)/10,0)*10,[1]Hugst!$R$4:$W$4,0))))</f>
        <v>0</v>
      </c>
      <c r="S188">
        <f>IF($C188-S$1&lt;År1,0,R187*(1-VLOOKUP($A188,[1]Hugst!$R$5:$W$9,MATCH(ROUNDUP((S$1)/10,0)*10,[1]Hugst!$R$4:$W$4,0))))</f>
        <v>0</v>
      </c>
      <c r="T188">
        <f>IF($C188-T$1&lt;År1,0,S187*(1-VLOOKUP($A188,[1]Hugst!$R$5:$W$9,MATCH(ROUNDUP((T$1)/10,0)*10,[1]Hugst!$R$4:$W$4,0))))</f>
        <v>0</v>
      </c>
      <c r="U188">
        <f>IF($C188-U$1&lt;År1,0,T187*(1-VLOOKUP($A188,[1]Hugst!$R$5:$W$9,MATCH(ROUNDUP((U$1)/10,0)*10,[1]Hugst!$R$4:$W$4,0))))</f>
        <v>0</v>
      </c>
      <c r="V188">
        <f>IF($C188-V$1&lt;År1,0,U187*(1-VLOOKUP($A188,[1]Hugst!$R$5:$W$9,MATCH(ROUNDUP((V$1)/10,0)*10,[1]Hugst!$R$4:$W$4,0))))</f>
        <v>0</v>
      </c>
      <c r="W188">
        <f>IF($C188-W$1&lt;År1,0,V187*(1-VLOOKUP($A188,[1]Hugst!$R$5:$W$9,MATCH(ROUNDUP((W$1)/10,0)*10,[1]Hugst!$R$4:$W$4,0))))</f>
        <v>0</v>
      </c>
      <c r="X188">
        <f>IF($C188-X$1&lt;År1,0,W187*(1-VLOOKUP($A188,[1]Hugst!$R$5:$W$9,MATCH(ROUNDUP((X$1)/10,0)*10,[1]Hugst!$R$4:$W$4,0))))</f>
        <v>0</v>
      </c>
      <c r="Y188">
        <f>IF($C188-Y$1&lt;År1,0,X187*(1-VLOOKUP($A188,[1]Hugst!$R$5:$W$9,MATCH(ROUNDUP((Y$1)/10,0)*10,[1]Hugst!$R$4:$W$4,0))))</f>
        <v>0</v>
      </c>
      <c r="Z188">
        <f>IF($C188-Z$1&lt;År1,0,Y187*(1-VLOOKUP($A188,[1]Hugst!$R$5:$W$9,MATCH(ROUNDUP((Z$1)/10,0)*10,[1]Hugst!$R$4:$W$4,0))))</f>
        <v>0</v>
      </c>
      <c r="AA188">
        <f>IF($C188-AA$1&lt;År1,0,Z187*(1-VLOOKUP($A188,[1]Hugst!$R$5:$W$9,MATCH(ROUNDUP((AA$1)/10,0)*10,[1]Hugst!$R$4:$W$4,0))))</f>
        <v>0</v>
      </c>
      <c r="AB188">
        <f>IF($C188-AB$1&lt;År1,0,AA187*(1-VLOOKUP($A188,[1]Hugst!$R$5:$W$9,MATCH(ROUNDUP((AB$1)/10,0)*10,[1]Hugst!$R$4:$W$4,0))))</f>
        <v>0</v>
      </c>
      <c r="AC188">
        <f>IF($C188-AC$1&lt;År1,0,AB187*(1-VLOOKUP($A188,[1]Hugst!$R$5:$W$9,MATCH(ROUNDUP((AC$1)/10,0)*10,[1]Hugst!$R$4:$W$4,0))))</f>
        <v>0</v>
      </c>
      <c r="AD188">
        <f>IF($C188-AD$1&lt;År1,0,AC187*(1-VLOOKUP($A188,[1]Hugst!$R$5:$W$9,MATCH(ROUNDUP((AD$1)/10,0)*10,[1]Hugst!$R$4:$W$4,0))))</f>
        <v>0</v>
      </c>
      <c r="AE188">
        <f>IF($C188-AE$1&lt;År1,0,AD187*(1-VLOOKUP($A188,[1]Hugst!$R$5:$W$9,MATCH(ROUNDUP((AE$1)/10,0)*10,[1]Hugst!$R$4:$W$4,0))))</f>
        <v>0</v>
      </c>
      <c r="AF188">
        <f>IF($C188-AF$1&lt;År1,0,AE187*(1-VLOOKUP($A188,[1]Hugst!$R$5:$W$9,MATCH(ROUNDUP((AF$1)/10,0)*10,[1]Hugst!$R$4:$W$4,0))))</f>
        <v>0</v>
      </c>
      <c r="AG188">
        <f>IF($C188-AG$1&lt;År1,0,AF187*(1-VLOOKUP($A188,[1]Hugst!$R$5:$W$9,MATCH(ROUNDUP((AG$1)/10,0)*10,[1]Hugst!$R$4:$W$4,0))))</f>
        <v>0</v>
      </c>
      <c r="AH188">
        <f>IF($C188-AH$1&lt;År1,0,AG187*(1-VLOOKUP($A188,[1]Hugst!$R$5:$W$9,MATCH(ROUNDUP((AH$1)/10,0)*10,[1]Hugst!$R$4:$W$4,0))))</f>
        <v>0</v>
      </c>
      <c r="AI188">
        <f>IF($C188-AI$1&lt;År1,0,AH187*(1-VLOOKUP($A188,[1]Hugst!$R$5:$W$9,MATCH(ROUNDUP((AI$1)/10,0)*10,[1]Hugst!$R$4:$W$4,0))))</f>
        <v>0</v>
      </c>
      <c r="AJ188">
        <f>IF($C188-AJ$1&lt;År1,0,AI187*(1-VLOOKUP($A188,[1]Hugst!$R$5:$W$9,MATCH(ROUNDUP((AJ$1)/10,0)*10,[1]Hugst!$R$4:$W$4,0))))</f>
        <v>0</v>
      </c>
    </row>
    <row r="189" spans="1:36" x14ac:dyDescent="0.25">
      <c r="A189" t="s">
        <v>179</v>
      </c>
      <c r="B189" t="s">
        <v>23</v>
      </c>
      <c r="C189">
        <v>2021</v>
      </c>
      <c r="D189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0</v>
      </c>
      <c r="E189">
        <f t="shared" ref="E189:E218" ca="1" si="4">IF(C189=2020,SUM(G189:AJ189),SUM(F188:AJ188)-SUM(G189:AJ189))</f>
        <v>0</v>
      </c>
      <c r="F18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>
        <f ca="1">IF($C189-G$1&lt;År1,0,F188*(1-VLOOKUP($A189,[1]Hugst!$R$5:$W$9,MATCH(ROUNDUP((G$1)/10,0)*10,[1]Hugst!$R$4:$W$4,0))))</f>
        <v>0</v>
      </c>
      <c r="H189">
        <f>IF($C189-H$1&lt;År1,0,G188*(1-VLOOKUP($A189,[1]Hugst!$R$5:$W$9,MATCH(ROUNDUP((H$1)/10,0)*10,[1]Hugst!$R$4:$W$4,0))))</f>
        <v>0</v>
      </c>
      <c r="I189">
        <f>IF($C189-I$1&lt;År1,0,H188*(1-VLOOKUP($A189,[1]Hugst!$R$5:$W$9,MATCH(ROUNDUP((I$1)/10,0)*10,[1]Hugst!$R$4:$W$4,0))))</f>
        <v>0</v>
      </c>
      <c r="J189">
        <f>IF($C189-J$1&lt;År1,0,I188*(1-VLOOKUP($A189,[1]Hugst!$R$5:$W$9,MATCH(ROUNDUP((J$1)/10,0)*10,[1]Hugst!$R$4:$W$4,0))))</f>
        <v>0</v>
      </c>
      <c r="K189">
        <f>IF($C189-K$1&lt;År1,0,J188*(1-VLOOKUP($A189,[1]Hugst!$R$5:$W$9,MATCH(ROUNDUP((K$1)/10,0)*10,[1]Hugst!$R$4:$W$4,0))))</f>
        <v>0</v>
      </c>
      <c r="L189">
        <f>IF($C189-L$1&lt;År1,0,K188*(1-VLOOKUP($A189,[1]Hugst!$R$5:$W$9,MATCH(ROUNDUP((L$1)/10,0)*10,[1]Hugst!$R$4:$W$4,0))))</f>
        <v>0</v>
      </c>
      <c r="M189">
        <f>IF($C189-M$1&lt;År1,0,L188*(1-VLOOKUP($A189,[1]Hugst!$R$5:$W$9,MATCH(ROUNDUP((M$1)/10,0)*10,[1]Hugst!$R$4:$W$4,0))))</f>
        <v>0</v>
      </c>
      <c r="N189">
        <f>IF($C189-N$1&lt;År1,0,M188*(1-VLOOKUP($A189,[1]Hugst!$R$5:$W$9,MATCH(ROUNDUP((N$1)/10,0)*10,[1]Hugst!$R$4:$W$4,0))))</f>
        <v>0</v>
      </c>
      <c r="O189">
        <f>IF($C189-O$1&lt;År1,0,N188*(1-VLOOKUP($A189,[1]Hugst!$R$5:$W$9,MATCH(ROUNDUP((O$1)/10,0)*10,[1]Hugst!$R$4:$W$4,0))))</f>
        <v>0</v>
      </c>
      <c r="P189">
        <f>IF($C189-P$1&lt;År1,0,O188*(1-VLOOKUP($A189,[1]Hugst!$R$5:$W$9,MATCH(ROUNDUP((P$1)/10,0)*10,[1]Hugst!$R$4:$W$4,0))))</f>
        <v>0</v>
      </c>
      <c r="Q189">
        <f>IF($C189-Q$1&lt;År1,0,P188*(1-VLOOKUP($A189,[1]Hugst!$R$5:$W$9,MATCH(ROUNDUP((Q$1)/10,0)*10,[1]Hugst!$R$4:$W$4,0))))</f>
        <v>0</v>
      </c>
      <c r="R189">
        <f>IF($C189-R$1&lt;År1,0,Q188*(1-VLOOKUP($A189,[1]Hugst!$R$5:$W$9,MATCH(ROUNDUP((R$1)/10,0)*10,[1]Hugst!$R$4:$W$4,0))))</f>
        <v>0</v>
      </c>
      <c r="S189">
        <f>IF($C189-S$1&lt;År1,0,R188*(1-VLOOKUP($A189,[1]Hugst!$R$5:$W$9,MATCH(ROUNDUP((S$1)/10,0)*10,[1]Hugst!$R$4:$W$4,0))))</f>
        <v>0</v>
      </c>
      <c r="T189">
        <f>IF($C189-T$1&lt;År1,0,S188*(1-VLOOKUP($A189,[1]Hugst!$R$5:$W$9,MATCH(ROUNDUP((T$1)/10,0)*10,[1]Hugst!$R$4:$W$4,0))))</f>
        <v>0</v>
      </c>
      <c r="U189">
        <f>IF($C189-U$1&lt;År1,0,T188*(1-VLOOKUP($A189,[1]Hugst!$R$5:$W$9,MATCH(ROUNDUP((U$1)/10,0)*10,[1]Hugst!$R$4:$W$4,0))))</f>
        <v>0</v>
      </c>
      <c r="V189">
        <f>IF($C189-V$1&lt;År1,0,U188*(1-VLOOKUP($A189,[1]Hugst!$R$5:$W$9,MATCH(ROUNDUP((V$1)/10,0)*10,[1]Hugst!$R$4:$W$4,0))))</f>
        <v>0</v>
      </c>
      <c r="W189">
        <f>IF($C189-W$1&lt;År1,0,V188*(1-VLOOKUP($A189,[1]Hugst!$R$5:$W$9,MATCH(ROUNDUP((W$1)/10,0)*10,[1]Hugst!$R$4:$W$4,0))))</f>
        <v>0</v>
      </c>
      <c r="X189">
        <f>IF($C189-X$1&lt;År1,0,W188*(1-VLOOKUP($A189,[1]Hugst!$R$5:$W$9,MATCH(ROUNDUP((X$1)/10,0)*10,[1]Hugst!$R$4:$W$4,0))))</f>
        <v>0</v>
      </c>
      <c r="Y189">
        <f>IF($C189-Y$1&lt;År1,0,X188*(1-VLOOKUP($A189,[1]Hugst!$R$5:$W$9,MATCH(ROUNDUP((Y$1)/10,0)*10,[1]Hugst!$R$4:$W$4,0))))</f>
        <v>0</v>
      </c>
      <c r="Z189">
        <f>IF($C189-Z$1&lt;År1,0,Y188*(1-VLOOKUP($A189,[1]Hugst!$R$5:$W$9,MATCH(ROUNDUP((Z$1)/10,0)*10,[1]Hugst!$R$4:$W$4,0))))</f>
        <v>0</v>
      </c>
      <c r="AA189">
        <f>IF($C189-AA$1&lt;År1,0,Z188*(1-VLOOKUP($A189,[1]Hugst!$R$5:$W$9,MATCH(ROUNDUP((AA$1)/10,0)*10,[1]Hugst!$R$4:$W$4,0))))</f>
        <v>0</v>
      </c>
      <c r="AB189">
        <f>IF($C189-AB$1&lt;År1,0,AA188*(1-VLOOKUP($A189,[1]Hugst!$R$5:$W$9,MATCH(ROUNDUP((AB$1)/10,0)*10,[1]Hugst!$R$4:$W$4,0))))</f>
        <v>0</v>
      </c>
      <c r="AC189">
        <f>IF($C189-AC$1&lt;År1,0,AB188*(1-VLOOKUP($A189,[1]Hugst!$R$5:$W$9,MATCH(ROUNDUP((AC$1)/10,0)*10,[1]Hugst!$R$4:$W$4,0))))</f>
        <v>0</v>
      </c>
      <c r="AD189">
        <f>IF($C189-AD$1&lt;År1,0,AC188*(1-VLOOKUP($A189,[1]Hugst!$R$5:$W$9,MATCH(ROUNDUP((AD$1)/10,0)*10,[1]Hugst!$R$4:$W$4,0))))</f>
        <v>0</v>
      </c>
      <c r="AE189">
        <f>IF($C189-AE$1&lt;År1,0,AD188*(1-VLOOKUP($A189,[1]Hugst!$R$5:$W$9,MATCH(ROUNDUP((AE$1)/10,0)*10,[1]Hugst!$R$4:$W$4,0))))</f>
        <v>0</v>
      </c>
      <c r="AF189">
        <f>IF($C189-AF$1&lt;År1,0,AE188*(1-VLOOKUP($A189,[1]Hugst!$R$5:$W$9,MATCH(ROUNDUP((AF$1)/10,0)*10,[1]Hugst!$R$4:$W$4,0))))</f>
        <v>0</v>
      </c>
      <c r="AG189">
        <f>IF($C189-AG$1&lt;År1,0,AF188*(1-VLOOKUP($A189,[1]Hugst!$R$5:$W$9,MATCH(ROUNDUP((AG$1)/10,0)*10,[1]Hugst!$R$4:$W$4,0))))</f>
        <v>0</v>
      </c>
      <c r="AH189">
        <f>IF($C189-AH$1&lt;År1,0,AG188*(1-VLOOKUP($A189,[1]Hugst!$R$5:$W$9,MATCH(ROUNDUP((AH$1)/10,0)*10,[1]Hugst!$R$4:$W$4,0))))</f>
        <v>0</v>
      </c>
      <c r="AI189">
        <f>IF($C189-AI$1&lt;År1,0,AH188*(1-VLOOKUP($A189,[1]Hugst!$R$5:$W$9,MATCH(ROUNDUP((AI$1)/10,0)*10,[1]Hugst!$R$4:$W$4,0))))</f>
        <v>0</v>
      </c>
      <c r="AJ189">
        <f>IF($C189-AJ$1&lt;År1,0,AI188*(1-VLOOKUP($A189,[1]Hugst!$R$5:$W$9,MATCH(ROUNDUP((AJ$1)/10,0)*10,[1]Hugst!$R$4:$W$4,0))))</f>
        <v>0</v>
      </c>
    </row>
    <row r="190" spans="1:36" x14ac:dyDescent="0.25">
      <c r="A190" t="s">
        <v>179</v>
      </c>
      <c r="B190" t="s">
        <v>23</v>
      </c>
      <c r="C190">
        <v>2022</v>
      </c>
      <c r="D190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0</v>
      </c>
      <c r="E190">
        <f t="shared" ca="1" si="4"/>
        <v>0</v>
      </c>
      <c r="F190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>
        <f ca="1">IF($C190-G$1&lt;År1,0,F189*(1-VLOOKUP($A190,[1]Hugst!$R$5:$W$9,MATCH(ROUNDUP((G$1)/10,0)*10,[1]Hugst!$R$4:$W$4,0))))</f>
        <v>0</v>
      </c>
      <c r="H190">
        <f ca="1">IF($C190-H$1&lt;År1,0,G189*(1-VLOOKUP($A190,[1]Hugst!$R$5:$W$9,MATCH(ROUNDUP((H$1)/10,0)*10,[1]Hugst!$R$4:$W$4,0))))</f>
        <v>0</v>
      </c>
      <c r="I190">
        <f>IF($C190-I$1&lt;År1,0,H189*(1-VLOOKUP($A190,[1]Hugst!$R$5:$W$9,MATCH(ROUNDUP((I$1)/10,0)*10,[1]Hugst!$R$4:$W$4,0))))</f>
        <v>0</v>
      </c>
      <c r="J190">
        <f>IF($C190-J$1&lt;År1,0,I189*(1-VLOOKUP($A190,[1]Hugst!$R$5:$W$9,MATCH(ROUNDUP((J$1)/10,0)*10,[1]Hugst!$R$4:$W$4,0))))</f>
        <v>0</v>
      </c>
      <c r="K190">
        <f>IF($C190-K$1&lt;År1,0,J189*(1-VLOOKUP($A190,[1]Hugst!$R$5:$W$9,MATCH(ROUNDUP((K$1)/10,0)*10,[1]Hugst!$R$4:$W$4,0))))</f>
        <v>0</v>
      </c>
      <c r="L190">
        <f>IF($C190-L$1&lt;År1,0,K189*(1-VLOOKUP($A190,[1]Hugst!$R$5:$W$9,MATCH(ROUNDUP((L$1)/10,0)*10,[1]Hugst!$R$4:$W$4,0))))</f>
        <v>0</v>
      </c>
      <c r="M190">
        <f>IF($C190-M$1&lt;År1,0,L189*(1-VLOOKUP($A190,[1]Hugst!$R$5:$W$9,MATCH(ROUNDUP((M$1)/10,0)*10,[1]Hugst!$R$4:$W$4,0))))</f>
        <v>0</v>
      </c>
      <c r="N190">
        <f>IF($C190-N$1&lt;År1,0,M189*(1-VLOOKUP($A190,[1]Hugst!$R$5:$W$9,MATCH(ROUNDUP((N$1)/10,0)*10,[1]Hugst!$R$4:$W$4,0))))</f>
        <v>0</v>
      </c>
      <c r="O190">
        <f>IF($C190-O$1&lt;År1,0,N189*(1-VLOOKUP($A190,[1]Hugst!$R$5:$W$9,MATCH(ROUNDUP((O$1)/10,0)*10,[1]Hugst!$R$4:$W$4,0))))</f>
        <v>0</v>
      </c>
      <c r="P190">
        <f>IF($C190-P$1&lt;År1,0,O189*(1-VLOOKUP($A190,[1]Hugst!$R$5:$W$9,MATCH(ROUNDUP((P$1)/10,0)*10,[1]Hugst!$R$4:$W$4,0))))</f>
        <v>0</v>
      </c>
      <c r="Q190">
        <f>IF($C190-Q$1&lt;År1,0,P189*(1-VLOOKUP($A190,[1]Hugst!$R$5:$W$9,MATCH(ROUNDUP((Q$1)/10,0)*10,[1]Hugst!$R$4:$W$4,0))))</f>
        <v>0</v>
      </c>
      <c r="R190">
        <f>IF($C190-R$1&lt;År1,0,Q189*(1-VLOOKUP($A190,[1]Hugst!$R$5:$W$9,MATCH(ROUNDUP((R$1)/10,0)*10,[1]Hugst!$R$4:$W$4,0))))</f>
        <v>0</v>
      </c>
      <c r="S190">
        <f>IF($C190-S$1&lt;År1,0,R189*(1-VLOOKUP($A190,[1]Hugst!$R$5:$W$9,MATCH(ROUNDUP((S$1)/10,0)*10,[1]Hugst!$R$4:$W$4,0))))</f>
        <v>0</v>
      </c>
      <c r="T190">
        <f>IF($C190-T$1&lt;År1,0,S189*(1-VLOOKUP($A190,[1]Hugst!$R$5:$W$9,MATCH(ROUNDUP((T$1)/10,0)*10,[1]Hugst!$R$4:$W$4,0))))</f>
        <v>0</v>
      </c>
      <c r="U190">
        <f>IF($C190-U$1&lt;År1,0,T189*(1-VLOOKUP($A190,[1]Hugst!$R$5:$W$9,MATCH(ROUNDUP((U$1)/10,0)*10,[1]Hugst!$R$4:$W$4,0))))</f>
        <v>0</v>
      </c>
      <c r="V190">
        <f>IF($C190-V$1&lt;År1,0,U189*(1-VLOOKUP($A190,[1]Hugst!$R$5:$W$9,MATCH(ROUNDUP((V$1)/10,0)*10,[1]Hugst!$R$4:$W$4,0))))</f>
        <v>0</v>
      </c>
      <c r="W190">
        <f>IF($C190-W$1&lt;År1,0,V189*(1-VLOOKUP($A190,[1]Hugst!$R$5:$W$9,MATCH(ROUNDUP((W$1)/10,0)*10,[1]Hugst!$R$4:$W$4,0))))</f>
        <v>0</v>
      </c>
      <c r="X190">
        <f>IF($C190-X$1&lt;År1,0,W189*(1-VLOOKUP($A190,[1]Hugst!$R$5:$W$9,MATCH(ROUNDUP((X$1)/10,0)*10,[1]Hugst!$R$4:$W$4,0))))</f>
        <v>0</v>
      </c>
      <c r="Y190">
        <f>IF($C190-Y$1&lt;År1,0,X189*(1-VLOOKUP($A190,[1]Hugst!$R$5:$W$9,MATCH(ROUNDUP((Y$1)/10,0)*10,[1]Hugst!$R$4:$W$4,0))))</f>
        <v>0</v>
      </c>
      <c r="Z190">
        <f>IF($C190-Z$1&lt;År1,0,Y189*(1-VLOOKUP($A190,[1]Hugst!$R$5:$W$9,MATCH(ROUNDUP((Z$1)/10,0)*10,[1]Hugst!$R$4:$W$4,0))))</f>
        <v>0</v>
      </c>
      <c r="AA190">
        <f>IF($C190-AA$1&lt;År1,0,Z189*(1-VLOOKUP($A190,[1]Hugst!$R$5:$W$9,MATCH(ROUNDUP((AA$1)/10,0)*10,[1]Hugst!$R$4:$W$4,0))))</f>
        <v>0</v>
      </c>
      <c r="AB190">
        <f>IF($C190-AB$1&lt;År1,0,AA189*(1-VLOOKUP($A190,[1]Hugst!$R$5:$W$9,MATCH(ROUNDUP((AB$1)/10,0)*10,[1]Hugst!$R$4:$W$4,0))))</f>
        <v>0</v>
      </c>
      <c r="AC190">
        <f>IF($C190-AC$1&lt;År1,0,AB189*(1-VLOOKUP($A190,[1]Hugst!$R$5:$W$9,MATCH(ROUNDUP((AC$1)/10,0)*10,[1]Hugst!$R$4:$W$4,0))))</f>
        <v>0</v>
      </c>
      <c r="AD190">
        <f>IF($C190-AD$1&lt;År1,0,AC189*(1-VLOOKUP($A190,[1]Hugst!$R$5:$W$9,MATCH(ROUNDUP((AD$1)/10,0)*10,[1]Hugst!$R$4:$W$4,0))))</f>
        <v>0</v>
      </c>
      <c r="AE190">
        <f>IF($C190-AE$1&lt;År1,0,AD189*(1-VLOOKUP($A190,[1]Hugst!$R$5:$W$9,MATCH(ROUNDUP((AE$1)/10,0)*10,[1]Hugst!$R$4:$W$4,0))))</f>
        <v>0</v>
      </c>
      <c r="AF190">
        <f>IF($C190-AF$1&lt;År1,0,AE189*(1-VLOOKUP($A190,[1]Hugst!$R$5:$W$9,MATCH(ROUNDUP((AF$1)/10,0)*10,[1]Hugst!$R$4:$W$4,0))))</f>
        <v>0</v>
      </c>
      <c r="AG190">
        <f>IF($C190-AG$1&lt;År1,0,AF189*(1-VLOOKUP($A190,[1]Hugst!$R$5:$W$9,MATCH(ROUNDUP((AG$1)/10,0)*10,[1]Hugst!$R$4:$W$4,0))))</f>
        <v>0</v>
      </c>
      <c r="AH190">
        <f>IF($C190-AH$1&lt;År1,0,AG189*(1-VLOOKUP($A190,[1]Hugst!$R$5:$W$9,MATCH(ROUNDUP((AH$1)/10,0)*10,[1]Hugst!$R$4:$W$4,0))))</f>
        <v>0</v>
      </c>
      <c r="AI190">
        <f>IF($C190-AI$1&lt;År1,0,AH189*(1-VLOOKUP($A190,[1]Hugst!$R$5:$W$9,MATCH(ROUNDUP((AI$1)/10,0)*10,[1]Hugst!$R$4:$W$4,0))))</f>
        <v>0</v>
      </c>
      <c r="AJ190">
        <f>IF($C190-AJ$1&lt;År1,0,AI189*(1-VLOOKUP($A190,[1]Hugst!$R$5:$W$9,MATCH(ROUNDUP((AJ$1)/10,0)*10,[1]Hugst!$R$4:$W$4,0))))</f>
        <v>0</v>
      </c>
    </row>
    <row r="191" spans="1:36" x14ac:dyDescent="0.25">
      <c r="A191" t="s">
        <v>179</v>
      </c>
      <c r="B191" t="s">
        <v>23</v>
      </c>
      <c r="C191">
        <v>2023</v>
      </c>
      <c r="D191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0</v>
      </c>
      <c r="E191">
        <f t="shared" ca="1" si="4"/>
        <v>0</v>
      </c>
      <c r="F191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>
        <f ca="1">IF($C191-G$1&lt;År1,0,F190*(1-VLOOKUP($A191,[1]Hugst!$R$5:$W$9,MATCH(ROUNDUP((G$1)/10,0)*10,[1]Hugst!$R$4:$W$4,0))))</f>
        <v>0</v>
      </c>
      <c r="H191">
        <f ca="1">IF($C191-H$1&lt;År1,0,G190*(1-VLOOKUP($A191,[1]Hugst!$R$5:$W$9,MATCH(ROUNDUP((H$1)/10,0)*10,[1]Hugst!$R$4:$W$4,0))))</f>
        <v>0</v>
      </c>
      <c r="I191">
        <f ca="1">IF($C191-I$1&lt;År1,0,H190*(1-VLOOKUP($A191,[1]Hugst!$R$5:$W$9,MATCH(ROUNDUP((I$1)/10,0)*10,[1]Hugst!$R$4:$W$4,0))))</f>
        <v>0</v>
      </c>
      <c r="J191">
        <f>IF($C191-J$1&lt;År1,0,I190*(1-VLOOKUP($A191,[1]Hugst!$R$5:$W$9,MATCH(ROUNDUP((J$1)/10,0)*10,[1]Hugst!$R$4:$W$4,0))))</f>
        <v>0</v>
      </c>
      <c r="K191">
        <f>IF($C191-K$1&lt;År1,0,J190*(1-VLOOKUP($A191,[1]Hugst!$R$5:$W$9,MATCH(ROUNDUP((K$1)/10,0)*10,[1]Hugst!$R$4:$W$4,0))))</f>
        <v>0</v>
      </c>
      <c r="L191">
        <f>IF($C191-L$1&lt;År1,0,K190*(1-VLOOKUP($A191,[1]Hugst!$R$5:$W$9,MATCH(ROUNDUP((L$1)/10,0)*10,[1]Hugst!$R$4:$W$4,0))))</f>
        <v>0</v>
      </c>
      <c r="M191">
        <f>IF($C191-M$1&lt;År1,0,L190*(1-VLOOKUP($A191,[1]Hugst!$R$5:$W$9,MATCH(ROUNDUP((M$1)/10,0)*10,[1]Hugst!$R$4:$W$4,0))))</f>
        <v>0</v>
      </c>
      <c r="N191">
        <f>IF($C191-N$1&lt;År1,0,M190*(1-VLOOKUP($A191,[1]Hugst!$R$5:$W$9,MATCH(ROUNDUP((N$1)/10,0)*10,[1]Hugst!$R$4:$W$4,0))))</f>
        <v>0</v>
      </c>
      <c r="O191">
        <f>IF($C191-O$1&lt;År1,0,N190*(1-VLOOKUP($A191,[1]Hugst!$R$5:$W$9,MATCH(ROUNDUP((O$1)/10,0)*10,[1]Hugst!$R$4:$W$4,0))))</f>
        <v>0</v>
      </c>
      <c r="P191">
        <f>IF($C191-P$1&lt;År1,0,O190*(1-VLOOKUP($A191,[1]Hugst!$R$5:$W$9,MATCH(ROUNDUP((P$1)/10,0)*10,[1]Hugst!$R$4:$W$4,0))))</f>
        <v>0</v>
      </c>
      <c r="Q191">
        <f>IF($C191-Q$1&lt;År1,0,P190*(1-VLOOKUP($A191,[1]Hugst!$R$5:$W$9,MATCH(ROUNDUP((Q$1)/10,0)*10,[1]Hugst!$R$4:$W$4,0))))</f>
        <v>0</v>
      </c>
      <c r="R191">
        <f>IF($C191-R$1&lt;År1,0,Q190*(1-VLOOKUP($A191,[1]Hugst!$R$5:$W$9,MATCH(ROUNDUP((R$1)/10,0)*10,[1]Hugst!$R$4:$W$4,0))))</f>
        <v>0</v>
      </c>
      <c r="S191">
        <f>IF($C191-S$1&lt;År1,0,R190*(1-VLOOKUP($A191,[1]Hugst!$R$5:$W$9,MATCH(ROUNDUP((S$1)/10,0)*10,[1]Hugst!$R$4:$W$4,0))))</f>
        <v>0</v>
      </c>
      <c r="T191">
        <f>IF($C191-T$1&lt;År1,0,S190*(1-VLOOKUP($A191,[1]Hugst!$R$5:$W$9,MATCH(ROUNDUP((T$1)/10,0)*10,[1]Hugst!$R$4:$W$4,0))))</f>
        <v>0</v>
      </c>
      <c r="U191">
        <f>IF($C191-U$1&lt;År1,0,T190*(1-VLOOKUP($A191,[1]Hugst!$R$5:$W$9,MATCH(ROUNDUP((U$1)/10,0)*10,[1]Hugst!$R$4:$W$4,0))))</f>
        <v>0</v>
      </c>
      <c r="V191">
        <f>IF($C191-V$1&lt;År1,0,U190*(1-VLOOKUP($A191,[1]Hugst!$R$5:$W$9,MATCH(ROUNDUP((V$1)/10,0)*10,[1]Hugst!$R$4:$W$4,0))))</f>
        <v>0</v>
      </c>
      <c r="W191">
        <f>IF($C191-W$1&lt;År1,0,V190*(1-VLOOKUP($A191,[1]Hugst!$R$5:$W$9,MATCH(ROUNDUP((W$1)/10,0)*10,[1]Hugst!$R$4:$W$4,0))))</f>
        <v>0</v>
      </c>
      <c r="X191">
        <f>IF($C191-X$1&lt;År1,0,W190*(1-VLOOKUP($A191,[1]Hugst!$R$5:$W$9,MATCH(ROUNDUP((X$1)/10,0)*10,[1]Hugst!$R$4:$W$4,0))))</f>
        <v>0</v>
      </c>
      <c r="Y191">
        <f>IF($C191-Y$1&lt;År1,0,X190*(1-VLOOKUP($A191,[1]Hugst!$R$5:$W$9,MATCH(ROUNDUP((Y$1)/10,0)*10,[1]Hugst!$R$4:$W$4,0))))</f>
        <v>0</v>
      </c>
      <c r="Z191">
        <f>IF($C191-Z$1&lt;År1,0,Y190*(1-VLOOKUP($A191,[1]Hugst!$R$5:$W$9,MATCH(ROUNDUP((Z$1)/10,0)*10,[1]Hugst!$R$4:$W$4,0))))</f>
        <v>0</v>
      </c>
      <c r="AA191">
        <f>IF($C191-AA$1&lt;År1,0,Z190*(1-VLOOKUP($A191,[1]Hugst!$R$5:$W$9,MATCH(ROUNDUP((AA$1)/10,0)*10,[1]Hugst!$R$4:$W$4,0))))</f>
        <v>0</v>
      </c>
      <c r="AB191">
        <f>IF($C191-AB$1&lt;År1,0,AA190*(1-VLOOKUP($A191,[1]Hugst!$R$5:$W$9,MATCH(ROUNDUP((AB$1)/10,0)*10,[1]Hugst!$R$4:$W$4,0))))</f>
        <v>0</v>
      </c>
      <c r="AC191">
        <f>IF($C191-AC$1&lt;År1,0,AB190*(1-VLOOKUP($A191,[1]Hugst!$R$5:$W$9,MATCH(ROUNDUP((AC$1)/10,0)*10,[1]Hugst!$R$4:$W$4,0))))</f>
        <v>0</v>
      </c>
      <c r="AD191">
        <f>IF($C191-AD$1&lt;År1,0,AC190*(1-VLOOKUP($A191,[1]Hugst!$R$5:$W$9,MATCH(ROUNDUP((AD$1)/10,0)*10,[1]Hugst!$R$4:$W$4,0))))</f>
        <v>0</v>
      </c>
      <c r="AE191">
        <f>IF($C191-AE$1&lt;År1,0,AD190*(1-VLOOKUP($A191,[1]Hugst!$R$5:$W$9,MATCH(ROUNDUP((AE$1)/10,0)*10,[1]Hugst!$R$4:$W$4,0))))</f>
        <v>0</v>
      </c>
      <c r="AF191">
        <f>IF($C191-AF$1&lt;År1,0,AE190*(1-VLOOKUP($A191,[1]Hugst!$R$5:$W$9,MATCH(ROUNDUP((AF$1)/10,0)*10,[1]Hugst!$R$4:$W$4,0))))</f>
        <v>0</v>
      </c>
      <c r="AG191">
        <f>IF($C191-AG$1&lt;År1,0,AF190*(1-VLOOKUP($A191,[1]Hugst!$R$5:$W$9,MATCH(ROUNDUP((AG$1)/10,0)*10,[1]Hugst!$R$4:$W$4,0))))</f>
        <v>0</v>
      </c>
      <c r="AH191">
        <f>IF($C191-AH$1&lt;År1,0,AG190*(1-VLOOKUP($A191,[1]Hugst!$R$5:$W$9,MATCH(ROUNDUP((AH$1)/10,0)*10,[1]Hugst!$R$4:$W$4,0))))</f>
        <v>0</v>
      </c>
      <c r="AI191">
        <f>IF($C191-AI$1&lt;År1,0,AH190*(1-VLOOKUP($A191,[1]Hugst!$R$5:$W$9,MATCH(ROUNDUP((AI$1)/10,0)*10,[1]Hugst!$R$4:$W$4,0))))</f>
        <v>0</v>
      </c>
      <c r="AJ191">
        <f>IF($C191-AJ$1&lt;År1,0,AI190*(1-VLOOKUP($A191,[1]Hugst!$R$5:$W$9,MATCH(ROUNDUP((AJ$1)/10,0)*10,[1]Hugst!$R$4:$W$4,0))))</f>
        <v>0</v>
      </c>
    </row>
    <row r="192" spans="1:36" x14ac:dyDescent="0.25">
      <c r="A192" t="s">
        <v>179</v>
      </c>
      <c r="B192" t="s">
        <v>23</v>
      </c>
      <c r="C192">
        <v>2024</v>
      </c>
      <c r="D192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0</v>
      </c>
      <c r="E192">
        <f t="shared" ca="1" si="4"/>
        <v>0</v>
      </c>
      <c r="F192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>
        <f ca="1">IF($C192-G$1&lt;År1,0,F191*(1-VLOOKUP($A192,[1]Hugst!$R$5:$W$9,MATCH(ROUNDUP((G$1)/10,0)*10,[1]Hugst!$R$4:$W$4,0))))</f>
        <v>0</v>
      </c>
      <c r="H192">
        <f ca="1">IF($C192-H$1&lt;År1,0,G191*(1-VLOOKUP($A192,[1]Hugst!$R$5:$W$9,MATCH(ROUNDUP((H$1)/10,0)*10,[1]Hugst!$R$4:$W$4,0))))</f>
        <v>0</v>
      </c>
      <c r="I192">
        <f ca="1">IF($C192-I$1&lt;År1,0,H191*(1-VLOOKUP($A192,[1]Hugst!$R$5:$W$9,MATCH(ROUNDUP((I$1)/10,0)*10,[1]Hugst!$R$4:$W$4,0))))</f>
        <v>0</v>
      </c>
      <c r="J192">
        <f ca="1">IF($C192-J$1&lt;År1,0,I191*(1-VLOOKUP($A192,[1]Hugst!$R$5:$W$9,MATCH(ROUNDUP((J$1)/10,0)*10,[1]Hugst!$R$4:$W$4,0))))</f>
        <v>0</v>
      </c>
      <c r="K192">
        <f>IF($C192-K$1&lt;År1,0,J191*(1-VLOOKUP($A192,[1]Hugst!$R$5:$W$9,MATCH(ROUNDUP((K$1)/10,0)*10,[1]Hugst!$R$4:$W$4,0))))</f>
        <v>0</v>
      </c>
      <c r="L192">
        <f>IF($C192-L$1&lt;År1,0,K191*(1-VLOOKUP($A192,[1]Hugst!$R$5:$W$9,MATCH(ROUNDUP((L$1)/10,0)*10,[1]Hugst!$R$4:$W$4,0))))</f>
        <v>0</v>
      </c>
      <c r="M192">
        <f>IF($C192-M$1&lt;År1,0,L191*(1-VLOOKUP($A192,[1]Hugst!$R$5:$W$9,MATCH(ROUNDUP((M$1)/10,0)*10,[1]Hugst!$R$4:$W$4,0))))</f>
        <v>0</v>
      </c>
      <c r="N192">
        <f>IF($C192-N$1&lt;År1,0,M191*(1-VLOOKUP($A192,[1]Hugst!$R$5:$W$9,MATCH(ROUNDUP((N$1)/10,0)*10,[1]Hugst!$R$4:$W$4,0))))</f>
        <v>0</v>
      </c>
      <c r="O192">
        <f>IF($C192-O$1&lt;År1,0,N191*(1-VLOOKUP($A192,[1]Hugst!$R$5:$W$9,MATCH(ROUNDUP((O$1)/10,0)*10,[1]Hugst!$R$4:$W$4,0))))</f>
        <v>0</v>
      </c>
      <c r="P192">
        <f>IF($C192-P$1&lt;År1,0,O191*(1-VLOOKUP($A192,[1]Hugst!$R$5:$W$9,MATCH(ROUNDUP((P$1)/10,0)*10,[1]Hugst!$R$4:$W$4,0))))</f>
        <v>0</v>
      </c>
      <c r="Q192">
        <f>IF($C192-Q$1&lt;År1,0,P191*(1-VLOOKUP($A192,[1]Hugst!$R$5:$W$9,MATCH(ROUNDUP((Q$1)/10,0)*10,[1]Hugst!$R$4:$W$4,0))))</f>
        <v>0</v>
      </c>
      <c r="R192">
        <f>IF($C192-R$1&lt;År1,0,Q191*(1-VLOOKUP($A192,[1]Hugst!$R$5:$W$9,MATCH(ROUNDUP((R$1)/10,0)*10,[1]Hugst!$R$4:$W$4,0))))</f>
        <v>0</v>
      </c>
      <c r="S192">
        <f>IF($C192-S$1&lt;År1,0,R191*(1-VLOOKUP($A192,[1]Hugst!$R$5:$W$9,MATCH(ROUNDUP((S$1)/10,0)*10,[1]Hugst!$R$4:$W$4,0))))</f>
        <v>0</v>
      </c>
      <c r="T192">
        <f>IF($C192-T$1&lt;År1,0,S191*(1-VLOOKUP($A192,[1]Hugst!$R$5:$W$9,MATCH(ROUNDUP((T$1)/10,0)*10,[1]Hugst!$R$4:$W$4,0))))</f>
        <v>0</v>
      </c>
      <c r="U192">
        <f>IF($C192-U$1&lt;År1,0,T191*(1-VLOOKUP($A192,[1]Hugst!$R$5:$W$9,MATCH(ROUNDUP((U$1)/10,0)*10,[1]Hugst!$R$4:$W$4,0))))</f>
        <v>0</v>
      </c>
      <c r="V192">
        <f>IF($C192-V$1&lt;År1,0,U191*(1-VLOOKUP($A192,[1]Hugst!$R$5:$W$9,MATCH(ROUNDUP((V$1)/10,0)*10,[1]Hugst!$R$4:$W$4,0))))</f>
        <v>0</v>
      </c>
      <c r="W192">
        <f>IF($C192-W$1&lt;År1,0,V191*(1-VLOOKUP($A192,[1]Hugst!$R$5:$W$9,MATCH(ROUNDUP((W$1)/10,0)*10,[1]Hugst!$R$4:$W$4,0))))</f>
        <v>0</v>
      </c>
      <c r="X192">
        <f>IF($C192-X$1&lt;År1,0,W191*(1-VLOOKUP($A192,[1]Hugst!$R$5:$W$9,MATCH(ROUNDUP((X$1)/10,0)*10,[1]Hugst!$R$4:$W$4,0))))</f>
        <v>0</v>
      </c>
      <c r="Y192">
        <f>IF($C192-Y$1&lt;År1,0,X191*(1-VLOOKUP($A192,[1]Hugst!$R$5:$W$9,MATCH(ROUNDUP((Y$1)/10,0)*10,[1]Hugst!$R$4:$W$4,0))))</f>
        <v>0</v>
      </c>
      <c r="Z192">
        <f>IF($C192-Z$1&lt;År1,0,Y191*(1-VLOOKUP($A192,[1]Hugst!$R$5:$W$9,MATCH(ROUNDUP((Z$1)/10,0)*10,[1]Hugst!$R$4:$W$4,0))))</f>
        <v>0</v>
      </c>
      <c r="AA192">
        <f>IF($C192-AA$1&lt;År1,0,Z191*(1-VLOOKUP($A192,[1]Hugst!$R$5:$W$9,MATCH(ROUNDUP((AA$1)/10,0)*10,[1]Hugst!$R$4:$W$4,0))))</f>
        <v>0</v>
      </c>
      <c r="AB192">
        <f>IF($C192-AB$1&lt;År1,0,AA191*(1-VLOOKUP($A192,[1]Hugst!$R$5:$W$9,MATCH(ROUNDUP((AB$1)/10,0)*10,[1]Hugst!$R$4:$W$4,0))))</f>
        <v>0</v>
      </c>
      <c r="AC192">
        <f>IF($C192-AC$1&lt;År1,0,AB191*(1-VLOOKUP($A192,[1]Hugst!$R$5:$W$9,MATCH(ROUNDUP((AC$1)/10,0)*10,[1]Hugst!$R$4:$W$4,0))))</f>
        <v>0</v>
      </c>
      <c r="AD192">
        <f>IF($C192-AD$1&lt;År1,0,AC191*(1-VLOOKUP($A192,[1]Hugst!$R$5:$W$9,MATCH(ROUNDUP((AD$1)/10,0)*10,[1]Hugst!$R$4:$W$4,0))))</f>
        <v>0</v>
      </c>
      <c r="AE192">
        <f>IF($C192-AE$1&lt;År1,0,AD191*(1-VLOOKUP($A192,[1]Hugst!$R$5:$W$9,MATCH(ROUNDUP((AE$1)/10,0)*10,[1]Hugst!$R$4:$W$4,0))))</f>
        <v>0</v>
      </c>
      <c r="AF192">
        <f>IF($C192-AF$1&lt;År1,0,AE191*(1-VLOOKUP($A192,[1]Hugst!$R$5:$W$9,MATCH(ROUNDUP((AF$1)/10,0)*10,[1]Hugst!$R$4:$W$4,0))))</f>
        <v>0</v>
      </c>
      <c r="AG192">
        <f>IF($C192-AG$1&lt;År1,0,AF191*(1-VLOOKUP($A192,[1]Hugst!$R$5:$W$9,MATCH(ROUNDUP((AG$1)/10,0)*10,[1]Hugst!$R$4:$W$4,0))))</f>
        <v>0</v>
      </c>
      <c r="AH192">
        <f>IF($C192-AH$1&lt;År1,0,AG191*(1-VLOOKUP($A192,[1]Hugst!$R$5:$W$9,MATCH(ROUNDUP((AH$1)/10,0)*10,[1]Hugst!$R$4:$W$4,0))))</f>
        <v>0</v>
      </c>
      <c r="AI192">
        <f>IF($C192-AI$1&lt;År1,0,AH191*(1-VLOOKUP($A192,[1]Hugst!$R$5:$W$9,MATCH(ROUNDUP((AI$1)/10,0)*10,[1]Hugst!$R$4:$W$4,0))))</f>
        <v>0</v>
      </c>
      <c r="AJ192">
        <f>IF($C192-AJ$1&lt;År1,0,AI191*(1-VLOOKUP($A192,[1]Hugst!$R$5:$W$9,MATCH(ROUNDUP((AJ$1)/10,0)*10,[1]Hugst!$R$4:$W$4,0))))</f>
        <v>0</v>
      </c>
    </row>
    <row r="193" spans="1:36" x14ac:dyDescent="0.25">
      <c r="A193" t="s">
        <v>179</v>
      </c>
      <c r="B193" t="s">
        <v>23</v>
      </c>
      <c r="C193">
        <v>2025</v>
      </c>
      <c r="D193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0</v>
      </c>
      <c r="E193">
        <f t="shared" ca="1" si="4"/>
        <v>0</v>
      </c>
      <c r="F193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>
        <f ca="1">IF($C193-G$1&lt;År1,0,F192*(1-VLOOKUP($A193,[1]Hugst!$R$5:$W$9,MATCH(ROUNDUP((G$1)/10,0)*10,[1]Hugst!$R$4:$W$4,0))))</f>
        <v>0</v>
      </c>
      <c r="H193">
        <f ca="1">IF($C193-H$1&lt;År1,0,G192*(1-VLOOKUP($A193,[1]Hugst!$R$5:$W$9,MATCH(ROUNDUP((H$1)/10,0)*10,[1]Hugst!$R$4:$W$4,0))))</f>
        <v>0</v>
      </c>
      <c r="I193">
        <f ca="1">IF($C193-I$1&lt;År1,0,H192*(1-VLOOKUP($A193,[1]Hugst!$R$5:$W$9,MATCH(ROUNDUP((I$1)/10,0)*10,[1]Hugst!$R$4:$W$4,0))))</f>
        <v>0</v>
      </c>
      <c r="J193">
        <f ca="1">IF($C193-J$1&lt;År1,0,I192*(1-VLOOKUP($A193,[1]Hugst!$R$5:$W$9,MATCH(ROUNDUP((J$1)/10,0)*10,[1]Hugst!$R$4:$W$4,0))))</f>
        <v>0</v>
      </c>
      <c r="K193">
        <f ca="1">IF($C193-K$1&lt;År1,0,J192*(1-VLOOKUP($A193,[1]Hugst!$R$5:$W$9,MATCH(ROUNDUP((K$1)/10,0)*10,[1]Hugst!$R$4:$W$4,0))))</f>
        <v>0</v>
      </c>
      <c r="L193">
        <f>IF($C193-L$1&lt;År1,0,K192*(1-VLOOKUP($A193,[1]Hugst!$R$5:$W$9,MATCH(ROUNDUP((L$1)/10,0)*10,[1]Hugst!$R$4:$W$4,0))))</f>
        <v>0</v>
      </c>
      <c r="M193">
        <f>IF($C193-M$1&lt;År1,0,L192*(1-VLOOKUP($A193,[1]Hugst!$R$5:$W$9,MATCH(ROUNDUP((M$1)/10,0)*10,[1]Hugst!$R$4:$W$4,0))))</f>
        <v>0</v>
      </c>
      <c r="N193">
        <f>IF($C193-N$1&lt;År1,0,M192*(1-VLOOKUP($A193,[1]Hugst!$R$5:$W$9,MATCH(ROUNDUP((N$1)/10,0)*10,[1]Hugst!$R$4:$W$4,0))))</f>
        <v>0</v>
      </c>
      <c r="O193">
        <f>IF($C193-O$1&lt;År1,0,N192*(1-VLOOKUP($A193,[1]Hugst!$R$5:$W$9,MATCH(ROUNDUP((O$1)/10,0)*10,[1]Hugst!$R$4:$W$4,0))))</f>
        <v>0</v>
      </c>
      <c r="P193">
        <f>IF($C193-P$1&lt;År1,0,O192*(1-VLOOKUP($A193,[1]Hugst!$R$5:$W$9,MATCH(ROUNDUP((P$1)/10,0)*10,[1]Hugst!$R$4:$W$4,0))))</f>
        <v>0</v>
      </c>
      <c r="Q193">
        <f>IF($C193-Q$1&lt;År1,0,P192*(1-VLOOKUP($A193,[1]Hugst!$R$5:$W$9,MATCH(ROUNDUP((Q$1)/10,0)*10,[1]Hugst!$R$4:$W$4,0))))</f>
        <v>0</v>
      </c>
      <c r="R193">
        <f>IF($C193-R$1&lt;År1,0,Q192*(1-VLOOKUP($A193,[1]Hugst!$R$5:$W$9,MATCH(ROUNDUP((R$1)/10,0)*10,[1]Hugst!$R$4:$W$4,0))))</f>
        <v>0</v>
      </c>
      <c r="S193">
        <f>IF($C193-S$1&lt;År1,0,R192*(1-VLOOKUP($A193,[1]Hugst!$R$5:$W$9,MATCH(ROUNDUP((S$1)/10,0)*10,[1]Hugst!$R$4:$W$4,0))))</f>
        <v>0</v>
      </c>
      <c r="T193">
        <f>IF($C193-T$1&lt;År1,0,S192*(1-VLOOKUP($A193,[1]Hugst!$R$5:$W$9,MATCH(ROUNDUP((T$1)/10,0)*10,[1]Hugst!$R$4:$W$4,0))))</f>
        <v>0</v>
      </c>
      <c r="U193">
        <f>IF($C193-U$1&lt;År1,0,T192*(1-VLOOKUP($A193,[1]Hugst!$R$5:$W$9,MATCH(ROUNDUP((U$1)/10,0)*10,[1]Hugst!$R$4:$W$4,0))))</f>
        <v>0</v>
      </c>
      <c r="V193">
        <f>IF($C193-V$1&lt;År1,0,U192*(1-VLOOKUP($A193,[1]Hugst!$R$5:$W$9,MATCH(ROUNDUP((V$1)/10,0)*10,[1]Hugst!$R$4:$W$4,0))))</f>
        <v>0</v>
      </c>
      <c r="W193">
        <f>IF($C193-W$1&lt;År1,0,V192*(1-VLOOKUP($A193,[1]Hugst!$R$5:$W$9,MATCH(ROUNDUP((W$1)/10,0)*10,[1]Hugst!$R$4:$W$4,0))))</f>
        <v>0</v>
      </c>
      <c r="X193">
        <f>IF($C193-X$1&lt;År1,0,W192*(1-VLOOKUP($A193,[1]Hugst!$R$5:$W$9,MATCH(ROUNDUP((X$1)/10,0)*10,[1]Hugst!$R$4:$W$4,0))))</f>
        <v>0</v>
      </c>
      <c r="Y193">
        <f>IF($C193-Y$1&lt;År1,0,X192*(1-VLOOKUP($A193,[1]Hugst!$R$5:$W$9,MATCH(ROUNDUP((Y$1)/10,0)*10,[1]Hugst!$R$4:$W$4,0))))</f>
        <v>0</v>
      </c>
      <c r="Z193">
        <f>IF($C193-Z$1&lt;År1,0,Y192*(1-VLOOKUP($A193,[1]Hugst!$R$5:$W$9,MATCH(ROUNDUP((Z$1)/10,0)*10,[1]Hugst!$R$4:$W$4,0))))</f>
        <v>0</v>
      </c>
      <c r="AA193">
        <f>IF($C193-AA$1&lt;År1,0,Z192*(1-VLOOKUP($A193,[1]Hugst!$R$5:$W$9,MATCH(ROUNDUP((AA$1)/10,0)*10,[1]Hugst!$R$4:$W$4,0))))</f>
        <v>0</v>
      </c>
      <c r="AB193">
        <f>IF($C193-AB$1&lt;År1,0,AA192*(1-VLOOKUP($A193,[1]Hugst!$R$5:$W$9,MATCH(ROUNDUP((AB$1)/10,0)*10,[1]Hugst!$R$4:$W$4,0))))</f>
        <v>0</v>
      </c>
      <c r="AC193">
        <f>IF($C193-AC$1&lt;År1,0,AB192*(1-VLOOKUP($A193,[1]Hugst!$R$5:$W$9,MATCH(ROUNDUP((AC$1)/10,0)*10,[1]Hugst!$R$4:$W$4,0))))</f>
        <v>0</v>
      </c>
      <c r="AD193">
        <f>IF($C193-AD$1&lt;År1,0,AC192*(1-VLOOKUP($A193,[1]Hugst!$R$5:$W$9,MATCH(ROUNDUP((AD$1)/10,0)*10,[1]Hugst!$R$4:$W$4,0))))</f>
        <v>0</v>
      </c>
      <c r="AE193">
        <f>IF($C193-AE$1&lt;År1,0,AD192*(1-VLOOKUP($A193,[1]Hugst!$R$5:$W$9,MATCH(ROUNDUP((AE$1)/10,0)*10,[1]Hugst!$R$4:$W$4,0))))</f>
        <v>0</v>
      </c>
      <c r="AF193">
        <f>IF($C193-AF$1&lt;År1,0,AE192*(1-VLOOKUP($A193,[1]Hugst!$R$5:$W$9,MATCH(ROUNDUP((AF$1)/10,0)*10,[1]Hugst!$R$4:$W$4,0))))</f>
        <v>0</v>
      </c>
      <c r="AG193">
        <f>IF($C193-AG$1&lt;År1,0,AF192*(1-VLOOKUP($A193,[1]Hugst!$R$5:$W$9,MATCH(ROUNDUP((AG$1)/10,0)*10,[1]Hugst!$R$4:$W$4,0))))</f>
        <v>0</v>
      </c>
      <c r="AH193">
        <f>IF($C193-AH$1&lt;År1,0,AG192*(1-VLOOKUP($A193,[1]Hugst!$R$5:$W$9,MATCH(ROUNDUP((AH$1)/10,0)*10,[1]Hugst!$R$4:$W$4,0))))</f>
        <v>0</v>
      </c>
      <c r="AI193">
        <f>IF($C193-AI$1&lt;År1,0,AH192*(1-VLOOKUP($A193,[1]Hugst!$R$5:$W$9,MATCH(ROUNDUP((AI$1)/10,0)*10,[1]Hugst!$R$4:$W$4,0))))</f>
        <v>0</v>
      </c>
      <c r="AJ193">
        <f>IF($C193-AJ$1&lt;År1,0,AI192*(1-VLOOKUP($A193,[1]Hugst!$R$5:$W$9,MATCH(ROUNDUP((AJ$1)/10,0)*10,[1]Hugst!$R$4:$W$4,0))))</f>
        <v>0</v>
      </c>
    </row>
    <row r="194" spans="1:36" x14ac:dyDescent="0.25">
      <c r="A194" t="s">
        <v>179</v>
      </c>
      <c r="B194" t="s">
        <v>23</v>
      </c>
      <c r="C194">
        <v>2026</v>
      </c>
      <c r="D194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0</v>
      </c>
      <c r="E194">
        <f t="shared" ca="1" si="4"/>
        <v>0</v>
      </c>
      <c r="F194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>
        <f ca="1">IF($C194-G$1&lt;År1,0,F193*(1-VLOOKUP($A194,[1]Hugst!$R$5:$W$9,MATCH(ROUNDUP((G$1)/10,0)*10,[1]Hugst!$R$4:$W$4,0))))</f>
        <v>0</v>
      </c>
      <c r="H194">
        <f ca="1">IF($C194-H$1&lt;År1,0,G193*(1-VLOOKUP($A194,[1]Hugst!$R$5:$W$9,MATCH(ROUNDUP((H$1)/10,0)*10,[1]Hugst!$R$4:$W$4,0))))</f>
        <v>0</v>
      </c>
      <c r="I194">
        <f ca="1">IF($C194-I$1&lt;År1,0,H193*(1-VLOOKUP($A194,[1]Hugst!$R$5:$W$9,MATCH(ROUNDUP((I$1)/10,0)*10,[1]Hugst!$R$4:$W$4,0))))</f>
        <v>0</v>
      </c>
      <c r="J194">
        <f ca="1">IF($C194-J$1&lt;År1,0,I193*(1-VLOOKUP($A194,[1]Hugst!$R$5:$W$9,MATCH(ROUNDUP((J$1)/10,0)*10,[1]Hugst!$R$4:$W$4,0))))</f>
        <v>0</v>
      </c>
      <c r="K194">
        <f ca="1">IF($C194-K$1&lt;År1,0,J193*(1-VLOOKUP($A194,[1]Hugst!$R$5:$W$9,MATCH(ROUNDUP((K$1)/10,0)*10,[1]Hugst!$R$4:$W$4,0))))</f>
        <v>0</v>
      </c>
      <c r="L194">
        <f ca="1">IF($C194-L$1&lt;År1,0,K193*(1-VLOOKUP($A194,[1]Hugst!$R$5:$W$9,MATCH(ROUNDUP((L$1)/10,0)*10,[1]Hugst!$R$4:$W$4,0))))</f>
        <v>0</v>
      </c>
      <c r="M194">
        <f>IF($C194-M$1&lt;År1,0,L193*(1-VLOOKUP($A194,[1]Hugst!$R$5:$W$9,MATCH(ROUNDUP((M$1)/10,0)*10,[1]Hugst!$R$4:$W$4,0))))</f>
        <v>0</v>
      </c>
      <c r="N194">
        <f>IF($C194-N$1&lt;År1,0,M193*(1-VLOOKUP($A194,[1]Hugst!$R$5:$W$9,MATCH(ROUNDUP((N$1)/10,0)*10,[1]Hugst!$R$4:$W$4,0))))</f>
        <v>0</v>
      </c>
      <c r="O194">
        <f>IF($C194-O$1&lt;År1,0,N193*(1-VLOOKUP($A194,[1]Hugst!$R$5:$W$9,MATCH(ROUNDUP((O$1)/10,0)*10,[1]Hugst!$R$4:$W$4,0))))</f>
        <v>0</v>
      </c>
      <c r="P194">
        <f>IF($C194-P$1&lt;År1,0,O193*(1-VLOOKUP($A194,[1]Hugst!$R$5:$W$9,MATCH(ROUNDUP((P$1)/10,0)*10,[1]Hugst!$R$4:$W$4,0))))</f>
        <v>0</v>
      </c>
      <c r="Q194">
        <f>IF($C194-Q$1&lt;År1,0,P193*(1-VLOOKUP($A194,[1]Hugst!$R$5:$W$9,MATCH(ROUNDUP((Q$1)/10,0)*10,[1]Hugst!$R$4:$W$4,0))))</f>
        <v>0</v>
      </c>
      <c r="R194">
        <f>IF($C194-R$1&lt;År1,0,Q193*(1-VLOOKUP($A194,[1]Hugst!$R$5:$W$9,MATCH(ROUNDUP((R$1)/10,0)*10,[1]Hugst!$R$4:$W$4,0))))</f>
        <v>0</v>
      </c>
      <c r="S194">
        <f>IF($C194-S$1&lt;År1,0,R193*(1-VLOOKUP($A194,[1]Hugst!$R$5:$W$9,MATCH(ROUNDUP((S$1)/10,0)*10,[1]Hugst!$R$4:$W$4,0))))</f>
        <v>0</v>
      </c>
      <c r="T194">
        <f>IF($C194-T$1&lt;År1,0,S193*(1-VLOOKUP($A194,[1]Hugst!$R$5:$W$9,MATCH(ROUNDUP((T$1)/10,0)*10,[1]Hugst!$R$4:$W$4,0))))</f>
        <v>0</v>
      </c>
      <c r="U194">
        <f>IF($C194-U$1&lt;År1,0,T193*(1-VLOOKUP($A194,[1]Hugst!$R$5:$W$9,MATCH(ROUNDUP((U$1)/10,0)*10,[1]Hugst!$R$4:$W$4,0))))</f>
        <v>0</v>
      </c>
      <c r="V194">
        <f>IF($C194-V$1&lt;År1,0,U193*(1-VLOOKUP($A194,[1]Hugst!$R$5:$W$9,MATCH(ROUNDUP((V$1)/10,0)*10,[1]Hugst!$R$4:$W$4,0))))</f>
        <v>0</v>
      </c>
      <c r="W194">
        <f>IF($C194-W$1&lt;År1,0,V193*(1-VLOOKUP($A194,[1]Hugst!$R$5:$W$9,MATCH(ROUNDUP((W$1)/10,0)*10,[1]Hugst!$R$4:$W$4,0))))</f>
        <v>0</v>
      </c>
      <c r="X194">
        <f>IF($C194-X$1&lt;År1,0,W193*(1-VLOOKUP($A194,[1]Hugst!$R$5:$W$9,MATCH(ROUNDUP((X$1)/10,0)*10,[1]Hugst!$R$4:$W$4,0))))</f>
        <v>0</v>
      </c>
      <c r="Y194">
        <f>IF($C194-Y$1&lt;År1,0,X193*(1-VLOOKUP($A194,[1]Hugst!$R$5:$W$9,MATCH(ROUNDUP((Y$1)/10,0)*10,[1]Hugst!$R$4:$W$4,0))))</f>
        <v>0</v>
      </c>
      <c r="Z194">
        <f>IF($C194-Z$1&lt;År1,0,Y193*(1-VLOOKUP($A194,[1]Hugst!$R$5:$W$9,MATCH(ROUNDUP((Z$1)/10,0)*10,[1]Hugst!$R$4:$W$4,0))))</f>
        <v>0</v>
      </c>
      <c r="AA194">
        <f>IF($C194-AA$1&lt;År1,0,Z193*(1-VLOOKUP($A194,[1]Hugst!$R$5:$W$9,MATCH(ROUNDUP((AA$1)/10,0)*10,[1]Hugst!$R$4:$W$4,0))))</f>
        <v>0</v>
      </c>
      <c r="AB194">
        <f>IF($C194-AB$1&lt;År1,0,AA193*(1-VLOOKUP($A194,[1]Hugst!$R$5:$W$9,MATCH(ROUNDUP((AB$1)/10,0)*10,[1]Hugst!$R$4:$W$4,0))))</f>
        <v>0</v>
      </c>
      <c r="AC194">
        <f>IF($C194-AC$1&lt;År1,0,AB193*(1-VLOOKUP($A194,[1]Hugst!$R$5:$W$9,MATCH(ROUNDUP((AC$1)/10,0)*10,[1]Hugst!$R$4:$W$4,0))))</f>
        <v>0</v>
      </c>
      <c r="AD194">
        <f>IF($C194-AD$1&lt;År1,0,AC193*(1-VLOOKUP($A194,[1]Hugst!$R$5:$W$9,MATCH(ROUNDUP((AD$1)/10,0)*10,[1]Hugst!$R$4:$W$4,0))))</f>
        <v>0</v>
      </c>
      <c r="AE194">
        <f>IF($C194-AE$1&lt;År1,0,AD193*(1-VLOOKUP($A194,[1]Hugst!$R$5:$W$9,MATCH(ROUNDUP((AE$1)/10,0)*10,[1]Hugst!$R$4:$W$4,0))))</f>
        <v>0</v>
      </c>
      <c r="AF194">
        <f>IF($C194-AF$1&lt;År1,0,AE193*(1-VLOOKUP($A194,[1]Hugst!$R$5:$W$9,MATCH(ROUNDUP((AF$1)/10,0)*10,[1]Hugst!$R$4:$W$4,0))))</f>
        <v>0</v>
      </c>
      <c r="AG194">
        <f>IF($C194-AG$1&lt;År1,0,AF193*(1-VLOOKUP($A194,[1]Hugst!$R$5:$W$9,MATCH(ROUNDUP((AG$1)/10,0)*10,[1]Hugst!$R$4:$W$4,0))))</f>
        <v>0</v>
      </c>
      <c r="AH194">
        <f>IF($C194-AH$1&lt;År1,0,AG193*(1-VLOOKUP($A194,[1]Hugst!$R$5:$W$9,MATCH(ROUNDUP((AH$1)/10,0)*10,[1]Hugst!$R$4:$W$4,0))))</f>
        <v>0</v>
      </c>
      <c r="AI194">
        <f>IF($C194-AI$1&lt;År1,0,AH193*(1-VLOOKUP($A194,[1]Hugst!$R$5:$W$9,MATCH(ROUNDUP((AI$1)/10,0)*10,[1]Hugst!$R$4:$W$4,0))))</f>
        <v>0</v>
      </c>
      <c r="AJ194">
        <f>IF($C194-AJ$1&lt;År1,0,AI193*(1-VLOOKUP($A194,[1]Hugst!$R$5:$W$9,MATCH(ROUNDUP((AJ$1)/10,0)*10,[1]Hugst!$R$4:$W$4,0))))</f>
        <v>0</v>
      </c>
    </row>
    <row r="195" spans="1:36" x14ac:dyDescent="0.25">
      <c r="A195" t="s">
        <v>179</v>
      </c>
      <c r="B195" t="s">
        <v>23</v>
      </c>
      <c r="C195">
        <v>2027</v>
      </c>
      <c r="D195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0</v>
      </c>
      <c r="E195">
        <f t="shared" ca="1" si="4"/>
        <v>0</v>
      </c>
      <c r="F195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>
        <f ca="1">IF($C195-G$1&lt;År1,0,F194*(1-VLOOKUP($A195,[1]Hugst!$R$5:$W$9,MATCH(ROUNDUP((G$1)/10,0)*10,[1]Hugst!$R$4:$W$4,0))))</f>
        <v>0</v>
      </c>
      <c r="H195">
        <f ca="1">IF($C195-H$1&lt;År1,0,G194*(1-VLOOKUP($A195,[1]Hugst!$R$5:$W$9,MATCH(ROUNDUP((H$1)/10,0)*10,[1]Hugst!$R$4:$W$4,0))))</f>
        <v>0</v>
      </c>
      <c r="I195">
        <f ca="1">IF($C195-I$1&lt;År1,0,H194*(1-VLOOKUP($A195,[1]Hugst!$R$5:$W$9,MATCH(ROUNDUP((I$1)/10,0)*10,[1]Hugst!$R$4:$W$4,0))))</f>
        <v>0</v>
      </c>
      <c r="J195">
        <f ca="1">IF($C195-J$1&lt;År1,0,I194*(1-VLOOKUP($A195,[1]Hugst!$R$5:$W$9,MATCH(ROUNDUP((J$1)/10,0)*10,[1]Hugst!$R$4:$W$4,0))))</f>
        <v>0</v>
      </c>
      <c r="K195">
        <f ca="1">IF($C195-K$1&lt;År1,0,J194*(1-VLOOKUP($A195,[1]Hugst!$R$5:$W$9,MATCH(ROUNDUP((K$1)/10,0)*10,[1]Hugst!$R$4:$W$4,0))))</f>
        <v>0</v>
      </c>
      <c r="L195">
        <f ca="1">IF($C195-L$1&lt;År1,0,K194*(1-VLOOKUP($A195,[1]Hugst!$R$5:$W$9,MATCH(ROUNDUP((L$1)/10,0)*10,[1]Hugst!$R$4:$W$4,0))))</f>
        <v>0</v>
      </c>
      <c r="M195">
        <f ca="1">IF($C195-M$1&lt;År1,0,L194*(1-VLOOKUP($A195,[1]Hugst!$R$5:$W$9,MATCH(ROUNDUP((M$1)/10,0)*10,[1]Hugst!$R$4:$W$4,0))))</f>
        <v>0</v>
      </c>
      <c r="N195">
        <f>IF($C195-N$1&lt;År1,0,M194*(1-VLOOKUP($A195,[1]Hugst!$R$5:$W$9,MATCH(ROUNDUP((N$1)/10,0)*10,[1]Hugst!$R$4:$W$4,0))))</f>
        <v>0</v>
      </c>
      <c r="O195">
        <f>IF($C195-O$1&lt;År1,0,N194*(1-VLOOKUP($A195,[1]Hugst!$R$5:$W$9,MATCH(ROUNDUP((O$1)/10,0)*10,[1]Hugst!$R$4:$W$4,0))))</f>
        <v>0</v>
      </c>
      <c r="P195">
        <f>IF($C195-P$1&lt;År1,0,O194*(1-VLOOKUP($A195,[1]Hugst!$R$5:$W$9,MATCH(ROUNDUP((P$1)/10,0)*10,[1]Hugst!$R$4:$W$4,0))))</f>
        <v>0</v>
      </c>
      <c r="Q195">
        <f>IF($C195-Q$1&lt;År1,0,P194*(1-VLOOKUP($A195,[1]Hugst!$R$5:$W$9,MATCH(ROUNDUP((Q$1)/10,0)*10,[1]Hugst!$R$4:$W$4,0))))</f>
        <v>0</v>
      </c>
      <c r="R195">
        <f>IF($C195-R$1&lt;År1,0,Q194*(1-VLOOKUP($A195,[1]Hugst!$R$5:$W$9,MATCH(ROUNDUP((R$1)/10,0)*10,[1]Hugst!$R$4:$W$4,0))))</f>
        <v>0</v>
      </c>
      <c r="S195">
        <f>IF($C195-S$1&lt;År1,0,R194*(1-VLOOKUP($A195,[1]Hugst!$R$5:$W$9,MATCH(ROUNDUP((S$1)/10,0)*10,[1]Hugst!$R$4:$W$4,0))))</f>
        <v>0</v>
      </c>
      <c r="T195">
        <f>IF($C195-T$1&lt;År1,0,S194*(1-VLOOKUP($A195,[1]Hugst!$R$5:$W$9,MATCH(ROUNDUP((T$1)/10,0)*10,[1]Hugst!$R$4:$W$4,0))))</f>
        <v>0</v>
      </c>
      <c r="U195">
        <f>IF($C195-U$1&lt;År1,0,T194*(1-VLOOKUP($A195,[1]Hugst!$R$5:$W$9,MATCH(ROUNDUP((U$1)/10,0)*10,[1]Hugst!$R$4:$W$4,0))))</f>
        <v>0</v>
      </c>
      <c r="V195">
        <f>IF($C195-V$1&lt;År1,0,U194*(1-VLOOKUP($A195,[1]Hugst!$R$5:$W$9,MATCH(ROUNDUP((V$1)/10,0)*10,[1]Hugst!$R$4:$W$4,0))))</f>
        <v>0</v>
      </c>
      <c r="W195">
        <f>IF($C195-W$1&lt;År1,0,V194*(1-VLOOKUP($A195,[1]Hugst!$R$5:$W$9,MATCH(ROUNDUP((W$1)/10,0)*10,[1]Hugst!$R$4:$W$4,0))))</f>
        <v>0</v>
      </c>
      <c r="X195">
        <f>IF($C195-X$1&lt;År1,0,W194*(1-VLOOKUP($A195,[1]Hugst!$R$5:$W$9,MATCH(ROUNDUP((X$1)/10,0)*10,[1]Hugst!$R$4:$W$4,0))))</f>
        <v>0</v>
      </c>
      <c r="Y195">
        <f>IF($C195-Y$1&lt;År1,0,X194*(1-VLOOKUP($A195,[1]Hugst!$R$5:$W$9,MATCH(ROUNDUP((Y$1)/10,0)*10,[1]Hugst!$R$4:$W$4,0))))</f>
        <v>0</v>
      </c>
      <c r="Z195">
        <f>IF($C195-Z$1&lt;År1,0,Y194*(1-VLOOKUP($A195,[1]Hugst!$R$5:$W$9,MATCH(ROUNDUP((Z$1)/10,0)*10,[1]Hugst!$R$4:$W$4,0))))</f>
        <v>0</v>
      </c>
      <c r="AA195">
        <f>IF($C195-AA$1&lt;År1,0,Z194*(1-VLOOKUP($A195,[1]Hugst!$R$5:$W$9,MATCH(ROUNDUP((AA$1)/10,0)*10,[1]Hugst!$R$4:$W$4,0))))</f>
        <v>0</v>
      </c>
      <c r="AB195">
        <f>IF($C195-AB$1&lt;År1,0,AA194*(1-VLOOKUP($A195,[1]Hugst!$R$5:$W$9,MATCH(ROUNDUP((AB$1)/10,0)*10,[1]Hugst!$R$4:$W$4,0))))</f>
        <v>0</v>
      </c>
      <c r="AC195">
        <f>IF($C195-AC$1&lt;År1,0,AB194*(1-VLOOKUP($A195,[1]Hugst!$R$5:$W$9,MATCH(ROUNDUP((AC$1)/10,0)*10,[1]Hugst!$R$4:$W$4,0))))</f>
        <v>0</v>
      </c>
      <c r="AD195">
        <f>IF($C195-AD$1&lt;År1,0,AC194*(1-VLOOKUP($A195,[1]Hugst!$R$5:$W$9,MATCH(ROUNDUP((AD$1)/10,0)*10,[1]Hugst!$R$4:$W$4,0))))</f>
        <v>0</v>
      </c>
      <c r="AE195">
        <f>IF($C195-AE$1&lt;År1,0,AD194*(1-VLOOKUP($A195,[1]Hugst!$R$5:$W$9,MATCH(ROUNDUP((AE$1)/10,0)*10,[1]Hugst!$R$4:$W$4,0))))</f>
        <v>0</v>
      </c>
      <c r="AF195">
        <f>IF($C195-AF$1&lt;År1,0,AE194*(1-VLOOKUP($A195,[1]Hugst!$R$5:$W$9,MATCH(ROUNDUP((AF$1)/10,0)*10,[1]Hugst!$R$4:$W$4,0))))</f>
        <v>0</v>
      </c>
      <c r="AG195">
        <f>IF($C195-AG$1&lt;År1,0,AF194*(1-VLOOKUP($A195,[1]Hugst!$R$5:$W$9,MATCH(ROUNDUP((AG$1)/10,0)*10,[1]Hugst!$R$4:$W$4,0))))</f>
        <v>0</v>
      </c>
      <c r="AH195">
        <f>IF($C195-AH$1&lt;År1,0,AG194*(1-VLOOKUP($A195,[1]Hugst!$R$5:$W$9,MATCH(ROUNDUP((AH$1)/10,0)*10,[1]Hugst!$R$4:$W$4,0))))</f>
        <v>0</v>
      </c>
      <c r="AI195">
        <f>IF($C195-AI$1&lt;År1,0,AH194*(1-VLOOKUP($A195,[1]Hugst!$R$5:$W$9,MATCH(ROUNDUP((AI$1)/10,0)*10,[1]Hugst!$R$4:$W$4,0))))</f>
        <v>0</v>
      </c>
      <c r="AJ195">
        <f>IF($C195-AJ$1&lt;År1,0,AI194*(1-VLOOKUP($A195,[1]Hugst!$R$5:$W$9,MATCH(ROUNDUP((AJ$1)/10,0)*10,[1]Hugst!$R$4:$W$4,0))))</f>
        <v>0</v>
      </c>
    </row>
    <row r="196" spans="1:36" x14ac:dyDescent="0.25">
      <c r="A196" t="s">
        <v>179</v>
      </c>
      <c r="B196" t="s">
        <v>23</v>
      </c>
      <c r="C196">
        <v>2028</v>
      </c>
      <c r="D196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0</v>
      </c>
      <c r="E196">
        <f t="shared" ca="1" si="4"/>
        <v>0</v>
      </c>
      <c r="F196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>
        <f ca="1">IF($C196-G$1&lt;År1,0,F195*(1-VLOOKUP($A196,[1]Hugst!$R$5:$W$9,MATCH(ROUNDUP((G$1)/10,0)*10,[1]Hugst!$R$4:$W$4,0))))</f>
        <v>0</v>
      </c>
      <c r="H196">
        <f ca="1">IF($C196-H$1&lt;År1,0,G195*(1-VLOOKUP($A196,[1]Hugst!$R$5:$W$9,MATCH(ROUNDUP((H$1)/10,0)*10,[1]Hugst!$R$4:$W$4,0))))</f>
        <v>0</v>
      </c>
      <c r="I196">
        <f ca="1">IF($C196-I$1&lt;År1,0,H195*(1-VLOOKUP($A196,[1]Hugst!$R$5:$W$9,MATCH(ROUNDUP((I$1)/10,0)*10,[1]Hugst!$R$4:$W$4,0))))</f>
        <v>0</v>
      </c>
      <c r="J196">
        <f ca="1">IF($C196-J$1&lt;År1,0,I195*(1-VLOOKUP($A196,[1]Hugst!$R$5:$W$9,MATCH(ROUNDUP((J$1)/10,0)*10,[1]Hugst!$R$4:$W$4,0))))</f>
        <v>0</v>
      </c>
      <c r="K196">
        <f ca="1">IF($C196-K$1&lt;År1,0,J195*(1-VLOOKUP($A196,[1]Hugst!$R$5:$W$9,MATCH(ROUNDUP((K$1)/10,0)*10,[1]Hugst!$R$4:$W$4,0))))</f>
        <v>0</v>
      </c>
      <c r="L196">
        <f ca="1">IF($C196-L$1&lt;År1,0,K195*(1-VLOOKUP($A196,[1]Hugst!$R$5:$W$9,MATCH(ROUNDUP((L$1)/10,0)*10,[1]Hugst!$R$4:$W$4,0))))</f>
        <v>0</v>
      </c>
      <c r="M196">
        <f ca="1">IF($C196-M$1&lt;År1,0,L195*(1-VLOOKUP($A196,[1]Hugst!$R$5:$W$9,MATCH(ROUNDUP((M$1)/10,0)*10,[1]Hugst!$R$4:$W$4,0))))</f>
        <v>0</v>
      </c>
      <c r="N196">
        <f ca="1">IF($C196-N$1&lt;År1,0,M195*(1-VLOOKUP($A196,[1]Hugst!$R$5:$W$9,MATCH(ROUNDUP((N$1)/10,0)*10,[1]Hugst!$R$4:$W$4,0))))</f>
        <v>0</v>
      </c>
      <c r="O196">
        <f>IF($C196-O$1&lt;År1,0,N195*(1-VLOOKUP($A196,[1]Hugst!$R$5:$W$9,MATCH(ROUNDUP((O$1)/10,0)*10,[1]Hugst!$R$4:$W$4,0))))</f>
        <v>0</v>
      </c>
      <c r="P196">
        <f>IF($C196-P$1&lt;År1,0,O195*(1-VLOOKUP($A196,[1]Hugst!$R$5:$W$9,MATCH(ROUNDUP((P$1)/10,0)*10,[1]Hugst!$R$4:$W$4,0))))</f>
        <v>0</v>
      </c>
      <c r="Q196">
        <f>IF($C196-Q$1&lt;År1,0,P195*(1-VLOOKUP($A196,[1]Hugst!$R$5:$W$9,MATCH(ROUNDUP((Q$1)/10,0)*10,[1]Hugst!$R$4:$W$4,0))))</f>
        <v>0</v>
      </c>
      <c r="R196">
        <f>IF($C196-R$1&lt;År1,0,Q195*(1-VLOOKUP($A196,[1]Hugst!$R$5:$W$9,MATCH(ROUNDUP((R$1)/10,0)*10,[1]Hugst!$R$4:$W$4,0))))</f>
        <v>0</v>
      </c>
      <c r="S196">
        <f>IF($C196-S$1&lt;År1,0,R195*(1-VLOOKUP($A196,[1]Hugst!$R$5:$W$9,MATCH(ROUNDUP((S$1)/10,0)*10,[1]Hugst!$R$4:$W$4,0))))</f>
        <v>0</v>
      </c>
      <c r="T196">
        <f>IF($C196-T$1&lt;År1,0,S195*(1-VLOOKUP($A196,[1]Hugst!$R$5:$W$9,MATCH(ROUNDUP((T$1)/10,0)*10,[1]Hugst!$R$4:$W$4,0))))</f>
        <v>0</v>
      </c>
      <c r="U196">
        <f>IF($C196-U$1&lt;År1,0,T195*(1-VLOOKUP($A196,[1]Hugst!$R$5:$W$9,MATCH(ROUNDUP((U$1)/10,0)*10,[1]Hugst!$R$4:$W$4,0))))</f>
        <v>0</v>
      </c>
      <c r="V196">
        <f>IF($C196-V$1&lt;År1,0,U195*(1-VLOOKUP($A196,[1]Hugst!$R$5:$W$9,MATCH(ROUNDUP((V$1)/10,0)*10,[1]Hugst!$R$4:$W$4,0))))</f>
        <v>0</v>
      </c>
      <c r="W196">
        <f>IF($C196-W$1&lt;År1,0,V195*(1-VLOOKUP($A196,[1]Hugst!$R$5:$W$9,MATCH(ROUNDUP((W$1)/10,0)*10,[1]Hugst!$R$4:$W$4,0))))</f>
        <v>0</v>
      </c>
      <c r="X196">
        <f>IF($C196-X$1&lt;År1,0,W195*(1-VLOOKUP($A196,[1]Hugst!$R$5:$W$9,MATCH(ROUNDUP((X$1)/10,0)*10,[1]Hugst!$R$4:$W$4,0))))</f>
        <v>0</v>
      </c>
      <c r="Y196">
        <f>IF($C196-Y$1&lt;År1,0,X195*(1-VLOOKUP($A196,[1]Hugst!$R$5:$W$9,MATCH(ROUNDUP((Y$1)/10,0)*10,[1]Hugst!$R$4:$W$4,0))))</f>
        <v>0</v>
      </c>
      <c r="Z196">
        <f>IF($C196-Z$1&lt;År1,0,Y195*(1-VLOOKUP($A196,[1]Hugst!$R$5:$W$9,MATCH(ROUNDUP((Z$1)/10,0)*10,[1]Hugst!$R$4:$W$4,0))))</f>
        <v>0</v>
      </c>
      <c r="AA196">
        <f>IF($C196-AA$1&lt;År1,0,Z195*(1-VLOOKUP($A196,[1]Hugst!$R$5:$W$9,MATCH(ROUNDUP((AA$1)/10,0)*10,[1]Hugst!$R$4:$W$4,0))))</f>
        <v>0</v>
      </c>
      <c r="AB196">
        <f>IF($C196-AB$1&lt;År1,0,AA195*(1-VLOOKUP($A196,[1]Hugst!$R$5:$W$9,MATCH(ROUNDUP((AB$1)/10,0)*10,[1]Hugst!$R$4:$W$4,0))))</f>
        <v>0</v>
      </c>
      <c r="AC196">
        <f>IF($C196-AC$1&lt;År1,0,AB195*(1-VLOOKUP($A196,[1]Hugst!$R$5:$W$9,MATCH(ROUNDUP((AC$1)/10,0)*10,[1]Hugst!$R$4:$W$4,0))))</f>
        <v>0</v>
      </c>
      <c r="AD196">
        <f>IF($C196-AD$1&lt;År1,0,AC195*(1-VLOOKUP($A196,[1]Hugst!$R$5:$W$9,MATCH(ROUNDUP((AD$1)/10,0)*10,[1]Hugst!$R$4:$W$4,0))))</f>
        <v>0</v>
      </c>
      <c r="AE196">
        <f>IF($C196-AE$1&lt;År1,0,AD195*(1-VLOOKUP($A196,[1]Hugst!$R$5:$W$9,MATCH(ROUNDUP((AE$1)/10,0)*10,[1]Hugst!$R$4:$W$4,0))))</f>
        <v>0</v>
      </c>
      <c r="AF196">
        <f>IF($C196-AF$1&lt;År1,0,AE195*(1-VLOOKUP($A196,[1]Hugst!$R$5:$W$9,MATCH(ROUNDUP((AF$1)/10,0)*10,[1]Hugst!$R$4:$W$4,0))))</f>
        <v>0</v>
      </c>
      <c r="AG196">
        <f>IF($C196-AG$1&lt;År1,0,AF195*(1-VLOOKUP($A196,[1]Hugst!$R$5:$W$9,MATCH(ROUNDUP((AG$1)/10,0)*10,[1]Hugst!$R$4:$W$4,0))))</f>
        <v>0</v>
      </c>
      <c r="AH196">
        <f>IF($C196-AH$1&lt;År1,0,AG195*(1-VLOOKUP($A196,[1]Hugst!$R$5:$W$9,MATCH(ROUNDUP((AH$1)/10,0)*10,[1]Hugst!$R$4:$W$4,0))))</f>
        <v>0</v>
      </c>
      <c r="AI196">
        <f>IF($C196-AI$1&lt;År1,0,AH195*(1-VLOOKUP($A196,[1]Hugst!$R$5:$W$9,MATCH(ROUNDUP((AI$1)/10,0)*10,[1]Hugst!$R$4:$W$4,0))))</f>
        <v>0</v>
      </c>
      <c r="AJ196">
        <f>IF($C196-AJ$1&lt;År1,0,AI195*(1-VLOOKUP($A196,[1]Hugst!$R$5:$W$9,MATCH(ROUNDUP((AJ$1)/10,0)*10,[1]Hugst!$R$4:$W$4,0))))</f>
        <v>0</v>
      </c>
    </row>
    <row r="197" spans="1:36" x14ac:dyDescent="0.25">
      <c r="A197" t="s">
        <v>179</v>
      </c>
      <c r="B197" t="s">
        <v>23</v>
      </c>
      <c r="C197">
        <v>2029</v>
      </c>
      <c r="D197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0</v>
      </c>
      <c r="E197">
        <f t="shared" ca="1" si="4"/>
        <v>0</v>
      </c>
      <c r="F197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>
        <f ca="1">IF($C197-G$1&lt;År1,0,F196*(1-VLOOKUP($A197,[1]Hugst!$R$5:$W$9,MATCH(ROUNDUP((G$1)/10,0)*10,[1]Hugst!$R$4:$W$4,0))))</f>
        <v>0</v>
      </c>
      <c r="H197">
        <f ca="1">IF($C197-H$1&lt;År1,0,G196*(1-VLOOKUP($A197,[1]Hugst!$R$5:$W$9,MATCH(ROUNDUP((H$1)/10,0)*10,[1]Hugst!$R$4:$W$4,0))))</f>
        <v>0</v>
      </c>
      <c r="I197">
        <f ca="1">IF($C197-I$1&lt;År1,0,H196*(1-VLOOKUP($A197,[1]Hugst!$R$5:$W$9,MATCH(ROUNDUP((I$1)/10,0)*10,[1]Hugst!$R$4:$W$4,0))))</f>
        <v>0</v>
      </c>
      <c r="J197">
        <f ca="1">IF($C197-J$1&lt;År1,0,I196*(1-VLOOKUP($A197,[1]Hugst!$R$5:$W$9,MATCH(ROUNDUP((J$1)/10,0)*10,[1]Hugst!$R$4:$W$4,0))))</f>
        <v>0</v>
      </c>
      <c r="K197">
        <f ca="1">IF($C197-K$1&lt;År1,0,J196*(1-VLOOKUP($A197,[1]Hugst!$R$5:$W$9,MATCH(ROUNDUP((K$1)/10,0)*10,[1]Hugst!$R$4:$W$4,0))))</f>
        <v>0</v>
      </c>
      <c r="L197">
        <f ca="1">IF($C197-L$1&lt;År1,0,K196*(1-VLOOKUP($A197,[1]Hugst!$R$5:$W$9,MATCH(ROUNDUP((L$1)/10,0)*10,[1]Hugst!$R$4:$W$4,0))))</f>
        <v>0</v>
      </c>
      <c r="M197">
        <f ca="1">IF($C197-M$1&lt;År1,0,L196*(1-VLOOKUP($A197,[1]Hugst!$R$5:$W$9,MATCH(ROUNDUP((M$1)/10,0)*10,[1]Hugst!$R$4:$W$4,0))))</f>
        <v>0</v>
      </c>
      <c r="N197">
        <f ca="1">IF($C197-N$1&lt;År1,0,M196*(1-VLOOKUP($A197,[1]Hugst!$R$5:$W$9,MATCH(ROUNDUP((N$1)/10,0)*10,[1]Hugst!$R$4:$W$4,0))))</f>
        <v>0</v>
      </c>
      <c r="O197">
        <f ca="1">IF($C197-O$1&lt;År1,0,N196*(1-VLOOKUP($A197,[1]Hugst!$R$5:$W$9,MATCH(ROUNDUP((O$1)/10,0)*10,[1]Hugst!$R$4:$W$4,0))))</f>
        <v>0</v>
      </c>
      <c r="P197">
        <f>IF($C197-P$1&lt;År1,0,O196*(1-VLOOKUP($A197,[1]Hugst!$R$5:$W$9,MATCH(ROUNDUP((P$1)/10,0)*10,[1]Hugst!$R$4:$W$4,0))))</f>
        <v>0</v>
      </c>
      <c r="Q197">
        <f>IF($C197-Q$1&lt;År1,0,P196*(1-VLOOKUP($A197,[1]Hugst!$R$5:$W$9,MATCH(ROUNDUP((Q$1)/10,0)*10,[1]Hugst!$R$4:$W$4,0))))</f>
        <v>0</v>
      </c>
      <c r="R197">
        <f>IF($C197-R$1&lt;År1,0,Q196*(1-VLOOKUP($A197,[1]Hugst!$R$5:$W$9,MATCH(ROUNDUP((R$1)/10,0)*10,[1]Hugst!$R$4:$W$4,0))))</f>
        <v>0</v>
      </c>
      <c r="S197">
        <f>IF($C197-S$1&lt;År1,0,R196*(1-VLOOKUP($A197,[1]Hugst!$R$5:$W$9,MATCH(ROUNDUP((S$1)/10,0)*10,[1]Hugst!$R$4:$W$4,0))))</f>
        <v>0</v>
      </c>
      <c r="T197">
        <f>IF($C197-T$1&lt;År1,0,S196*(1-VLOOKUP($A197,[1]Hugst!$R$5:$W$9,MATCH(ROUNDUP((T$1)/10,0)*10,[1]Hugst!$R$4:$W$4,0))))</f>
        <v>0</v>
      </c>
      <c r="U197">
        <f>IF($C197-U$1&lt;År1,0,T196*(1-VLOOKUP($A197,[1]Hugst!$R$5:$W$9,MATCH(ROUNDUP((U$1)/10,0)*10,[1]Hugst!$R$4:$W$4,0))))</f>
        <v>0</v>
      </c>
      <c r="V197">
        <f>IF($C197-V$1&lt;År1,0,U196*(1-VLOOKUP($A197,[1]Hugst!$R$5:$W$9,MATCH(ROUNDUP((V$1)/10,0)*10,[1]Hugst!$R$4:$W$4,0))))</f>
        <v>0</v>
      </c>
      <c r="W197">
        <f>IF($C197-W$1&lt;År1,0,V196*(1-VLOOKUP($A197,[1]Hugst!$R$5:$W$9,MATCH(ROUNDUP((W$1)/10,0)*10,[1]Hugst!$R$4:$W$4,0))))</f>
        <v>0</v>
      </c>
      <c r="X197">
        <f>IF($C197-X$1&lt;År1,0,W196*(1-VLOOKUP($A197,[1]Hugst!$R$5:$W$9,MATCH(ROUNDUP((X$1)/10,0)*10,[1]Hugst!$R$4:$W$4,0))))</f>
        <v>0</v>
      </c>
      <c r="Y197">
        <f>IF($C197-Y$1&lt;År1,0,X196*(1-VLOOKUP($A197,[1]Hugst!$R$5:$W$9,MATCH(ROUNDUP((Y$1)/10,0)*10,[1]Hugst!$R$4:$W$4,0))))</f>
        <v>0</v>
      </c>
      <c r="Z197">
        <f>IF($C197-Z$1&lt;År1,0,Y196*(1-VLOOKUP($A197,[1]Hugst!$R$5:$W$9,MATCH(ROUNDUP((Z$1)/10,0)*10,[1]Hugst!$R$4:$W$4,0))))</f>
        <v>0</v>
      </c>
      <c r="AA197">
        <f>IF($C197-AA$1&lt;År1,0,Z196*(1-VLOOKUP($A197,[1]Hugst!$R$5:$W$9,MATCH(ROUNDUP((AA$1)/10,0)*10,[1]Hugst!$R$4:$W$4,0))))</f>
        <v>0</v>
      </c>
      <c r="AB197">
        <f>IF($C197-AB$1&lt;År1,0,AA196*(1-VLOOKUP($A197,[1]Hugst!$R$5:$W$9,MATCH(ROUNDUP((AB$1)/10,0)*10,[1]Hugst!$R$4:$W$4,0))))</f>
        <v>0</v>
      </c>
      <c r="AC197">
        <f>IF($C197-AC$1&lt;År1,0,AB196*(1-VLOOKUP($A197,[1]Hugst!$R$5:$W$9,MATCH(ROUNDUP((AC$1)/10,0)*10,[1]Hugst!$R$4:$W$4,0))))</f>
        <v>0</v>
      </c>
      <c r="AD197">
        <f>IF($C197-AD$1&lt;År1,0,AC196*(1-VLOOKUP($A197,[1]Hugst!$R$5:$W$9,MATCH(ROUNDUP((AD$1)/10,0)*10,[1]Hugst!$R$4:$W$4,0))))</f>
        <v>0</v>
      </c>
      <c r="AE197">
        <f>IF($C197-AE$1&lt;År1,0,AD196*(1-VLOOKUP($A197,[1]Hugst!$R$5:$W$9,MATCH(ROUNDUP((AE$1)/10,0)*10,[1]Hugst!$R$4:$W$4,0))))</f>
        <v>0</v>
      </c>
      <c r="AF197">
        <f>IF($C197-AF$1&lt;År1,0,AE196*(1-VLOOKUP($A197,[1]Hugst!$R$5:$W$9,MATCH(ROUNDUP((AF$1)/10,0)*10,[1]Hugst!$R$4:$W$4,0))))</f>
        <v>0</v>
      </c>
      <c r="AG197">
        <f>IF($C197-AG$1&lt;År1,0,AF196*(1-VLOOKUP($A197,[1]Hugst!$R$5:$W$9,MATCH(ROUNDUP((AG$1)/10,0)*10,[1]Hugst!$R$4:$W$4,0))))</f>
        <v>0</v>
      </c>
      <c r="AH197">
        <f>IF($C197-AH$1&lt;År1,0,AG196*(1-VLOOKUP($A197,[1]Hugst!$R$5:$W$9,MATCH(ROUNDUP((AH$1)/10,0)*10,[1]Hugst!$R$4:$W$4,0))))</f>
        <v>0</v>
      </c>
      <c r="AI197">
        <f>IF($C197-AI$1&lt;År1,0,AH196*(1-VLOOKUP($A197,[1]Hugst!$R$5:$W$9,MATCH(ROUNDUP((AI$1)/10,0)*10,[1]Hugst!$R$4:$W$4,0))))</f>
        <v>0</v>
      </c>
      <c r="AJ197">
        <f>IF($C197-AJ$1&lt;År1,0,AI196*(1-VLOOKUP($A197,[1]Hugst!$R$5:$W$9,MATCH(ROUNDUP((AJ$1)/10,0)*10,[1]Hugst!$R$4:$W$4,0))))</f>
        <v>0</v>
      </c>
    </row>
    <row r="198" spans="1:36" x14ac:dyDescent="0.25">
      <c r="A198" t="s">
        <v>179</v>
      </c>
      <c r="B198" t="s">
        <v>23</v>
      </c>
      <c r="C198">
        <v>2030</v>
      </c>
      <c r="D19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0</v>
      </c>
      <c r="E198">
        <f t="shared" ca="1" si="4"/>
        <v>0</v>
      </c>
      <c r="F19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>
        <f ca="1">IF($C198-G$1&lt;År1,0,F197*(1-VLOOKUP($A198,[1]Hugst!$R$5:$W$9,MATCH(ROUNDUP((G$1)/10,0)*10,[1]Hugst!$R$4:$W$4,0))))</f>
        <v>0</v>
      </c>
      <c r="H198">
        <f ca="1">IF($C198-H$1&lt;År1,0,G197*(1-VLOOKUP($A198,[1]Hugst!$R$5:$W$9,MATCH(ROUNDUP((H$1)/10,0)*10,[1]Hugst!$R$4:$W$4,0))))</f>
        <v>0</v>
      </c>
      <c r="I198">
        <f ca="1">IF($C198-I$1&lt;År1,0,H197*(1-VLOOKUP($A198,[1]Hugst!$R$5:$W$9,MATCH(ROUNDUP((I$1)/10,0)*10,[1]Hugst!$R$4:$W$4,0))))</f>
        <v>0</v>
      </c>
      <c r="J198">
        <f ca="1">IF($C198-J$1&lt;År1,0,I197*(1-VLOOKUP($A198,[1]Hugst!$R$5:$W$9,MATCH(ROUNDUP((J$1)/10,0)*10,[1]Hugst!$R$4:$W$4,0))))</f>
        <v>0</v>
      </c>
      <c r="K198">
        <f ca="1">IF($C198-K$1&lt;År1,0,J197*(1-VLOOKUP($A198,[1]Hugst!$R$5:$W$9,MATCH(ROUNDUP((K$1)/10,0)*10,[1]Hugst!$R$4:$W$4,0))))</f>
        <v>0</v>
      </c>
      <c r="L198">
        <f ca="1">IF($C198-L$1&lt;År1,0,K197*(1-VLOOKUP($A198,[1]Hugst!$R$5:$W$9,MATCH(ROUNDUP((L$1)/10,0)*10,[1]Hugst!$R$4:$W$4,0))))</f>
        <v>0</v>
      </c>
      <c r="M198">
        <f ca="1">IF($C198-M$1&lt;År1,0,L197*(1-VLOOKUP($A198,[1]Hugst!$R$5:$W$9,MATCH(ROUNDUP((M$1)/10,0)*10,[1]Hugst!$R$4:$W$4,0))))</f>
        <v>0</v>
      </c>
      <c r="N198">
        <f ca="1">IF($C198-N$1&lt;År1,0,M197*(1-VLOOKUP($A198,[1]Hugst!$R$5:$W$9,MATCH(ROUNDUP((N$1)/10,0)*10,[1]Hugst!$R$4:$W$4,0))))</f>
        <v>0</v>
      </c>
      <c r="O198">
        <f ca="1">IF($C198-O$1&lt;År1,0,N197*(1-VLOOKUP($A198,[1]Hugst!$R$5:$W$9,MATCH(ROUNDUP((O$1)/10,0)*10,[1]Hugst!$R$4:$W$4,0))))</f>
        <v>0</v>
      </c>
      <c r="P198">
        <f ca="1">IF($C198-P$1&lt;År1,0,O197*(1-VLOOKUP($A198,[1]Hugst!$R$5:$W$9,MATCH(ROUNDUP((P$1)/10,0)*10,[1]Hugst!$R$4:$W$4,0))))</f>
        <v>0</v>
      </c>
      <c r="Q198">
        <f>IF($C198-Q$1&lt;År1,0,P197*(1-VLOOKUP($A198,[1]Hugst!$R$5:$W$9,MATCH(ROUNDUP((Q$1)/10,0)*10,[1]Hugst!$R$4:$W$4,0))))</f>
        <v>0</v>
      </c>
      <c r="R198">
        <f>IF($C198-R$1&lt;År1,0,Q197*(1-VLOOKUP($A198,[1]Hugst!$R$5:$W$9,MATCH(ROUNDUP((R$1)/10,0)*10,[1]Hugst!$R$4:$W$4,0))))</f>
        <v>0</v>
      </c>
      <c r="S198">
        <f>IF($C198-S$1&lt;År1,0,R197*(1-VLOOKUP($A198,[1]Hugst!$R$5:$W$9,MATCH(ROUNDUP((S$1)/10,0)*10,[1]Hugst!$R$4:$W$4,0))))</f>
        <v>0</v>
      </c>
      <c r="T198">
        <f>IF($C198-T$1&lt;År1,0,S197*(1-VLOOKUP($A198,[1]Hugst!$R$5:$W$9,MATCH(ROUNDUP((T$1)/10,0)*10,[1]Hugst!$R$4:$W$4,0))))</f>
        <v>0</v>
      </c>
      <c r="U198">
        <f>IF($C198-U$1&lt;År1,0,T197*(1-VLOOKUP($A198,[1]Hugst!$R$5:$W$9,MATCH(ROUNDUP((U$1)/10,0)*10,[1]Hugst!$R$4:$W$4,0))))</f>
        <v>0</v>
      </c>
      <c r="V198">
        <f>IF($C198-V$1&lt;År1,0,U197*(1-VLOOKUP($A198,[1]Hugst!$R$5:$W$9,MATCH(ROUNDUP((V$1)/10,0)*10,[1]Hugst!$R$4:$W$4,0))))</f>
        <v>0</v>
      </c>
      <c r="W198">
        <f>IF($C198-W$1&lt;År1,0,V197*(1-VLOOKUP($A198,[1]Hugst!$R$5:$W$9,MATCH(ROUNDUP((W$1)/10,0)*10,[1]Hugst!$R$4:$W$4,0))))</f>
        <v>0</v>
      </c>
      <c r="X198">
        <f>IF($C198-X$1&lt;År1,0,W197*(1-VLOOKUP($A198,[1]Hugst!$R$5:$W$9,MATCH(ROUNDUP((X$1)/10,0)*10,[1]Hugst!$R$4:$W$4,0))))</f>
        <v>0</v>
      </c>
      <c r="Y198">
        <f>IF($C198-Y$1&lt;År1,0,X197*(1-VLOOKUP($A198,[1]Hugst!$R$5:$W$9,MATCH(ROUNDUP((Y$1)/10,0)*10,[1]Hugst!$R$4:$W$4,0))))</f>
        <v>0</v>
      </c>
      <c r="Z198">
        <f>IF($C198-Z$1&lt;År1,0,Y197*(1-VLOOKUP($A198,[1]Hugst!$R$5:$W$9,MATCH(ROUNDUP((Z$1)/10,0)*10,[1]Hugst!$R$4:$W$4,0))))</f>
        <v>0</v>
      </c>
      <c r="AA198">
        <f>IF($C198-AA$1&lt;År1,0,Z197*(1-VLOOKUP($A198,[1]Hugst!$R$5:$W$9,MATCH(ROUNDUP((AA$1)/10,0)*10,[1]Hugst!$R$4:$W$4,0))))</f>
        <v>0</v>
      </c>
      <c r="AB198">
        <f>IF($C198-AB$1&lt;År1,0,AA197*(1-VLOOKUP($A198,[1]Hugst!$R$5:$W$9,MATCH(ROUNDUP((AB$1)/10,0)*10,[1]Hugst!$R$4:$W$4,0))))</f>
        <v>0</v>
      </c>
      <c r="AC198">
        <f>IF($C198-AC$1&lt;År1,0,AB197*(1-VLOOKUP($A198,[1]Hugst!$R$5:$W$9,MATCH(ROUNDUP((AC$1)/10,0)*10,[1]Hugst!$R$4:$W$4,0))))</f>
        <v>0</v>
      </c>
      <c r="AD198">
        <f>IF($C198-AD$1&lt;År1,0,AC197*(1-VLOOKUP($A198,[1]Hugst!$R$5:$W$9,MATCH(ROUNDUP((AD$1)/10,0)*10,[1]Hugst!$R$4:$W$4,0))))</f>
        <v>0</v>
      </c>
      <c r="AE198">
        <f>IF($C198-AE$1&lt;År1,0,AD197*(1-VLOOKUP($A198,[1]Hugst!$R$5:$W$9,MATCH(ROUNDUP((AE$1)/10,0)*10,[1]Hugst!$R$4:$W$4,0))))</f>
        <v>0</v>
      </c>
      <c r="AF198">
        <f>IF($C198-AF$1&lt;År1,0,AE197*(1-VLOOKUP($A198,[1]Hugst!$R$5:$W$9,MATCH(ROUNDUP((AF$1)/10,0)*10,[1]Hugst!$R$4:$W$4,0))))</f>
        <v>0</v>
      </c>
      <c r="AG198">
        <f>IF($C198-AG$1&lt;År1,0,AF197*(1-VLOOKUP($A198,[1]Hugst!$R$5:$W$9,MATCH(ROUNDUP((AG$1)/10,0)*10,[1]Hugst!$R$4:$W$4,0))))</f>
        <v>0</v>
      </c>
      <c r="AH198">
        <f>IF($C198-AH$1&lt;År1,0,AG197*(1-VLOOKUP($A198,[1]Hugst!$R$5:$W$9,MATCH(ROUNDUP((AH$1)/10,0)*10,[1]Hugst!$R$4:$W$4,0))))</f>
        <v>0</v>
      </c>
      <c r="AI198">
        <f>IF($C198-AI$1&lt;År1,0,AH197*(1-VLOOKUP($A198,[1]Hugst!$R$5:$W$9,MATCH(ROUNDUP((AI$1)/10,0)*10,[1]Hugst!$R$4:$W$4,0))))</f>
        <v>0</v>
      </c>
      <c r="AJ198">
        <f>IF($C198-AJ$1&lt;År1,0,AI197*(1-VLOOKUP($A198,[1]Hugst!$R$5:$W$9,MATCH(ROUNDUP((AJ$1)/10,0)*10,[1]Hugst!$R$4:$W$4,0))))</f>
        <v>0</v>
      </c>
    </row>
    <row r="199" spans="1:36" x14ac:dyDescent="0.25">
      <c r="A199" t="s">
        <v>179</v>
      </c>
      <c r="B199" t="s">
        <v>23</v>
      </c>
      <c r="C199">
        <v>2031</v>
      </c>
      <c r="D199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0</v>
      </c>
      <c r="E199">
        <f t="shared" ca="1" si="4"/>
        <v>0</v>
      </c>
      <c r="F19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>
        <f ca="1">IF($C199-G$1&lt;År1,0,F198*(1-VLOOKUP($A199,[1]Hugst!$R$5:$W$9,MATCH(ROUNDUP((G$1)/10,0)*10,[1]Hugst!$R$4:$W$4,0))))</f>
        <v>0</v>
      </c>
      <c r="H199">
        <f ca="1">IF($C199-H$1&lt;År1,0,G198*(1-VLOOKUP($A199,[1]Hugst!$R$5:$W$9,MATCH(ROUNDUP((H$1)/10,0)*10,[1]Hugst!$R$4:$W$4,0))))</f>
        <v>0</v>
      </c>
      <c r="I199">
        <f ca="1">IF($C199-I$1&lt;År1,0,H198*(1-VLOOKUP($A199,[1]Hugst!$R$5:$W$9,MATCH(ROUNDUP((I$1)/10,0)*10,[1]Hugst!$R$4:$W$4,0))))</f>
        <v>0</v>
      </c>
      <c r="J199">
        <f ca="1">IF($C199-J$1&lt;År1,0,I198*(1-VLOOKUP($A199,[1]Hugst!$R$5:$W$9,MATCH(ROUNDUP((J$1)/10,0)*10,[1]Hugst!$R$4:$W$4,0))))</f>
        <v>0</v>
      </c>
      <c r="K199">
        <f ca="1">IF($C199-K$1&lt;År1,0,J198*(1-VLOOKUP($A199,[1]Hugst!$R$5:$W$9,MATCH(ROUNDUP((K$1)/10,0)*10,[1]Hugst!$R$4:$W$4,0))))</f>
        <v>0</v>
      </c>
      <c r="L199">
        <f ca="1">IF($C199-L$1&lt;År1,0,K198*(1-VLOOKUP($A199,[1]Hugst!$R$5:$W$9,MATCH(ROUNDUP((L$1)/10,0)*10,[1]Hugst!$R$4:$W$4,0))))</f>
        <v>0</v>
      </c>
      <c r="M199">
        <f ca="1">IF($C199-M$1&lt;År1,0,L198*(1-VLOOKUP($A199,[1]Hugst!$R$5:$W$9,MATCH(ROUNDUP((M$1)/10,0)*10,[1]Hugst!$R$4:$W$4,0))))</f>
        <v>0</v>
      </c>
      <c r="N199">
        <f ca="1">IF($C199-N$1&lt;År1,0,M198*(1-VLOOKUP($A199,[1]Hugst!$R$5:$W$9,MATCH(ROUNDUP((N$1)/10,0)*10,[1]Hugst!$R$4:$W$4,0))))</f>
        <v>0</v>
      </c>
      <c r="O199">
        <f ca="1">IF($C199-O$1&lt;År1,0,N198*(1-VLOOKUP($A199,[1]Hugst!$R$5:$W$9,MATCH(ROUNDUP((O$1)/10,0)*10,[1]Hugst!$R$4:$W$4,0))))</f>
        <v>0</v>
      </c>
      <c r="P199">
        <f ca="1">IF($C199-P$1&lt;År1,0,O198*(1-VLOOKUP($A199,[1]Hugst!$R$5:$W$9,MATCH(ROUNDUP((P$1)/10,0)*10,[1]Hugst!$R$4:$W$4,0))))</f>
        <v>0</v>
      </c>
      <c r="Q199">
        <f ca="1">IF($C199-Q$1&lt;År1,0,P198*(1-VLOOKUP($A199,[1]Hugst!$R$5:$W$9,MATCH(ROUNDUP((Q$1)/10,0)*10,[1]Hugst!$R$4:$W$4,0))))</f>
        <v>0</v>
      </c>
      <c r="R199">
        <f>IF($C199-R$1&lt;År1,0,Q198*(1-VLOOKUP($A199,[1]Hugst!$R$5:$W$9,MATCH(ROUNDUP((R$1)/10,0)*10,[1]Hugst!$R$4:$W$4,0))))</f>
        <v>0</v>
      </c>
      <c r="S199">
        <f>IF($C199-S$1&lt;År1,0,R198*(1-VLOOKUP($A199,[1]Hugst!$R$5:$W$9,MATCH(ROUNDUP((S$1)/10,0)*10,[1]Hugst!$R$4:$W$4,0))))</f>
        <v>0</v>
      </c>
      <c r="T199">
        <f>IF($C199-T$1&lt;År1,0,S198*(1-VLOOKUP($A199,[1]Hugst!$R$5:$W$9,MATCH(ROUNDUP((T$1)/10,0)*10,[1]Hugst!$R$4:$W$4,0))))</f>
        <v>0</v>
      </c>
      <c r="U199">
        <f>IF($C199-U$1&lt;År1,0,T198*(1-VLOOKUP($A199,[1]Hugst!$R$5:$W$9,MATCH(ROUNDUP((U$1)/10,0)*10,[1]Hugst!$R$4:$W$4,0))))</f>
        <v>0</v>
      </c>
      <c r="V199">
        <f>IF($C199-V$1&lt;År1,0,U198*(1-VLOOKUP($A199,[1]Hugst!$R$5:$W$9,MATCH(ROUNDUP((V$1)/10,0)*10,[1]Hugst!$R$4:$W$4,0))))</f>
        <v>0</v>
      </c>
      <c r="W199">
        <f>IF($C199-W$1&lt;År1,0,V198*(1-VLOOKUP($A199,[1]Hugst!$R$5:$W$9,MATCH(ROUNDUP((W$1)/10,0)*10,[1]Hugst!$R$4:$W$4,0))))</f>
        <v>0</v>
      </c>
      <c r="X199">
        <f>IF($C199-X$1&lt;År1,0,W198*(1-VLOOKUP($A199,[1]Hugst!$R$5:$W$9,MATCH(ROUNDUP((X$1)/10,0)*10,[1]Hugst!$R$4:$W$4,0))))</f>
        <v>0</v>
      </c>
      <c r="Y199">
        <f>IF($C199-Y$1&lt;År1,0,X198*(1-VLOOKUP($A199,[1]Hugst!$R$5:$W$9,MATCH(ROUNDUP((Y$1)/10,0)*10,[1]Hugst!$R$4:$W$4,0))))</f>
        <v>0</v>
      </c>
      <c r="Z199">
        <f>IF($C199-Z$1&lt;År1,0,Y198*(1-VLOOKUP($A199,[1]Hugst!$R$5:$W$9,MATCH(ROUNDUP((Z$1)/10,0)*10,[1]Hugst!$R$4:$W$4,0))))</f>
        <v>0</v>
      </c>
      <c r="AA199">
        <f>IF($C199-AA$1&lt;År1,0,Z198*(1-VLOOKUP($A199,[1]Hugst!$R$5:$W$9,MATCH(ROUNDUP((AA$1)/10,0)*10,[1]Hugst!$R$4:$W$4,0))))</f>
        <v>0</v>
      </c>
      <c r="AB199">
        <f>IF($C199-AB$1&lt;År1,0,AA198*(1-VLOOKUP($A199,[1]Hugst!$R$5:$W$9,MATCH(ROUNDUP((AB$1)/10,0)*10,[1]Hugst!$R$4:$W$4,0))))</f>
        <v>0</v>
      </c>
      <c r="AC199">
        <f>IF($C199-AC$1&lt;År1,0,AB198*(1-VLOOKUP($A199,[1]Hugst!$R$5:$W$9,MATCH(ROUNDUP((AC$1)/10,0)*10,[1]Hugst!$R$4:$W$4,0))))</f>
        <v>0</v>
      </c>
      <c r="AD199">
        <f>IF($C199-AD$1&lt;År1,0,AC198*(1-VLOOKUP($A199,[1]Hugst!$R$5:$W$9,MATCH(ROUNDUP((AD$1)/10,0)*10,[1]Hugst!$R$4:$W$4,0))))</f>
        <v>0</v>
      </c>
      <c r="AE199">
        <f>IF($C199-AE$1&lt;År1,0,AD198*(1-VLOOKUP($A199,[1]Hugst!$R$5:$W$9,MATCH(ROUNDUP((AE$1)/10,0)*10,[1]Hugst!$R$4:$W$4,0))))</f>
        <v>0</v>
      </c>
      <c r="AF199">
        <f>IF($C199-AF$1&lt;År1,0,AE198*(1-VLOOKUP($A199,[1]Hugst!$R$5:$W$9,MATCH(ROUNDUP((AF$1)/10,0)*10,[1]Hugst!$R$4:$W$4,0))))</f>
        <v>0</v>
      </c>
      <c r="AG199">
        <f>IF($C199-AG$1&lt;År1,0,AF198*(1-VLOOKUP($A199,[1]Hugst!$R$5:$W$9,MATCH(ROUNDUP((AG$1)/10,0)*10,[1]Hugst!$R$4:$W$4,0))))</f>
        <v>0</v>
      </c>
      <c r="AH199">
        <f>IF($C199-AH$1&lt;År1,0,AG198*(1-VLOOKUP($A199,[1]Hugst!$R$5:$W$9,MATCH(ROUNDUP((AH$1)/10,0)*10,[1]Hugst!$R$4:$W$4,0))))</f>
        <v>0</v>
      </c>
      <c r="AI199">
        <f>IF($C199-AI$1&lt;År1,0,AH198*(1-VLOOKUP($A199,[1]Hugst!$R$5:$W$9,MATCH(ROUNDUP((AI$1)/10,0)*10,[1]Hugst!$R$4:$W$4,0))))</f>
        <v>0</v>
      </c>
      <c r="AJ199">
        <f>IF($C199-AJ$1&lt;År1,0,AI198*(1-VLOOKUP($A199,[1]Hugst!$R$5:$W$9,MATCH(ROUNDUP((AJ$1)/10,0)*10,[1]Hugst!$R$4:$W$4,0))))</f>
        <v>0</v>
      </c>
    </row>
    <row r="200" spans="1:36" x14ac:dyDescent="0.25">
      <c r="A200" t="s">
        <v>179</v>
      </c>
      <c r="B200" t="s">
        <v>23</v>
      </c>
      <c r="C200">
        <v>2032</v>
      </c>
      <c r="D200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0</v>
      </c>
      <c r="E200">
        <f t="shared" ca="1" si="4"/>
        <v>0</v>
      </c>
      <c r="F200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>
        <f ca="1">IF($C200-G$1&lt;År1,0,F199*(1-VLOOKUP($A200,[1]Hugst!$R$5:$W$9,MATCH(ROUNDUP((G$1)/10,0)*10,[1]Hugst!$R$4:$W$4,0))))</f>
        <v>0</v>
      </c>
      <c r="H200">
        <f ca="1">IF($C200-H$1&lt;År1,0,G199*(1-VLOOKUP($A200,[1]Hugst!$R$5:$W$9,MATCH(ROUNDUP((H$1)/10,0)*10,[1]Hugst!$R$4:$W$4,0))))</f>
        <v>0</v>
      </c>
      <c r="I200">
        <f ca="1">IF($C200-I$1&lt;År1,0,H199*(1-VLOOKUP($A200,[1]Hugst!$R$5:$W$9,MATCH(ROUNDUP((I$1)/10,0)*10,[1]Hugst!$R$4:$W$4,0))))</f>
        <v>0</v>
      </c>
      <c r="J200">
        <f ca="1">IF($C200-J$1&lt;År1,0,I199*(1-VLOOKUP($A200,[1]Hugst!$R$5:$W$9,MATCH(ROUNDUP((J$1)/10,0)*10,[1]Hugst!$R$4:$W$4,0))))</f>
        <v>0</v>
      </c>
      <c r="K200">
        <f ca="1">IF($C200-K$1&lt;År1,0,J199*(1-VLOOKUP($A200,[1]Hugst!$R$5:$W$9,MATCH(ROUNDUP((K$1)/10,0)*10,[1]Hugst!$R$4:$W$4,0))))</f>
        <v>0</v>
      </c>
      <c r="L200">
        <f ca="1">IF($C200-L$1&lt;År1,0,K199*(1-VLOOKUP($A200,[1]Hugst!$R$5:$W$9,MATCH(ROUNDUP((L$1)/10,0)*10,[1]Hugst!$R$4:$W$4,0))))</f>
        <v>0</v>
      </c>
      <c r="M200">
        <f ca="1">IF($C200-M$1&lt;År1,0,L199*(1-VLOOKUP($A200,[1]Hugst!$R$5:$W$9,MATCH(ROUNDUP((M$1)/10,0)*10,[1]Hugst!$R$4:$W$4,0))))</f>
        <v>0</v>
      </c>
      <c r="N200">
        <f ca="1">IF($C200-N$1&lt;År1,0,M199*(1-VLOOKUP($A200,[1]Hugst!$R$5:$W$9,MATCH(ROUNDUP((N$1)/10,0)*10,[1]Hugst!$R$4:$W$4,0))))</f>
        <v>0</v>
      </c>
      <c r="O200">
        <f ca="1">IF($C200-O$1&lt;År1,0,N199*(1-VLOOKUP($A200,[1]Hugst!$R$5:$W$9,MATCH(ROUNDUP((O$1)/10,0)*10,[1]Hugst!$R$4:$W$4,0))))</f>
        <v>0</v>
      </c>
      <c r="P200">
        <f ca="1">IF($C200-P$1&lt;År1,0,O199*(1-VLOOKUP($A200,[1]Hugst!$R$5:$W$9,MATCH(ROUNDUP((P$1)/10,0)*10,[1]Hugst!$R$4:$W$4,0))))</f>
        <v>0</v>
      </c>
      <c r="Q200">
        <f ca="1">IF($C200-Q$1&lt;År1,0,P199*(1-VLOOKUP($A200,[1]Hugst!$R$5:$W$9,MATCH(ROUNDUP((Q$1)/10,0)*10,[1]Hugst!$R$4:$W$4,0))))</f>
        <v>0</v>
      </c>
      <c r="R200">
        <f ca="1">IF($C200-R$1&lt;År1,0,Q199*(1-VLOOKUP($A200,[1]Hugst!$R$5:$W$9,MATCH(ROUNDUP((R$1)/10,0)*10,[1]Hugst!$R$4:$W$4,0))))</f>
        <v>0</v>
      </c>
      <c r="S200">
        <f>IF($C200-S$1&lt;År1,0,R199*(1-VLOOKUP($A200,[1]Hugst!$R$5:$W$9,MATCH(ROUNDUP((S$1)/10,0)*10,[1]Hugst!$R$4:$W$4,0))))</f>
        <v>0</v>
      </c>
      <c r="T200">
        <f>IF($C200-T$1&lt;År1,0,S199*(1-VLOOKUP($A200,[1]Hugst!$R$5:$W$9,MATCH(ROUNDUP((T$1)/10,0)*10,[1]Hugst!$R$4:$W$4,0))))</f>
        <v>0</v>
      </c>
      <c r="U200">
        <f>IF($C200-U$1&lt;År1,0,T199*(1-VLOOKUP($A200,[1]Hugst!$R$5:$W$9,MATCH(ROUNDUP((U$1)/10,0)*10,[1]Hugst!$R$4:$W$4,0))))</f>
        <v>0</v>
      </c>
      <c r="V200">
        <f>IF($C200-V$1&lt;År1,0,U199*(1-VLOOKUP($A200,[1]Hugst!$R$5:$W$9,MATCH(ROUNDUP((V$1)/10,0)*10,[1]Hugst!$R$4:$W$4,0))))</f>
        <v>0</v>
      </c>
      <c r="W200">
        <f>IF($C200-W$1&lt;År1,0,V199*(1-VLOOKUP($A200,[1]Hugst!$R$5:$W$9,MATCH(ROUNDUP((W$1)/10,0)*10,[1]Hugst!$R$4:$W$4,0))))</f>
        <v>0</v>
      </c>
      <c r="X200">
        <f>IF($C200-X$1&lt;År1,0,W199*(1-VLOOKUP($A200,[1]Hugst!$R$5:$W$9,MATCH(ROUNDUP((X$1)/10,0)*10,[1]Hugst!$R$4:$W$4,0))))</f>
        <v>0</v>
      </c>
      <c r="Y200">
        <f>IF($C200-Y$1&lt;År1,0,X199*(1-VLOOKUP($A200,[1]Hugst!$R$5:$W$9,MATCH(ROUNDUP((Y$1)/10,0)*10,[1]Hugst!$R$4:$W$4,0))))</f>
        <v>0</v>
      </c>
      <c r="Z200">
        <f>IF($C200-Z$1&lt;År1,0,Y199*(1-VLOOKUP($A200,[1]Hugst!$R$5:$W$9,MATCH(ROUNDUP((Z$1)/10,0)*10,[1]Hugst!$R$4:$W$4,0))))</f>
        <v>0</v>
      </c>
      <c r="AA200">
        <f>IF($C200-AA$1&lt;År1,0,Z199*(1-VLOOKUP($A200,[1]Hugst!$R$5:$W$9,MATCH(ROUNDUP((AA$1)/10,0)*10,[1]Hugst!$R$4:$W$4,0))))</f>
        <v>0</v>
      </c>
      <c r="AB200">
        <f>IF($C200-AB$1&lt;År1,0,AA199*(1-VLOOKUP($A200,[1]Hugst!$R$5:$W$9,MATCH(ROUNDUP((AB$1)/10,0)*10,[1]Hugst!$R$4:$W$4,0))))</f>
        <v>0</v>
      </c>
      <c r="AC200">
        <f>IF($C200-AC$1&lt;År1,0,AB199*(1-VLOOKUP($A200,[1]Hugst!$R$5:$W$9,MATCH(ROUNDUP((AC$1)/10,0)*10,[1]Hugst!$R$4:$W$4,0))))</f>
        <v>0</v>
      </c>
      <c r="AD200">
        <f>IF($C200-AD$1&lt;År1,0,AC199*(1-VLOOKUP($A200,[1]Hugst!$R$5:$W$9,MATCH(ROUNDUP((AD$1)/10,0)*10,[1]Hugst!$R$4:$W$4,0))))</f>
        <v>0</v>
      </c>
      <c r="AE200">
        <f>IF($C200-AE$1&lt;År1,0,AD199*(1-VLOOKUP($A200,[1]Hugst!$R$5:$W$9,MATCH(ROUNDUP((AE$1)/10,0)*10,[1]Hugst!$R$4:$W$4,0))))</f>
        <v>0</v>
      </c>
      <c r="AF200">
        <f>IF($C200-AF$1&lt;År1,0,AE199*(1-VLOOKUP($A200,[1]Hugst!$R$5:$W$9,MATCH(ROUNDUP((AF$1)/10,0)*10,[1]Hugst!$R$4:$W$4,0))))</f>
        <v>0</v>
      </c>
      <c r="AG200">
        <f>IF($C200-AG$1&lt;År1,0,AF199*(1-VLOOKUP($A200,[1]Hugst!$R$5:$W$9,MATCH(ROUNDUP((AG$1)/10,0)*10,[1]Hugst!$R$4:$W$4,0))))</f>
        <v>0</v>
      </c>
      <c r="AH200">
        <f>IF($C200-AH$1&lt;År1,0,AG199*(1-VLOOKUP($A200,[1]Hugst!$R$5:$W$9,MATCH(ROUNDUP((AH$1)/10,0)*10,[1]Hugst!$R$4:$W$4,0))))</f>
        <v>0</v>
      </c>
      <c r="AI200">
        <f>IF($C200-AI$1&lt;År1,0,AH199*(1-VLOOKUP($A200,[1]Hugst!$R$5:$W$9,MATCH(ROUNDUP((AI$1)/10,0)*10,[1]Hugst!$R$4:$W$4,0))))</f>
        <v>0</v>
      </c>
      <c r="AJ200">
        <f>IF($C200-AJ$1&lt;År1,0,AI199*(1-VLOOKUP($A200,[1]Hugst!$R$5:$W$9,MATCH(ROUNDUP((AJ$1)/10,0)*10,[1]Hugst!$R$4:$W$4,0))))</f>
        <v>0</v>
      </c>
    </row>
    <row r="201" spans="1:36" x14ac:dyDescent="0.25">
      <c r="A201" t="s">
        <v>179</v>
      </c>
      <c r="B201" t="s">
        <v>23</v>
      </c>
      <c r="C201">
        <v>2033</v>
      </c>
      <c r="D201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0</v>
      </c>
      <c r="E201">
        <f t="shared" ca="1" si="4"/>
        <v>0</v>
      </c>
      <c r="F201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>
        <f ca="1">IF($C201-G$1&lt;År1,0,F200*(1-VLOOKUP($A201,[1]Hugst!$R$5:$W$9,MATCH(ROUNDUP((G$1)/10,0)*10,[1]Hugst!$R$4:$W$4,0))))</f>
        <v>0</v>
      </c>
      <c r="H201">
        <f ca="1">IF($C201-H$1&lt;År1,0,G200*(1-VLOOKUP($A201,[1]Hugst!$R$5:$W$9,MATCH(ROUNDUP((H$1)/10,0)*10,[1]Hugst!$R$4:$W$4,0))))</f>
        <v>0</v>
      </c>
      <c r="I201">
        <f ca="1">IF($C201-I$1&lt;År1,0,H200*(1-VLOOKUP($A201,[1]Hugst!$R$5:$W$9,MATCH(ROUNDUP((I$1)/10,0)*10,[1]Hugst!$R$4:$W$4,0))))</f>
        <v>0</v>
      </c>
      <c r="J201">
        <f ca="1">IF($C201-J$1&lt;År1,0,I200*(1-VLOOKUP($A201,[1]Hugst!$R$5:$W$9,MATCH(ROUNDUP((J$1)/10,0)*10,[1]Hugst!$R$4:$W$4,0))))</f>
        <v>0</v>
      </c>
      <c r="K201">
        <f ca="1">IF($C201-K$1&lt;År1,0,J200*(1-VLOOKUP($A201,[1]Hugst!$R$5:$W$9,MATCH(ROUNDUP((K$1)/10,0)*10,[1]Hugst!$R$4:$W$4,0))))</f>
        <v>0</v>
      </c>
      <c r="L201">
        <f ca="1">IF($C201-L$1&lt;År1,0,K200*(1-VLOOKUP($A201,[1]Hugst!$R$5:$W$9,MATCH(ROUNDUP((L$1)/10,0)*10,[1]Hugst!$R$4:$W$4,0))))</f>
        <v>0</v>
      </c>
      <c r="M201">
        <f ca="1">IF($C201-M$1&lt;År1,0,L200*(1-VLOOKUP($A201,[1]Hugst!$R$5:$W$9,MATCH(ROUNDUP((M$1)/10,0)*10,[1]Hugst!$R$4:$W$4,0))))</f>
        <v>0</v>
      </c>
      <c r="N201">
        <f ca="1">IF($C201-N$1&lt;År1,0,M200*(1-VLOOKUP($A201,[1]Hugst!$R$5:$W$9,MATCH(ROUNDUP((N$1)/10,0)*10,[1]Hugst!$R$4:$W$4,0))))</f>
        <v>0</v>
      </c>
      <c r="O201">
        <f ca="1">IF($C201-O$1&lt;År1,0,N200*(1-VLOOKUP($A201,[1]Hugst!$R$5:$W$9,MATCH(ROUNDUP((O$1)/10,0)*10,[1]Hugst!$R$4:$W$4,0))))</f>
        <v>0</v>
      </c>
      <c r="P201">
        <f ca="1">IF($C201-P$1&lt;År1,0,O200*(1-VLOOKUP($A201,[1]Hugst!$R$5:$W$9,MATCH(ROUNDUP((P$1)/10,0)*10,[1]Hugst!$R$4:$W$4,0))))</f>
        <v>0</v>
      </c>
      <c r="Q201">
        <f ca="1">IF($C201-Q$1&lt;År1,0,P200*(1-VLOOKUP($A201,[1]Hugst!$R$5:$W$9,MATCH(ROUNDUP((Q$1)/10,0)*10,[1]Hugst!$R$4:$W$4,0))))</f>
        <v>0</v>
      </c>
      <c r="R201">
        <f ca="1">IF($C201-R$1&lt;År1,0,Q200*(1-VLOOKUP($A201,[1]Hugst!$R$5:$W$9,MATCH(ROUNDUP((R$1)/10,0)*10,[1]Hugst!$R$4:$W$4,0))))</f>
        <v>0</v>
      </c>
      <c r="S201">
        <f ca="1">IF($C201-S$1&lt;År1,0,R200*(1-VLOOKUP($A201,[1]Hugst!$R$5:$W$9,MATCH(ROUNDUP((S$1)/10,0)*10,[1]Hugst!$R$4:$W$4,0))))</f>
        <v>0</v>
      </c>
      <c r="T201">
        <f>IF($C201-T$1&lt;År1,0,S200*(1-VLOOKUP($A201,[1]Hugst!$R$5:$W$9,MATCH(ROUNDUP((T$1)/10,0)*10,[1]Hugst!$R$4:$W$4,0))))</f>
        <v>0</v>
      </c>
      <c r="U201">
        <f>IF($C201-U$1&lt;År1,0,T200*(1-VLOOKUP($A201,[1]Hugst!$R$5:$W$9,MATCH(ROUNDUP((U$1)/10,0)*10,[1]Hugst!$R$4:$W$4,0))))</f>
        <v>0</v>
      </c>
      <c r="V201">
        <f>IF($C201-V$1&lt;År1,0,U200*(1-VLOOKUP($A201,[1]Hugst!$R$5:$W$9,MATCH(ROUNDUP((V$1)/10,0)*10,[1]Hugst!$R$4:$W$4,0))))</f>
        <v>0</v>
      </c>
      <c r="W201">
        <f>IF($C201-W$1&lt;År1,0,V200*(1-VLOOKUP($A201,[1]Hugst!$R$5:$W$9,MATCH(ROUNDUP((W$1)/10,0)*10,[1]Hugst!$R$4:$W$4,0))))</f>
        <v>0</v>
      </c>
      <c r="X201">
        <f>IF($C201-X$1&lt;År1,0,W200*(1-VLOOKUP($A201,[1]Hugst!$R$5:$W$9,MATCH(ROUNDUP((X$1)/10,0)*10,[1]Hugst!$R$4:$W$4,0))))</f>
        <v>0</v>
      </c>
      <c r="Y201">
        <f>IF($C201-Y$1&lt;År1,0,X200*(1-VLOOKUP($A201,[1]Hugst!$R$5:$W$9,MATCH(ROUNDUP((Y$1)/10,0)*10,[1]Hugst!$R$4:$W$4,0))))</f>
        <v>0</v>
      </c>
      <c r="Z201">
        <f>IF($C201-Z$1&lt;År1,0,Y200*(1-VLOOKUP($A201,[1]Hugst!$R$5:$W$9,MATCH(ROUNDUP((Z$1)/10,0)*10,[1]Hugst!$R$4:$W$4,0))))</f>
        <v>0</v>
      </c>
      <c r="AA201">
        <f>IF($C201-AA$1&lt;År1,0,Z200*(1-VLOOKUP($A201,[1]Hugst!$R$5:$W$9,MATCH(ROUNDUP((AA$1)/10,0)*10,[1]Hugst!$R$4:$W$4,0))))</f>
        <v>0</v>
      </c>
      <c r="AB201">
        <f>IF($C201-AB$1&lt;År1,0,AA200*(1-VLOOKUP($A201,[1]Hugst!$R$5:$W$9,MATCH(ROUNDUP((AB$1)/10,0)*10,[1]Hugst!$R$4:$W$4,0))))</f>
        <v>0</v>
      </c>
      <c r="AC201">
        <f>IF($C201-AC$1&lt;År1,0,AB200*(1-VLOOKUP($A201,[1]Hugst!$R$5:$W$9,MATCH(ROUNDUP((AC$1)/10,0)*10,[1]Hugst!$R$4:$W$4,0))))</f>
        <v>0</v>
      </c>
      <c r="AD201">
        <f>IF($C201-AD$1&lt;År1,0,AC200*(1-VLOOKUP($A201,[1]Hugst!$R$5:$W$9,MATCH(ROUNDUP((AD$1)/10,0)*10,[1]Hugst!$R$4:$W$4,0))))</f>
        <v>0</v>
      </c>
      <c r="AE201">
        <f>IF($C201-AE$1&lt;År1,0,AD200*(1-VLOOKUP($A201,[1]Hugst!$R$5:$W$9,MATCH(ROUNDUP((AE$1)/10,0)*10,[1]Hugst!$R$4:$W$4,0))))</f>
        <v>0</v>
      </c>
      <c r="AF201">
        <f>IF($C201-AF$1&lt;År1,0,AE200*(1-VLOOKUP($A201,[1]Hugst!$R$5:$W$9,MATCH(ROUNDUP((AF$1)/10,0)*10,[1]Hugst!$R$4:$W$4,0))))</f>
        <v>0</v>
      </c>
      <c r="AG201">
        <f>IF($C201-AG$1&lt;År1,0,AF200*(1-VLOOKUP($A201,[1]Hugst!$R$5:$W$9,MATCH(ROUNDUP((AG$1)/10,0)*10,[1]Hugst!$R$4:$W$4,0))))</f>
        <v>0</v>
      </c>
      <c r="AH201">
        <f>IF($C201-AH$1&lt;År1,0,AG200*(1-VLOOKUP($A201,[1]Hugst!$R$5:$W$9,MATCH(ROUNDUP((AH$1)/10,0)*10,[1]Hugst!$R$4:$W$4,0))))</f>
        <v>0</v>
      </c>
      <c r="AI201">
        <f>IF($C201-AI$1&lt;År1,0,AH200*(1-VLOOKUP($A201,[1]Hugst!$R$5:$W$9,MATCH(ROUNDUP((AI$1)/10,0)*10,[1]Hugst!$R$4:$W$4,0))))</f>
        <v>0</v>
      </c>
      <c r="AJ201">
        <f>IF($C201-AJ$1&lt;År1,0,AI200*(1-VLOOKUP($A201,[1]Hugst!$R$5:$W$9,MATCH(ROUNDUP((AJ$1)/10,0)*10,[1]Hugst!$R$4:$W$4,0))))</f>
        <v>0</v>
      </c>
    </row>
    <row r="202" spans="1:36" x14ac:dyDescent="0.25">
      <c r="A202" t="s">
        <v>179</v>
      </c>
      <c r="B202" t="s">
        <v>23</v>
      </c>
      <c r="C202">
        <v>2034</v>
      </c>
      <c r="D202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0</v>
      </c>
      <c r="E202">
        <f t="shared" ca="1" si="4"/>
        <v>0</v>
      </c>
      <c r="F202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>
        <f ca="1">IF($C202-G$1&lt;År1,0,F201*(1-VLOOKUP($A202,[1]Hugst!$R$5:$W$9,MATCH(ROUNDUP((G$1)/10,0)*10,[1]Hugst!$R$4:$W$4,0))))</f>
        <v>0</v>
      </c>
      <c r="H202">
        <f ca="1">IF($C202-H$1&lt;År1,0,G201*(1-VLOOKUP($A202,[1]Hugst!$R$5:$W$9,MATCH(ROUNDUP((H$1)/10,0)*10,[1]Hugst!$R$4:$W$4,0))))</f>
        <v>0</v>
      </c>
      <c r="I202">
        <f ca="1">IF($C202-I$1&lt;År1,0,H201*(1-VLOOKUP($A202,[1]Hugst!$R$5:$W$9,MATCH(ROUNDUP((I$1)/10,0)*10,[1]Hugst!$R$4:$W$4,0))))</f>
        <v>0</v>
      </c>
      <c r="J202">
        <f ca="1">IF($C202-J$1&lt;År1,0,I201*(1-VLOOKUP($A202,[1]Hugst!$R$5:$W$9,MATCH(ROUNDUP((J$1)/10,0)*10,[1]Hugst!$R$4:$W$4,0))))</f>
        <v>0</v>
      </c>
      <c r="K202">
        <f ca="1">IF($C202-K$1&lt;År1,0,J201*(1-VLOOKUP($A202,[1]Hugst!$R$5:$W$9,MATCH(ROUNDUP((K$1)/10,0)*10,[1]Hugst!$R$4:$W$4,0))))</f>
        <v>0</v>
      </c>
      <c r="L202">
        <f ca="1">IF($C202-L$1&lt;År1,0,K201*(1-VLOOKUP($A202,[1]Hugst!$R$5:$W$9,MATCH(ROUNDUP((L$1)/10,0)*10,[1]Hugst!$R$4:$W$4,0))))</f>
        <v>0</v>
      </c>
      <c r="M202">
        <f ca="1">IF($C202-M$1&lt;År1,0,L201*(1-VLOOKUP($A202,[1]Hugst!$R$5:$W$9,MATCH(ROUNDUP((M$1)/10,0)*10,[1]Hugst!$R$4:$W$4,0))))</f>
        <v>0</v>
      </c>
      <c r="N202">
        <f ca="1">IF($C202-N$1&lt;År1,0,M201*(1-VLOOKUP($A202,[1]Hugst!$R$5:$W$9,MATCH(ROUNDUP((N$1)/10,0)*10,[1]Hugst!$R$4:$W$4,0))))</f>
        <v>0</v>
      </c>
      <c r="O202">
        <f ca="1">IF($C202-O$1&lt;År1,0,N201*(1-VLOOKUP($A202,[1]Hugst!$R$5:$W$9,MATCH(ROUNDUP((O$1)/10,0)*10,[1]Hugst!$R$4:$W$4,0))))</f>
        <v>0</v>
      </c>
      <c r="P202">
        <f ca="1">IF($C202-P$1&lt;År1,0,O201*(1-VLOOKUP($A202,[1]Hugst!$R$5:$W$9,MATCH(ROUNDUP((P$1)/10,0)*10,[1]Hugst!$R$4:$W$4,0))))</f>
        <v>0</v>
      </c>
      <c r="Q202">
        <f ca="1">IF($C202-Q$1&lt;År1,0,P201*(1-VLOOKUP($A202,[1]Hugst!$R$5:$W$9,MATCH(ROUNDUP((Q$1)/10,0)*10,[1]Hugst!$R$4:$W$4,0))))</f>
        <v>0</v>
      </c>
      <c r="R202">
        <f ca="1">IF($C202-R$1&lt;År1,0,Q201*(1-VLOOKUP($A202,[1]Hugst!$R$5:$W$9,MATCH(ROUNDUP((R$1)/10,0)*10,[1]Hugst!$R$4:$W$4,0))))</f>
        <v>0</v>
      </c>
      <c r="S202">
        <f ca="1">IF($C202-S$1&lt;År1,0,R201*(1-VLOOKUP($A202,[1]Hugst!$R$5:$W$9,MATCH(ROUNDUP((S$1)/10,0)*10,[1]Hugst!$R$4:$W$4,0))))</f>
        <v>0</v>
      </c>
      <c r="T202">
        <f ca="1">IF($C202-T$1&lt;År1,0,S201*(1-VLOOKUP($A202,[1]Hugst!$R$5:$W$9,MATCH(ROUNDUP((T$1)/10,0)*10,[1]Hugst!$R$4:$W$4,0))))</f>
        <v>0</v>
      </c>
      <c r="U202">
        <f>IF($C202-U$1&lt;År1,0,T201*(1-VLOOKUP($A202,[1]Hugst!$R$5:$W$9,MATCH(ROUNDUP((U$1)/10,0)*10,[1]Hugst!$R$4:$W$4,0))))</f>
        <v>0</v>
      </c>
      <c r="V202">
        <f>IF($C202-V$1&lt;År1,0,U201*(1-VLOOKUP($A202,[1]Hugst!$R$5:$W$9,MATCH(ROUNDUP((V$1)/10,0)*10,[1]Hugst!$R$4:$W$4,0))))</f>
        <v>0</v>
      </c>
      <c r="W202">
        <f>IF($C202-W$1&lt;År1,0,V201*(1-VLOOKUP($A202,[1]Hugst!$R$5:$W$9,MATCH(ROUNDUP((W$1)/10,0)*10,[1]Hugst!$R$4:$W$4,0))))</f>
        <v>0</v>
      </c>
      <c r="X202">
        <f>IF($C202-X$1&lt;År1,0,W201*(1-VLOOKUP($A202,[1]Hugst!$R$5:$W$9,MATCH(ROUNDUP((X$1)/10,0)*10,[1]Hugst!$R$4:$W$4,0))))</f>
        <v>0</v>
      </c>
      <c r="Y202">
        <f>IF($C202-Y$1&lt;År1,0,X201*(1-VLOOKUP($A202,[1]Hugst!$R$5:$W$9,MATCH(ROUNDUP((Y$1)/10,0)*10,[1]Hugst!$R$4:$W$4,0))))</f>
        <v>0</v>
      </c>
      <c r="Z202">
        <f>IF($C202-Z$1&lt;År1,0,Y201*(1-VLOOKUP($A202,[1]Hugst!$R$5:$W$9,MATCH(ROUNDUP((Z$1)/10,0)*10,[1]Hugst!$R$4:$W$4,0))))</f>
        <v>0</v>
      </c>
      <c r="AA202">
        <f>IF($C202-AA$1&lt;År1,0,Z201*(1-VLOOKUP($A202,[1]Hugst!$R$5:$W$9,MATCH(ROUNDUP((AA$1)/10,0)*10,[1]Hugst!$R$4:$W$4,0))))</f>
        <v>0</v>
      </c>
      <c r="AB202">
        <f>IF($C202-AB$1&lt;År1,0,AA201*(1-VLOOKUP($A202,[1]Hugst!$R$5:$W$9,MATCH(ROUNDUP((AB$1)/10,0)*10,[1]Hugst!$R$4:$W$4,0))))</f>
        <v>0</v>
      </c>
      <c r="AC202">
        <f>IF($C202-AC$1&lt;År1,0,AB201*(1-VLOOKUP($A202,[1]Hugst!$R$5:$W$9,MATCH(ROUNDUP((AC$1)/10,0)*10,[1]Hugst!$R$4:$W$4,0))))</f>
        <v>0</v>
      </c>
      <c r="AD202">
        <f>IF($C202-AD$1&lt;År1,0,AC201*(1-VLOOKUP($A202,[1]Hugst!$R$5:$W$9,MATCH(ROUNDUP((AD$1)/10,0)*10,[1]Hugst!$R$4:$W$4,0))))</f>
        <v>0</v>
      </c>
      <c r="AE202">
        <f>IF($C202-AE$1&lt;År1,0,AD201*(1-VLOOKUP($A202,[1]Hugst!$R$5:$W$9,MATCH(ROUNDUP((AE$1)/10,0)*10,[1]Hugst!$R$4:$W$4,0))))</f>
        <v>0</v>
      </c>
      <c r="AF202">
        <f>IF($C202-AF$1&lt;År1,0,AE201*(1-VLOOKUP($A202,[1]Hugst!$R$5:$W$9,MATCH(ROUNDUP((AF$1)/10,0)*10,[1]Hugst!$R$4:$W$4,0))))</f>
        <v>0</v>
      </c>
      <c r="AG202">
        <f>IF($C202-AG$1&lt;År1,0,AF201*(1-VLOOKUP($A202,[1]Hugst!$R$5:$W$9,MATCH(ROUNDUP((AG$1)/10,0)*10,[1]Hugst!$R$4:$W$4,0))))</f>
        <v>0</v>
      </c>
      <c r="AH202">
        <f>IF($C202-AH$1&lt;År1,0,AG201*(1-VLOOKUP($A202,[1]Hugst!$R$5:$W$9,MATCH(ROUNDUP((AH$1)/10,0)*10,[1]Hugst!$R$4:$W$4,0))))</f>
        <v>0</v>
      </c>
      <c r="AI202">
        <f>IF($C202-AI$1&lt;År1,0,AH201*(1-VLOOKUP($A202,[1]Hugst!$R$5:$W$9,MATCH(ROUNDUP((AI$1)/10,0)*10,[1]Hugst!$R$4:$W$4,0))))</f>
        <v>0</v>
      </c>
      <c r="AJ202">
        <f>IF($C202-AJ$1&lt;År1,0,AI201*(1-VLOOKUP($A202,[1]Hugst!$R$5:$W$9,MATCH(ROUNDUP((AJ$1)/10,0)*10,[1]Hugst!$R$4:$W$4,0))))</f>
        <v>0</v>
      </c>
    </row>
    <row r="203" spans="1:36" x14ac:dyDescent="0.25">
      <c r="A203" t="s">
        <v>179</v>
      </c>
      <c r="B203" t="s">
        <v>23</v>
      </c>
      <c r="C203">
        <v>2035</v>
      </c>
      <c r="D203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0</v>
      </c>
      <c r="E203">
        <f t="shared" ca="1" si="4"/>
        <v>0</v>
      </c>
      <c r="F203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>
        <f ca="1">IF($C203-G$1&lt;År1,0,F202*(1-VLOOKUP($A203,[1]Hugst!$R$5:$W$9,MATCH(ROUNDUP((G$1)/10,0)*10,[1]Hugst!$R$4:$W$4,0))))</f>
        <v>0</v>
      </c>
      <c r="H203">
        <f ca="1">IF($C203-H$1&lt;År1,0,G202*(1-VLOOKUP($A203,[1]Hugst!$R$5:$W$9,MATCH(ROUNDUP((H$1)/10,0)*10,[1]Hugst!$R$4:$W$4,0))))</f>
        <v>0</v>
      </c>
      <c r="I203">
        <f ca="1">IF($C203-I$1&lt;År1,0,H202*(1-VLOOKUP($A203,[1]Hugst!$R$5:$W$9,MATCH(ROUNDUP((I$1)/10,0)*10,[1]Hugst!$R$4:$W$4,0))))</f>
        <v>0</v>
      </c>
      <c r="J203">
        <f ca="1">IF($C203-J$1&lt;År1,0,I202*(1-VLOOKUP($A203,[1]Hugst!$R$5:$W$9,MATCH(ROUNDUP((J$1)/10,0)*10,[1]Hugst!$R$4:$W$4,0))))</f>
        <v>0</v>
      </c>
      <c r="K203">
        <f ca="1">IF($C203-K$1&lt;År1,0,J202*(1-VLOOKUP($A203,[1]Hugst!$R$5:$W$9,MATCH(ROUNDUP((K$1)/10,0)*10,[1]Hugst!$R$4:$W$4,0))))</f>
        <v>0</v>
      </c>
      <c r="L203">
        <f ca="1">IF($C203-L$1&lt;År1,0,K202*(1-VLOOKUP($A203,[1]Hugst!$R$5:$W$9,MATCH(ROUNDUP((L$1)/10,0)*10,[1]Hugst!$R$4:$W$4,0))))</f>
        <v>0</v>
      </c>
      <c r="M203">
        <f ca="1">IF($C203-M$1&lt;År1,0,L202*(1-VLOOKUP($A203,[1]Hugst!$R$5:$W$9,MATCH(ROUNDUP((M$1)/10,0)*10,[1]Hugst!$R$4:$W$4,0))))</f>
        <v>0</v>
      </c>
      <c r="N203">
        <f ca="1">IF($C203-N$1&lt;År1,0,M202*(1-VLOOKUP($A203,[1]Hugst!$R$5:$W$9,MATCH(ROUNDUP((N$1)/10,0)*10,[1]Hugst!$R$4:$W$4,0))))</f>
        <v>0</v>
      </c>
      <c r="O203">
        <f ca="1">IF($C203-O$1&lt;År1,0,N202*(1-VLOOKUP($A203,[1]Hugst!$R$5:$W$9,MATCH(ROUNDUP((O$1)/10,0)*10,[1]Hugst!$R$4:$W$4,0))))</f>
        <v>0</v>
      </c>
      <c r="P203">
        <f ca="1">IF($C203-P$1&lt;År1,0,O202*(1-VLOOKUP($A203,[1]Hugst!$R$5:$W$9,MATCH(ROUNDUP((P$1)/10,0)*10,[1]Hugst!$R$4:$W$4,0))))</f>
        <v>0</v>
      </c>
      <c r="Q203">
        <f ca="1">IF($C203-Q$1&lt;År1,0,P202*(1-VLOOKUP($A203,[1]Hugst!$R$5:$W$9,MATCH(ROUNDUP((Q$1)/10,0)*10,[1]Hugst!$R$4:$W$4,0))))</f>
        <v>0</v>
      </c>
      <c r="R203">
        <f ca="1">IF($C203-R$1&lt;År1,0,Q202*(1-VLOOKUP($A203,[1]Hugst!$R$5:$W$9,MATCH(ROUNDUP((R$1)/10,0)*10,[1]Hugst!$R$4:$W$4,0))))</f>
        <v>0</v>
      </c>
      <c r="S203">
        <f ca="1">IF($C203-S$1&lt;År1,0,R202*(1-VLOOKUP($A203,[1]Hugst!$R$5:$W$9,MATCH(ROUNDUP((S$1)/10,0)*10,[1]Hugst!$R$4:$W$4,0))))</f>
        <v>0</v>
      </c>
      <c r="T203">
        <f ca="1">IF($C203-T$1&lt;År1,0,S202*(1-VLOOKUP($A203,[1]Hugst!$R$5:$W$9,MATCH(ROUNDUP((T$1)/10,0)*10,[1]Hugst!$R$4:$W$4,0))))</f>
        <v>0</v>
      </c>
      <c r="U203">
        <f ca="1">IF($C203-U$1&lt;År1,0,T202*(1-VLOOKUP($A203,[1]Hugst!$R$5:$W$9,MATCH(ROUNDUP((U$1)/10,0)*10,[1]Hugst!$R$4:$W$4,0))))</f>
        <v>0</v>
      </c>
      <c r="V203">
        <f>IF($C203-V$1&lt;År1,0,U202*(1-VLOOKUP($A203,[1]Hugst!$R$5:$W$9,MATCH(ROUNDUP((V$1)/10,0)*10,[1]Hugst!$R$4:$W$4,0))))</f>
        <v>0</v>
      </c>
      <c r="W203">
        <f>IF($C203-W$1&lt;År1,0,V202*(1-VLOOKUP($A203,[1]Hugst!$R$5:$W$9,MATCH(ROUNDUP((W$1)/10,0)*10,[1]Hugst!$R$4:$W$4,0))))</f>
        <v>0</v>
      </c>
      <c r="X203">
        <f>IF($C203-X$1&lt;År1,0,W202*(1-VLOOKUP($A203,[1]Hugst!$R$5:$W$9,MATCH(ROUNDUP((X$1)/10,0)*10,[1]Hugst!$R$4:$W$4,0))))</f>
        <v>0</v>
      </c>
      <c r="Y203">
        <f>IF($C203-Y$1&lt;År1,0,X202*(1-VLOOKUP($A203,[1]Hugst!$R$5:$W$9,MATCH(ROUNDUP((Y$1)/10,0)*10,[1]Hugst!$R$4:$W$4,0))))</f>
        <v>0</v>
      </c>
      <c r="Z203">
        <f>IF($C203-Z$1&lt;År1,0,Y202*(1-VLOOKUP($A203,[1]Hugst!$R$5:$W$9,MATCH(ROUNDUP((Z$1)/10,0)*10,[1]Hugst!$R$4:$W$4,0))))</f>
        <v>0</v>
      </c>
      <c r="AA203">
        <f>IF($C203-AA$1&lt;År1,0,Z202*(1-VLOOKUP($A203,[1]Hugst!$R$5:$W$9,MATCH(ROUNDUP((AA$1)/10,0)*10,[1]Hugst!$R$4:$W$4,0))))</f>
        <v>0</v>
      </c>
      <c r="AB203">
        <f>IF($C203-AB$1&lt;År1,0,AA202*(1-VLOOKUP($A203,[1]Hugst!$R$5:$W$9,MATCH(ROUNDUP((AB$1)/10,0)*10,[1]Hugst!$R$4:$W$4,0))))</f>
        <v>0</v>
      </c>
      <c r="AC203">
        <f>IF($C203-AC$1&lt;År1,0,AB202*(1-VLOOKUP($A203,[1]Hugst!$R$5:$W$9,MATCH(ROUNDUP((AC$1)/10,0)*10,[1]Hugst!$R$4:$W$4,0))))</f>
        <v>0</v>
      </c>
      <c r="AD203">
        <f>IF($C203-AD$1&lt;År1,0,AC202*(1-VLOOKUP($A203,[1]Hugst!$R$5:$W$9,MATCH(ROUNDUP((AD$1)/10,0)*10,[1]Hugst!$R$4:$W$4,0))))</f>
        <v>0</v>
      </c>
      <c r="AE203">
        <f>IF($C203-AE$1&lt;År1,0,AD202*(1-VLOOKUP($A203,[1]Hugst!$R$5:$W$9,MATCH(ROUNDUP((AE$1)/10,0)*10,[1]Hugst!$R$4:$W$4,0))))</f>
        <v>0</v>
      </c>
      <c r="AF203">
        <f>IF($C203-AF$1&lt;År1,0,AE202*(1-VLOOKUP($A203,[1]Hugst!$R$5:$W$9,MATCH(ROUNDUP((AF$1)/10,0)*10,[1]Hugst!$R$4:$W$4,0))))</f>
        <v>0</v>
      </c>
      <c r="AG203">
        <f>IF($C203-AG$1&lt;År1,0,AF202*(1-VLOOKUP($A203,[1]Hugst!$R$5:$W$9,MATCH(ROUNDUP((AG$1)/10,0)*10,[1]Hugst!$R$4:$W$4,0))))</f>
        <v>0</v>
      </c>
      <c r="AH203">
        <f>IF($C203-AH$1&lt;År1,0,AG202*(1-VLOOKUP($A203,[1]Hugst!$R$5:$W$9,MATCH(ROUNDUP((AH$1)/10,0)*10,[1]Hugst!$R$4:$W$4,0))))</f>
        <v>0</v>
      </c>
      <c r="AI203">
        <f>IF($C203-AI$1&lt;År1,0,AH202*(1-VLOOKUP($A203,[1]Hugst!$R$5:$W$9,MATCH(ROUNDUP((AI$1)/10,0)*10,[1]Hugst!$R$4:$W$4,0))))</f>
        <v>0</v>
      </c>
      <c r="AJ203">
        <f>IF($C203-AJ$1&lt;År1,0,AI202*(1-VLOOKUP($A203,[1]Hugst!$R$5:$W$9,MATCH(ROUNDUP((AJ$1)/10,0)*10,[1]Hugst!$R$4:$W$4,0))))</f>
        <v>0</v>
      </c>
    </row>
    <row r="204" spans="1:36" x14ac:dyDescent="0.25">
      <c r="A204" t="s">
        <v>179</v>
      </c>
      <c r="B204" t="s">
        <v>23</v>
      </c>
      <c r="C204">
        <v>2036</v>
      </c>
      <c r="D204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0</v>
      </c>
      <c r="E204">
        <f t="shared" ca="1" si="4"/>
        <v>0</v>
      </c>
      <c r="F204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>
        <f ca="1">IF($C204-G$1&lt;År1,0,F203*(1-VLOOKUP($A204,[1]Hugst!$R$5:$W$9,MATCH(ROUNDUP((G$1)/10,0)*10,[1]Hugst!$R$4:$W$4,0))))</f>
        <v>0</v>
      </c>
      <c r="H204">
        <f ca="1">IF($C204-H$1&lt;År1,0,G203*(1-VLOOKUP($A204,[1]Hugst!$R$5:$W$9,MATCH(ROUNDUP((H$1)/10,0)*10,[1]Hugst!$R$4:$W$4,0))))</f>
        <v>0</v>
      </c>
      <c r="I204">
        <f ca="1">IF($C204-I$1&lt;År1,0,H203*(1-VLOOKUP($A204,[1]Hugst!$R$5:$W$9,MATCH(ROUNDUP((I$1)/10,0)*10,[1]Hugst!$R$4:$W$4,0))))</f>
        <v>0</v>
      </c>
      <c r="J204">
        <f ca="1">IF($C204-J$1&lt;År1,0,I203*(1-VLOOKUP($A204,[1]Hugst!$R$5:$W$9,MATCH(ROUNDUP((J$1)/10,0)*10,[1]Hugst!$R$4:$W$4,0))))</f>
        <v>0</v>
      </c>
      <c r="K204">
        <f ca="1">IF($C204-K$1&lt;År1,0,J203*(1-VLOOKUP($A204,[1]Hugst!$R$5:$W$9,MATCH(ROUNDUP((K$1)/10,0)*10,[1]Hugst!$R$4:$W$4,0))))</f>
        <v>0</v>
      </c>
      <c r="L204">
        <f ca="1">IF($C204-L$1&lt;År1,0,K203*(1-VLOOKUP($A204,[1]Hugst!$R$5:$W$9,MATCH(ROUNDUP((L$1)/10,0)*10,[1]Hugst!$R$4:$W$4,0))))</f>
        <v>0</v>
      </c>
      <c r="M204">
        <f ca="1">IF($C204-M$1&lt;År1,0,L203*(1-VLOOKUP($A204,[1]Hugst!$R$5:$W$9,MATCH(ROUNDUP((M$1)/10,0)*10,[1]Hugst!$R$4:$W$4,0))))</f>
        <v>0</v>
      </c>
      <c r="N204">
        <f ca="1">IF($C204-N$1&lt;År1,0,M203*(1-VLOOKUP($A204,[1]Hugst!$R$5:$W$9,MATCH(ROUNDUP((N$1)/10,0)*10,[1]Hugst!$R$4:$W$4,0))))</f>
        <v>0</v>
      </c>
      <c r="O204">
        <f ca="1">IF($C204-O$1&lt;År1,0,N203*(1-VLOOKUP($A204,[1]Hugst!$R$5:$W$9,MATCH(ROUNDUP((O$1)/10,0)*10,[1]Hugst!$R$4:$W$4,0))))</f>
        <v>0</v>
      </c>
      <c r="P204">
        <f ca="1">IF($C204-P$1&lt;År1,0,O203*(1-VLOOKUP($A204,[1]Hugst!$R$5:$W$9,MATCH(ROUNDUP((P$1)/10,0)*10,[1]Hugst!$R$4:$W$4,0))))</f>
        <v>0</v>
      </c>
      <c r="Q204">
        <f ca="1">IF($C204-Q$1&lt;År1,0,P203*(1-VLOOKUP($A204,[1]Hugst!$R$5:$W$9,MATCH(ROUNDUP((Q$1)/10,0)*10,[1]Hugst!$R$4:$W$4,0))))</f>
        <v>0</v>
      </c>
      <c r="R204">
        <f ca="1">IF($C204-R$1&lt;År1,0,Q203*(1-VLOOKUP($A204,[1]Hugst!$R$5:$W$9,MATCH(ROUNDUP((R$1)/10,0)*10,[1]Hugst!$R$4:$W$4,0))))</f>
        <v>0</v>
      </c>
      <c r="S204">
        <f ca="1">IF($C204-S$1&lt;År1,0,R203*(1-VLOOKUP($A204,[1]Hugst!$R$5:$W$9,MATCH(ROUNDUP((S$1)/10,0)*10,[1]Hugst!$R$4:$W$4,0))))</f>
        <v>0</v>
      </c>
      <c r="T204">
        <f ca="1">IF($C204-T$1&lt;År1,0,S203*(1-VLOOKUP($A204,[1]Hugst!$R$5:$W$9,MATCH(ROUNDUP((T$1)/10,0)*10,[1]Hugst!$R$4:$W$4,0))))</f>
        <v>0</v>
      </c>
      <c r="U204">
        <f ca="1">IF($C204-U$1&lt;År1,0,T203*(1-VLOOKUP($A204,[1]Hugst!$R$5:$W$9,MATCH(ROUNDUP((U$1)/10,0)*10,[1]Hugst!$R$4:$W$4,0))))</f>
        <v>0</v>
      </c>
      <c r="V204">
        <f ca="1">IF($C204-V$1&lt;År1,0,U203*(1-VLOOKUP($A204,[1]Hugst!$R$5:$W$9,MATCH(ROUNDUP((V$1)/10,0)*10,[1]Hugst!$R$4:$W$4,0))))</f>
        <v>0</v>
      </c>
      <c r="W204">
        <f>IF($C204-W$1&lt;År1,0,V203*(1-VLOOKUP($A204,[1]Hugst!$R$5:$W$9,MATCH(ROUNDUP((W$1)/10,0)*10,[1]Hugst!$R$4:$W$4,0))))</f>
        <v>0</v>
      </c>
      <c r="X204">
        <f>IF($C204-X$1&lt;År1,0,W203*(1-VLOOKUP($A204,[1]Hugst!$R$5:$W$9,MATCH(ROUNDUP((X$1)/10,0)*10,[1]Hugst!$R$4:$W$4,0))))</f>
        <v>0</v>
      </c>
      <c r="Y204">
        <f>IF($C204-Y$1&lt;År1,0,X203*(1-VLOOKUP($A204,[1]Hugst!$R$5:$W$9,MATCH(ROUNDUP((Y$1)/10,0)*10,[1]Hugst!$R$4:$W$4,0))))</f>
        <v>0</v>
      </c>
      <c r="Z204">
        <f>IF($C204-Z$1&lt;År1,0,Y203*(1-VLOOKUP($A204,[1]Hugst!$R$5:$W$9,MATCH(ROUNDUP((Z$1)/10,0)*10,[1]Hugst!$R$4:$W$4,0))))</f>
        <v>0</v>
      </c>
      <c r="AA204">
        <f>IF($C204-AA$1&lt;År1,0,Z203*(1-VLOOKUP($A204,[1]Hugst!$R$5:$W$9,MATCH(ROUNDUP((AA$1)/10,0)*10,[1]Hugst!$R$4:$W$4,0))))</f>
        <v>0</v>
      </c>
      <c r="AB204">
        <f>IF($C204-AB$1&lt;År1,0,AA203*(1-VLOOKUP($A204,[1]Hugst!$R$5:$W$9,MATCH(ROUNDUP((AB$1)/10,0)*10,[1]Hugst!$R$4:$W$4,0))))</f>
        <v>0</v>
      </c>
      <c r="AC204">
        <f>IF($C204-AC$1&lt;År1,0,AB203*(1-VLOOKUP($A204,[1]Hugst!$R$5:$W$9,MATCH(ROUNDUP((AC$1)/10,0)*10,[1]Hugst!$R$4:$W$4,0))))</f>
        <v>0</v>
      </c>
      <c r="AD204">
        <f>IF($C204-AD$1&lt;År1,0,AC203*(1-VLOOKUP($A204,[1]Hugst!$R$5:$W$9,MATCH(ROUNDUP((AD$1)/10,0)*10,[1]Hugst!$R$4:$W$4,0))))</f>
        <v>0</v>
      </c>
      <c r="AE204">
        <f>IF($C204-AE$1&lt;År1,0,AD203*(1-VLOOKUP($A204,[1]Hugst!$R$5:$W$9,MATCH(ROUNDUP((AE$1)/10,0)*10,[1]Hugst!$R$4:$W$4,0))))</f>
        <v>0</v>
      </c>
      <c r="AF204">
        <f>IF($C204-AF$1&lt;År1,0,AE203*(1-VLOOKUP($A204,[1]Hugst!$R$5:$W$9,MATCH(ROUNDUP((AF$1)/10,0)*10,[1]Hugst!$R$4:$W$4,0))))</f>
        <v>0</v>
      </c>
      <c r="AG204">
        <f>IF($C204-AG$1&lt;År1,0,AF203*(1-VLOOKUP($A204,[1]Hugst!$R$5:$W$9,MATCH(ROUNDUP((AG$1)/10,0)*10,[1]Hugst!$R$4:$W$4,0))))</f>
        <v>0</v>
      </c>
      <c r="AH204">
        <f>IF($C204-AH$1&lt;År1,0,AG203*(1-VLOOKUP($A204,[1]Hugst!$R$5:$W$9,MATCH(ROUNDUP((AH$1)/10,0)*10,[1]Hugst!$R$4:$W$4,0))))</f>
        <v>0</v>
      </c>
      <c r="AI204">
        <f>IF($C204-AI$1&lt;År1,0,AH203*(1-VLOOKUP($A204,[1]Hugst!$R$5:$W$9,MATCH(ROUNDUP((AI$1)/10,0)*10,[1]Hugst!$R$4:$W$4,0))))</f>
        <v>0</v>
      </c>
      <c r="AJ204">
        <f>IF($C204-AJ$1&lt;År1,0,AI203*(1-VLOOKUP($A204,[1]Hugst!$R$5:$W$9,MATCH(ROUNDUP((AJ$1)/10,0)*10,[1]Hugst!$R$4:$W$4,0))))</f>
        <v>0</v>
      </c>
    </row>
    <row r="205" spans="1:36" x14ac:dyDescent="0.25">
      <c r="A205" t="s">
        <v>179</v>
      </c>
      <c r="B205" t="s">
        <v>23</v>
      </c>
      <c r="C205">
        <v>2037</v>
      </c>
      <c r="D205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0</v>
      </c>
      <c r="E205">
        <f t="shared" ca="1" si="4"/>
        <v>0</v>
      </c>
      <c r="F205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>
        <f ca="1">IF($C205-G$1&lt;År1,0,F204*(1-VLOOKUP($A205,[1]Hugst!$R$5:$W$9,MATCH(ROUNDUP((G$1)/10,0)*10,[1]Hugst!$R$4:$W$4,0))))</f>
        <v>0</v>
      </c>
      <c r="H205">
        <f ca="1">IF($C205-H$1&lt;År1,0,G204*(1-VLOOKUP($A205,[1]Hugst!$R$5:$W$9,MATCH(ROUNDUP((H$1)/10,0)*10,[1]Hugst!$R$4:$W$4,0))))</f>
        <v>0</v>
      </c>
      <c r="I205">
        <f ca="1">IF($C205-I$1&lt;År1,0,H204*(1-VLOOKUP($A205,[1]Hugst!$R$5:$W$9,MATCH(ROUNDUP((I$1)/10,0)*10,[1]Hugst!$R$4:$W$4,0))))</f>
        <v>0</v>
      </c>
      <c r="J205">
        <f ca="1">IF($C205-J$1&lt;År1,0,I204*(1-VLOOKUP($A205,[1]Hugst!$R$5:$W$9,MATCH(ROUNDUP((J$1)/10,0)*10,[1]Hugst!$R$4:$W$4,0))))</f>
        <v>0</v>
      </c>
      <c r="K205">
        <f ca="1">IF($C205-K$1&lt;År1,0,J204*(1-VLOOKUP($A205,[1]Hugst!$R$5:$W$9,MATCH(ROUNDUP((K$1)/10,0)*10,[1]Hugst!$R$4:$W$4,0))))</f>
        <v>0</v>
      </c>
      <c r="L205">
        <f ca="1">IF($C205-L$1&lt;År1,0,K204*(1-VLOOKUP($A205,[1]Hugst!$R$5:$W$9,MATCH(ROUNDUP((L$1)/10,0)*10,[1]Hugst!$R$4:$W$4,0))))</f>
        <v>0</v>
      </c>
      <c r="M205">
        <f ca="1">IF($C205-M$1&lt;År1,0,L204*(1-VLOOKUP($A205,[1]Hugst!$R$5:$W$9,MATCH(ROUNDUP((M$1)/10,0)*10,[1]Hugst!$R$4:$W$4,0))))</f>
        <v>0</v>
      </c>
      <c r="N205">
        <f ca="1">IF($C205-N$1&lt;År1,0,M204*(1-VLOOKUP($A205,[1]Hugst!$R$5:$W$9,MATCH(ROUNDUP((N$1)/10,0)*10,[1]Hugst!$R$4:$W$4,0))))</f>
        <v>0</v>
      </c>
      <c r="O205">
        <f ca="1">IF($C205-O$1&lt;År1,0,N204*(1-VLOOKUP($A205,[1]Hugst!$R$5:$W$9,MATCH(ROUNDUP((O$1)/10,0)*10,[1]Hugst!$R$4:$W$4,0))))</f>
        <v>0</v>
      </c>
      <c r="P205">
        <f ca="1">IF($C205-P$1&lt;År1,0,O204*(1-VLOOKUP($A205,[1]Hugst!$R$5:$W$9,MATCH(ROUNDUP((P$1)/10,0)*10,[1]Hugst!$R$4:$W$4,0))))</f>
        <v>0</v>
      </c>
      <c r="Q205">
        <f ca="1">IF($C205-Q$1&lt;År1,0,P204*(1-VLOOKUP($A205,[1]Hugst!$R$5:$W$9,MATCH(ROUNDUP((Q$1)/10,0)*10,[1]Hugst!$R$4:$W$4,0))))</f>
        <v>0</v>
      </c>
      <c r="R205">
        <f ca="1">IF($C205-R$1&lt;År1,0,Q204*(1-VLOOKUP($A205,[1]Hugst!$R$5:$W$9,MATCH(ROUNDUP((R$1)/10,0)*10,[1]Hugst!$R$4:$W$4,0))))</f>
        <v>0</v>
      </c>
      <c r="S205">
        <f ca="1">IF($C205-S$1&lt;År1,0,R204*(1-VLOOKUP($A205,[1]Hugst!$R$5:$W$9,MATCH(ROUNDUP((S$1)/10,0)*10,[1]Hugst!$R$4:$W$4,0))))</f>
        <v>0</v>
      </c>
      <c r="T205">
        <f ca="1">IF($C205-T$1&lt;År1,0,S204*(1-VLOOKUP($A205,[1]Hugst!$R$5:$W$9,MATCH(ROUNDUP((T$1)/10,0)*10,[1]Hugst!$R$4:$W$4,0))))</f>
        <v>0</v>
      </c>
      <c r="U205">
        <f ca="1">IF($C205-U$1&lt;År1,0,T204*(1-VLOOKUP($A205,[1]Hugst!$R$5:$W$9,MATCH(ROUNDUP((U$1)/10,0)*10,[1]Hugst!$R$4:$W$4,0))))</f>
        <v>0</v>
      </c>
      <c r="V205">
        <f ca="1">IF($C205-V$1&lt;År1,0,U204*(1-VLOOKUP($A205,[1]Hugst!$R$5:$W$9,MATCH(ROUNDUP((V$1)/10,0)*10,[1]Hugst!$R$4:$W$4,0))))</f>
        <v>0</v>
      </c>
      <c r="W205">
        <f ca="1">IF($C205-W$1&lt;År1,0,V204*(1-VLOOKUP($A205,[1]Hugst!$R$5:$W$9,MATCH(ROUNDUP((W$1)/10,0)*10,[1]Hugst!$R$4:$W$4,0))))</f>
        <v>0</v>
      </c>
      <c r="X205">
        <f>IF($C205-X$1&lt;År1,0,W204*(1-VLOOKUP($A205,[1]Hugst!$R$5:$W$9,MATCH(ROUNDUP((X$1)/10,0)*10,[1]Hugst!$R$4:$W$4,0))))</f>
        <v>0</v>
      </c>
      <c r="Y205">
        <f>IF($C205-Y$1&lt;År1,0,X204*(1-VLOOKUP($A205,[1]Hugst!$R$5:$W$9,MATCH(ROUNDUP((Y$1)/10,0)*10,[1]Hugst!$R$4:$W$4,0))))</f>
        <v>0</v>
      </c>
      <c r="Z205">
        <f>IF($C205-Z$1&lt;År1,0,Y204*(1-VLOOKUP($A205,[1]Hugst!$R$5:$W$9,MATCH(ROUNDUP((Z$1)/10,0)*10,[1]Hugst!$R$4:$W$4,0))))</f>
        <v>0</v>
      </c>
      <c r="AA205">
        <f>IF($C205-AA$1&lt;År1,0,Z204*(1-VLOOKUP($A205,[1]Hugst!$R$5:$W$9,MATCH(ROUNDUP((AA$1)/10,0)*10,[1]Hugst!$R$4:$W$4,0))))</f>
        <v>0</v>
      </c>
      <c r="AB205">
        <f>IF($C205-AB$1&lt;År1,0,AA204*(1-VLOOKUP($A205,[1]Hugst!$R$5:$W$9,MATCH(ROUNDUP((AB$1)/10,0)*10,[1]Hugst!$R$4:$W$4,0))))</f>
        <v>0</v>
      </c>
      <c r="AC205">
        <f>IF($C205-AC$1&lt;År1,0,AB204*(1-VLOOKUP($A205,[1]Hugst!$R$5:$W$9,MATCH(ROUNDUP((AC$1)/10,0)*10,[1]Hugst!$R$4:$W$4,0))))</f>
        <v>0</v>
      </c>
      <c r="AD205">
        <f>IF($C205-AD$1&lt;År1,0,AC204*(1-VLOOKUP($A205,[1]Hugst!$R$5:$W$9,MATCH(ROUNDUP((AD$1)/10,0)*10,[1]Hugst!$R$4:$W$4,0))))</f>
        <v>0</v>
      </c>
      <c r="AE205">
        <f>IF($C205-AE$1&lt;År1,0,AD204*(1-VLOOKUP($A205,[1]Hugst!$R$5:$W$9,MATCH(ROUNDUP((AE$1)/10,0)*10,[1]Hugst!$R$4:$W$4,0))))</f>
        <v>0</v>
      </c>
      <c r="AF205">
        <f>IF($C205-AF$1&lt;År1,0,AE204*(1-VLOOKUP($A205,[1]Hugst!$R$5:$W$9,MATCH(ROUNDUP((AF$1)/10,0)*10,[1]Hugst!$R$4:$W$4,0))))</f>
        <v>0</v>
      </c>
      <c r="AG205">
        <f>IF($C205-AG$1&lt;År1,0,AF204*(1-VLOOKUP($A205,[1]Hugst!$R$5:$W$9,MATCH(ROUNDUP((AG$1)/10,0)*10,[1]Hugst!$R$4:$W$4,0))))</f>
        <v>0</v>
      </c>
      <c r="AH205">
        <f>IF($C205-AH$1&lt;År1,0,AG204*(1-VLOOKUP($A205,[1]Hugst!$R$5:$W$9,MATCH(ROUNDUP((AH$1)/10,0)*10,[1]Hugst!$R$4:$W$4,0))))</f>
        <v>0</v>
      </c>
      <c r="AI205">
        <f>IF($C205-AI$1&lt;År1,0,AH204*(1-VLOOKUP($A205,[1]Hugst!$R$5:$W$9,MATCH(ROUNDUP((AI$1)/10,0)*10,[1]Hugst!$R$4:$W$4,0))))</f>
        <v>0</v>
      </c>
      <c r="AJ205">
        <f>IF($C205-AJ$1&lt;År1,0,AI204*(1-VLOOKUP($A205,[1]Hugst!$R$5:$W$9,MATCH(ROUNDUP((AJ$1)/10,0)*10,[1]Hugst!$R$4:$W$4,0))))</f>
        <v>0</v>
      </c>
    </row>
    <row r="206" spans="1:36" x14ac:dyDescent="0.25">
      <c r="A206" t="s">
        <v>179</v>
      </c>
      <c r="B206" t="s">
        <v>23</v>
      </c>
      <c r="C206">
        <v>2038</v>
      </c>
      <c r="D206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0</v>
      </c>
      <c r="E206">
        <f t="shared" ca="1" si="4"/>
        <v>0</v>
      </c>
      <c r="F206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>
        <f ca="1">IF($C206-G$1&lt;År1,0,F205*(1-VLOOKUP($A206,[1]Hugst!$R$5:$W$9,MATCH(ROUNDUP((G$1)/10,0)*10,[1]Hugst!$R$4:$W$4,0))))</f>
        <v>0</v>
      </c>
      <c r="H206">
        <f ca="1">IF($C206-H$1&lt;År1,0,G205*(1-VLOOKUP($A206,[1]Hugst!$R$5:$W$9,MATCH(ROUNDUP((H$1)/10,0)*10,[1]Hugst!$R$4:$W$4,0))))</f>
        <v>0</v>
      </c>
      <c r="I206">
        <f ca="1">IF($C206-I$1&lt;År1,0,H205*(1-VLOOKUP($A206,[1]Hugst!$R$5:$W$9,MATCH(ROUNDUP((I$1)/10,0)*10,[1]Hugst!$R$4:$W$4,0))))</f>
        <v>0</v>
      </c>
      <c r="J206">
        <f ca="1">IF($C206-J$1&lt;År1,0,I205*(1-VLOOKUP($A206,[1]Hugst!$R$5:$W$9,MATCH(ROUNDUP((J$1)/10,0)*10,[1]Hugst!$R$4:$W$4,0))))</f>
        <v>0</v>
      </c>
      <c r="K206">
        <f ca="1">IF($C206-K$1&lt;År1,0,J205*(1-VLOOKUP($A206,[1]Hugst!$R$5:$W$9,MATCH(ROUNDUP((K$1)/10,0)*10,[1]Hugst!$R$4:$W$4,0))))</f>
        <v>0</v>
      </c>
      <c r="L206">
        <f ca="1">IF($C206-L$1&lt;År1,0,K205*(1-VLOOKUP($A206,[1]Hugst!$R$5:$W$9,MATCH(ROUNDUP((L$1)/10,0)*10,[1]Hugst!$R$4:$W$4,0))))</f>
        <v>0</v>
      </c>
      <c r="M206">
        <f ca="1">IF($C206-M$1&lt;År1,0,L205*(1-VLOOKUP($A206,[1]Hugst!$R$5:$W$9,MATCH(ROUNDUP((M$1)/10,0)*10,[1]Hugst!$R$4:$W$4,0))))</f>
        <v>0</v>
      </c>
      <c r="N206">
        <f ca="1">IF($C206-N$1&lt;År1,0,M205*(1-VLOOKUP($A206,[1]Hugst!$R$5:$W$9,MATCH(ROUNDUP((N$1)/10,0)*10,[1]Hugst!$R$4:$W$4,0))))</f>
        <v>0</v>
      </c>
      <c r="O206">
        <f ca="1">IF($C206-O$1&lt;År1,0,N205*(1-VLOOKUP($A206,[1]Hugst!$R$5:$W$9,MATCH(ROUNDUP((O$1)/10,0)*10,[1]Hugst!$R$4:$W$4,0))))</f>
        <v>0</v>
      </c>
      <c r="P206">
        <f ca="1">IF($C206-P$1&lt;År1,0,O205*(1-VLOOKUP($A206,[1]Hugst!$R$5:$W$9,MATCH(ROUNDUP((P$1)/10,0)*10,[1]Hugst!$R$4:$W$4,0))))</f>
        <v>0</v>
      </c>
      <c r="Q206">
        <f ca="1">IF($C206-Q$1&lt;År1,0,P205*(1-VLOOKUP($A206,[1]Hugst!$R$5:$W$9,MATCH(ROUNDUP((Q$1)/10,0)*10,[1]Hugst!$R$4:$W$4,0))))</f>
        <v>0</v>
      </c>
      <c r="R206">
        <f ca="1">IF($C206-R$1&lt;År1,0,Q205*(1-VLOOKUP($A206,[1]Hugst!$R$5:$W$9,MATCH(ROUNDUP((R$1)/10,0)*10,[1]Hugst!$R$4:$W$4,0))))</f>
        <v>0</v>
      </c>
      <c r="S206">
        <f ca="1">IF($C206-S$1&lt;År1,0,R205*(1-VLOOKUP($A206,[1]Hugst!$R$5:$W$9,MATCH(ROUNDUP((S$1)/10,0)*10,[1]Hugst!$R$4:$W$4,0))))</f>
        <v>0</v>
      </c>
      <c r="T206">
        <f ca="1">IF($C206-T$1&lt;År1,0,S205*(1-VLOOKUP($A206,[1]Hugst!$R$5:$W$9,MATCH(ROUNDUP((T$1)/10,0)*10,[1]Hugst!$R$4:$W$4,0))))</f>
        <v>0</v>
      </c>
      <c r="U206">
        <f ca="1">IF($C206-U$1&lt;År1,0,T205*(1-VLOOKUP($A206,[1]Hugst!$R$5:$W$9,MATCH(ROUNDUP((U$1)/10,0)*10,[1]Hugst!$R$4:$W$4,0))))</f>
        <v>0</v>
      </c>
      <c r="V206">
        <f ca="1">IF($C206-V$1&lt;År1,0,U205*(1-VLOOKUP($A206,[1]Hugst!$R$5:$W$9,MATCH(ROUNDUP((V$1)/10,0)*10,[1]Hugst!$R$4:$W$4,0))))</f>
        <v>0</v>
      </c>
      <c r="W206">
        <f ca="1">IF($C206-W$1&lt;År1,0,V205*(1-VLOOKUP($A206,[1]Hugst!$R$5:$W$9,MATCH(ROUNDUP((W$1)/10,0)*10,[1]Hugst!$R$4:$W$4,0))))</f>
        <v>0</v>
      </c>
      <c r="X206">
        <f ca="1">IF($C206-X$1&lt;År1,0,W205*(1-VLOOKUP($A206,[1]Hugst!$R$5:$W$9,MATCH(ROUNDUP((X$1)/10,0)*10,[1]Hugst!$R$4:$W$4,0))))</f>
        <v>0</v>
      </c>
      <c r="Y206">
        <f>IF($C206-Y$1&lt;År1,0,X205*(1-VLOOKUP($A206,[1]Hugst!$R$5:$W$9,MATCH(ROUNDUP((Y$1)/10,0)*10,[1]Hugst!$R$4:$W$4,0))))</f>
        <v>0</v>
      </c>
      <c r="Z206">
        <f>IF($C206-Z$1&lt;År1,0,Y205*(1-VLOOKUP($A206,[1]Hugst!$R$5:$W$9,MATCH(ROUNDUP((Z$1)/10,0)*10,[1]Hugst!$R$4:$W$4,0))))</f>
        <v>0</v>
      </c>
      <c r="AA206">
        <f>IF($C206-AA$1&lt;År1,0,Z205*(1-VLOOKUP($A206,[1]Hugst!$R$5:$W$9,MATCH(ROUNDUP((AA$1)/10,0)*10,[1]Hugst!$R$4:$W$4,0))))</f>
        <v>0</v>
      </c>
      <c r="AB206">
        <f>IF($C206-AB$1&lt;År1,0,AA205*(1-VLOOKUP($A206,[1]Hugst!$R$5:$W$9,MATCH(ROUNDUP((AB$1)/10,0)*10,[1]Hugst!$R$4:$W$4,0))))</f>
        <v>0</v>
      </c>
      <c r="AC206">
        <f>IF($C206-AC$1&lt;År1,0,AB205*(1-VLOOKUP($A206,[1]Hugst!$R$5:$W$9,MATCH(ROUNDUP((AC$1)/10,0)*10,[1]Hugst!$R$4:$W$4,0))))</f>
        <v>0</v>
      </c>
      <c r="AD206">
        <f>IF($C206-AD$1&lt;År1,0,AC205*(1-VLOOKUP($A206,[1]Hugst!$R$5:$W$9,MATCH(ROUNDUP((AD$1)/10,0)*10,[1]Hugst!$R$4:$W$4,0))))</f>
        <v>0</v>
      </c>
      <c r="AE206">
        <f>IF($C206-AE$1&lt;År1,0,AD205*(1-VLOOKUP($A206,[1]Hugst!$R$5:$W$9,MATCH(ROUNDUP((AE$1)/10,0)*10,[1]Hugst!$R$4:$W$4,0))))</f>
        <v>0</v>
      </c>
      <c r="AF206">
        <f>IF($C206-AF$1&lt;År1,0,AE205*(1-VLOOKUP($A206,[1]Hugst!$R$5:$W$9,MATCH(ROUNDUP((AF$1)/10,0)*10,[1]Hugst!$R$4:$W$4,0))))</f>
        <v>0</v>
      </c>
      <c r="AG206">
        <f>IF($C206-AG$1&lt;År1,0,AF205*(1-VLOOKUP($A206,[1]Hugst!$R$5:$W$9,MATCH(ROUNDUP((AG$1)/10,0)*10,[1]Hugst!$R$4:$W$4,0))))</f>
        <v>0</v>
      </c>
      <c r="AH206">
        <f>IF($C206-AH$1&lt;År1,0,AG205*(1-VLOOKUP($A206,[1]Hugst!$R$5:$W$9,MATCH(ROUNDUP((AH$1)/10,0)*10,[1]Hugst!$R$4:$W$4,0))))</f>
        <v>0</v>
      </c>
      <c r="AI206">
        <f>IF($C206-AI$1&lt;År1,0,AH205*(1-VLOOKUP($A206,[1]Hugst!$R$5:$W$9,MATCH(ROUNDUP((AI$1)/10,0)*10,[1]Hugst!$R$4:$W$4,0))))</f>
        <v>0</v>
      </c>
      <c r="AJ206">
        <f>IF($C206-AJ$1&lt;År1,0,AI205*(1-VLOOKUP($A206,[1]Hugst!$R$5:$W$9,MATCH(ROUNDUP((AJ$1)/10,0)*10,[1]Hugst!$R$4:$W$4,0))))</f>
        <v>0</v>
      </c>
    </row>
    <row r="207" spans="1:36" x14ac:dyDescent="0.25">
      <c r="A207" t="s">
        <v>179</v>
      </c>
      <c r="B207" t="s">
        <v>23</v>
      </c>
      <c r="C207">
        <v>2039</v>
      </c>
      <c r="D207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0</v>
      </c>
      <c r="E207">
        <f t="shared" ca="1" si="4"/>
        <v>0</v>
      </c>
      <c r="F207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>
        <f ca="1">IF($C207-G$1&lt;År1,0,F206*(1-VLOOKUP($A207,[1]Hugst!$R$5:$W$9,MATCH(ROUNDUP((G$1)/10,0)*10,[1]Hugst!$R$4:$W$4,0))))</f>
        <v>0</v>
      </c>
      <c r="H207">
        <f ca="1">IF($C207-H$1&lt;År1,0,G206*(1-VLOOKUP($A207,[1]Hugst!$R$5:$W$9,MATCH(ROUNDUP((H$1)/10,0)*10,[1]Hugst!$R$4:$W$4,0))))</f>
        <v>0</v>
      </c>
      <c r="I207">
        <f ca="1">IF($C207-I$1&lt;År1,0,H206*(1-VLOOKUP($A207,[1]Hugst!$R$5:$W$9,MATCH(ROUNDUP((I$1)/10,0)*10,[1]Hugst!$R$4:$W$4,0))))</f>
        <v>0</v>
      </c>
      <c r="J207">
        <f ca="1">IF($C207-J$1&lt;År1,0,I206*(1-VLOOKUP($A207,[1]Hugst!$R$5:$W$9,MATCH(ROUNDUP((J$1)/10,0)*10,[1]Hugst!$R$4:$W$4,0))))</f>
        <v>0</v>
      </c>
      <c r="K207">
        <f ca="1">IF($C207-K$1&lt;År1,0,J206*(1-VLOOKUP($A207,[1]Hugst!$R$5:$W$9,MATCH(ROUNDUP((K$1)/10,0)*10,[1]Hugst!$R$4:$W$4,0))))</f>
        <v>0</v>
      </c>
      <c r="L207">
        <f ca="1">IF($C207-L$1&lt;År1,0,K206*(1-VLOOKUP($A207,[1]Hugst!$R$5:$W$9,MATCH(ROUNDUP((L$1)/10,0)*10,[1]Hugst!$R$4:$W$4,0))))</f>
        <v>0</v>
      </c>
      <c r="M207">
        <f ca="1">IF($C207-M$1&lt;År1,0,L206*(1-VLOOKUP($A207,[1]Hugst!$R$5:$W$9,MATCH(ROUNDUP((M$1)/10,0)*10,[1]Hugst!$R$4:$W$4,0))))</f>
        <v>0</v>
      </c>
      <c r="N207">
        <f ca="1">IF($C207-N$1&lt;År1,0,M206*(1-VLOOKUP($A207,[1]Hugst!$R$5:$W$9,MATCH(ROUNDUP((N$1)/10,0)*10,[1]Hugst!$R$4:$W$4,0))))</f>
        <v>0</v>
      </c>
      <c r="O207">
        <f ca="1">IF($C207-O$1&lt;År1,0,N206*(1-VLOOKUP($A207,[1]Hugst!$R$5:$W$9,MATCH(ROUNDUP((O$1)/10,0)*10,[1]Hugst!$R$4:$W$4,0))))</f>
        <v>0</v>
      </c>
      <c r="P207">
        <f ca="1">IF($C207-P$1&lt;År1,0,O206*(1-VLOOKUP($A207,[1]Hugst!$R$5:$W$9,MATCH(ROUNDUP((P$1)/10,0)*10,[1]Hugst!$R$4:$W$4,0))))</f>
        <v>0</v>
      </c>
      <c r="Q207">
        <f ca="1">IF($C207-Q$1&lt;År1,0,P206*(1-VLOOKUP($A207,[1]Hugst!$R$5:$W$9,MATCH(ROUNDUP((Q$1)/10,0)*10,[1]Hugst!$R$4:$W$4,0))))</f>
        <v>0</v>
      </c>
      <c r="R207">
        <f ca="1">IF($C207-R$1&lt;År1,0,Q206*(1-VLOOKUP($A207,[1]Hugst!$R$5:$W$9,MATCH(ROUNDUP((R$1)/10,0)*10,[1]Hugst!$R$4:$W$4,0))))</f>
        <v>0</v>
      </c>
      <c r="S207">
        <f ca="1">IF($C207-S$1&lt;År1,0,R206*(1-VLOOKUP($A207,[1]Hugst!$R$5:$W$9,MATCH(ROUNDUP((S$1)/10,0)*10,[1]Hugst!$R$4:$W$4,0))))</f>
        <v>0</v>
      </c>
      <c r="T207">
        <f ca="1">IF($C207-T$1&lt;År1,0,S206*(1-VLOOKUP($A207,[1]Hugst!$R$5:$W$9,MATCH(ROUNDUP((T$1)/10,0)*10,[1]Hugst!$R$4:$W$4,0))))</f>
        <v>0</v>
      </c>
      <c r="U207">
        <f ca="1">IF($C207-U$1&lt;År1,0,T206*(1-VLOOKUP($A207,[1]Hugst!$R$5:$W$9,MATCH(ROUNDUP((U$1)/10,0)*10,[1]Hugst!$R$4:$W$4,0))))</f>
        <v>0</v>
      </c>
      <c r="V207">
        <f ca="1">IF($C207-V$1&lt;År1,0,U206*(1-VLOOKUP($A207,[1]Hugst!$R$5:$W$9,MATCH(ROUNDUP((V$1)/10,0)*10,[1]Hugst!$R$4:$W$4,0))))</f>
        <v>0</v>
      </c>
      <c r="W207">
        <f ca="1">IF($C207-W$1&lt;År1,0,V206*(1-VLOOKUP($A207,[1]Hugst!$R$5:$W$9,MATCH(ROUNDUP((W$1)/10,0)*10,[1]Hugst!$R$4:$W$4,0))))</f>
        <v>0</v>
      </c>
      <c r="X207">
        <f ca="1">IF($C207-X$1&lt;År1,0,W206*(1-VLOOKUP($A207,[1]Hugst!$R$5:$W$9,MATCH(ROUNDUP((X$1)/10,0)*10,[1]Hugst!$R$4:$W$4,0))))</f>
        <v>0</v>
      </c>
      <c r="Y207">
        <f ca="1">IF($C207-Y$1&lt;År1,0,X206*(1-VLOOKUP($A207,[1]Hugst!$R$5:$W$9,MATCH(ROUNDUP((Y$1)/10,0)*10,[1]Hugst!$R$4:$W$4,0))))</f>
        <v>0</v>
      </c>
      <c r="Z207">
        <f>IF($C207-Z$1&lt;År1,0,Y206*(1-VLOOKUP($A207,[1]Hugst!$R$5:$W$9,MATCH(ROUNDUP((Z$1)/10,0)*10,[1]Hugst!$R$4:$W$4,0))))</f>
        <v>0</v>
      </c>
      <c r="AA207">
        <f>IF($C207-AA$1&lt;År1,0,Z206*(1-VLOOKUP($A207,[1]Hugst!$R$5:$W$9,MATCH(ROUNDUP((AA$1)/10,0)*10,[1]Hugst!$R$4:$W$4,0))))</f>
        <v>0</v>
      </c>
      <c r="AB207">
        <f>IF($C207-AB$1&lt;År1,0,AA206*(1-VLOOKUP($A207,[1]Hugst!$R$5:$W$9,MATCH(ROUNDUP((AB$1)/10,0)*10,[1]Hugst!$R$4:$W$4,0))))</f>
        <v>0</v>
      </c>
      <c r="AC207">
        <f>IF($C207-AC$1&lt;År1,0,AB206*(1-VLOOKUP($A207,[1]Hugst!$R$5:$W$9,MATCH(ROUNDUP((AC$1)/10,0)*10,[1]Hugst!$R$4:$W$4,0))))</f>
        <v>0</v>
      </c>
      <c r="AD207">
        <f>IF($C207-AD$1&lt;År1,0,AC206*(1-VLOOKUP($A207,[1]Hugst!$R$5:$W$9,MATCH(ROUNDUP((AD$1)/10,0)*10,[1]Hugst!$R$4:$W$4,0))))</f>
        <v>0</v>
      </c>
      <c r="AE207">
        <f>IF($C207-AE$1&lt;År1,0,AD206*(1-VLOOKUP($A207,[1]Hugst!$R$5:$W$9,MATCH(ROUNDUP((AE$1)/10,0)*10,[1]Hugst!$R$4:$W$4,0))))</f>
        <v>0</v>
      </c>
      <c r="AF207">
        <f>IF($C207-AF$1&lt;År1,0,AE206*(1-VLOOKUP($A207,[1]Hugst!$R$5:$W$9,MATCH(ROUNDUP((AF$1)/10,0)*10,[1]Hugst!$R$4:$W$4,0))))</f>
        <v>0</v>
      </c>
      <c r="AG207">
        <f>IF($C207-AG$1&lt;År1,0,AF206*(1-VLOOKUP($A207,[1]Hugst!$R$5:$W$9,MATCH(ROUNDUP((AG$1)/10,0)*10,[1]Hugst!$R$4:$W$4,0))))</f>
        <v>0</v>
      </c>
      <c r="AH207">
        <f>IF($C207-AH$1&lt;År1,0,AG206*(1-VLOOKUP($A207,[1]Hugst!$R$5:$W$9,MATCH(ROUNDUP((AH$1)/10,0)*10,[1]Hugst!$R$4:$W$4,0))))</f>
        <v>0</v>
      </c>
      <c r="AI207">
        <f>IF($C207-AI$1&lt;År1,0,AH206*(1-VLOOKUP($A207,[1]Hugst!$R$5:$W$9,MATCH(ROUNDUP((AI$1)/10,0)*10,[1]Hugst!$R$4:$W$4,0))))</f>
        <v>0</v>
      </c>
      <c r="AJ207">
        <f>IF($C207-AJ$1&lt;År1,0,AI206*(1-VLOOKUP($A207,[1]Hugst!$R$5:$W$9,MATCH(ROUNDUP((AJ$1)/10,0)*10,[1]Hugst!$R$4:$W$4,0))))</f>
        <v>0</v>
      </c>
    </row>
    <row r="208" spans="1:36" x14ac:dyDescent="0.25">
      <c r="A208" t="s">
        <v>179</v>
      </c>
      <c r="B208" t="s">
        <v>23</v>
      </c>
      <c r="C208">
        <v>2040</v>
      </c>
      <c r="D20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0</v>
      </c>
      <c r="E208">
        <f t="shared" ca="1" si="4"/>
        <v>0</v>
      </c>
      <c r="F20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>
        <f ca="1">IF($C208-G$1&lt;År1,0,F207*(1-VLOOKUP($A208,[1]Hugst!$R$5:$W$9,MATCH(ROUNDUP((G$1)/10,0)*10,[1]Hugst!$R$4:$W$4,0))))</f>
        <v>0</v>
      </c>
      <c r="H208">
        <f ca="1">IF($C208-H$1&lt;År1,0,G207*(1-VLOOKUP($A208,[1]Hugst!$R$5:$W$9,MATCH(ROUNDUP((H$1)/10,0)*10,[1]Hugst!$R$4:$W$4,0))))</f>
        <v>0</v>
      </c>
      <c r="I208">
        <f ca="1">IF($C208-I$1&lt;År1,0,H207*(1-VLOOKUP($A208,[1]Hugst!$R$5:$W$9,MATCH(ROUNDUP((I$1)/10,0)*10,[1]Hugst!$R$4:$W$4,0))))</f>
        <v>0</v>
      </c>
      <c r="J208">
        <f ca="1">IF($C208-J$1&lt;År1,0,I207*(1-VLOOKUP($A208,[1]Hugst!$R$5:$W$9,MATCH(ROUNDUP((J$1)/10,0)*10,[1]Hugst!$R$4:$W$4,0))))</f>
        <v>0</v>
      </c>
      <c r="K208">
        <f ca="1">IF($C208-K$1&lt;År1,0,J207*(1-VLOOKUP($A208,[1]Hugst!$R$5:$W$9,MATCH(ROUNDUP((K$1)/10,0)*10,[1]Hugst!$R$4:$W$4,0))))</f>
        <v>0</v>
      </c>
      <c r="L208">
        <f ca="1">IF($C208-L$1&lt;År1,0,K207*(1-VLOOKUP($A208,[1]Hugst!$R$5:$W$9,MATCH(ROUNDUP((L$1)/10,0)*10,[1]Hugst!$R$4:$W$4,0))))</f>
        <v>0</v>
      </c>
      <c r="M208">
        <f ca="1">IF($C208-M$1&lt;År1,0,L207*(1-VLOOKUP($A208,[1]Hugst!$R$5:$W$9,MATCH(ROUNDUP((M$1)/10,0)*10,[1]Hugst!$R$4:$W$4,0))))</f>
        <v>0</v>
      </c>
      <c r="N208">
        <f ca="1">IF($C208-N$1&lt;År1,0,M207*(1-VLOOKUP($A208,[1]Hugst!$R$5:$W$9,MATCH(ROUNDUP((N$1)/10,0)*10,[1]Hugst!$R$4:$W$4,0))))</f>
        <v>0</v>
      </c>
      <c r="O208">
        <f ca="1">IF($C208-O$1&lt;År1,0,N207*(1-VLOOKUP($A208,[1]Hugst!$R$5:$W$9,MATCH(ROUNDUP((O$1)/10,0)*10,[1]Hugst!$R$4:$W$4,0))))</f>
        <v>0</v>
      </c>
      <c r="P208">
        <f ca="1">IF($C208-P$1&lt;År1,0,O207*(1-VLOOKUP($A208,[1]Hugst!$R$5:$W$9,MATCH(ROUNDUP((P$1)/10,0)*10,[1]Hugst!$R$4:$W$4,0))))</f>
        <v>0</v>
      </c>
      <c r="Q208">
        <f ca="1">IF($C208-Q$1&lt;År1,0,P207*(1-VLOOKUP($A208,[1]Hugst!$R$5:$W$9,MATCH(ROUNDUP((Q$1)/10,0)*10,[1]Hugst!$R$4:$W$4,0))))</f>
        <v>0</v>
      </c>
      <c r="R208">
        <f ca="1">IF($C208-R$1&lt;År1,0,Q207*(1-VLOOKUP($A208,[1]Hugst!$R$5:$W$9,MATCH(ROUNDUP((R$1)/10,0)*10,[1]Hugst!$R$4:$W$4,0))))</f>
        <v>0</v>
      </c>
      <c r="S208">
        <f ca="1">IF($C208-S$1&lt;År1,0,R207*(1-VLOOKUP($A208,[1]Hugst!$R$5:$W$9,MATCH(ROUNDUP((S$1)/10,0)*10,[1]Hugst!$R$4:$W$4,0))))</f>
        <v>0</v>
      </c>
      <c r="T208">
        <f ca="1">IF($C208-T$1&lt;År1,0,S207*(1-VLOOKUP($A208,[1]Hugst!$R$5:$W$9,MATCH(ROUNDUP((T$1)/10,0)*10,[1]Hugst!$R$4:$W$4,0))))</f>
        <v>0</v>
      </c>
      <c r="U208">
        <f ca="1">IF($C208-U$1&lt;År1,0,T207*(1-VLOOKUP($A208,[1]Hugst!$R$5:$W$9,MATCH(ROUNDUP((U$1)/10,0)*10,[1]Hugst!$R$4:$W$4,0))))</f>
        <v>0</v>
      </c>
      <c r="V208">
        <f ca="1">IF($C208-V$1&lt;År1,0,U207*(1-VLOOKUP($A208,[1]Hugst!$R$5:$W$9,MATCH(ROUNDUP((V$1)/10,0)*10,[1]Hugst!$R$4:$W$4,0))))</f>
        <v>0</v>
      </c>
      <c r="W208">
        <f ca="1">IF($C208-W$1&lt;År1,0,V207*(1-VLOOKUP($A208,[1]Hugst!$R$5:$W$9,MATCH(ROUNDUP((W$1)/10,0)*10,[1]Hugst!$R$4:$W$4,0))))</f>
        <v>0</v>
      </c>
      <c r="X208">
        <f ca="1">IF($C208-X$1&lt;År1,0,W207*(1-VLOOKUP($A208,[1]Hugst!$R$5:$W$9,MATCH(ROUNDUP((X$1)/10,0)*10,[1]Hugst!$R$4:$W$4,0))))</f>
        <v>0</v>
      </c>
      <c r="Y208">
        <f ca="1">IF($C208-Y$1&lt;År1,0,X207*(1-VLOOKUP($A208,[1]Hugst!$R$5:$W$9,MATCH(ROUNDUP((Y$1)/10,0)*10,[1]Hugst!$R$4:$W$4,0))))</f>
        <v>0</v>
      </c>
      <c r="Z208">
        <f ca="1">IF($C208-Z$1&lt;År1,0,Y207*(1-VLOOKUP($A208,[1]Hugst!$R$5:$W$9,MATCH(ROUNDUP((Z$1)/10,0)*10,[1]Hugst!$R$4:$W$4,0))))</f>
        <v>0</v>
      </c>
      <c r="AA208">
        <f>IF($C208-AA$1&lt;År1,0,Z207*(1-VLOOKUP($A208,[1]Hugst!$R$5:$W$9,MATCH(ROUNDUP((AA$1)/10,0)*10,[1]Hugst!$R$4:$W$4,0))))</f>
        <v>0</v>
      </c>
      <c r="AB208">
        <f>IF($C208-AB$1&lt;År1,0,AA207*(1-VLOOKUP($A208,[1]Hugst!$R$5:$W$9,MATCH(ROUNDUP((AB$1)/10,0)*10,[1]Hugst!$R$4:$W$4,0))))</f>
        <v>0</v>
      </c>
      <c r="AC208">
        <f>IF($C208-AC$1&lt;År1,0,AB207*(1-VLOOKUP($A208,[1]Hugst!$R$5:$W$9,MATCH(ROUNDUP((AC$1)/10,0)*10,[1]Hugst!$R$4:$W$4,0))))</f>
        <v>0</v>
      </c>
      <c r="AD208">
        <f>IF($C208-AD$1&lt;År1,0,AC207*(1-VLOOKUP($A208,[1]Hugst!$R$5:$W$9,MATCH(ROUNDUP((AD$1)/10,0)*10,[1]Hugst!$R$4:$W$4,0))))</f>
        <v>0</v>
      </c>
      <c r="AE208">
        <f>IF($C208-AE$1&lt;År1,0,AD207*(1-VLOOKUP($A208,[1]Hugst!$R$5:$W$9,MATCH(ROUNDUP((AE$1)/10,0)*10,[1]Hugst!$R$4:$W$4,0))))</f>
        <v>0</v>
      </c>
      <c r="AF208">
        <f>IF($C208-AF$1&lt;År1,0,AE207*(1-VLOOKUP($A208,[1]Hugst!$R$5:$W$9,MATCH(ROUNDUP((AF$1)/10,0)*10,[1]Hugst!$R$4:$W$4,0))))</f>
        <v>0</v>
      </c>
      <c r="AG208">
        <f>IF($C208-AG$1&lt;År1,0,AF207*(1-VLOOKUP($A208,[1]Hugst!$R$5:$W$9,MATCH(ROUNDUP((AG$1)/10,0)*10,[1]Hugst!$R$4:$W$4,0))))</f>
        <v>0</v>
      </c>
      <c r="AH208">
        <f>IF($C208-AH$1&lt;År1,0,AG207*(1-VLOOKUP($A208,[1]Hugst!$R$5:$W$9,MATCH(ROUNDUP((AH$1)/10,0)*10,[1]Hugst!$R$4:$W$4,0))))</f>
        <v>0</v>
      </c>
      <c r="AI208">
        <f>IF($C208-AI$1&lt;År1,0,AH207*(1-VLOOKUP($A208,[1]Hugst!$R$5:$W$9,MATCH(ROUNDUP((AI$1)/10,0)*10,[1]Hugst!$R$4:$W$4,0))))</f>
        <v>0</v>
      </c>
      <c r="AJ208">
        <f>IF($C208-AJ$1&lt;År1,0,AI207*(1-VLOOKUP($A208,[1]Hugst!$R$5:$W$9,MATCH(ROUNDUP((AJ$1)/10,0)*10,[1]Hugst!$R$4:$W$4,0))))</f>
        <v>0</v>
      </c>
    </row>
    <row r="209" spans="1:36" x14ac:dyDescent="0.25">
      <c r="A209" t="s">
        <v>179</v>
      </c>
      <c r="B209" t="s">
        <v>23</v>
      </c>
      <c r="C209">
        <v>2041</v>
      </c>
      <c r="D209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0</v>
      </c>
      <c r="E209">
        <f t="shared" ca="1" si="4"/>
        <v>0</v>
      </c>
      <c r="F20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>
        <f ca="1">IF($C209-G$1&lt;År1,0,F208*(1-VLOOKUP($A209,[1]Hugst!$R$5:$W$9,MATCH(ROUNDUP((G$1)/10,0)*10,[1]Hugst!$R$4:$W$4,0))))</f>
        <v>0</v>
      </c>
      <c r="H209">
        <f ca="1">IF($C209-H$1&lt;År1,0,G208*(1-VLOOKUP($A209,[1]Hugst!$R$5:$W$9,MATCH(ROUNDUP((H$1)/10,0)*10,[1]Hugst!$R$4:$W$4,0))))</f>
        <v>0</v>
      </c>
      <c r="I209">
        <f ca="1">IF($C209-I$1&lt;År1,0,H208*(1-VLOOKUP($A209,[1]Hugst!$R$5:$W$9,MATCH(ROUNDUP((I$1)/10,0)*10,[1]Hugst!$R$4:$W$4,0))))</f>
        <v>0</v>
      </c>
      <c r="J209">
        <f ca="1">IF($C209-J$1&lt;År1,0,I208*(1-VLOOKUP($A209,[1]Hugst!$R$5:$W$9,MATCH(ROUNDUP((J$1)/10,0)*10,[1]Hugst!$R$4:$W$4,0))))</f>
        <v>0</v>
      </c>
      <c r="K209">
        <f ca="1">IF($C209-K$1&lt;År1,0,J208*(1-VLOOKUP($A209,[1]Hugst!$R$5:$W$9,MATCH(ROUNDUP((K$1)/10,0)*10,[1]Hugst!$R$4:$W$4,0))))</f>
        <v>0</v>
      </c>
      <c r="L209">
        <f ca="1">IF($C209-L$1&lt;År1,0,K208*(1-VLOOKUP($A209,[1]Hugst!$R$5:$W$9,MATCH(ROUNDUP((L$1)/10,0)*10,[1]Hugst!$R$4:$W$4,0))))</f>
        <v>0</v>
      </c>
      <c r="M209">
        <f ca="1">IF($C209-M$1&lt;År1,0,L208*(1-VLOOKUP($A209,[1]Hugst!$R$5:$W$9,MATCH(ROUNDUP((M$1)/10,0)*10,[1]Hugst!$R$4:$W$4,0))))</f>
        <v>0</v>
      </c>
      <c r="N209">
        <f ca="1">IF($C209-N$1&lt;År1,0,M208*(1-VLOOKUP($A209,[1]Hugst!$R$5:$W$9,MATCH(ROUNDUP((N$1)/10,0)*10,[1]Hugst!$R$4:$W$4,0))))</f>
        <v>0</v>
      </c>
      <c r="O209">
        <f ca="1">IF($C209-O$1&lt;År1,0,N208*(1-VLOOKUP($A209,[1]Hugst!$R$5:$W$9,MATCH(ROUNDUP((O$1)/10,0)*10,[1]Hugst!$R$4:$W$4,0))))</f>
        <v>0</v>
      </c>
      <c r="P209">
        <f ca="1">IF($C209-P$1&lt;År1,0,O208*(1-VLOOKUP($A209,[1]Hugst!$R$5:$W$9,MATCH(ROUNDUP((P$1)/10,0)*10,[1]Hugst!$R$4:$W$4,0))))</f>
        <v>0</v>
      </c>
      <c r="Q209">
        <f ca="1">IF($C209-Q$1&lt;År1,0,P208*(1-VLOOKUP($A209,[1]Hugst!$R$5:$W$9,MATCH(ROUNDUP((Q$1)/10,0)*10,[1]Hugst!$R$4:$W$4,0))))</f>
        <v>0</v>
      </c>
      <c r="R209">
        <f ca="1">IF($C209-R$1&lt;År1,0,Q208*(1-VLOOKUP($A209,[1]Hugst!$R$5:$W$9,MATCH(ROUNDUP((R$1)/10,0)*10,[1]Hugst!$R$4:$W$4,0))))</f>
        <v>0</v>
      </c>
      <c r="S209">
        <f ca="1">IF($C209-S$1&lt;År1,0,R208*(1-VLOOKUP($A209,[1]Hugst!$R$5:$W$9,MATCH(ROUNDUP((S$1)/10,0)*10,[1]Hugst!$R$4:$W$4,0))))</f>
        <v>0</v>
      </c>
      <c r="T209">
        <f ca="1">IF($C209-T$1&lt;År1,0,S208*(1-VLOOKUP($A209,[1]Hugst!$R$5:$W$9,MATCH(ROUNDUP((T$1)/10,0)*10,[1]Hugst!$R$4:$W$4,0))))</f>
        <v>0</v>
      </c>
      <c r="U209">
        <f ca="1">IF($C209-U$1&lt;År1,0,T208*(1-VLOOKUP($A209,[1]Hugst!$R$5:$W$9,MATCH(ROUNDUP((U$1)/10,0)*10,[1]Hugst!$R$4:$W$4,0))))</f>
        <v>0</v>
      </c>
      <c r="V209">
        <f ca="1">IF($C209-V$1&lt;År1,0,U208*(1-VLOOKUP($A209,[1]Hugst!$R$5:$W$9,MATCH(ROUNDUP((V$1)/10,0)*10,[1]Hugst!$R$4:$W$4,0))))</f>
        <v>0</v>
      </c>
      <c r="W209">
        <f ca="1">IF($C209-W$1&lt;År1,0,V208*(1-VLOOKUP($A209,[1]Hugst!$R$5:$W$9,MATCH(ROUNDUP((W$1)/10,0)*10,[1]Hugst!$R$4:$W$4,0))))</f>
        <v>0</v>
      </c>
      <c r="X209">
        <f ca="1">IF($C209-X$1&lt;År1,0,W208*(1-VLOOKUP($A209,[1]Hugst!$R$5:$W$9,MATCH(ROUNDUP((X$1)/10,0)*10,[1]Hugst!$R$4:$W$4,0))))</f>
        <v>0</v>
      </c>
      <c r="Y209">
        <f ca="1">IF($C209-Y$1&lt;År1,0,X208*(1-VLOOKUP($A209,[1]Hugst!$R$5:$W$9,MATCH(ROUNDUP((Y$1)/10,0)*10,[1]Hugst!$R$4:$W$4,0))))</f>
        <v>0</v>
      </c>
      <c r="Z209">
        <f ca="1">IF($C209-Z$1&lt;År1,0,Y208*(1-VLOOKUP($A209,[1]Hugst!$R$5:$W$9,MATCH(ROUNDUP((Z$1)/10,0)*10,[1]Hugst!$R$4:$W$4,0))))</f>
        <v>0</v>
      </c>
      <c r="AA209">
        <f ca="1">IF($C209-AA$1&lt;År1,0,Z208*(1-VLOOKUP($A209,[1]Hugst!$R$5:$W$9,MATCH(ROUNDUP((AA$1)/10,0)*10,[1]Hugst!$R$4:$W$4,0))))</f>
        <v>0</v>
      </c>
      <c r="AB209">
        <f>IF($C209-AB$1&lt;År1,0,AA208*(1-VLOOKUP($A209,[1]Hugst!$R$5:$W$9,MATCH(ROUNDUP((AB$1)/10,0)*10,[1]Hugst!$R$4:$W$4,0))))</f>
        <v>0</v>
      </c>
      <c r="AC209">
        <f>IF($C209-AC$1&lt;År1,0,AB208*(1-VLOOKUP($A209,[1]Hugst!$R$5:$W$9,MATCH(ROUNDUP((AC$1)/10,0)*10,[1]Hugst!$R$4:$W$4,0))))</f>
        <v>0</v>
      </c>
      <c r="AD209">
        <f>IF($C209-AD$1&lt;År1,0,AC208*(1-VLOOKUP($A209,[1]Hugst!$R$5:$W$9,MATCH(ROUNDUP((AD$1)/10,0)*10,[1]Hugst!$R$4:$W$4,0))))</f>
        <v>0</v>
      </c>
      <c r="AE209">
        <f>IF($C209-AE$1&lt;År1,0,AD208*(1-VLOOKUP($A209,[1]Hugst!$R$5:$W$9,MATCH(ROUNDUP((AE$1)/10,0)*10,[1]Hugst!$R$4:$W$4,0))))</f>
        <v>0</v>
      </c>
      <c r="AF209">
        <f>IF($C209-AF$1&lt;År1,0,AE208*(1-VLOOKUP($A209,[1]Hugst!$R$5:$W$9,MATCH(ROUNDUP((AF$1)/10,0)*10,[1]Hugst!$R$4:$W$4,0))))</f>
        <v>0</v>
      </c>
      <c r="AG209">
        <f>IF($C209-AG$1&lt;År1,0,AF208*(1-VLOOKUP($A209,[1]Hugst!$R$5:$W$9,MATCH(ROUNDUP((AG$1)/10,0)*10,[1]Hugst!$R$4:$W$4,0))))</f>
        <v>0</v>
      </c>
      <c r="AH209">
        <f>IF($C209-AH$1&lt;År1,0,AG208*(1-VLOOKUP($A209,[1]Hugst!$R$5:$W$9,MATCH(ROUNDUP((AH$1)/10,0)*10,[1]Hugst!$R$4:$W$4,0))))</f>
        <v>0</v>
      </c>
      <c r="AI209">
        <f>IF($C209-AI$1&lt;År1,0,AH208*(1-VLOOKUP($A209,[1]Hugst!$R$5:$W$9,MATCH(ROUNDUP((AI$1)/10,0)*10,[1]Hugst!$R$4:$W$4,0))))</f>
        <v>0</v>
      </c>
      <c r="AJ209">
        <f>IF($C209-AJ$1&lt;År1,0,AI208*(1-VLOOKUP($A209,[1]Hugst!$R$5:$W$9,MATCH(ROUNDUP((AJ$1)/10,0)*10,[1]Hugst!$R$4:$W$4,0))))</f>
        <v>0</v>
      </c>
    </row>
    <row r="210" spans="1:36" x14ac:dyDescent="0.25">
      <c r="A210" t="s">
        <v>179</v>
      </c>
      <c r="B210" t="s">
        <v>23</v>
      </c>
      <c r="C210">
        <v>2042</v>
      </c>
      <c r="D210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0</v>
      </c>
      <c r="E210">
        <f t="shared" ca="1" si="4"/>
        <v>0</v>
      </c>
      <c r="F210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>
        <f ca="1">IF($C210-G$1&lt;År1,0,F209*(1-VLOOKUP($A210,[1]Hugst!$R$5:$W$9,MATCH(ROUNDUP((G$1)/10,0)*10,[1]Hugst!$R$4:$W$4,0))))</f>
        <v>0</v>
      </c>
      <c r="H210">
        <f ca="1">IF($C210-H$1&lt;År1,0,G209*(1-VLOOKUP($A210,[1]Hugst!$R$5:$W$9,MATCH(ROUNDUP((H$1)/10,0)*10,[1]Hugst!$R$4:$W$4,0))))</f>
        <v>0</v>
      </c>
      <c r="I210">
        <f ca="1">IF($C210-I$1&lt;År1,0,H209*(1-VLOOKUP($A210,[1]Hugst!$R$5:$W$9,MATCH(ROUNDUP((I$1)/10,0)*10,[1]Hugst!$R$4:$W$4,0))))</f>
        <v>0</v>
      </c>
      <c r="J210">
        <f ca="1">IF($C210-J$1&lt;År1,0,I209*(1-VLOOKUP($A210,[1]Hugst!$R$5:$W$9,MATCH(ROUNDUP((J$1)/10,0)*10,[1]Hugst!$R$4:$W$4,0))))</f>
        <v>0</v>
      </c>
      <c r="K210">
        <f ca="1">IF($C210-K$1&lt;År1,0,J209*(1-VLOOKUP($A210,[1]Hugst!$R$5:$W$9,MATCH(ROUNDUP((K$1)/10,0)*10,[1]Hugst!$R$4:$W$4,0))))</f>
        <v>0</v>
      </c>
      <c r="L210">
        <f ca="1">IF($C210-L$1&lt;År1,0,K209*(1-VLOOKUP($A210,[1]Hugst!$R$5:$W$9,MATCH(ROUNDUP((L$1)/10,0)*10,[1]Hugst!$R$4:$W$4,0))))</f>
        <v>0</v>
      </c>
      <c r="M210">
        <f ca="1">IF($C210-M$1&lt;År1,0,L209*(1-VLOOKUP($A210,[1]Hugst!$R$5:$W$9,MATCH(ROUNDUP((M$1)/10,0)*10,[1]Hugst!$R$4:$W$4,0))))</f>
        <v>0</v>
      </c>
      <c r="N210">
        <f ca="1">IF($C210-N$1&lt;År1,0,M209*(1-VLOOKUP($A210,[1]Hugst!$R$5:$W$9,MATCH(ROUNDUP((N$1)/10,0)*10,[1]Hugst!$R$4:$W$4,0))))</f>
        <v>0</v>
      </c>
      <c r="O210">
        <f ca="1">IF($C210-O$1&lt;År1,0,N209*(1-VLOOKUP($A210,[1]Hugst!$R$5:$W$9,MATCH(ROUNDUP((O$1)/10,0)*10,[1]Hugst!$R$4:$W$4,0))))</f>
        <v>0</v>
      </c>
      <c r="P210">
        <f ca="1">IF($C210-P$1&lt;År1,0,O209*(1-VLOOKUP($A210,[1]Hugst!$R$5:$W$9,MATCH(ROUNDUP((P$1)/10,0)*10,[1]Hugst!$R$4:$W$4,0))))</f>
        <v>0</v>
      </c>
      <c r="Q210">
        <f ca="1">IF($C210-Q$1&lt;År1,0,P209*(1-VLOOKUP($A210,[1]Hugst!$R$5:$W$9,MATCH(ROUNDUP((Q$1)/10,0)*10,[1]Hugst!$R$4:$W$4,0))))</f>
        <v>0</v>
      </c>
      <c r="R210">
        <f ca="1">IF($C210-R$1&lt;År1,0,Q209*(1-VLOOKUP($A210,[1]Hugst!$R$5:$W$9,MATCH(ROUNDUP((R$1)/10,0)*10,[1]Hugst!$R$4:$W$4,0))))</f>
        <v>0</v>
      </c>
      <c r="S210">
        <f ca="1">IF($C210-S$1&lt;År1,0,R209*(1-VLOOKUP($A210,[1]Hugst!$R$5:$W$9,MATCH(ROUNDUP((S$1)/10,0)*10,[1]Hugst!$R$4:$W$4,0))))</f>
        <v>0</v>
      </c>
      <c r="T210">
        <f ca="1">IF($C210-T$1&lt;År1,0,S209*(1-VLOOKUP($A210,[1]Hugst!$R$5:$W$9,MATCH(ROUNDUP((T$1)/10,0)*10,[1]Hugst!$R$4:$W$4,0))))</f>
        <v>0</v>
      </c>
      <c r="U210">
        <f ca="1">IF($C210-U$1&lt;År1,0,T209*(1-VLOOKUP($A210,[1]Hugst!$R$5:$W$9,MATCH(ROUNDUP((U$1)/10,0)*10,[1]Hugst!$R$4:$W$4,0))))</f>
        <v>0</v>
      </c>
      <c r="V210">
        <f ca="1">IF($C210-V$1&lt;År1,0,U209*(1-VLOOKUP($A210,[1]Hugst!$R$5:$W$9,MATCH(ROUNDUP((V$1)/10,0)*10,[1]Hugst!$R$4:$W$4,0))))</f>
        <v>0</v>
      </c>
      <c r="W210">
        <f ca="1">IF($C210-W$1&lt;År1,0,V209*(1-VLOOKUP($A210,[1]Hugst!$R$5:$W$9,MATCH(ROUNDUP((W$1)/10,0)*10,[1]Hugst!$R$4:$W$4,0))))</f>
        <v>0</v>
      </c>
      <c r="X210">
        <f ca="1">IF($C210-X$1&lt;År1,0,W209*(1-VLOOKUP($A210,[1]Hugst!$R$5:$W$9,MATCH(ROUNDUP((X$1)/10,0)*10,[1]Hugst!$R$4:$W$4,0))))</f>
        <v>0</v>
      </c>
      <c r="Y210">
        <f ca="1">IF($C210-Y$1&lt;År1,0,X209*(1-VLOOKUP($A210,[1]Hugst!$R$5:$W$9,MATCH(ROUNDUP((Y$1)/10,0)*10,[1]Hugst!$R$4:$W$4,0))))</f>
        <v>0</v>
      </c>
      <c r="Z210">
        <f ca="1">IF($C210-Z$1&lt;År1,0,Y209*(1-VLOOKUP($A210,[1]Hugst!$R$5:$W$9,MATCH(ROUNDUP((Z$1)/10,0)*10,[1]Hugst!$R$4:$W$4,0))))</f>
        <v>0</v>
      </c>
      <c r="AA210">
        <f ca="1">IF($C210-AA$1&lt;År1,0,Z209*(1-VLOOKUP($A210,[1]Hugst!$R$5:$W$9,MATCH(ROUNDUP((AA$1)/10,0)*10,[1]Hugst!$R$4:$W$4,0))))</f>
        <v>0</v>
      </c>
      <c r="AB210">
        <f ca="1">IF($C210-AB$1&lt;År1,0,AA209*(1-VLOOKUP($A210,[1]Hugst!$R$5:$W$9,MATCH(ROUNDUP((AB$1)/10,0)*10,[1]Hugst!$R$4:$W$4,0))))</f>
        <v>0</v>
      </c>
      <c r="AC210">
        <f>IF($C210-AC$1&lt;År1,0,AB209*(1-VLOOKUP($A210,[1]Hugst!$R$5:$W$9,MATCH(ROUNDUP((AC$1)/10,0)*10,[1]Hugst!$R$4:$W$4,0))))</f>
        <v>0</v>
      </c>
      <c r="AD210">
        <f>IF($C210-AD$1&lt;År1,0,AC209*(1-VLOOKUP($A210,[1]Hugst!$R$5:$W$9,MATCH(ROUNDUP((AD$1)/10,0)*10,[1]Hugst!$R$4:$W$4,0))))</f>
        <v>0</v>
      </c>
      <c r="AE210">
        <f>IF($C210-AE$1&lt;År1,0,AD209*(1-VLOOKUP($A210,[1]Hugst!$R$5:$W$9,MATCH(ROUNDUP((AE$1)/10,0)*10,[1]Hugst!$R$4:$W$4,0))))</f>
        <v>0</v>
      </c>
      <c r="AF210">
        <f>IF($C210-AF$1&lt;År1,0,AE209*(1-VLOOKUP($A210,[1]Hugst!$R$5:$W$9,MATCH(ROUNDUP((AF$1)/10,0)*10,[1]Hugst!$R$4:$W$4,0))))</f>
        <v>0</v>
      </c>
      <c r="AG210">
        <f>IF($C210-AG$1&lt;År1,0,AF209*(1-VLOOKUP($A210,[1]Hugst!$R$5:$W$9,MATCH(ROUNDUP((AG$1)/10,0)*10,[1]Hugst!$R$4:$W$4,0))))</f>
        <v>0</v>
      </c>
      <c r="AH210">
        <f>IF($C210-AH$1&lt;År1,0,AG209*(1-VLOOKUP($A210,[1]Hugst!$R$5:$W$9,MATCH(ROUNDUP((AH$1)/10,0)*10,[1]Hugst!$R$4:$W$4,0))))</f>
        <v>0</v>
      </c>
      <c r="AI210">
        <f>IF($C210-AI$1&lt;År1,0,AH209*(1-VLOOKUP($A210,[1]Hugst!$R$5:$W$9,MATCH(ROUNDUP((AI$1)/10,0)*10,[1]Hugst!$R$4:$W$4,0))))</f>
        <v>0</v>
      </c>
      <c r="AJ210">
        <f>IF($C210-AJ$1&lt;År1,0,AI209*(1-VLOOKUP($A210,[1]Hugst!$R$5:$W$9,MATCH(ROUNDUP((AJ$1)/10,0)*10,[1]Hugst!$R$4:$W$4,0))))</f>
        <v>0</v>
      </c>
    </row>
    <row r="211" spans="1:36" x14ac:dyDescent="0.25">
      <c r="A211" t="s">
        <v>179</v>
      </c>
      <c r="B211" t="s">
        <v>23</v>
      </c>
      <c r="C211">
        <v>2043</v>
      </c>
      <c r="D211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0</v>
      </c>
      <c r="E211">
        <f t="shared" ca="1" si="4"/>
        <v>0</v>
      </c>
      <c r="F211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>
        <f ca="1">IF($C211-G$1&lt;År1,0,F210*(1-VLOOKUP($A211,[1]Hugst!$R$5:$W$9,MATCH(ROUNDUP((G$1)/10,0)*10,[1]Hugst!$R$4:$W$4,0))))</f>
        <v>0</v>
      </c>
      <c r="H211">
        <f ca="1">IF($C211-H$1&lt;År1,0,G210*(1-VLOOKUP($A211,[1]Hugst!$R$5:$W$9,MATCH(ROUNDUP((H$1)/10,0)*10,[1]Hugst!$R$4:$W$4,0))))</f>
        <v>0</v>
      </c>
      <c r="I211">
        <f ca="1">IF($C211-I$1&lt;År1,0,H210*(1-VLOOKUP($A211,[1]Hugst!$R$5:$W$9,MATCH(ROUNDUP((I$1)/10,0)*10,[1]Hugst!$R$4:$W$4,0))))</f>
        <v>0</v>
      </c>
      <c r="J211">
        <f ca="1">IF($C211-J$1&lt;År1,0,I210*(1-VLOOKUP($A211,[1]Hugst!$R$5:$W$9,MATCH(ROUNDUP((J$1)/10,0)*10,[1]Hugst!$R$4:$W$4,0))))</f>
        <v>0</v>
      </c>
      <c r="K211">
        <f ca="1">IF($C211-K$1&lt;År1,0,J210*(1-VLOOKUP($A211,[1]Hugst!$R$5:$W$9,MATCH(ROUNDUP((K$1)/10,0)*10,[1]Hugst!$R$4:$W$4,0))))</f>
        <v>0</v>
      </c>
      <c r="L211">
        <f ca="1">IF($C211-L$1&lt;År1,0,K210*(1-VLOOKUP($A211,[1]Hugst!$R$5:$W$9,MATCH(ROUNDUP((L$1)/10,0)*10,[1]Hugst!$R$4:$W$4,0))))</f>
        <v>0</v>
      </c>
      <c r="M211">
        <f ca="1">IF($C211-M$1&lt;År1,0,L210*(1-VLOOKUP($A211,[1]Hugst!$R$5:$W$9,MATCH(ROUNDUP((M$1)/10,0)*10,[1]Hugst!$R$4:$W$4,0))))</f>
        <v>0</v>
      </c>
      <c r="N211">
        <f ca="1">IF($C211-N$1&lt;År1,0,M210*(1-VLOOKUP($A211,[1]Hugst!$R$5:$W$9,MATCH(ROUNDUP((N$1)/10,0)*10,[1]Hugst!$R$4:$W$4,0))))</f>
        <v>0</v>
      </c>
      <c r="O211">
        <f ca="1">IF($C211-O$1&lt;År1,0,N210*(1-VLOOKUP($A211,[1]Hugst!$R$5:$W$9,MATCH(ROUNDUP((O$1)/10,0)*10,[1]Hugst!$R$4:$W$4,0))))</f>
        <v>0</v>
      </c>
      <c r="P211">
        <f ca="1">IF($C211-P$1&lt;År1,0,O210*(1-VLOOKUP($A211,[1]Hugst!$R$5:$W$9,MATCH(ROUNDUP((P$1)/10,0)*10,[1]Hugst!$R$4:$W$4,0))))</f>
        <v>0</v>
      </c>
      <c r="Q211">
        <f ca="1">IF($C211-Q$1&lt;År1,0,P210*(1-VLOOKUP($A211,[1]Hugst!$R$5:$W$9,MATCH(ROUNDUP((Q$1)/10,0)*10,[1]Hugst!$R$4:$W$4,0))))</f>
        <v>0</v>
      </c>
      <c r="R211">
        <f ca="1">IF($C211-R$1&lt;År1,0,Q210*(1-VLOOKUP($A211,[1]Hugst!$R$5:$W$9,MATCH(ROUNDUP((R$1)/10,0)*10,[1]Hugst!$R$4:$W$4,0))))</f>
        <v>0</v>
      </c>
      <c r="S211">
        <f ca="1">IF($C211-S$1&lt;År1,0,R210*(1-VLOOKUP($A211,[1]Hugst!$R$5:$W$9,MATCH(ROUNDUP((S$1)/10,0)*10,[1]Hugst!$R$4:$W$4,0))))</f>
        <v>0</v>
      </c>
      <c r="T211">
        <f ca="1">IF($C211-T$1&lt;År1,0,S210*(1-VLOOKUP($A211,[1]Hugst!$R$5:$W$9,MATCH(ROUNDUP((T$1)/10,0)*10,[1]Hugst!$R$4:$W$4,0))))</f>
        <v>0</v>
      </c>
      <c r="U211">
        <f ca="1">IF($C211-U$1&lt;År1,0,T210*(1-VLOOKUP($A211,[1]Hugst!$R$5:$W$9,MATCH(ROUNDUP((U$1)/10,0)*10,[1]Hugst!$R$4:$W$4,0))))</f>
        <v>0</v>
      </c>
      <c r="V211">
        <f ca="1">IF($C211-V$1&lt;År1,0,U210*(1-VLOOKUP($A211,[1]Hugst!$R$5:$W$9,MATCH(ROUNDUP((V$1)/10,0)*10,[1]Hugst!$R$4:$W$4,0))))</f>
        <v>0</v>
      </c>
      <c r="W211">
        <f ca="1">IF($C211-W$1&lt;År1,0,V210*(1-VLOOKUP($A211,[1]Hugst!$R$5:$W$9,MATCH(ROUNDUP((W$1)/10,0)*10,[1]Hugst!$R$4:$W$4,0))))</f>
        <v>0</v>
      </c>
      <c r="X211">
        <f ca="1">IF($C211-X$1&lt;År1,0,W210*(1-VLOOKUP($A211,[1]Hugst!$R$5:$W$9,MATCH(ROUNDUP((X$1)/10,0)*10,[1]Hugst!$R$4:$W$4,0))))</f>
        <v>0</v>
      </c>
      <c r="Y211">
        <f ca="1">IF($C211-Y$1&lt;År1,0,X210*(1-VLOOKUP($A211,[1]Hugst!$R$5:$W$9,MATCH(ROUNDUP((Y$1)/10,0)*10,[1]Hugst!$R$4:$W$4,0))))</f>
        <v>0</v>
      </c>
      <c r="Z211">
        <f ca="1">IF($C211-Z$1&lt;År1,0,Y210*(1-VLOOKUP($A211,[1]Hugst!$R$5:$W$9,MATCH(ROUNDUP((Z$1)/10,0)*10,[1]Hugst!$R$4:$W$4,0))))</f>
        <v>0</v>
      </c>
      <c r="AA211">
        <f ca="1">IF($C211-AA$1&lt;År1,0,Z210*(1-VLOOKUP($A211,[1]Hugst!$R$5:$W$9,MATCH(ROUNDUP((AA$1)/10,0)*10,[1]Hugst!$R$4:$W$4,0))))</f>
        <v>0</v>
      </c>
      <c r="AB211">
        <f ca="1">IF($C211-AB$1&lt;År1,0,AA210*(1-VLOOKUP($A211,[1]Hugst!$R$5:$W$9,MATCH(ROUNDUP((AB$1)/10,0)*10,[1]Hugst!$R$4:$W$4,0))))</f>
        <v>0</v>
      </c>
      <c r="AC211">
        <f ca="1">IF($C211-AC$1&lt;År1,0,AB210*(1-VLOOKUP($A211,[1]Hugst!$R$5:$W$9,MATCH(ROUNDUP((AC$1)/10,0)*10,[1]Hugst!$R$4:$W$4,0))))</f>
        <v>0</v>
      </c>
      <c r="AD211">
        <f>IF($C211-AD$1&lt;År1,0,AC210*(1-VLOOKUP($A211,[1]Hugst!$R$5:$W$9,MATCH(ROUNDUP((AD$1)/10,0)*10,[1]Hugst!$R$4:$W$4,0))))</f>
        <v>0</v>
      </c>
      <c r="AE211">
        <f>IF($C211-AE$1&lt;År1,0,AD210*(1-VLOOKUP($A211,[1]Hugst!$R$5:$W$9,MATCH(ROUNDUP((AE$1)/10,0)*10,[1]Hugst!$R$4:$W$4,0))))</f>
        <v>0</v>
      </c>
      <c r="AF211">
        <f>IF($C211-AF$1&lt;År1,0,AE210*(1-VLOOKUP($A211,[1]Hugst!$R$5:$W$9,MATCH(ROUNDUP((AF$1)/10,0)*10,[1]Hugst!$R$4:$W$4,0))))</f>
        <v>0</v>
      </c>
      <c r="AG211">
        <f>IF($C211-AG$1&lt;År1,0,AF210*(1-VLOOKUP($A211,[1]Hugst!$R$5:$W$9,MATCH(ROUNDUP((AG$1)/10,0)*10,[1]Hugst!$R$4:$W$4,0))))</f>
        <v>0</v>
      </c>
      <c r="AH211">
        <f>IF($C211-AH$1&lt;År1,0,AG210*(1-VLOOKUP($A211,[1]Hugst!$R$5:$W$9,MATCH(ROUNDUP((AH$1)/10,0)*10,[1]Hugst!$R$4:$W$4,0))))</f>
        <v>0</v>
      </c>
      <c r="AI211">
        <f>IF($C211-AI$1&lt;År1,0,AH210*(1-VLOOKUP($A211,[1]Hugst!$R$5:$W$9,MATCH(ROUNDUP((AI$1)/10,0)*10,[1]Hugst!$R$4:$W$4,0))))</f>
        <v>0</v>
      </c>
      <c r="AJ211">
        <f>IF($C211-AJ$1&lt;År1,0,AI210*(1-VLOOKUP($A211,[1]Hugst!$R$5:$W$9,MATCH(ROUNDUP((AJ$1)/10,0)*10,[1]Hugst!$R$4:$W$4,0))))</f>
        <v>0</v>
      </c>
    </row>
    <row r="212" spans="1:36" x14ac:dyDescent="0.25">
      <c r="A212" t="s">
        <v>179</v>
      </c>
      <c r="B212" t="s">
        <v>23</v>
      </c>
      <c r="C212">
        <v>2044</v>
      </c>
      <c r="D212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0</v>
      </c>
      <c r="E212">
        <f t="shared" ca="1" si="4"/>
        <v>0</v>
      </c>
      <c r="F212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>
        <f ca="1">IF($C212-G$1&lt;År1,0,F211*(1-VLOOKUP($A212,[1]Hugst!$R$5:$W$9,MATCH(ROUNDUP((G$1)/10,0)*10,[1]Hugst!$R$4:$W$4,0))))</f>
        <v>0</v>
      </c>
      <c r="H212">
        <f ca="1">IF($C212-H$1&lt;År1,0,G211*(1-VLOOKUP($A212,[1]Hugst!$R$5:$W$9,MATCH(ROUNDUP((H$1)/10,0)*10,[1]Hugst!$R$4:$W$4,0))))</f>
        <v>0</v>
      </c>
      <c r="I212">
        <f ca="1">IF($C212-I$1&lt;År1,0,H211*(1-VLOOKUP($A212,[1]Hugst!$R$5:$W$9,MATCH(ROUNDUP((I$1)/10,0)*10,[1]Hugst!$R$4:$W$4,0))))</f>
        <v>0</v>
      </c>
      <c r="J212">
        <f ca="1">IF($C212-J$1&lt;År1,0,I211*(1-VLOOKUP($A212,[1]Hugst!$R$5:$W$9,MATCH(ROUNDUP((J$1)/10,0)*10,[1]Hugst!$R$4:$W$4,0))))</f>
        <v>0</v>
      </c>
      <c r="K212">
        <f ca="1">IF($C212-K$1&lt;År1,0,J211*(1-VLOOKUP($A212,[1]Hugst!$R$5:$W$9,MATCH(ROUNDUP((K$1)/10,0)*10,[1]Hugst!$R$4:$W$4,0))))</f>
        <v>0</v>
      </c>
      <c r="L212">
        <f ca="1">IF($C212-L$1&lt;År1,0,K211*(1-VLOOKUP($A212,[1]Hugst!$R$5:$W$9,MATCH(ROUNDUP((L$1)/10,0)*10,[1]Hugst!$R$4:$W$4,0))))</f>
        <v>0</v>
      </c>
      <c r="M212">
        <f ca="1">IF($C212-M$1&lt;År1,0,L211*(1-VLOOKUP($A212,[1]Hugst!$R$5:$W$9,MATCH(ROUNDUP((M$1)/10,0)*10,[1]Hugst!$R$4:$W$4,0))))</f>
        <v>0</v>
      </c>
      <c r="N212">
        <f ca="1">IF($C212-N$1&lt;År1,0,M211*(1-VLOOKUP($A212,[1]Hugst!$R$5:$W$9,MATCH(ROUNDUP((N$1)/10,0)*10,[1]Hugst!$R$4:$W$4,0))))</f>
        <v>0</v>
      </c>
      <c r="O212">
        <f ca="1">IF($C212-O$1&lt;År1,0,N211*(1-VLOOKUP($A212,[1]Hugst!$R$5:$W$9,MATCH(ROUNDUP((O$1)/10,0)*10,[1]Hugst!$R$4:$W$4,0))))</f>
        <v>0</v>
      </c>
      <c r="P212">
        <f ca="1">IF($C212-P$1&lt;År1,0,O211*(1-VLOOKUP($A212,[1]Hugst!$R$5:$W$9,MATCH(ROUNDUP((P$1)/10,0)*10,[1]Hugst!$R$4:$W$4,0))))</f>
        <v>0</v>
      </c>
      <c r="Q212">
        <f ca="1">IF($C212-Q$1&lt;År1,0,P211*(1-VLOOKUP($A212,[1]Hugst!$R$5:$W$9,MATCH(ROUNDUP((Q$1)/10,0)*10,[1]Hugst!$R$4:$W$4,0))))</f>
        <v>0</v>
      </c>
      <c r="R212">
        <f ca="1">IF($C212-R$1&lt;År1,0,Q211*(1-VLOOKUP($A212,[1]Hugst!$R$5:$W$9,MATCH(ROUNDUP((R$1)/10,0)*10,[1]Hugst!$R$4:$W$4,0))))</f>
        <v>0</v>
      </c>
      <c r="S212">
        <f ca="1">IF($C212-S$1&lt;År1,0,R211*(1-VLOOKUP($A212,[1]Hugst!$R$5:$W$9,MATCH(ROUNDUP((S$1)/10,0)*10,[1]Hugst!$R$4:$W$4,0))))</f>
        <v>0</v>
      </c>
      <c r="T212">
        <f ca="1">IF($C212-T$1&lt;År1,0,S211*(1-VLOOKUP($A212,[1]Hugst!$R$5:$W$9,MATCH(ROUNDUP((T$1)/10,0)*10,[1]Hugst!$R$4:$W$4,0))))</f>
        <v>0</v>
      </c>
      <c r="U212">
        <f ca="1">IF($C212-U$1&lt;År1,0,T211*(1-VLOOKUP($A212,[1]Hugst!$R$5:$W$9,MATCH(ROUNDUP((U$1)/10,0)*10,[1]Hugst!$R$4:$W$4,0))))</f>
        <v>0</v>
      </c>
      <c r="V212">
        <f ca="1">IF($C212-V$1&lt;År1,0,U211*(1-VLOOKUP($A212,[1]Hugst!$R$5:$W$9,MATCH(ROUNDUP((V$1)/10,0)*10,[1]Hugst!$R$4:$W$4,0))))</f>
        <v>0</v>
      </c>
      <c r="W212">
        <f ca="1">IF($C212-W$1&lt;År1,0,V211*(1-VLOOKUP($A212,[1]Hugst!$R$5:$W$9,MATCH(ROUNDUP((W$1)/10,0)*10,[1]Hugst!$R$4:$W$4,0))))</f>
        <v>0</v>
      </c>
      <c r="X212">
        <f ca="1">IF($C212-X$1&lt;År1,0,W211*(1-VLOOKUP($A212,[1]Hugst!$R$5:$W$9,MATCH(ROUNDUP((X$1)/10,0)*10,[1]Hugst!$R$4:$W$4,0))))</f>
        <v>0</v>
      </c>
      <c r="Y212">
        <f ca="1">IF($C212-Y$1&lt;År1,0,X211*(1-VLOOKUP($A212,[1]Hugst!$R$5:$W$9,MATCH(ROUNDUP((Y$1)/10,0)*10,[1]Hugst!$R$4:$W$4,0))))</f>
        <v>0</v>
      </c>
      <c r="Z212">
        <f ca="1">IF($C212-Z$1&lt;År1,0,Y211*(1-VLOOKUP($A212,[1]Hugst!$R$5:$W$9,MATCH(ROUNDUP((Z$1)/10,0)*10,[1]Hugst!$R$4:$W$4,0))))</f>
        <v>0</v>
      </c>
      <c r="AA212">
        <f ca="1">IF($C212-AA$1&lt;År1,0,Z211*(1-VLOOKUP($A212,[1]Hugst!$R$5:$W$9,MATCH(ROUNDUP((AA$1)/10,0)*10,[1]Hugst!$R$4:$W$4,0))))</f>
        <v>0</v>
      </c>
      <c r="AB212">
        <f ca="1">IF($C212-AB$1&lt;År1,0,AA211*(1-VLOOKUP($A212,[1]Hugst!$R$5:$W$9,MATCH(ROUNDUP((AB$1)/10,0)*10,[1]Hugst!$R$4:$W$4,0))))</f>
        <v>0</v>
      </c>
      <c r="AC212">
        <f ca="1">IF($C212-AC$1&lt;År1,0,AB211*(1-VLOOKUP($A212,[1]Hugst!$R$5:$W$9,MATCH(ROUNDUP((AC$1)/10,0)*10,[1]Hugst!$R$4:$W$4,0))))</f>
        <v>0</v>
      </c>
      <c r="AD212">
        <f ca="1">IF($C212-AD$1&lt;År1,0,AC211*(1-VLOOKUP($A212,[1]Hugst!$R$5:$W$9,MATCH(ROUNDUP((AD$1)/10,0)*10,[1]Hugst!$R$4:$W$4,0))))</f>
        <v>0</v>
      </c>
      <c r="AE212">
        <f>IF($C212-AE$1&lt;År1,0,AD211*(1-VLOOKUP($A212,[1]Hugst!$R$5:$W$9,MATCH(ROUNDUP((AE$1)/10,0)*10,[1]Hugst!$R$4:$W$4,0))))</f>
        <v>0</v>
      </c>
      <c r="AF212">
        <f>IF($C212-AF$1&lt;År1,0,AE211*(1-VLOOKUP($A212,[1]Hugst!$R$5:$W$9,MATCH(ROUNDUP((AF$1)/10,0)*10,[1]Hugst!$R$4:$W$4,0))))</f>
        <v>0</v>
      </c>
      <c r="AG212">
        <f>IF($C212-AG$1&lt;År1,0,AF211*(1-VLOOKUP($A212,[1]Hugst!$R$5:$W$9,MATCH(ROUNDUP((AG$1)/10,0)*10,[1]Hugst!$R$4:$W$4,0))))</f>
        <v>0</v>
      </c>
      <c r="AH212">
        <f>IF($C212-AH$1&lt;År1,0,AG211*(1-VLOOKUP($A212,[1]Hugst!$R$5:$W$9,MATCH(ROUNDUP((AH$1)/10,0)*10,[1]Hugst!$R$4:$W$4,0))))</f>
        <v>0</v>
      </c>
      <c r="AI212">
        <f>IF($C212-AI$1&lt;År1,0,AH211*(1-VLOOKUP($A212,[1]Hugst!$R$5:$W$9,MATCH(ROUNDUP((AI$1)/10,0)*10,[1]Hugst!$R$4:$W$4,0))))</f>
        <v>0</v>
      </c>
      <c r="AJ212">
        <f>IF($C212-AJ$1&lt;År1,0,AI211*(1-VLOOKUP($A212,[1]Hugst!$R$5:$W$9,MATCH(ROUNDUP((AJ$1)/10,0)*10,[1]Hugst!$R$4:$W$4,0))))</f>
        <v>0</v>
      </c>
    </row>
    <row r="213" spans="1:36" x14ac:dyDescent="0.25">
      <c r="A213" t="s">
        <v>179</v>
      </c>
      <c r="B213" t="s">
        <v>23</v>
      </c>
      <c r="C213">
        <v>2045</v>
      </c>
      <c r="D213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0</v>
      </c>
      <c r="E213">
        <f t="shared" ca="1" si="4"/>
        <v>0</v>
      </c>
      <c r="F213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>
        <f ca="1">IF($C213-G$1&lt;År1,0,F212*(1-VLOOKUP($A213,[1]Hugst!$R$5:$W$9,MATCH(ROUNDUP((G$1)/10,0)*10,[1]Hugst!$R$4:$W$4,0))))</f>
        <v>0</v>
      </c>
      <c r="H213">
        <f ca="1">IF($C213-H$1&lt;År1,0,G212*(1-VLOOKUP($A213,[1]Hugst!$R$5:$W$9,MATCH(ROUNDUP((H$1)/10,0)*10,[1]Hugst!$R$4:$W$4,0))))</f>
        <v>0</v>
      </c>
      <c r="I213">
        <f ca="1">IF($C213-I$1&lt;År1,0,H212*(1-VLOOKUP($A213,[1]Hugst!$R$5:$W$9,MATCH(ROUNDUP((I$1)/10,0)*10,[1]Hugst!$R$4:$W$4,0))))</f>
        <v>0</v>
      </c>
      <c r="J213">
        <f ca="1">IF($C213-J$1&lt;År1,0,I212*(1-VLOOKUP($A213,[1]Hugst!$R$5:$W$9,MATCH(ROUNDUP((J$1)/10,0)*10,[1]Hugst!$R$4:$W$4,0))))</f>
        <v>0</v>
      </c>
      <c r="K213">
        <f ca="1">IF($C213-K$1&lt;År1,0,J212*(1-VLOOKUP($A213,[1]Hugst!$R$5:$W$9,MATCH(ROUNDUP((K$1)/10,0)*10,[1]Hugst!$R$4:$W$4,0))))</f>
        <v>0</v>
      </c>
      <c r="L213">
        <f ca="1">IF($C213-L$1&lt;År1,0,K212*(1-VLOOKUP($A213,[1]Hugst!$R$5:$W$9,MATCH(ROUNDUP((L$1)/10,0)*10,[1]Hugst!$R$4:$W$4,0))))</f>
        <v>0</v>
      </c>
      <c r="M213">
        <f ca="1">IF($C213-M$1&lt;År1,0,L212*(1-VLOOKUP($A213,[1]Hugst!$R$5:$W$9,MATCH(ROUNDUP((M$1)/10,0)*10,[1]Hugst!$R$4:$W$4,0))))</f>
        <v>0</v>
      </c>
      <c r="N213">
        <f ca="1">IF($C213-N$1&lt;År1,0,M212*(1-VLOOKUP($A213,[1]Hugst!$R$5:$W$9,MATCH(ROUNDUP((N$1)/10,0)*10,[1]Hugst!$R$4:$W$4,0))))</f>
        <v>0</v>
      </c>
      <c r="O213">
        <f ca="1">IF($C213-O$1&lt;År1,0,N212*(1-VLOOKUP($A213,[1]Hugst!$R$5:$W$9,MATCH(ROUNDUP((O$1)/10,0)*10,[1]Hugst!$R$4:$W$4,0))))</f>
        <v>0</v>
      </c>
      <c r="P213">
        <f ca="1">IF($C213-P$1&lt;År1,0,O212*(1-VLOOKUP($A213,[1]Hugst!$R$5:$W$9,MATCH(ROUNDUP((P$1)/10,0)*10,[1]Hugst!$R$4:$W$4,0))))</f>
        <v>0</v>
      </c>
      <c r="Q213">
        <f ca="1">IF($C213-Q$1&lt;År1,0,P212*(1-VLOOKUP($A213,[1]Hugst!$R$5:$W$9,MATCH(ROUNDUP((Q$1)/10,0)*10,[1]Hugst!$R$4:$W$4,0))))</f>
        <v>0</v>
      </c>
      <c r="R213">
        <f ca="1">IF($C213-R$1&lt;År1,0,Q212*(1-VLOOKUP($A213,[1]Hugst!$R$5:$W$9,MATCH(ROUNDUP((R$1)/10,0)*10,[1]Hugst!$R$4:$W$4,0))))</f>
        <v>0</v>
      </c>
      <c r="S213">
        <f ca="1">IF($C213-S$1&lt;År1,0,R212*(1-VLOOKUP($A213,[1]Hugst!$R$5:$W$9,MATCH(ROUNDUP((S$1)/10,0)*10,[1]Hugst!$R$4:$W$4,0))))</f>
        <v>0</v>
      </c>
      <c r="T213">
        <f ca="1">IF($C213-T$1&lt;År1,0,S212*(1-VLOOKUP($A213,[1]Hugst!$R$5:$W$9,MATCH(ROUNDUP((T$1)/10,0)*10,[1]Hugst!$R$4:$W$4,0))))</f>
        <v>0</v>
      </c>
      <c r="U213">
        <f ca="1">IF($C213-U$1&lt;År1,0,T212*(1-VLOOKUP($A213,[1]Hugst!$R$5:$W$9,MATCH(ROUNDUP((U$1)/10,0)*10,[1]Hugst!$R$4:$W$4,0))))</f>
        <v>0</v>
      </c>
      <c r="V213">
        <f ca="1">IF($C213-V$1&lt;År1,0,U212*(1-VLOOKUP($A213,[1]Hugst!$R$5:$W$9,MATCH(ROUNDUP((V$1)/10,0)*10,[1]Hugst!$R$4:$W$4,0))))</f>
        <v>0</v>
      </c>
      <c r="W213">
        <f ca="1">IF($C213-W$1&lt;År1,0,V212*(1-VLOOKUP($A213,[1]Hugst!$R$5:$W$9,MATCH(ROUNDUP((W$1)/10,0)*10,[1]Hugst!$R$4:$W$4,0))))</f>
        <v>0</v>
      </c>
      <c r="X213">
        <f ca="1">IF($C213-X$1&lt;År1,0,W212*(1-VLOOKUP($A213,[1]Hugst!$R$5:$W$9,MATCH(ROUNDUP((X$1)/10,0)*10,[1]Hugst!$R$4:$W$4,0))))</f>
        <v>0</v>
      </c>
      <c r="Y213">
        <f ca="1">IF($C213-Y$1&lt;År1,0,X212*(1-VLOOKUP($A213,[1]Hugst!$R$5:$W$9,MATCH(ROUNDUP((Y$1)/10,0)*10,[1]Hugst!$R$4:$W$4,0))))</f>
        <v>0</v>
      </c>
      <c r="Z213">
        <f ca="1">IF($C213-Z$1&lt;År1,0,Y212*(1-VLOOKUP($A213,[1]Hugst!$R$5:$W$9,MATCH(ROUNDUP((Z$1)/10,0)*10,[1]Hugst!$R$4:$W$4,0))))</f>
        <v>0</v>
      </c>
      <c r="AA213">
        <f ca="1">IF($C213-AA$1&lt;År1,0,Z212*(1-VLOOKUP($A213,[1]Hugst!$R$5:$W$9,MATCH(ROUNDUP((AA$1)/10,0)*10,[1]Hugst!$R$4:$W$4,0))))</f>
        <v>0</v>
      </c>
      <c r="AB213">
        <f ca="1">IF($C213-AB$1&lt;År1,0,AA212*(1-VLOOKUP($A213,[1]Hugst!$R$5:$W$9,MATCH(ROUNDUP((AB$1)/10,0)*10,[1]Hugst!$R$4:$W$4,0))))</f>
        <v>0</v>
      </c>
      <c r="AC213">
        <f ca="1">IF($C213-AC$1&lt;År1,0,AB212*(1-VLOOKUP($A213,[1]Hugst!$R$5:$W$9,MATCH(ROUNDUP((AC$1)/10,0)*10,[1]Hugst!$R$4:$W$4,0))))</f>
        <v>0</v>
      </c>
      <c r="AD213">
        <f ca="1">IF($C213-AD$1&lt;År1,0,AC212*(1-VLOOKUP($A213,[1]Hugst!$R$5:$W$9,MATCH(ROUNDUP((AD$1)/10,0)*10,[1]Hugst!$R$4:$W$4,0))))</f>
        <v>0</v>
      </c>
      <c r="AE213">
        <f ca="1">IF($C213-AE$1&lt;År1,0,AD212*(1-VLOOKUP($A213,[1]Hugst!$R$5:$W$9,MATCH(ROUNDUP((AE$1)/10,0)*10,[1]Hugst!$R$4:$W$4,0))))</f>
        <v>0</v>
      </c>
      <c r="AF213">
        <f>IF($C213-AF$1&lt;År1,0,AE212*(1-VLOOKUP($A213,[1]Hugst!$R$5:$W$9,MATCH(ROUNDUP((AF$1)/10,0)*10,[1]Hugst!$R$4:$W$4,0))))</f>
        <v>0</v>
      </c>
      <c r="AG213">
        <f>IF($C213-AG$1&lt;År1,0,AF212*(1-VLOOKUP($A213,[1]Hugst!$R$5:$W$9,MATCH(ROUNDUP((AG$1)/10,0)*10,[1]Hugst!$R$4:$W$4,0))))</f>
        <v>0</v>
      </c>
      <c r="AH213">
        <f>IF($C213-AH$1&lt;År1,0,AG212*(1-VLOOKUP($A213,[1]Hugst!$R$5:$W$9,MATCH(ROUNDUP((AH$1)/10,0)*10,[1]Hugst!$R$4:$W$4,0))))</f>
        <v>0</v>
      </c>
      <c r="AI213">
        <f>IF($C213-AI$1&lt;År1,0,AH212*(1-VLOOKUP($A213,[1]Hugst!$R$5:$W$9,MATCH(ROUNDUP((AI$1)/10,0)*10,[1]Hugst!$R$4:$W$4,0))))</f>
        <v>0</v>
      </c>
      <c r="AJ213">
        <f>IF($C213-AJ$1&lt;År1,0,AI212*(1-VLOOKUP($A213,[1]Hugst!$R$5:$W$9,MATCH(ROUNDUP((AJ$1)/10,0)*10,[1]Hugst!$R$4:$W$4,0))))</f>
        <v>0</v>
      </c>
    </row>
    <row r="214" spans="1:36" x14ac:dyDescent="0.25">
      <c r="A214" t="s">
        <v>179</v>
      </c>
      <c r="B214" t="s">
        <v>23</v>
      </c>
      <c r="C214">
        <v>2046</v>
      </c>
      <c r="D214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0</v>
      </c>
      <c r="E214">
        <f t="shared" ca="1" si="4"/>
        <v>0</v>
      </c>
      <c r="F214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>
        <f ca="1">IF($C214-G$1&lt;År1,0,F213*(1-VLOOKUP($A214,[1]Hugst!$R$5:$W$9,MATCH(ROUNDUP((G$1)/10,0)*10,[1]Hugst!$R$4:$W$4,0))))</f>
        <v>0</v>
      </c>
      <c r="H214">
        <f ca="1">IF($C214-H$1&lt;År1,0,G213*(1-VLOOKUP($A214,[1]Hugst!$R$5:$W$9,MATCH(ROUNDUP((H$1)/10,0)*10,[1]Hugst!$R$4:$W$4,0))))</f>
        <v>0</v>
      </c>
      <c r="I214">
        <f ca="1">IF($C214-I$1&lt;År1,0,H213*(1-VLOOKUP($A214,[1]Hugst!$R$5:$W$9,MATCH(ROUNDUP((I$1)/10,0)*10,[1]Hugst!$R$4:$W$4,0))))</f>
        <v>0</v>
      </c>
      <c r="J214">
        <f ca="1">IF($C214-J$1&lt;År1,0,I213*(1-VLOOKUP($A214,[1]Hugst!$R$5:$W$9,MATCH(ROUNDUP((J$1)/10,0)*10,[1]Hugst!$R$4:$W$4,0))))</f>
        <v>0</v>
      </c>
      <c r="K214">
        <f ca="1">IF($C214-K$1&lt;År1,0,J213*(1-VLOOKUP($A214,[1]Hugst!$R$5:$W$9,MATCH(ROUNDUP((K$1)/10,0)*10,[1]Hugst!$R$4:$W$4,0))))</f>
        <v>0</v>
      </c>
      <c r="L214">
        <f ca="1">IF($C214-L$1&lt;År1,0,K213*(1-VLOOKUP($A214,[1]Hugst!$R$5:$W$9,MATCH(ROUNDUP((L$1)/10,0)*10,[1]Hugst!$R$4:$W$4,0))))</f>
        <v>0</v>
      </c>
      <c r="M214">
        <f ca="1">IF($C214-M$1&lt;År1,0,L213*(1-VLOOKUP($A214,[1]Hugst!$R$5:$W$9,MATCH(ROUNDUP((M$1)/10,0)*10,[1]Hugst!$R$4:$W$4,0))))</f>
        <v>0</v>
      </c>
      <c r="N214">
        <f ca="1">IF($C214-N$1&lt;År1,0,M213*(1-VLOOKUP($A214,[1]Hugst!$R$5:$W$9,MATCH(ROUNDUP((N$1)/10,0)*10,[1]Hugst!$R$4:$W$4,0))))</f>
        <v>0</v>
      </c>
      <c r="O214">
        <f ca="1">IF($C214-O$1&lt;År1,0,N213*(1-VLOOKUP($A214,[1]Hugst!$R$5:$W$9,MATCH(ROUNDUP((O$1)/10,0)*10,[1]Hugst!$R$4:$W$4,0))))</f>
        <v>0</v>
      </c>
      <c r="P214">
        <f ca="1">IF($C214-P$1&lt;År1,0,O213*(1-VLOOKUP($A214,[1]Hugst!$R$5:$W$9,MATCH(ROUNDUP((P$1)/10,0)*10,[1]Hugst!$R$4:$W$4,0))))</f>
        <v>0</v>
      </c>
      <c r="Q214">
        <f ca="1">IF($C214-Q$1&lt;År1,0,P213*(1-VLOOKUP($A214,[1]Hugst!$R$5:$W$9,MATCH(ROUNDUP((Q$1)/10,0)*10,[1]Hugst!$R$4:$W$4,0))))</f>
        <v>0</v>
      </c>
      <c r="R214">
        <f ca="1">IF($C214-R$1&lt;År1,0,Q213*(1-VLOOKUP($A214,[1]Hugst!$R$5:$W$9,MATCH(ROUNDUP((R$1)/10,0)*10,[1]Hugst!$R$4:$W$4,0))))</f>
        <v>0</v>
      </c>
      <c r="S214">
        <f ca="1">IF($C214-S$1&lt;År1,0,R213*(1-VLOOKUP($A214,[1]Hugst!$R$5:$W$9,MATCH(ROUNDUP((S$1)/10,0)*10,[1]Hugst!$R$4:$W$4,0))))</f>
        <v>0</v>
      </c>
      <c r="T214">
        <f ca="1">IF($C214-T$1&lt;År1,0,S213*(1-VLOOKUP($A214,[1]Hugst!$R$5:$W$9,MATCH(ROUNDUP((T$1)/10,0)*10,[1]Hugst!$R$4:$W$4,0))))</f>
        <v>0</v>
      </c>
      <c r="U214">
        <f ca="1">IF($C214-U$1&lt;År1,0,T213*(1-VLOOKUP($A214,[1]Hugst!$R$5:$W$9,MATCH(ROUNDUP((U$1)/10,0)*10,[1]Hugst!$R$4:$W$4,0))))</f>
        <v>0</v>
      </c>
      <c r="V214">
        <f ca="1">IF($C214-V$1&lt;År1,0,U213*(1-VLOOKUP($A214,[1]Hugst!$R$5:$W$9,MATCH(ROUNDUP((V$1)/10,0)*10,[1]Hugst!$R$4:$W$4,0))))</f>
        <v>0</v>
      </c>
      <c r="W214">
        <f ca="1">IF($C214-W$1&lt;År1,0,V213*(1-VLOOKUP($A214,[1]Hugst!$R$5:$W$9,MATCH(ROUNDUP((W$1)/10,0)*10,[1]Hugst!$R$4:$W$4,0))))</f>
        <v>0</v>
      </c>
      <c r="X214">
        <f ca="1">IF($C214-X$1&lt;År1,0,W213*(1-VLOOKUP($A214,[1]Hugst!$R$5:$W$9,MATCH(ROUNDUP((X$1)/10,0)*10,[1]Hugst!$R$4:$W$4,0))))</f>
        <v>0</v>
      </c>
      <c r="Y214">
        <f ca="1">IF($C214-Y$1&lt;År1,0,X213*(1-VLOOKUP($A214,[1]Hugst!$R$5:$W$9,MATCH(ROUNDUP((Y$1)/10,0)*10,[1]Hugst!$R$4:$W$4,0))))</f>
        <v>0</v>
      </c>
      <c r="Z214">
        <f ca="1">IF($C214-Z$1&lt;År1,0,Y213*(1-VLOOKUP($A214,[1]Hugst!$R$5:$W$9,MATCH(ROUNDUP((Z$1)/10,0)*10,[1]Hugst!$R$4:$W$4,0))))</f>
        <v>0</v>
      </c>
      <c r="AA214">
        <f ca="1">IF($C214-AA$1&lt;År1,0,Z213*(1-VLOOKUP($A214,[1]Hugst!$R$5:$W$9,MATCH(ROUNDUP((AA$1)/10,0)*10,[1]Hugst!$R$4:$W$4,0))))</f>
        <v>0</v>
      </c>
      <c r="AB214">
        <f ca="1">IF($C214-AB$1&lt;År1,0,AA213*(1-VLOOKUP($A214,[1]Hugst!$R$5:$W$9,MATCH(ROUNDUP((AB$1)/10,0)*10,[1]Hugst!$R$4:$W$4,0))))</f>
        <v>0</v>
      </c>
      <c r="AC214">
        <f ca="1">IF($C214-AC$1&lt;År1,0,AB213*(1-VLOOKUP($A214,[1]Hugst!$R$5:$W$9,MATCH(ROUNDUP((AC$1)/10,0)*10,[1]Hugst!$R$4:$W$4,0))))</f>
        <v>0</v>
      </c>
      <c r="AD214">
        <f ca="1">IF($C214-AD$1&lt;År1,0,AC213*(1-VLOOKUP($A214,[1]Hugst!$R$5:$W$9,MATCH(ROUNDUP((AD$1)/10,0)*10,[1]Hugst!$R$4:$W$4,0))))</f>
        <v>0</v>
      </c>
      <c r="AE214">
        <f ca="1">IF($C214-AE$1&lt;År1,0,AD213*(1-VLOOKUP($A214,[1]Hugst!$R$5:$W$9,MATCH(ROUNDUP((AE$1)/10,0)*10,[1]Hugst!$R$4:$W$4,0))))</f>
        <v>0</v>
      </c>
      <c r="AF214">
        <f ca="1">IF($C214-AF$1&lt;År1,0,AE213*(1-VLOOKUP($A214,[1]Hugst!$R$5:$W$9,MATCH(ROUNDUP((AF$1)/10,0)*10,[1]Hugst!$R$4:$W$4,0))))</f>
        <v>0</v>
      </c>
      <c r="AG214">
        <f>IF($C214-AG$1&lt;År1,0,AF213*(1-VLOOKUP($A214,[1]Hugst!$R$5:$W$9,MATCH(ROUNDUP((AG$1)/10,0)*10,[1]Hugst!$R$4:$W$4,0))))</f>
        <v>0</v>
      </c>
      <c r="AH214">
        <f>IF($C214-AH$1&lt;År1,0,AG213*(1-VLOOKUP($A214,[1]Hugst!$R$5:$W$9,MATCH(ROUNDUP((AH$1)/10,0)*10,[1]Hugst!$R$4:$W$4,0))))</f>
        <v>0</v>
      </c>
      <c r="AI214">
        <f>IF($C214-AI$1&lt;År1,0,AH213*(1-VLOOKUP($A214,[1]Hugst!$R$5:$W$9,MATCH(ROUNDUP((AI$1)/10,0)*10,[1]Hugst!$R$4:$W$4,0))))</f>
        <v>0</v>
      </c>
      <c r="AJ214">
        <f>IF($C214-AJ$1&lt;År1,0,AI213*(1-VLOOKUP($A214,[1]Hugst!$R$5:$W$9,MATCH(ROUNDUP((AJ$1)/10,0)*10,[1]Hugst!$R$4:$W$4,0))))</f>
        <v>0</v>
      </c>
    </row>
    <row r="215" spans="1:36" x14ac:dyDescent="0.25">
      <c r="A215" t="s">
        <v>179</v>
      </c>
      <c r="B215" t="s">
        <v>23</v>
      </c>
      <c r="C215">
        <v>2047</v>
      </c>
      <c r="D215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0</v>
      </c>
      <c r="E215">
        <f t="shared" ca="1" si="4"/>
        <v>0</v>
      </c>
      <c r="F215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>
        <f ca="1">IF($C215-G$1&lt;År1,0,F214*(1-VLOOKUP($A215,[1]Hugst!$R$5:$W$9,MATCH(ROUNDUP((G$1)/10,0)*10,[1]Hugst!$R$4:$W$4,0))))</f>
        <v>0</v>
      </c>
      <c r="H215">
        <f ca="1">IF($C215-H$1&lt;År1,0,G214*(1-VLOOKUP($A215,[1]Hugst!$R$5:$W$9,MATCH(ROUNDUP((H$1)/10,0)*10,[1]Hugst!$R$4:$W$4,0))))</f>
        <v>0</v>
      </c>
      <c r="I215">
        <f ca="1">IF($C215-I$1&lt;År1,0,H214*(1-VLOOKUP($A215,[1]Hugst!$R$5:$W$9,MATCH(ROUNDUP((I$1)/10,0)*10,[1]Hugst!$R$4:$W$4,0))))</f>
        <v>0</v>
      </c>
      <c r="J215">
        <f ca="1">IF($C215-J$1&lt;År1,0,I214*(1-VLOOKUP($A215,[1]Hugst!$R$5:$W$9,MATCH(ROUNDUP((J$1)/10,0)*10,[1]Hugst!$R$4:$W$4,0))))</f>
        <v>0</v>
      </c>
      <c r="K215">
        <f ca="1">IF($C215-K$1&lt;År1,0,J214*(1-VLOOKUP($A215,[1]Hugst!$R$5:$W$9,MATCH(ROUNDUP((K$1)/10,0)*10,[1]Hugst!$R$4:$W$4,0))))</f>
        <v>0</v>
      </c>
      <c r="L215">
        <f ca="1">IF($C215-L$1&lt;År1,0,K214*(1-VLOOKUP($A215,[1]Hugst!$R$5:$W$9,MATCH(ROUNDUP((L$1)/10,0)*10,[1]Hugst!$R$4:$W$4,0))))</f>
        <v>0</v>
      </c>
      <c r="M215">
        <f ca="1">IF($C215-M$1&lt;År1,0,L214*(1-VLOOKUP($A215,[1]Hugst!$R$5:$W$9,MATCH(ROUNDUP((M$1)/10,0)*10,[1]Hugst!$R$4:$W$4,0))))</f>
        <v>0</v>
      </c>
      <c r="N215">
        <f ca="1">IF($C215-N$1&lt;År1,0,M214*(1-VLOOKUP($A215,[1]Hugst!$R$5:$W$9,MATCH(ROUNDUP((N$1)/10,0)*10,[1]Hugst!$R$4:$W$4,0))))</f>
        <v>0</v>
      </c>
      <c r="O215">
        <f ca="1">IF($C215-O$1&lt;År1,0,N214*(1-VLOOKUP($A215,[1]Hugst!$R$5:$W$9,MATCH(ROUNDUP((O$1)/10,0)*10,[1]Hugst!$R$4:$W$4,0))))</f>
        <v>0</v>
      </c>
      <c r="P215">
        <f ca="1">IF($C215-P$1&lt;År1,0,O214*(1-VLOOKUP($A215,[1]Hugst!$R$5:$W$9,MATCH(ROUNDUP((P$1)/10,0)*10,[1]Hugst!$R$4:$W$4,0))))</f>
        <v>0</v>
      </c>
      <c r="Q215">
        <f ca="1">IF($C215-Q$1&lt;År1,0,P214*(1-VLOOKUP($A215,[1]Hugst!$R$5:$W$9,MATCH(ROUNDUP((Q$1)/10,0)*10,[1]Hugst!$R$4:$W$4,0))))</f>
        <v>0</v>
      </c>
      <c r="R215">
        <f ca="1">IF($C215-R$1&lt;År1,0,Q214*(1-VLOOKUP($A215,[1]Hugst!$R$5:$W$9,MATCH(ROUNDUP((R$1)/10,0)*10,[1]Hugst!$R$4:$W$4,0))))</f>
        <v>0</v>
      </c>
      <c r="S215">
        <f ca="1">IF($C215-S$1&lt;År1,0,R214*(1-VLOOKUP($A215,[1]Hugst!$R$5:$W$9,MATCH(ROUNDUP((S$1)/10,0)*10,[1]Hugst!$R$4:$W$4,0))))</f>
        <v>0</v>
      </c>
      <c r="T215">
        <f ca="1">IF($C215-T$1&lt;År1,0,S214*(1-VLOOKUP($A215,[1]Hugst!$R$5:$W$9,MATCH(ROUNDUP((T$1)/10,0)*10,[1]Hugst!$R$4:$W$4,0))))</f>
        <v>0</v>
      </c>
      <c r="U215">
        <f ca="1">IF($C215-U$1&lt;År1,0,T214*(1-VLOOKUP($A215,[1]Hugst!$R$5:$W$9,MATCH(ROUNDUP((U$1)/10,0)*10,[1]Hugst!$R$4:$W$4,0))))</f>
        <v>0</v>
      </c>
      <c r="V215">
        <f ca="1">IF($C215-V$1&lt;År1,0,U214*(1-VLOOKUP($A215,[1]Hugst!$R$5:$W$9,MATCH(ROUNDUP((V$1)/10,0)*10,[1]Hugst!$R$4:$W$4,0))))</f>
        <v>0</v>
      </c>
      <c r="W215">
        <f ca="1">IF($C215-W$1&lt;År1,0,V214*(1-VLOOKUP($A215,[1]Hugst!$R$5:$W$9,MATCH(ROUNDUP((W$1)/10,0)*10,[1]Hugst!$R$4:$W$4,0))))</f>
        <v>0</v>
      </c>
      <c r="X215">
        <f ca="1">IF($C215-X$1&lt;År1,0,W214*(1-VLOOKUP($A215,[1]Hugst!$R$5:$W$9,MATCH(ROUNDUP((X$1)/10,0)*10,[1]Hugst!$R$4:$W$4,0))))</f>
        <v>0</v>
      </c>
      <c r="Y215">
        <f ca="1">IF($C215-Y$1&lt;År1,0,X214*(1-VLOOKUP($A215,[1]Hugst!$R$5:$W$9,MATCH(ROUNDUP((Y$1)/10,0)*10,[1]Hugst!$R$4:$W$4,0))))</f>
        <v>0</v>
      </c>
      <c r="Z215">
        <f ca="1">IF($C215-Z$1&lt;År1,0,Y214*(1-VLOOKUP($A215,[1]Hugst!$R$5:$W$9,MATCH(ROUNDUP((Z$1)/10,0)*10,[1]Hugst!$R$4:$W$4,0))))</f>
        <v>0</v>
      </c>
      <c r="AA215">
        <f ca="1">IF($C215-AA$1&lt;År1,0,Z214*(1-VLOOKUP($A215,[1]Hugst!$R$5:$W$9,MATCH(ROUNDUP((AA$1)/10,0)*10,[1]Hugst!$R$4:$W$4,0))))</f>
        <v>0</v>
      </c>
      <c r="AB215">
        <f ca="1">IF($C215-AB$1&lt;År1,0,AA214*(1-VLOOKUP($A215,[1]Hugst!$R$5:$W$9,MATCH(ROUNDUP((AB$1)/10,0)*10,[1]Hugst!$R$4:$W$4,0))))</f>
        <v>0</v>
      </c>
      <c r="AC215">
        <f ca="1">IF($C215-AC$1&lt;År1,0,AB214*(1-VLOOKUP($A215,[1]Hugst!$R$5:$W$9,MATCH(ROUNDUP((AC$1)/10,0)*10,[1]Hugst!$R$4:$W$4,0))))</f>
        <v>0</v>
      </c>
      <c r="AD215">
        <f ca="1">IF($C215-AD$1&lt;År1,0,AC214*(1-VLOOKUP($A215,[1]Hugst!$R$5:$W$9,MATCH(ROUNDUP((AD$1)/10,0)*10,[1]Hugst!$R$4:$W$4,0))))</f>
        <v>0</v>
      </c>
      <c r="AE215">
        <f ca="1">IF($C215-AE$1&lt;År1,0,AD214*(1-VLOOKUP($A215,[1]Hugst!$R$5:$W$9,MATCH(ROUNDUP((AE$1)/10,0)*10,[1]Hugst!$R$4:$W$4,0))))</f>
        <v>0</v>
      </c>
      <c r="AF215">
        <f ca="1">IF($C215-AF$1&lt;År1,0,AE214*(1-VLOOKUP($A215,[1]Hugst!$R$5:$W$9,MATCH(ROUNDUP((AF$1)/10,0)*10,[1]Hugst!$R$4:$W$4,0))))</f>
        <v>0</v>
      </c>
      <c r="AG215">
        <f ca="1">IF($C215-AG$1&lt;År1,0,AF214*(1-VLOOKUP($A215,[1]Hugst!$R$5:$W$9,MATCH(ROUNDUP((AG$1)/10,0)*10,[1]Hugst!$R$4:$W$4,0))))</f>
        <v>0</v>
      </c>
      <c r="AH215">
        <f>IF($C215-AH$1&lt;År1,0,AG214*(1-VLOOKUP($A215,[1]Hugst!$R$5:$W$9,MATCH(ROUNDUP((AH$1)/10,0)*10,[1]Hugst!$R$4:$W$4,0))))</f>
        <v>0</v>
      </c>
      <c r="AI215">
        <f>IF($C215-AI$1&lt;År1,0,AH214*(1-VLOOKUP($A215,[1]Hugst!$R$5:$W$9,MATCH(ROUNDUP((AI$1)/10,0)*10,[1]Hugst!$R$4:$W$4,0))))</f>
        <v>0</v>
      </c>
      <c r="AJ215">
        <f>IF($C215-AJ$1&lt;År1,0,AI214*(1-VLOOKUP($A215,[1]Hugst!$R$5:$W$9,MATCH(ROUNDUP((AJ$1)/10,0)*10,[1]Hugst!$R$4:$W$4,0))))</f>
        <v>0</v>
      </c>
    </row>
    <row r="216" spans="1:36" x14ac:dyDescent="0.25">
      <c r="A216" t="s">
        <v>179</v>
      </c>
      <c r="B216" t="s">
        <v>23</v>
      </c>
      <c r="C216">
        <v>2048</v>
      </c>
      <c r="D216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0</v>
      </c>
      <c r="E216">
        <f t="shared" ca="1" si="4"/>
        <v>0</v>
      </c>
      <c r="F216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>
        <f ca="1">IF($C216-G$1&lt;År1,0,F215*(1-VLOOKUP($A216,[1]Hugst!$R$5:$W$9,MATCH(ROUNDUP((G$1)/10,0)*10,[1]Hugst!$R$4:$W$4,0))))</f>
        <v>0</v>
      </c>
      <c r="H216">
        <f ca="1">IF($C216-H$1&lt;År1,0,G215*(1-VLOOKUP($A216,[1]Hugst!$R$5:$W$9,MATCH(ROUNDUP((H$1)/10,0)*10,[1]Hugst!$R$4:$W$4,0))))</f>
        <v>0</v>
      </c>
      <c r="I216">
        <f ca="1">IF($C216-I$1&lt;År1,0,H215*(1-VLOOKUP($A216,[1]Hugst!$R$5:$W$9,MATCH(ROUNDUP((I$1)/10,0)*10,[1]Hugst!$R$4:$W$4,0))))</f>
        <v>0</v>
      </c>
      <c r="J216">
        <f ca="1">IF($C216-J$1&lt;År1,0,I215*(1-VLOOKUP($A216,[1]Hugst!$R$5:$W$9,MATCH(ROUNDUP((J$1)/10,0)*10,[1]Hugst!$R$4:$W$4,0))))</f>
        <v>0</v>
      </c>
      <c r="K216">
        <f ca="1">IF($C216-K$1&lt;År1,0,J215*(1-VLOOKUP($A216,[1]Hugst!$R$5:$W$9,MATCH(ROUNDUP((K$1)/10,0)*10,[1]Hugst!$R$4:$W$4,0))))</f>
        <v>0</v>
      </c>
      <c r="L216">
        <f ca="1">IF($C216-L$1&lt;År1,0,K215*(1-VLOOKUP($A216,[1]Hugst!$R$5:$W$9,MATCH(ROUNDUP((L$1)/10,0)*10,[1]Hugst!$R$4:$W$4,0))))</f>
        <v>0</v>
      </c>
      <c r="M216">
        <f ca="1">IF($C216-M$1&lt;År1,0,L215*(1-VLOOKUP($A216,[1]Hugst!$R$5:$W$9,MATCH(ROUNDUP((M$1)/10,0)*10,[1]Hugst!$R$4:$W$4,0))))</f>
        <v>0</v>
      </c>
      <c r="N216">
        <f ca="1">IF($C216-N$1&lt;År1,0,M215*(1-VLOOKUP($A216,[1]Hugst!$R$5:$W$9,MATCH(ROUNDUP((N$1)/10,0)*10,[1]Hugst!$R$4:$W$4,0))))</f>
        <v>0</v>
      </c>
      <c r="O216">
        <f ca="1">IF($C216-O$1&lt;År1,0,N215*(1-VLOOKUP($A216,[1]Hugst!$R$5:$W$9,MATCH(ROUNDUP((O$1)/10,0)*10,[1]Hugst!$R$4:$W$4,0))))</f>
        <v>0</v>
      </c>
      <c r="P216">
        <f ca="1">IF($C216-P$1&lt;År1,0,O215*(1-VLOOKUP($A216,[1]Hugst!$R$5:$W$9,MATCH(ROUNDUP((P$1)/10,0)*10,[1]Hugst!$R$4:$W$4,0))))</f>
        <v>0</v>
      </c>
      <c r="Q216">
        <f ca="1">IF($C216-Q$1&lt;År1,0,P215*(1-VLOOKUP($A216,[1]Hugst!$R$5:$W$9,MATCH(ROUNDUP((Q$1)/10,0)*10,[1]Hugst!$R$4:$W$4,0))))</f>
        <v>0</v>
      </c>
      <c r="R216">
        <f ca="1">IF($C216-R$1&lt;År1,0,Q215*(1-VLOOKUP($A216,[1]Hugst!$R$5:$W$9,MATCH(ROUNDUP((R$1)/10,0)*10,[1]Hugst!$R$4:$W$4,0))))</f>
        <v>0</v>
      </c>
      <c r="S216">
        <f ca="1">IF($C216-S$1&lt;År1,0,R215*(1-VLOOKUP($A216,[1]Hugst!$R$5:$W$9,MATCH(ROUNDUP((S$1)/10,0)*10,[1]Hugst!$R$4:$W$4,0))))</f>
        <v>0</v>
      </c>
      <c r="T216">
        <f ca="1">IF($C216-T$1&lt;År1,0,S215*(1-VLOOKUP($A216,[1]Hugst!$R$5:$W$9,MATCH(ROUNDUP((T$1)/10,0)*10,[1]Hugst!$R$4:$W$4,0))))</f>
        <v>0</v>
      </c>
      <c r="U216">
        <f ca="1">IF($C216-U$1&lt;År1,0,T215*(1-VLOOKUP($A216,[1]Hugst!$R$5:$W$9,MATCH(ROUNDUP((U$1)/10,0)*10,[1]Hugst!$R$4:$W$4,0))))</f>
        <v>0</v>
      </c>
      <c r="V216">
        <f ca="1">IF($C216-V$1&lt;År1,0,U215*(1-VLOOKUP($A216,[1]Hugst!$R$5:$W$9,MATCH(ROUNDUP((V$1)/10,0)*10,[1]Hugst!$R$4:$W$4,0))))</f>
        <v>0</v>
      </c>
      <c r="W216">
        <f ca="1">IF($C216-W$1&lt;År1,0,V215*(1-VLOOKUP($A216,[1]Hugst!$R$5:$W$9,MATCH(ROUNDUP((W$1)/10,0)*10,[1]Hugst!$R$4:$W$4,0))))</f>
        <v>0</v>
      </c>
      <c r="X216">
        <f ca="1">IF($C216-X$1&lt;År1,0,W215*(1-VLOOKUP($A216,[1]Hugst!$R$5:$W$9,MATCH(ROUNDUP((X$1)/10,0)*10,[1]Hugst!$R$4:$W$4,0))))</f>
        <v>0</v>
      </c>
      <c r="Y216">
        <f ca="1">IF($C216-Y$1&lt;År1,0,X215*(1-VLOOKUP($A216,[1]Hugst!$R$5:$W$9,MATCH(ROUNDUP((Y$1)/10,0)*10,[1]Hugst!$R$4:$W$4,0))))</f>
        <v>0</v>
      </c>
      <c r="Z216">
        <f ca="1">IF($C216-Z$1&lt;År1,0,Y215*(1-VLOOKUP($A216,[1]Hugst!$R$5:$W$9,MATCH(ROUNDUP((Z$1)/10,0)*10,[1]Hugst!$R$4:$W$4,0))))</f>
        <v>0</v>
      </c>
      <c r="AA216">
        <f ca="1">IF($C216-AA$1&lt;År1,0,Z215*(1-VLOOKUP($A216,[1]Hugst!$R$5:$W$9,MATCH(ROUNDUP((AA$1)/10,0)*10,[1]Hugst!$R$4:$W$4,0))))</f>
        <v>0</v>
      </c>
      <c r="AB216">
        <f ca="1">IF($C216-AB$1&lt;År1,0,AA215*(1-VLOOKUP($A216,[1]Hugst!$R$5:$W$9,MATCH(ROUNDUP((AB$1)/10,0)*10,[1]Hugst!$R$4:$W$4,0))))</f>
        <v>0</v>
      </c>
      <c r="AC216">
        <f ca="1">IF($C216-AC$1&lt;År1,0,AB215*(1-VLOOKUP($A216,[1]Hugst!$R$5:$W$9,MATCH(ROUNDUP((AC$1)/10,0)*10,[1]Hugst!$R$4:$W$4,0))))</f>
        <v>0</v>
      </c>
      <c r="AD216">
        <f ca="1">IF($C216-AD$1&lt;År1,0,AC215*(1-VLOOKUP($A216,[1]Hugst!$R$5:$W$9,MATCH(ROUNDUP((AD$1)/10,0)*10,[1]Hugst!$R$4:$W$4,0))))</f>
        <v>0</v>
      </c>
      <c r="AE216">
        <f ca="1">IF($C216-AE$1&lt;År1,0,AD215*(1-VLOOKUP($A216,[1]Hugst!$R$5:$W$9,MATCH(ROUNDUP((AE$1)/10,0)*10,[1]Hugst!$R$4:$W$4,0))))</f>
        <v>0</v>
      </c>
      <c r="AF216">
        <f ca="1">IF($C216-AF$1&lt;År1,0,AE215*(1-VLOOKUP($A216,[1]Hugst!$R$5:$W$9,MATCH(ROUNDUP((AF$1)/10,0)*10,[1]Hugst!$R$4:$W$4,0))))</f>
        <v>0</v>
      </c>
      <c r="AG216">
        <f ca="1">IF($C216-AG$1&lt;År1,0,AF215*(1-VLOOKUP($A216,[1]Hugst!$R$5:$W$9,MATCH(ROUNDUP((AG$1)/10,0)*10,[1]Hugst!$R$4:$W$4,0))))</f>
        <v>0</v>
      </c>
      <c r="AH216">
        <f ca="1">IF($C216-AH$1&lt;År1,0,AG215*(1-VLOOKUP($A216,[1]Hugst!$R$5:$W$9,MATCH(ROUNDUP((AH$1)/10,0)*10,[1]Hugst!$R$4:$W$4,0))))</f>
        <v>0</v>
      </c>
      <c r="AI216">
        <f>IF($C216-AI$1&lt;År1,0,AH215*(1-VLOOKUP($A216,[1]Hugst!$R$5:$W$9,MATCH(ROUNDUP((AI$1)/10,0)*10,[1]Hugst!$R$4:$W$4,0))))</f>
        <v>0</v>
      </c>
      <c r="AJ216">
        <f>IF($C216-AJ$1&lt;År1,0,AI215*(1-VLOOKUP($A216,[1]Hugst!$R$5:$W$9,MATCH(ROUNDUP((AJ$1)/10,0)*10,[1]Hugst!$R$4:$W$4,0))))</f>
        <v>0</v>
      </c>
    </row>
    <row r="217" spans="1:36" x14ac:dyDescent="0.25">
      <c r="A217" t="s">
        <v>179</v>
      </c>
      <c r="B217" t="s">
        <v>23</v>
      </c>
      <c r="C217">
        <v>2049</v>
      </c>
      <c r="D217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0</v>
      </c>
      <c r="E217">
        <f t="shared" ca="1" si="4"/>
        <v>0</v>
      </c>
      <c r="F217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>
        <f ca="1">IF($C217-G$1&lt;År1,0,F216*(1-VLOOKUP($A217,[1]Hugst!$R$5:$W$9,MATCH(ROUNDUP((G$1)/10,0)*10,[1]Hugst!$R$4:$W$4,0))))</f>
        <v>0</v>
      </c>
      <c r="H217">
        <f ca="1">IF($C217-H$1&lt;År1,0,G216*(1-VLOOKUP($A217,[1]Hugst!$R$5:$W$9,MATCH(ROUNDUP((H$1)/10,0)*10,[1]Hugst!$R$4:$W$4,0))))</f>
        <v>0</v>
      </c>
      <c r="I217">
        <f ca="1">IF($C217-I$1&lt;År1,0,H216*(1-VLOOKUP($A217,[1]Hugst!$R$5:$W$9,MATCH(ROUNDUP((I$1)/10,0)*10,[1]Hugst!$R$4:$W$4,0))))</f>
        <v>0</v>
      </c>
      <c r="J217">
        <f ca="1">IF($C217-J$1&lt;År1,0,I216*(1-VLOOKUP($A217,[1]Hugst!$R$5:$W$9,MATCH(ROUNDUP((J$1)/10,0)*10,[1]Hugst!$R$4:$W$4,0))))</f>
        <v>0</v>
      </c>
      <c r="K217">
        <f ca="1">IF($C217-K$1&lt;År1,0,J216*(1-VLOOKUP($A217,[1]Hugst!$R$5:$W$9,MATCH(ROUNDUP((K$1)/10,0)*10,[1]Hugst!$R$4:$W$4,0))))</f>
        <v>0</v>
      </c>
      <c r="L217">
        <f ca="1">IF($C217-L$1&lt;År1,0,K216*(1-VLOOKUP($A217,[1]Hugst!$R$5:$W$9,MATCH(ROUNDUP((L$1)/10,0)*10,[1]Hugst!$R$4:$W$4,0))))</f>
        <v>0</v>
      </c>
      <c r="M217">
        <f ca="1">IF($C217-M$1&lt;År1,0,L216*(1-VLOOKUP($A217,[1]Hugst!$R$5:$W$9,MATCH(ROUNDUP((M$1)/10,0)*10,[1]Hugst!$R$4:$W$4,0))))</f>
        <v>0</v>
      </c>
      <c r="N217">
        <f ca="1">IF($C217-N$1&lt;År1,0,M216*(1-VLOOKUP($A217,[1]Hugst!$R$5:$W$9,MATCH(ROUNDUP((N$1)/10,0)*10,[1]Hugst!$R$4:$W$4,0))))</f>
        <v>0</v>
      </c>
      <c r="O217">
        <f ca="1">IF($C217-O$1&lt;År1,0,N216*(1-VLOOKUP($A217,[1]Hugst!$R$5:$W$9,MATCH(ROUNDUP((O$1)/10,0)*10,[1]Hugst!$R$4:$W$4,0))))</f>
        <v>0</v>
      </c>
      <c r="P217">
        <f ca="1">IF($C217-P$1&lt;År1,0,O216*(1-VLOOKUP($A217,[1]Hugst!$R$5:$W$9,MATCH(ROUNDUP((P$1)/10,0)*10,[1]Hugst!$R$4:$W$4,0))))</f>
        <v>0</v>
      </c>
      <c r="Q217">
        <f ca="1">IF($C217-Q$1&lt;År1,0,P216*(1-VLOOKUP($A217,[1]Hugst!$R$5:$W$9,MATCH(ROUNDUP((Q$1)/10,0)*10,[1]Hugst!$R$4:$W$4,0))))</f>
        <v>0</v>
      </c>
      <c r="R217">
        <f ca="1">IF($C217-R$1&lt;År1,0,Q216*(1-VLOOKUP($A217,[1]Hugst!$R$5:$W$9,MATCH(ROUNDUP((R$1)/10,0)*10,[1]Hugst!$R$4:$W$4,0))))</f>
        <v>0</v>
      </c>
      <c r="S217">
        <f ca="1">IF($C217-S$1&lt;År1,0,R216*(1-VLOOKUP($A217,[1]Hugst!$R$5:$W$9,MATCH(ROUNDUP((S$1)/10,0)*10,[1]Hugst!$R$4:$W$4,0))))</f>
        <v>0</v>
      </c>
      <c r="T217">
        <f ca="1">IF($C217-T$1&lt;År1,0,S216*(1-VLOOKUP($A217,[1]Hugst!$R$5:$W$9,MATCH(ROUNDUP((T$1)/10,0)*10,[1]Hugst!$R$4:$W$4,0))))</f>
        <v>0</v>
      </c>
      <c r="U217">
        <f ca="1">IF($C217-U$1&lt;År1,0,T216*(1-VLOOKUP($A217,[1]Hugst!$R$5:$W$9,MATCH(ROUNDUP((U$1)/10,0)*10,[1]Hugst!$R$4:$W$4,0))))</f>
        <v>0</v>
      </c>
      <c r="V217">
        <f ca="1">IF($C217-V$1&lt;År1,0,U216*(1-VLOOKUP($A217,[1]Hugst!$R$5:$W$9,MATCH(ROUNDUP((V$1)/10,0)*10,[1]Hugst!$R$4:$W$4,0))))</f>
        <v>0</v>
      </c>
      <c r="W217">
        <f ca="1">IF($C217-W$1&lt;År1,0,V216*(1-VLOOKUP($A217,[1]Hugst!$R$5:$W$9,MATCH(ROUNDUP((W$1)/10,0)*10,[1]Hugst!$R$4:$W$4,0))))</f>
        <v>0</v>
      </c>
      <c r="X217">
        <f ca="1">IF($C217-X$1&lt;År1,0,W216*(1-VLOOKUP($A217,[1]Hugst!$R$5:$W$9,MATCH(ROUNDUP((X$1)/10,0)*10,[1]Hugst!$R$4:$W$4,0))))</f>
        <v>0</v>
      </c>
      <c r="Y217">
        <f ca="1">IF($C217-Y$1&lt;År1,0,X216*(1-VLOOKUP($A217,[1]Hugst!$R$5:$W$9,MATCH(ROUNDUP((Y$1)/10,0)*10,[1]Hugst!$R$4:$W$4,0))))</f>
        <v>0</v>
      </c>
      <c r="Z217">
        <f ca="1">IF($C217-Z$1&lt;År1,0,Y216*(1-VLOOKUP($A217,[1]Hugst!$R$5:$W$9,MATCH(ROUNDUP((Z$1)/10,0)*10,[1]Hugst!$R$4:$W$4,0))))</f>
        <v>0</v>
      </c>
      <c r="AA217">
        <f ca="1">IF($C217-AA$1&lt;År1,0,Z216*(1-VLOOKUP($A217,[1]Hugst!$R$5:$W$9,MATCH(ROUNDUP((AA$1)/10,0)*10,[1]Hugst!$R$4:$W$4,0))))</f>
        <v>0</v>
      </c>
      <c r="AB217">
        <f ca="1">IF($C217-AB$1&lt;År1,0,AA216*(1-VLOOKUP($A217,[1]Hugst!$R$5:$W$9,MATCH(ROUNDUP((AB$1)/10,0)*10,[1]Hugst!$R$4:$W$4,0))))</f>
        <v>0</v>
      </c>
      <c r="AC217">
        <f ca="1">IF($C217-AC$1&lt;År1,0,AB216*(1-VLOOKUP($A217,[1]Hugst!$R$5:$W$9,MATCH(ROUNDUP((AC$1)/10,0)*10,[1]Hugst!$R$4:$W$4,0))))</f>
        <v>0</v>
      </c>
      <c r="AD217">
        <f ca="1">IF($C217-AD$1&lt;År1,0,AC216*(1-VLOOKUP($A217,[1]Hugst!$R$5:$W$9,MATCH(ROUNDUP((AD$1)/10,0)*10,[1]Hugst!$R$4:$W$4,0))))</f>
        <v>0</v>
      </c>
      <c r="AE217">
        <f ca="1">IF($C217-AE$1&lt;År1,0,AD216*(1-VLOOKUP($A217,[1]Hugst!$R$5:$W$9,MATCH(ROUNDUP((AE$1)/10,0)*10,[1]Hugst!$R$4:$W$4,0))))</f>
        <v>0</v>
      </c>
      <c r="AF217">
        <f ca="1">IF($C217-AF$1&lt;År1,0,AE216*(1-VLOOKUP($A217,[1]Hugst!$R$5:$W$9,MATCH(ROUNDUP((AF$1)/10,0)*10,[1]Hugst!$R$4:$W$4,0))))</f>
        <v>0</v>
      </c>
      <c r="AG217">
        <f ca="1">IF($C217-AG$1&lt;År1,0,AF216*(1-VLOOKUP($A217,[1]Hugst!$R$5:$W$9,MATCH(ROUNDUP((AG$1)/10,0)*10,[1]Hugst!$R$4:$W$4,0))))</f>
        <v>0</v>
      </c>
      <c r="AH217">
        <f ca="1">IF($C217-AH$1&lt;År1,0,AG216*(1-VLOOKUP($A217,[1]Hugst!$R$5:$W$9,MATCH(ROUNDUP((AH$1)/10,0)*10,[1]Hugst!$R$4:$W$4,0))))</f>
        <v>0</v>
      </c>
      <c r="AI217">
        <f ca="1">IF($C217-AI$1&lt;År1,0,AH216*(1-VLOOKUP($A217,[1]Hugst!$R$5:$W$9,MATCH(ROUNDUP((AI$1)/10,0)*10,[1]Hugst!$R$4:$W$4,0))))</f>
        <v>0</v>
      </c>
      <c r="AJ217">
        <f>IF($C217-AJ$1&lt;År1,0,AI216*(1-VLOOKUP($A217,[1]Hugst!$R$5:$W$9,MATCH(ROUNDUP((AJ$1)/10,0)*10,[1]Hugst!$R$4:$W$4,0))))</f>
        <v>0</v>
      </c>
    </row>
    <row r="218" spans="1:36" x14ac:dyDescent="0.25">
      <c r="A218" t="s">
        <v>179</v>
      </c>
      <c r="B218" t="s">
        <v>23</v>
      </c>
      <c r="C218">
        <v>2050</v>
      </c>
      <c r="D21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0</v>
      </c>
      <c r="E218">
        <f t="shared" ca="1" si="4"/>
        <v>0</v>
      </c>
      <c r="F21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>
        <f ca="1">IF($C218-G$1&lt;År1,0,F217*(1-VLOOKUP($A218,[1]Hugst!$R$5:$W$9,MATCH(ROUNDUP((G$1)/10,0)*10,[1]Hugst!$R$4:$W$4,0))))</f>
        <v>0</v>
      </c>
      <c r="H218">
        <f ca="1">IF($C218-H$1&lt;År1,0,G217*(1-VLOOKUP($A218,[1]Hugst!$R$5:$W$9,MATCH(ROUNDUP((H$1)/10,0)*10,[1]Hugst!$R$4:$W$4,0))))</f>
        <v>0</v>
      </c>
      <c r="I218">
        <f ca="1">IF($C218-I$1&lt;År1,0,H217*(1-VLOOKUP($A218,[1]Hugst!$R$5:$W$9,MATCH(ROUNDUP((I$1)/10,0)*10,[1]Hugst!$R$4:$W$4,0))))</f>
        <v>0</v>
      </c>
      <c r="J218">
        <f ca="1">IF($C218-J$1&lt;År1,0,I217*(1-VLOOKUP($A218,[1]Hugst!$R$5:$W$9,MATCH(ROUNDUP((J$1)/10,0)*10,[1]Hugst!$R$4:$W$4,0))))</f>
        <v>0</v>
      </c>
      <c r="K218">
        <f ca="1">IF($C218-K$1&lt;År1,0,J217*(1-VLOOKUP($A218,[1]Hugst!$R$5:$W$9,MATCH(ROUNDUP((K$1)/10,0)*10,[1]Hugst!$R$4:$W$4,0))))</f>
        <v>0</v>
      </c>
      <c r="L218">
        <f ca="1">IF($C218-L$1&lt;År1,0,K217*(1-VLOOKUP($A218,[1]Hugst!$R$5:$W$9,MATCH(ROUNDUP((L$1)/10,0)*10,[1]Hugst!$R$4:$W$4,0))))</f>
        <v>0</v>
      </c>
      <c r="M218">
        <f ca="1">IF($C218-M$1&lt;År1,0,L217*(1-VLOOKUP($A218,[1]Hugst!$R$5:$W$9,MATCH(ROUNDUP((M$1)/10,0)*10,[1]Hugst!$R$4:$W$4,0))))</f>
        <v>0</v>
      </c>
      <c r="N218">
        <f ca="1">IF($C218-N$1&lt;År1,0,M217*(1-VLOOKUP($A218,[1]Hugst!$R$5:$W$9,MATCH(ROUNDUP((N$1)/10,0)*10,[1]Hugst!$R$4:$W$4,0))))</f>
        <v>0</v>
      </c>
      <c r="O218">
        <f ca="1">IF($C218-O$1&lt;År1,0,N217*(1-VLOOKUP($A218,[1]Hugst!$R$5:$W$9,MATCH(ROUNDUP((O$1)/10,0)*10,[1]Hugst!$R$4:$W$4,0))))</f>
        <v>0</v>
      </c>
      <c r="P218">
        <f ca="1">IF($C218-P$1&lt;År1,0,O217*(1-VLOOKUP($A218,[1]Hugst!$R$5:$W$9,MATCH(ROUNDUP((P$1)/10,0)*10,[1]Hugst!$R$4:$W$4,0))))</f>
        <v>0</v>
      </c>
      <c r="Q218">
        <f ca="1">IF($C218-Q$1&lt;År1,0,P217*(1-VLOOKUP($A218,[1]Hugst!$R$5:$W$9,MATCH(ROUNDUP((Q$1)/10,0)*10,[1]Hugst!$R$4:$W$4,0))))</f>
        <v>0</v>
      </c>
      <c r="R218">
        <f ca="1">IF($C218-R$1&lt;År1,0,Q217*(1-VLOOKUP($A218,[1]Hugst!$R$5:$W$9,MATCH(ROUNDUP((R$1)/10,0)*10,[1]Hugst!$R$4:$W$4,0))))</f>
        <v>0</v>
      </c>
      <c r="S218">
        <f ca="1">IF($C218-S$1&lt;År1,0,R217*(1-VLOOKUP($A218,[1]Hugst!$R$5:$W$9,MATCH(ROUNDUP((S$1)/10,0)*10,[1]Hugst!$R$4:$W$4,0))))</f>
        <v>0</v>
      </c>
      <c r="T218">
        <f ca="1">IF($C218-T$1&lt;År1,0,S217*(1-VLOOKUP($A218,[1]Hugst!$R$5:$W$9,MATCH(ROUNDUP((T$1)/10,0)*10,[1]Hugst!$R$4:$W$4,0))))</f>
        <v>0</v>
      </c>
      <c r="U218">
        <f ca="1">IF($C218-U$1&lt;År1,0,T217*(1-VLOOKUP($A218,[1]Hugst!$R$5:$W$9,MATCH(ROUNDUP((U$1)/10,0)*10,[1]Hugst!$R$4:$W$4,0))))</f>
        <v>0</v>
      </c>
      <c r="V218">
        <f ca="1">IF($C218-V$1&lt;År1,0,U217*(1-VLOOKUP($A218,[1]Hugst!$R$5:$W$9,MATCH(ROUNDUP((V$1)/10,0)*10,[1]Hugst!$R$4:$W$4,0))))</f>
        <v>0</v>
      </c>
      <c r="W218">
        <f ca="1">IF($C218-W$1&lt;År1,0,V217*(1-VLOOKUP($A218,[1]Hugst!$R$5:$W$9,MATCH(ROUNDUP((W$1)/10,0)*10,[1]Hugst!$R$4:$W$4,0))))</f>
        <v>0</v>
      </c>
      <c r="X218">
        <f ca="1">IF($C218-X$1&lt;År1,0,W217*(1-VLOOKUP($A218,[1]Hugst!$R$5:$W$9,MATCH(ROUNDUP((X$1)/10,0)*10,[1]Hugst!$R$4:$W$4,0))))</f>
        <v>0</v>
      </c>
      <c r="Y218">
        <f ca="1">IF($C218-Y$1&lt;År1,0,X217*(1-VLOOKUP($A218,[1]Hugst!$R$5:$W$9,MATCH(ROUNDUP((Y$1)/10,0)*10,[1]Hugst!$R$4:$W$4,0))))</f>
        <v>0</v>
      </c>
      <c r="Z218">
        <f ca="1">IF($C218-Z$1&lt;År1,0,Y217*(1-VLOOKUP($A218,[1]Hugst!$R$5:$W$9,MATCH(ROUNDUP((Z$1)/10,0)*10,[1]Hugst!$R$4:$W$4,0))))</f>
        <v>0</v>
      </c>
      <c r="AA218">
        <f ca="1">IF($C218-AA$1&lt;År1,0,Z217*(1-VLOOKUP($A218,[1]Hugst!$R$5:$W$9,MATCH(ROUNDUP((AA$1)/10,0)*10,[1]Hugst!$R$4:$W$4,0))))</f>
        <v>0</v>
      </c>
      <c r="AB218">
        <f ca="1">IF($C218-AB$1&lt;År1,0,AA217*(1-VLOOKUP($A218,[1]Hugst!$R$5:$W$9,MATCH(ROUNDUP((AB$1)/10,0)*10,[1]Hugst!$R$4:$W$4,0))))</f>
        <v>0</v>
      </c>
      <c r="AC218">
        <f ca="1">IF($C218-AC$1&lt;År1,0,AB217*(1-VLOOKUP($A218,[1]Hugst!$R$5:$W$9,MATCH(ROUNDUP((AC$1)/10,0)*10,[1]Hugst!$R$4:$W$4,0))))</f>
        <v>0</v>
      </c>
      <c r="AD218">
        <f ca="1">IF($C218-AD$1&lt;År1,0,AC217*(1-VLOOKUP($A218,[1]Hugst!$R$5:$W$9,MATCH(ROUNDUP((AD$1)/10,0)*10,[1]Hugst!$R$4:$W$4,0))))</f>
        <v>0</v>
      </c>
      <c r="AE218">
        <f ca="1">IF($C218-AE$1&lt;År1,0,AD217*(1-VLOOKUP($A218,[1]Hugst!$R$5:$W$9,MATCH(ROUNDUP((AE$1)/10,0)*10,[1]Hugst!$R$4:$W$4,0))))</f>
        <v>0</v>
      </c>
      <c r="AF218">
        <f ca="1">IF($C218-AF$1&lt;År1,0,AE217*(1-VLOOKUP($A218,[1]Hugst!$R$5:$W$9,MATCH(ROUNDUP((AF$1)/10,0)*10,[1]Hugst!$R$4:$W$4,0))))</f>
        <v>0</v>
      </c>
      <c r="AG218">
        <f ca="1">IF($C218-AG$1&lt;År1,0,AF217*(1-VLOOKUP($A218,[1]Hugst!$R$5:$W$9,MATCH(ROUNDUP((AG$1)/10,0)*10,[1]Hugst!$R$4:$W$4,0))))</f>
        <v>0</v>
      </c>
      <c r="AH218">
        <f ca="1">IF($C218-AH$1&lt;År1,0,AG217*(1-VLOOKUP($A218,[1]Hugst!$R$5:$W$9,MATCH(ROUNDUP((AH$1)/10,0)*10,[1]Hugst!$R$4:$W$4,0))))</f>
        <v>0</v>
      </c>
      <c r="AI218">
        <f ca="1">IF($C218-AI$1&lt;År1,0,AH217*(1-VLOOKUP($A218,[1]Hugst!$R$5:$W$9,MATCH(ROUNDUP((AI$1)/10,0)*10,[1]Hugst!$R$4:$W$4,0))))</f>
        <v>0</v>
      </c>
      <c r="AJ218">
        <f ca="1">IF($C218-AJ$1&lt;År1,0,AI217*(1-VLOOKUP($A218,[1]Hugst!$R$5:$W$9,MATCH(ROUNDUP((AJ$1)/10,0)*10,[1]Hugst!$R$4:$W$4,0))))</f>
        <v>0</v>
      </c>
    </row>
    <row r="219" spans="1:36" x14ac:dyDescent="0.25">
      <c r="A219" t="s">
        <v>179</v>
      </c>
      <c r="B219" t="s">
        <v>24</v>
      </c>
      <c r="C219">
        <v>2020</v>
      </c>
      <c r="D219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0</v>
      </c>
      <c r="E219">
        <f>IF(C219=2020,SUM(G219:AJ219),SUM(F218:AJ218)-SUM(G219:AJ219))</f>
        <v>0</v>
      </c>
      <c r="F21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>
        <f>IF($C219-G$1&lt;År1,0,F218*(1-VLOOKUP($A219,[1]Hugst!$R$5:$W$9,MATCH(ROUNDUP((G$1)/10,0)*10,[1]Hugst!$R$4:$W$4,0))))</f>
        <v>0</v>
      </c>
      <c r="H219">
        <f>IF($C219-H$1&lt;År1,0,G218*(1-VLOOKUP($A219,[1]Hugst!$R$5:$W$9,MATCH(ROUNDUP((H$1)/10,0)*10,[1]Hugst!$R$4:$W$4,0))))</f>
        <v>0</v>
      </c>
      <c r="I219">
        <f>IF($C219-I$1&lt;År1,0,H218*(1-VLOOKUP($A219,[1]Hugst!$R$5:$W$9,MATCH(ROUNDUP((I$1)/10,0)*10,[1]Hugst!$R$4:$W$4,0))))</f>
        <v>0</v>
      </c>
      <c r="J219">
        <f>IF($C219-J$1&lt;År1,0,I218*(1-VLOOKUP($A219,[1]Hugst!$R$5:$W$9,MATCH(ROUNDUP((J$1)/10,0)*10,[1]Hugst!$R$4:$W$4,0))))</f>
        <v>0</v>
      </c>
      <c r="K219">
        <f>IF($C219-K$1&lt;År1,0,J218*(1-VLOOKUP($A219,[1]Hugst!$R$5:$W$9,MATCH(ROUNDUP((K$1)/10,0)*10,[1]Hugst!$R$4:$W$4,0))))</f>
        <v>0</v>
      </c>
      <c r="L219">
        <f>IF($C219-L$1&lt;År1,0,K218*(1-VLOOKUP($A219,[1]Hugst!$R$5:$W$9,MATCH(ROUNDUP((L$1)/10,0)*10,[1]Hugst!$R$4:$W$4,0))))</f>
        <v>0</v>
      </c>
      <c r="M219">
        <f>IF($C219-M$1&lt;År1,0,L218*(1-VLOOKUP($A219,[1]Hugst!$R$5:$W$9,MATCH(ROUNDUP((M$1)/10,0)*10,[1]Hugst!$R$4:$W$4,0))))</f>
        <v>0</v>
      </c>
      <c r="N219">
        <f>IF($C219-N$1&lt;År1,0,M218*(1-VLOOKUP($A219,[1]Hugst!$R$5:$W$9,MATCH(ROUNDUP((N$1)/10,0)*10,[1]Hugst!$R$4:$W$4,0))))</f>
        <v>0</v>
      </c>
      <c r="O219">
        <f>IF($C219-O$1&lt;År1,0,N218*(1-VLOOKUP($A219,[1]Hugst!$R$5:$W$9,MATCH(ROUNDUP((O$1)/10,0)*10,[1]Hugst!$R$4:$W$4,0))))</f>
        <v>0</v>
      </c>
      <c r="P219">
        <f>IF($C219-P$1&lt;År1,0,O218*(1-VLOOKUP($A219,[1]Hugst!$R$5:$W$9,MATCH(ROUNDUP((P$1)/10,0)*10,[1]Hugst!$R$4:$W$4,0))))</f>
        <v>0</v>
      </c>
      <c r="Q219">
        <f>IF($C219-Q$1&lt;År1,0,P218*(1-VLOOKUP($A219,[1]Hugst!$R$5:$W$9,MATCH(ROUNDUP((Q$1)/10,0)*10,[1]Hugst!$R$4:$W$4,0))))</f>
        <v>0</v>
      </c>
      <c r="R219">
        <f>IF($C219-R$1&lt;År1,0,Q218*(1-VLOOKUP($A219,[1]Hugst!$R$5:$W$9,MATCH(ROUNDUP((R$1)/10,0)*10,[1]Hugst!$R$4:$W$4,0))))</f>
        <v>0</v>
      </c>
      <c r="S219">
        <f>IF($C219-S$1&lt;År1,0,R218*(1-VLOOKUP($A219,[1]Hugst!$R$5:$W$9,MATCH(ROUNDUP((S$1)/10,0)*10,[1]Hugst!$R$4:$W$4,0))))</f>
        <v>0</v>
      </c>
      <c r="T219">
        <f>IF($C219-T$1&lt;År1,0,S218*(1-VLOOKUP($A219,[1]Hugst!$R$5:$W$9,MATCH(ROUNDUP((T$1)/10,0)*10,[1]Hugst!$R$4:$W$4,0))))</f>
        <v>0</v>
      </c>
      <c r="U219">
        <f>IF($C219-U$1&lt;År1,0,T218*(1-VLOOKUP($A219,[1]Hugst!$R$5:$W$9,MATCH(ROUNDUP((U$1)/10,0)*10,[1]Hugst!$R$4:$W$4,0))))</f>
        <v>0</v>
      </c>
      <c r="V219">
        <f>IF($C219-V$1&lt;År1,0,U218*(1-VLOOKUP($A219,[1]Hugst!$R$5:$W$9,MATCH(ROUNDUP((V$1)/10,0)*10,[1]Hugst!$R$4:$W$4,0))))</f>
        <v>0</v>
      </c>
      <c r="W219">
        <f>IF($C219-W$1&lt;År1,0,V218*(1-VLOOKUP($A219,[1]Hugst!$R$5:$W$9,MATCH(ROUNDUP((W$1)/10,0)*10,[1]Hugst!$R$4:$W$4,0))))</f>
        <v>0</v>
      </c>
      <c r="X219">
        <f>IF($C219-X$1&lt;År1,0,W218*(1-VLOOKUP($A219,[1]Hugst!$R$5:$W$9,MATCH(ROUNDUP((X$1)/10,0)*10,[1]Hugst!$R$4:$W$4,0))))</f>
        <v>0</v>
      </c>
      <c r="Y219">
        <f>IF($C219-Y$1&lt;År1,0,X218*(1-VLOOKUP($A219,[1]Hugst!$R$5:$W$9,MATCH(ROUNDUP((Y$1)/10,0)*10,[1]Hugst!$R$4:$W$4,0))))</f>
        <v>0</v>
      </c>
      <c r="Z219">
        <f>IF($C219-Z$1&lt;År1,0,Y218*(1-VLOOKUP($A219,[1]Hugst!$R$5:$W$9,MATCH(ROUNDUP((Z$1)/10,0)*10,[1]Hugst!$R$4:$W$4,0))))</f>
        <v>0</v>
      </c>
      <c r="AA219">
        <f>IF($C219-AA$1&lt;År1,0,Z218*(1-VLOOKUP($A219,[1]Hugst!$R$5:$W$9,MATCH(ROUNDUP((AA$1)/10,0)*10,[1]Hugst!$R$4:$W$4,0))))</f>
        <v>0</v>
      </c>
      <c r="AB219">
        <f>IF($C219-AB$1&lt;År1,0,AA218*(1-VLOOKUP($A219,[1]Hugst!$R$5:$W$9,MATCH(ROUNDUP((AB$1)/10,0)*10,[1]Hugst!$R$4:$W$4,0))))</f>
        <v>0</v>
      </c>
      <c r="AC219">
        <f>IF($C219-AC$1&lt;År1,0,AB218*(1-VLOOKUP($A219,[1]Hugst!$R$5:$W$9,MATCH(ROUNDUP((AC$1)/10,0)*10,[1]Hugst!$R$4:$W$4,0))))</f>
        <v>0</v>
      </c>
      <c r="AD219">
        <f>IF($C219-AD$1&lt;År1,0,AC218*(1-VLOOKUP($A219,[1]Hugst!$R$5:$W$9,MATCH(ROUNDUP((AD$1)/10,0)*10,[1]Hugst!$R$4:$W$4,0))))</f>
        <v>0</v>
      </c>
      <c r="AE219">
        <f>IF($C219-AE$1&lt;År1,0,AD218*(1-VLOOKUP($A219,[1]Hugst!$R$5:$W$9,MATCH(ROUNDUP((AE$1)/10,0)*10,[1]Hugst!$R$4:$W$4,0))))</f>
        <v>0</v>
      </c>
      <c r="AF219">
        <f>IF($C219-AF$1&lt;År1,0,AE218*(1-VLOOKUP($A219,[1]Hugst!$R$5:$W$9,MATCH(ROUNDUP((AF$1)/10,0)*10,[1]Hugst!$R$4:$W$4,0))))</f>
        <v>0</v>
      </c>
      <c r="AG219">
        <f>IF($C219-AG$1&lt;År1,0,AF218*(1-VLOOKUP($A219,[1]Hugst!$R$5:$W$9,MATCH(ROUNDUP((AG$1)/10,0)*10,[1]Hugst!$R$4:$W$4,0))))</f>
        <v>0</v>
      </c>
      <c r="AH219">
        <f>IF($C219-AH$1&lt;År1,0,AG218*(1-VLOOKUP($A219,[1]Hugst!$R$5:$W$9,MATCH(ROUNDUP((AH$1)/10,0)*10,[1]Hugst!$R$4:$W$4,0))))</f>
        <v>0</v>
      </c>
      <c r="AI219">
        <f>IF($C219-AI$1&lt;År1,0,AH218*(1-VLOOKUP($A219,[1]Hugst!$R$5:$W$9,MATCH(ROUNDUP((AI$1)/10,0)*10,[1]Hugst!$R$4:$W$4,0))))</f>
        <v>0</v>
      </c>
      <c r="AJ219">
        <f>IF($C219-AJ$1&lt;År1,0,AI218*(1-VLOOKUP($A219,[1]Hugst!$R$5:$W$9,MATCH(ROUNDUP((AJ$1)/10,0)*10,[1]Hugst!$R$4:$W$4,0))))</f>
        <v>0</v>
      </c>
    </row>
    <row r="220" spans="1:36" x14ac:dyDescent="0.25">
      <c r="A220" t="s">
        <v>179</v>
      </c>
      <c r="B220" t="s">
        <v>24</v>
      </c>
      <c r="C220">
        <v>2021</v>
      </c>
      <c r="D220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0</v>
      </c>
      <c r="E220">
        <f t="shared" ref="E220:E248" ca="1" si="5">IF(C220=2020,SUM(G220:AJ220),SUM(F219:AJ219)-SUM(G220:AJ220))</f>
        <v>0</v>
      </c>
      <c r="F220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>
        <f ca="1">IF($C220-G$1&lt;År1,0,F219*(1-VLOOKUP($A220,[1]Hugst!$R$5:$W$9,MATCH(ROUNDUP((G$1)/10,0)*10,[1]Hugst!$R$4:$W$4,0))))</f>
        <v>0</v>
      </c>
      <c r="H220">
        <f>IF($C220-H$1&lt;År1,0,G219*(1-VLOOKUP($A220,[1]Hugst!$R$5:$W$9,MATCH(ROUNDUP((H$1)/10,0)*10,[1]Hugst!$R$4:$W$4,0))))</f>
        <v>0</v>
      </c>
      <c r="I220">
        <f>IF($C220-I$1&lt;År1,0,H219*(1-VLOOKUP($A220,[1]Hugst!$R$5:$W$9,MATCH(ROUNDUP((I$1)/10,0)*10,[1]Hugst!$R$4:$W$4,0))))</f>
        <v>0</v>
      </c>
      <c r="J220">
        <f>IF($C220-J$1&lt;År1,0,I219*(1-VLOOKUP($A220,[1]Hugst!$R$5:$W$9,MATCH(ROUNDUP((J$1)/10,0)*10,[1]Hugst!$R$4:$W$4,0))))</f>
        <v>0</v>
      </c>
      <c r="K220">
        <f>IF($C220-K$1&lt;År1,0,J219*(1-VLOOKUP($A220,[1]Hugst!$R$5:$W$9,MATCH(ROUNDUP((K$1)/10,0)*10,[1]Hugst!$R$4:$W$4,0))))</f>
        <v>0</v>
      </c>
      <c r="L220">
        <f>IF($C220-L$1&lt;År1,0,K219*(1-VLOOKUP($A220,[1]Hugst!$R$5:$W$9,MATCH(ROUNDUP((L$1)/10,0)*10,[1]Hugst!$R$4:$W$4,0))))</f>
        <v>0</v>
      </c>
      <c r="M220">
        <f>IF($C220-M$1&lt;År1,0,L219*(1-VLOOKUP($A220,[1]Hugst!$R$5:$W$9,MATCH(ROUNDUP((M$1)/10,0)*10,[1]Hugst!$R$4:$W$4,0))))</f>
        <v>0</v>
      </c>
      <c r="N220">
        <f>IF($C220-N$1&lt;År1,0,M219*(1-VLOOKUP($A220,[1]Hugst!$R$5:$W$9,MATCH(ROUNDUP((N$1)/10,0)*10,[1]Hugst!$R$4:$W$4,0))))</f>
        <v>0</v>
      </c>
      <c r="O220">
        <f>IF($C220-O$1&lt;År1,0,N219*(1-VLOOKUP($A220,[1]Hugst!$R$5:$W$9,MATCH(ROUNDUP((O$1)/10,0)*10,[1]Hugst!$R$4:$W$4,0))))</f>
        <v>0</v>
      </c>
      <c r="P220">
        <f>IF($C220-P$1&lt;År1,0,O219*(1-VLOOKUP($A220,[1]Hugst!$R$5:$W$9,MATCH(ROUNDUP((P$1)/10,0)*10,[1]Hugst!$R$4:$W$4,0))))</f>
        <v>0</v>
      </c>
      <c r="Q220">
        <f>IF($C220-Q$1&lt;År1,0,P219*(1-VLOOKUP($A220,[1]Hugst!$R$5:$W$9,MATCH(ROUNDUP((Q$1)/10,0)*10,[1]Hugst!$R$4:$W$4,0))))</f>
        <v>0</v>
      </c>
      <c r="R220">
        <f>IF($C220-R$1&lt;År1,0,Q219*(1-VLOOKUP($A220,[1]Hugst!$R$5:$W$9,MATCH(ROUNDUP((R$1)/10,0)*10,[1]Hugst!$R$4:$W$4,0))))</f>
        <v>0</v>
      </c>
      <c r="S220">
        <f>IF($C220-S$1&lt;År1,0,R219*(1-VLOOKUP($A220,[1]Hugst!$R$5:$W$9,MATCH(ROUNDUP((S$1)/10,0)*10,[1]Hugst!$R$4:$W$4,0))))</f>
        <v>0</v>
      </c>
      <c r="T220">
        <f>IF($C220-T$1&lt;År1,0,S219*(1-VLOOKUP($A220,[1]Hugst!$R$5:$W$9,MATCH(ROUNDUP((T$1)/10,0)*10,[1]Hugst!$R$4:$W$4,0))))</f>
        <v>0</v>
      </c>
      <c r="U220">
        <f>IF($C220-U$1&lt;År1,0,T219*(1-VLOOKUP($A220,[1]Hugst!$R$5:$W$9,MATCH(ROUNDUP((U$1)/10,0)*10,[1]Hugst!$R$4:$W$4,0))))</f>
        <v>0</v>
      </c>
      <c r="V220">
        <f>IF($C220-V$1&lt;År1,0,U219*(1-VLOOKUP($A220,[1]Hugst!$R$5:$W$9,MATCH(ROUNDUP((V$1)/10,0)*10,[1]Hugst!$R$4:$W$4,0))))</f>
        <v>0</v>
      </c>
      <c r="W220">
        <f>IF($C220-W$1&lt;År1,0,V219*(1-VLOOKUP($A220,[1]Hugst!$R$5:$W$9,MATCH(ROUNDUP((W$1)/10,0)*10,[1]Hugst!$R$4:$W$4,0))))</f>
        <v>0</v>
      </c>
      <c r="X220">
        <f>IF($C220-X$1&lt;År1,0,W219*(1-VLOOKUP($A220,[1]Hugst!$R$5:$W$9,MATCH(ROUNDUP((X$1)/10,0)*10,[1]Hugst!$R$4:$W$4,0))))</f>
        <v>0</v>
      </c>
      <c r="Y220">
        <f>IF($C220-Y$1&lt;År1,0,X219*(1-VLOOKUP($A220,[1]Hugst!$R$5:$W$9,MATCH(ROUNDUP((Y$1)/10,0)*10,[1]Hugst!$R$4:$W$4,0))))</f>
        <v>0</v>
      </c>
      <c r="Z220">
        <f>IF($C220-Z$1&lt;År1,0,Y219*(1-VLOOKUP($A220,[1]Hugst!$R$5:$W$9,MATCH(ROUNDUP((Z$1)/10,0)*10,[1]Hugst!$R$4:$W$4,0))))</f>
        <v>0</v>
      </c>
      <c r="AA220">
        <f>IF($C220-AA$1&lt;År1,0,Z219*(1-VLOOKUP($A220,[1]Hugst!$R$5:$W$9,MATCH(ROUNDUP((AA$1)/10,0)*10,[1]Hugst!$R$4:$W$4,0))))</f>
        <v>0</v>
      </c>
      <c r="AB220">
        <f>IF($C220-AB$1&lt;År1,0,AA219*(1-VLOOKUP($A220,[1]Hugst!$R$5:$W$9,MATCH(ROUNDUP((AB$1)/10,0)*10,[1]Hugst!$R$4:$W$4,0))))</f>
        <v>0</v>
      </c>
      <c r="AC220">
        <f>IF($C220-AC$1&lt;År1,0,AB219*(1-VLOOKUP($A220,[1]Hugst!$R$5:$W$9,MATCH(ROUNDUP((AC$1)/10,0)*10,[1]Hugst!$R$4:$W$4,0))))</f>
        <v>0</v>
      </c>
      <c r="AD220">
        <f>IF($C220-AD$1&lt;År1,0,AC219*(1-VLOOKUP($A220,[1]Hugst!$R$5:$W$9,MATCH(ROUNDUP((AD$1)/10,0)*10,[1]Hugst!$R$4:$W$4,0))))</f>
        <v>0</v>
      </c>
      <c r="AE220">
        <f>IF($C220-AE$1&lt;År1,0,AD219*(1-VLOOKUP($A220,[1]Hugst!$R$5:$W$9,MATCH(ROUNDUP((AE$1)/10,0)*10,[1]Hugst!$R$4:$W$4,0))))</f>
        <v>0</v>
      </c>
      <c r="AF220">
        <f>IF($C220-AF$1&lt;År1,0,AE219*(1-VLOOKUP($A220,[1]Hugst!$R$5:$W$9,MATCH(ROUNDUP((AF$1)/10,0)*10,[1]Hugst!$R$4:$W$4,0))))</f>
        <v>0</v>
      </c>
      <c r="AG220">
        <f>IF($C220-AG$1&lt;År1,0,AF219*(1-VLOOKUP($A220,[1]Hugst!$R$5:$W$9,MATCH(ROUNDUP((AG$1)/10,0)*10,[1]Hugst!$R$4:$W$4,0))))</f>
        <v>0</v>
      </c>
      <c r="AH220">
        <f>IF($C220-AH$1&lt;År1,0,AG219*(1-VLOOKUP($A220,[1]Hugst!$R$5:$W$9,MATCH(ROUNDUP((AH$1)/10,0)*10,[1]Hugst!$R$4:$W$4,0))))</f>
        <v>0</v>
      </c>
      <c r="AI220">
        <f>IF($C220-AI$1&lt;År1,0,AH219*(1-VLOOKUP($A220,[1]Hugst!$R$5:$W$9,MATCH(ROUNDUP((AI$1)/10,0)*10,[1]Hugst!$R$4:$W$4,0))))</f>
        <v>0</v>
      </c>
      <c r="AJ220">
        <f>IF($C220-AJ$1&lt;År1,0,AI219*(1-VLOOKUP($A220,[1]Hugst!$R$5:$W$9,MATCH(ROUNDUP((AJ$1)/10,0)*10,[1]Hugst!$R$4:$W$4,0))))</f>
        <v>0</v>
      </c>
    </row>
    <row r="221" spans="1:36" x14ac:dyDescent="0.25">
      <c r="A221" t="s">
        <v>179</v>
      </c>
      <c r="B221" t="s">
        <v>24</v>
      </c>
      <c r="C221">
        <v>2022</v>
      </c>
      <c r="D221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0</v>
      </c>
      <c r="E221">
        <f t="shared" ca="1" si="5"/>
        <v>0</v>
      </c>
      <c r="F221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>
        <f ca="1">IF($C221-G$1&lt;År1,0,F220*(1-VLOOKUP($A221,[1]Hugst!$R$5:$W$9,MATCH(ROUNDUP((G$1)/10,0)*10,[1]Hugst!$R$4:$W$4,0))))</f>
        <v>0</v>
      </c>
      <c r="H221">
        <f ca="1">IF($C221-H$1&lt;År1,0,G220*(1-VLOOKUP($A221,[1]Hugst!$R$5:$W$9,MATCH(ROUNDUP((H$1)/10,0)*10,[1]Hugst!$R$4:$W$4,0))))</f>
        <v>0</v>
      </c>
      <c r="I221">
        <f>IF($C221-I$1&lt;År1,0,H220*(1-VLOOKUP($A221,[1]Hugst!$R$5:$W$9,MATCH(ROUNDUP((I$1)/10,0)*10,[1]Hugst!$R$4:$W$4,0))))</f>
        <v>0</v>
      </c>
      <c r="J221">
        <f>IF($C221-J$1&lt;År1,0,I220*(1-VLOOKUP($A221,[1]Hugst!$R$5:$W$9,MATCH(ROUNDUP((J$1)/10,0)*10,[1]Hugst!$R$4:$W$4,0))))</f>
        <v>0</v>
      </c>
      <c r="K221">
        <f>IF($C221-K$1&lt;År1,0,J220*(1-VLOOKUP($A221,[1]Hugst!$R$5:$W$9,MATCH(ROUNDUP((K$1)/10,0)*10,[1]Hugst!$R$4:$W$4,0))))</f>
        <v>0</v>
      </c>
      <c r="L221">
        <f>IF($C221-L$1&lt;År1,0,K220*(1-VLOOKUP($A221,[1]Hugst!$R$5:$W$9,MATCH(ROUNDUP((L$1)/10,0)*10,[1]Hugst!$R$4:$W$4,0))))</f>
        <v>0</v>
      </c>
      <c r="M221">
        <f>IF($C221-M$1&lt;År1,0,L220*(1-VLOOKUP($A221,[1]Hugst!$R$5:$W$9,MATCH(ROUNDUP((M$1)/10,0)*10,[1]Hugst!$R$4:$W$4,0))))</f>
        <v>0</v>
      </c>
      <c r="N221">
        <f>IF($C221-N$1&lt;År1,0,M220*(1-VLOOKUP($A221,[1]Hugst!$R$5:$W$9,MATCH(ROUNDUP((N$1)/10,0)*10,[1]Hugst!$R$4:$W$4,0))))</f>
        <v>0</v>
      </c>
      <c r="O221">
        <f>IF($C221-O$1&lt;År1,0,N220*(1-VLOOKUP($A221,[1]Hugst!$R$5:$W$9,MATCH(ROUNDUP((O$1)/10,0)*10,[1]Hugst!$R$4:$W$4,0))))</f>
        <v>0</v>
      </c>
      <c r="P221">
        <f>IF($C221-P$1&lt;År1,0,O220*(1-VLOOKUP($A221,[1]Hugst!$R$5:$W$9,MATCH(ROUNDUP((P$1)/10,0)*10,[1]Hugst!$R$4:$W$4,0))))</f>
        <v>0</v>
      </c>
      <c r="Q221">
        <f>IF($C221-Q$1&lt;År1,0,P220*(1-VLOOKUP($A221,[1]Hugst!$R$5:$W$9,MATCH(ROUNDUP((Q$1)/10,0)*10,[1]Hugst!$R$4:$W$4,0))))</f>
        <v>0</v>
      </c>
      <c r="R221">
        <f>IF($C221-R$1&lt;År1,0,Q220*(1-VLOOKUP($A221,[1]Hugst!$R$5:$W$9,MATCH(ROUNDUP((R$1)/10,0)*10,[1]Hugst!$R$4:$W$4,0))))</f>
        <v>0</v>
      </c>
      <c r="S221">
        <f>IF($C221-S$1&lt;År1,0,R220*(1-VLOOKUP($A221,[1]Hugst!$R$5:$W$9,MATCH(ROUNDUP((S$1)/10,0)*10,[1]Hugst!$R$4:$W$4,0))))</f>
        <v>0</v>
      </c>
      <c r="T221">
        <f>IF($C221-T$1&lt;År1,0,S220*(1-VLOOKUP($A221,[1]Hugst!$R$5:$W$9,MATCH(ROUNDUP((T$1)/10,0)*10,[1]Hugst!$R$4:$W$4,0))))</f>
        <v>0</v>
      </c>
      <c r="U221">
        <f>IF($C221-U$1&lt;År1,0,T220*(1-VLOOKUP($A221,[1]Hugst!$R$5:$W$9,MATCH(ROUNDUP((U$1)/10,0)*10,[1]Hugst!$R$4:$W$4,0))))</f>
        <v>0</v>
      </c>
      <c r="V221">
        <f>IF($C221-V$1&lt;År1,0,U220*(1-VLOOKUP($A221,[1]Hugst!$R$5:$W$9,MATCH(ROUNDUP((V$1)/10,0)*10,[1]Hugst!$R$4:$W$4,0))))</f>
        <v>0</v>
      </c>
      <c r="W221">
        <f>IF($C221-W$1&lt;År1,0,V220*(1-VLOOKUP($A221,[1]Hugst!$R$5:$W$9,MATCH(ROUNDUP((W$1)/10,0)*10,[1]Hugst!$R$4:$W$4,0))))</f>
        <v>0</v>
      </c>
      <c r="X221">
        <f>IF($C221-X$1&lt;År1,0,W220*(1-VLOOKUP($A221,[1]Hugst!$R$5:$W$9,MATCH(ROUNDUP((X$1)/10,0)*10,[1]Hugst!$R$4:$W$4,0))))</f>
        <v>0</v>
      </c>
      <c r="Y221">
        <f>IF($C221-Y$1&lt;År1,0,X220*(1-VLOOKUP($A221,[1]Hugst!$R$5:$W$9,MATCH(ROUNDUP((Y$1)/10,0)*10,[1]Hugst!$R$4:$W$4,0))))</f>
        <v>0</v>
      </c>
      <c r="Z221">
        <f>IF($C221-Z$1&lt;År1,0,Y220*(1-VLOOKUP($A221,[1]Hugst!$R$5:$W$9,MATCH(ROUNDUP((Z$1)/10,0)*10,[1]Hugst!$R$4:$W$4,0))))</f>
        <v>0</v>
      </c>
      <c r="AA221">
        <f>IF($C221-AA$1&lt;År1,0,Z220*(1-VLOOKUP($A221,[1]Hugst!$R$5:$W$9,MATCH(ROUNDUP((AA$1)/10,0)*10,[1]Hugst!$R$4:$W$4,0))))</f>
        <v>0</v>
      </c>
      <c r="AB221">
        <f>IF($C221-AB$1&lt;År1,0,AA220*(1-VLOOKUP($A221,[1]Hugst!$R$5:$W$9,MATCH(ROUNDUP((AB$1)/10,0)*10,[1]Hugst!$R$4:$W$4,0))))</f>
        <v>0</v>
      </c>
      <c r="AC221">
        <f>IF($C221-AC$1&lt;År1,0,AB220*(1-VLOOKUP($A221,[1]Hugst!$R$5:$W$9,MATCH(ROUNDUP((AC$1)/10,0)*10,[1]Hugst!$R$4:$W$4,0))))</f>
        <v>0</v>
      </c>
      <c r="AD221">
        <f>IF($C221-AD$1&lt;År1,0,AC220*(1-VLOOKUP($A221,[1]Hugst!$R$5:$W$9,MATCH(ROUNDUP((AD$1)/10,0)*10,[1]Hugst!$R$4:$W$4,0))))</f>
        <v>0</v>
      </c>
      <c r="AE221">
        <f>IF($C221-AE$1&lt;År1,0,AD220*(1-VLOOKUP($A221,[1]Hugst!$R$5:$W$9,MATCH(ROUNDUP((AE$1)/10,0)*10,[1]Hugst!$R$4:$W$4,0))))</f>
        <v>0</v>
      </c>
      <c r="AF221">
        <f>IF($C221-AF$1&lt;År1,0,AE220*(1-VLOOKUP($A221,[1]Hugst!$R$5:$W$9,MATCH(ROUNDUP((AF$1)/10,0)*10,[1]Hugst!$R$4:$W$4,0))))</f>
        <v>0</v>
      </c>
      <c r="AG221">
        <f>IF($C221-AG$1&lt;År1,0,AF220*(1-VLOOKUP($A221,[1]Hugst!$R$5:$W$9,MATCH(ROUNDUP((AG$1)/10,0)*10,[1]Hugst!$R$4:$W$4,0))))</f>
        <v>0</v>
      </c>
      <c r="AH221">
        <f>IF($C221-AH$1&lt;År1,0,AG220*(1-VLOOKUP($A221,[1]Hugst!$R$5:$W$9,MATCH(ROUNDUP((AH$1)/10,0)*10,[1]Hugst!$R$4:$W$4,0))))</f>
        <v>0</v>
      </c>
      <c r="AI221">
        <f>IF($C221-AI$1&lt;År1,0,AH220*(1-VLOOKUP($A221,[1]Hugst!$R$5:$W$9,MATCH(ROUNDUP((AI$1)/10,0)*10,[1]Hugst!$R$4:$W$4,0))))</f>
        <v>0</v>
      </c>
      <c r="AJ221">
        <f>IF($C221-AJ$1&lt;År1,0,AI220*(1-VLOOKUP($A221,[1]Hugst!$R$5:$W$9,MATCH(ROUNDUP((AJ$1)/10,0)*10,[1]Hugst!$R$4:$W$4,0))))</f>
        <v>0</v>
      </c>
    </row>
    <row r="222" spans="1:36" x14ac:dyDescent="0.25">
      <c r="A222" t="s">
        <v>179</v>
      </c>
      <c r="B222" t="s">
        <v>24</v>
      </c>
      <c r="C222">
        <v>2023</v>
      </c>
      <c r="D222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0</v>
      </c>
      <c r="E222">
        <f t="shared" ca="1" si="5"/>
        <v>0</v>
      </c>
      <c r="F222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>
        <f ca="1">IF($C222-G$1&lt;År1,0,F221*(1-VLOOKUP($A222,[1]Hugst!$R$5:$W$9,MATCH(ROUNDUP((G$1)/10,0)*10,[1]Hugst!$R$4:$W$4,0))))</f>
        <v>0</v>
      </c>
      <c r="H222">
        <f ca="1">IF($C222-H$1&lt;År1,0,G221*(1-VLOOKUP($A222,[1]Hugst!$R$5:$W$9,MATCH(ROUNDUP((H$1)/10,0)*10,[1]Hugst!$R$4:$W$4,0))))</f>
        <v>0</v>
      </c>
      <c r="I222">
        <f ca="1">IF($C222-I$1&lt;År1,0,H221*(1-VLOOKUP($A222,[1]Hugst!$R$5:$W$9,MATCH(ROUNDUP((I$1)/10,0)*10,[1]Hugst!$R$4:$W$4,0))))</f>
        <v>0</v>
      </c>
      <c r="J222">
        <f>IF($C222-J$1&lt;År1,0,I221*(1-VLOOKUP($A222,[1]Hugst!$R$5:$W$9,MATCH(ROUNDUP((J$1)/10,0)*10,[1]Hugst!$R$4:$W$4,0))))</f>
        <v>0</v>
      </c>
      <c r="K222">
        <f>IF($C222-K$1&lt;År1,0,J221*(1-VLOOKUP($A222,[1]Hugst!$R$5:$W$9,MATCH(ROUNDUP((K$1)/10,0)*10,[1]Hugst!$R$4:$W$4,0))))</f>
        <v>0</v>
      </c>
      <c r="L222">
        <f>IF($C222-L$1&lt;År1,0,K221*(1-VLOOKUP($A222,[1]Hugst!$R$5:$W$9,MATCH(ROUNDUP((L$1)/10,0)*10,[1]Hugst!$R$4:$W$4,0))))</f>
        <v>0</v>
      </c>
      <c r="M222">
        <f>IF($C222-M$1&lt;År1,0,L221*(1-VLOOKUP($A222,[1]Hugst!$R$5:$W$9,MATCH(ROUNDUP((M$1)/10,0)*10,[1]Hugst!$R$4:$W$4,0))))</f>
        <v>0</v>
      </c>
      <c r="N222">
        <f>IF($C222-N$1&lt;År1,0,M221*(1-VLOOKUP($A222,[1]Hugst!$R$5:$W$9,MATCH(ROUNDUP((N$1)/10,0)*10,[1]Hugst!$R$4:$W$4,0))))</f>
        <v>0</v>
      </c>
      <c r="O222">
        <f>IF($C222-O$1&lt;År1,0,N221*(1-VLOOKUP($A222,[1]Hugst!$R$5:$W$9,MATCH(ROUNDUP((O$1)/10,0)*10,[1]Hugst!$R$4:$W$4,0))))</f>
        <v>0</v>
      </c>
      <c r="P222">
        <f>IF($C222-P$1&lt;År1,0,O221*(1-VLOOKUP($A222,[1]Hugst!$R$5:$W$9,MATCH(ROUNDUP((P$1)/10,0)*10,[1]Hugst!$R$4:$W$4,0))))</f>
        <v>0</v>
      </c>
      <c r="Q222">
        <f>IF($C222-Q$1&lt;År1,0,P221*(1-VLOOKUP($A222,[1]Hugst!$R$5:$W$9,MATCH(ROUNDUP((Q$1)/10,0)*10,[1]Hugst!$R$4:$W$4,0))))</f>
        <v>0</v>
      </c>
      <c r="R222">
        <f>IF($C222-R$1&lt;År1,0,Q221*(1-VLOOKUP($A222,[1]Hugst!$R$5:$W$9,MATCH(ROUNDUP((R$1)/10,0)*10,[1]Hugst!$R$4:$W$4,0))))</f>
        <v>0</v>
      </c>
      <c r="S222">
        <f>IF($C222-S$1&lt;År1,0,R221*(1-VLOOKUP($A222,[1]Hugst!$R$5:$W$9,MATCH(ROUNDUP((S$1)/10,0)*10,[1]Hugst!$R$4:$W$4,0))))</f>
        <v>0</v>
      </c>
      <c r="T222">
        <f>IF($C222-T$1&lt;År1,0,S221*(1-VLOOKUP($A222,[1]Hugst!$R$5:$W$9,MATCH(ROUNDUP((T$1)/10,0)*10,[1]Hugst!$R$4:$W$4,0))))</f>
        <v>0</v>
      </c>
      <c r="U222">
        <f>IF($C222-U$1&lt;År1,0,T221*(1-VLOOKUP($A222,[1]Hugst!$R$5:$W$9,MATCH(ROUNDUP((U$1)/10,0)*10,[1]Hugst!$R$4:$W$4,0))))</f>
        <v>0</v>
      </c>
      <c r="V222">
        <f>IF($C222-V$1&lt;År1,0,U221*(1-VLOOKUP($A222,[1]Hugst!$R$5:$W$9,MATCH(ROUNDUP((V$1)/10,0)*10,[1]Hugst!$R$4:$W$4,0))))</f>
        <v>0</v>
      </c>
      <c r="W222">
        <f>IF($C222-W$1&lt;År1,0,V221*(1-VLOOKUP($A222,[1]Hugst!$R$5:$W$9,MATCH(ROUNDUP((W$1)/10,0)*10,[1]Hugst!$R$4:$W$4,0))))</f>
        <v>0</v>
      </c>
      <c r="X222">
        <f>IF($C222-X$1&lt;År1,0,W221*(1-VLOOKUP($A222,[1]Hugst!$R$5:$W$9,MATCH(ROUNDUP((X$1)/10,0)*10,[1]Hugst!$R$4:$W$4,0))))</f>
        <v>0</v>
      </c>
      <c r="Y222">
        <f>IF($C222-Y$1&lt;År1,0,X221*(1-VLOOKUP($A222,[1]Hugst!$R$5:$W$9,MATCH(ROUNDUP((Y$1)/10,0)*10,[1]Hugst!$R$4:$W$4,0))))</f>
        <v>0</v>
      </c>
      <c r="Z222">
        <f>IF($C222-Z$1&lt;År1,0,Y221*(1-VLOOKUP($A222,[1]Hugst!$R$5:$W$9,MATCH(ROUNDUP((Z$1)/10,0)*10,[1]Hugst!$R$4:$W$4,0))))</f>
        <v>0</v>
      </c>
      <c r="AA222">
        <f>IF($C222-AA$1&lt;År1,0,Z221*(1-VLOOKUP($A222,[1]Hugst!$R$5:$W$9,MATCH(ROUNDUP((AA$1)/10,0)*10,[1]Hugst!$R$4:$W$4,0))))</f>
        <v>0</v>
      </c>
      <c r="AB222">
        <f>IF($C222-AB$1&lt;År1,0,AA221*(1-VLOOKUP($A222,[1]Hugst!$R$5:$W$9,MATCH(ROUNDUP((AB$1)/10,0)*10,[1]Hugst!$R$4:$W$4,0))))</f>
        <v>0</v>
      </c>
      <c r="AC222">
        <f>IF($C222-AC$1&lt;År1,0,AB221*(1-VLOOKUP($A222,[1]Hugst!$R$5:$W$9,MATCH(ROUNDUP((AC$1)/10,0)*10,[1]Hugst!$R$4:$W$4,0))))</f>
        <v>0</v>
      </c>
      <c r="AD222">
        <f>IF($C222-AD$1&lt;År1,0,AC221*(1-VLOOKUP($A222,[1]Hugst!$R$5:$W$9,MATCH(ROUNDUP((AD$1)/10,0)*10,[1]Hugst!$R$4:$W$4,0))))</f>
        <v>0</v>
      </c>
      <c r="AE222">
        <f>IF($C222-AE$1&lt;År1,0,AD221*(1-VLOOKUP($A222,[1]Hugst!$R$5:$W$9,MATCH(ROUNDUP((AE$1)/10,0)*10,[1]Hugst!$R$4:$W$4,0))))</f>
        <v>0</v>
      </c>
      <c r="AF222">
        <f>IF($C222-AF$1&lt;År1,0,AE221*(1-VLOOKUP($A222,[1]Hugst!$R$5:$W$9,MATCH(ROUNDUP((AF$1)/10,0)*10,[1]Hugst!$R$4:$W$4,0))))</f>
        <v>0</v>
      </c>
      <c r="AG222">
        <f>IF($C222-AG$1&lt;År1,0,AF221*(1-VLOOKUP($A222,[1]Hugst!$R$5:$W$9,MATCH(ROUNDUP((AG$1)/10,0)*10,[1]Hugst!$R$4:$W$4,0))))</f>
        <v>0</v>
      </c>
      <c r="AH222">
        <f>IF($C222-AH$1&lt;År1,0,AG221*(1-VLOOKUP($A222,[1]Hugst!$R$5:$W$9,MATCH(ROUNDUP((AH$1)/10,0)*10,[1]Hugst!$R$4:$W$4,0))))</f>
        <v>0</v>
      </c>
      <c r="AI222">
        <f>IF($C222-AI$1&lt;År1,0,AH221*(1-VLOOKUP($A222,[1]Hugst!$R$5:$W$9,MATCH(ROUNDUP((AI$1)/10,0)*10,[1]Hugst!$R$4:$W$4,0))))</f>
        <v>0</v>
      </c>
      <c r="AJ222">
        <f>IF($C222-AJ$1&lt;År1,0,AI221*(1-VLOOKUP($A222,[1]Hugst!$R$5:$W$9,MATCH(ROUNDUP((AJ$1)/10,0)*10,[1]Hugst!$R$4:$W$4,0))))</f>
        <v>0</v>
      </c>
    </row>
    <row r="223" spans="1:36" x14ac:dyDescent="0.25">
      <c r="A223" t="s">
        <v>179</v>
      </c>
      <c r="B223" t="s">
        <v>24</v>
      </c>
      <c r="C223">
        <v>2024</v>
      </c>
      <c r="D223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0</v>
      </c>
      <c r="E223">
        <f t="shared" ca="1" si="5"/>
        <v>0</v>
      </c>
      <c r="F223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>
        <f ca="1">IF($C223-G$1&lt;År1,0,F222*(1-VLOOKUP($A223,[1]Hugst!$R$5:$W$9,MATCH(ROUNDUP((G$1)/10,0)*10,[1]Hugst!$R$4:$W$4,0))))</f>
        <v>0</v>
      </c>
      <c r="H223">
        <f ca="1">IF($C223-H$1&lt;År1,0,G222*(1-VLOOKUP($A223,[1]Hugst!$R$5:$W$9,MATCH(ROUNDUP((H$1)/10,0)*10,[1]Hugst!$R$4:$W$4,0))))</f>
        <v>0</v>
      </c>
      <c r="I223">
        <f ca="1">IF($C223-I$1&lt;År1,0,H222*(1-VLOOKUP($A223,[1]Hugst!$R$5:$W$9,MATCH(ROUNDUP((I$1)/10,0)*10,[1]Hugst!$R$4:$W$4,0))))</f>
        <v>0</v>
      </c>
      <c r="J223">
        <f ca="1">IF($C223-J$1&lt;År1,0,I222*(1-VLOOKUP($A223,[1]Hugst!$R$5:$W$9,MATCH(ROUNDUP((J$1)/10,0)*10,[1]Hugst!$R$4:$W$4,0))))</f>
        <v>0</v>
      </c>
      <c r="K223">
        <f>IF($C223-K$1&lt;År1,0,J222*(1-VLOOKUP($A223,[1]Hugst!$R$5:$W$9,MATCH(ROUNDUP((K$1)/10,0)*10,[1]Hugst!$R$4:$W$4,0))))</f>
        <v>0</v>
      </c>
      <c r="L223">
        <f>IF($C223-L$1&lt;År1,0,K222*(1-VLOOKUP($A223,[1]Hugst!$R$5:$W$9,MATCH(ROUNDUP((L$1)/10,0)*10,[1]Hugst!$R$4:$W$4,0))))</f>
        <v>0</v>
      </c>
      <c r="M223">
        <f>IF($C223-M$1&lt;År1,0,L222*(1-VLOOKUP($A223,[1]Hugst!$R$5:$W$9,MATCH(ROUNDUP((M$1)/10,0)*10,[1]Hugst!$R$4:$W$4,0))))</f>
        <v>0</v>
      </c>
      <c r="N223">
        <f>IF($C223-N$1&lt;År1,0,M222*(1-VLOOKUP($A223,[1]Hugst!$R$5:$W$9,MATCH(ROUNDUP((N$1)/10,0)*10,[1]Hugst!$R$4:$W$4,0))))</f>
        <v>0</v>
      </c>
      <c r="O223">
        <f>IF($C223-O$1&lt;År1,0,N222*(1-VLOOKUP($A223,[1]Hugst!$R$5:$W$9,MATCH(ROUNDUP((O$1)/10,0)*10,[1]Hugst!$R$4:$W$4,0))))</f>
        <v>0</v>
      </c>
      <c r="P223">
        <f>IF($C223-P$1&lt;År1,0,O222*(1-VLOOKUP($A223,[1]Hugst!$R$5:$W$9,MATCH(ROUNDUP((P$1)/10,0)*10,[1]Hugst!$R$4:$W$4,0))))</f>
        <v>0</v>
      </c>
      <c r="Q223">
        <f>IF($C223-Q$1&lt;År1,0,P222*(1-VLOOKUP($A223,[1]Hugst!$R$5:$W$9,MATCH(ROUNDUP((Q$1)/10,0)*10,[1]Hugst!$R$4:$W$4,0))))</f>
        <v>0</v>
      </c>
      <c r="R223">
        <f>IF($C223-R$1&lt;År1,0,Q222*(1-VLOOKUP($A223,[1]Hugst!$R$5:$W$9,MATCH(ROUNDUP((R$1)/10,0)*10,[1]Hugst!$R$4:$W$4,0))))</f>
        <v>0</v>
      </c>
      <c r="S223">
        <f>IF($C223-S$1&lt;År1,0,R222*(1-VLOOKUP($A223,[1]Hugst!$R$5:$W$9,MATCH(ROUNDUP((S$1)/10,0)*10,[1]Hugst!$R$4:$W$4,0))))</f>
        <v>0</v>
      </c>
      <c r="T223">
        <f>IF($C223-T$1&lt;År1,0,S222*(1-VLOOKUP($A223,[1]Hugst!$R$5:$W$9,MATCH(ROUNDUP((T$1)/10,0)*10,[1]Hugst!$R$4:$W$4,0))))</f>
        <v>0</v>
      </c>
      <c r="U223">
        <f>IF($C223-U$1&lt;År1,0,T222*(1-VLOOKUP($A223,[1]Hugst!$R$5:$W$9,MATCH(ROUNDUP((U$1)/10,0)*10,[1]Hugst!$R$4:$W$4,0))))</f>
        <v>0</v>
      </c>
      <c r="V223">
        <f>IF($C223-V$1&lt;År1,0,U222*(1-VLOOKUP($A223,[1]Hugst!$R$5:$W$9,MATCH(ROUNDUP((V$1)/10,0)*10,[1]Hugst!$R$4:$W$4,0))))</f>
        <v>0</v>
      </c>
      <c r="W223">
        <f>IF($C223-W$1&lt;År1,0,V222*(1-VLOOKUP($A223,[1]Hugst!$R$5:$W$9,MATCH(ROUNDUP((W$1)/10,0)*10,[1]Hugst!$R$4:$W$4,0))))</f>
        <v>0</v>
      </c>
      <c r="X223">
        <f>IF($C223-X$1&lt;År1,0,W222*(1-VLOOKUP($A223,[1]Hugst!$R$5:$W$9,MATCH(ROUNDUP((X$1)/10,0)*10,[1]Hugst!$R$4:$W$4,0))))</f>
        <v>0</v>
      </c>
      <c r="Y223">
        <f>IF($C223-Y$1&lt;År1,0,X222*(1-VLOOKUP($A223,[1]Hugst!$R$5:$W$9,MATCH(ROUNDUP((Y$1)/10,0)*10,[1]Hugst!$R$4:$W$4,0))))</f>
        <v>0</v>
      </c>
      <c r="Z223">
        <f>IF($C223-Z$1&lt;År1,0,Y222*(1-VLOOKUP($A223,[1]Hugst!$R$5:$W$9,MATCH(ROUNDUP((Z$1)/10,0)*10,[1]Hugst!$R$4:$W$4,0))))</f>
        <v>0</v>
      </c>
      <c r="AA223">
        <f>IF($C223-AA$1&lt;År1,0,Z222*(1-VLOOKUP($A223,[1]Hugst!$R$5:$W$9,MATCH(ROUNDUP((AA$1)/10,0)*10,[1]Hugst!$R$4:$W$4,0))))</f>
        <v>0</v>
      </c>
      <c r="AB223">
        <f>IF($C223-AB$1&lt;År1,0,AA222*(1-VLOOKUP($A223,[1]Hugst!$R$5:$W$9,MATCH(ROUNDUP((AB$1)/10,0)*10,[1]Hugst!$R$4:$W$4,0))))</f>
        <v>0</v>
      </c>
      <c r="AC223">
        <f>IF($C223-AC$1&lt;År1,0,AB222*(1-VLOOKUP($A223,[1]Hugst!$R$5:$W$9,MATCH(ROUNDUP((AC$1)/10,0)*10,[1]Hugst!$R$4:$W$4,0))))</f>
        <v>0</v>
      </c>
      <c r="AD223">
        <f>IF($C223-AD$1&lt;År1,0,AC222*(1-VLOOKUP($A223,[1]Hugst!$R$5:$W$9,MATCH(ROUNDUP((AD$1)/10,0)*10,[1]Hugst!$R$4:$W$4,0))))</f>
        <v>0</v>
      </c>
      <c r="AE223">
        <f>IF($C223-AE$1&lt;År1,0,AD222*(1-VLOOKUP($A223,[1]Hugst!$R$5:$W$9,MATCH(ROUNDUP((AE$1)/10,0)*10,[1]Hugst!$R$4:$W$4,0))))</f>
        <v>0</v>
      </c>
      <c r="AF223">
        <f>IF($C223-AF$1&lt;År1,0,AE222*(1-VLOOKUP($A223,[1]Hugst!$R$5:$W$9,MATCH(ROUNDUP((AF$1)/10,0)*10,[1]Hugst!$R$4:$W$4,0))))</f>
        <v>0</v>
      </c>
      <c r="AG223">
        <f>IF($C223-AG$1&lt;År1,0,AF222*(1-VLOOKUP($A223,[1]Hugst!$R$5:$W$9,MATCH(ROUNDUP((AG$1)/10,0)*10,[1]Hugst!$R$4:$W$4,0))))</f>
        <v>0</v>
      </c>
      <c r="AH223">
        <f>IF($C223-AH$1&lt;År1,0,AG222*(1-VLOOKUP($A223,[1]Hugst!$R$5:$W$9,MATCH(ROUNDUP((AH$1)/10,0)*10,[1]Hugst!$R$4:$W$4,0))))</f>
        <v>0</v>
      </c>
      <c r="AI223">
        <f>IF($C223-AI$1&lt;År1,0,AH222*(1-VLOOKUP($A223,[1]Hugst!$R$5:$W$9,MATCH(ROUNDUP((AI$1)/10,0)*10,[1]Hugst!$R$4:$W$4,0))))</f>
        <v>0</v>
      </c>
      <c r="AJ223">
        <f>IF($C223-AJ$1&lt;År1,0,AI222*(1-VLOOKUP($A223,[1]Hugst!$R$5:$W$9,MATCH(ROUNDUP((AJ$1)/10,0)*10,[1]Hugst!$R$4:$W$4,0))))</f>
        <v>0</v>
      </c>
    </row>
    <row r="224" spans="1:36" x14ac:dyDescent="0.25">
      <c r="A224" t="s">
        <v>179</v>
      </c>
      <c r="B224" t="s">
        <v>24</v>
      </c>
      <c r="C224">
        <v>2025</v>
      </c>
      <c r="D224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0</v>
      </c>
      <c r="E224">
        <f t="shared" ca="1" si="5"/>
        <v>0</v>
      </c>
      <c r="F224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>
        <f ca="1">IF($C224-G$1&lt;År1,0,F223*(1-VLOOKUP($A224,[1]Hugst!$R$5:$W$9,MATCH(ROUNDUP((G$1)/10,0)*10,[1]Hugst!$R$4:$W$4,0))))</f>
        <v>0</v>
      </c>
      <c r="H224">
        <f ca="1">IF($C224-H$1&lt;År1,0,G223*(1-VLOOKUP($A224,[1]Hugst!$R$5:$W$9,MATCH(ROUNDUP((H$1)/10,0)*10,[1]Hugst!$R$4:$W$4,0))))</f>
        <v>0</v>
      </c>
      <c r="I224">
        <f ca="1">IF($C224-I$1&lt;År1,0,H223*(1-VLOOKUP($A224,[1]Hugst!$R$5:$W$9,MATCH(ROUNDUP((I$1)/10,0)*10,[1]Hugst!$R$4:$W$4,0))))</f>
        <v>0</v>
      </c>
      <c r="J224">
        <f ca="1">IF($C224-J$1&lt;År1,0,I223*(1-VLOOKUP($A224,[1]Hugst!$R$5:$W$9,MATCH(ROUNDUP((J$1)/10,0)*10,[1]Hugst!$R$4:$W$4,0))))</f>
        <v>0</v>
      </c>
      <c r="K224">
        <f ca="1">IF($C224-K$1&lt;År1,0,J223*(1-VLOOKUP($A224,[1]Hugst!$R$5:$W$9,MATCH(ROUNDUP((K$1)/10,0)*10,[1]Hugst!$R$4:$W$4,0))))</f>
        <v>0</v>
      </c>
      <c r="L224">
        <f>IF($C224-L$1&lt;År1,0,K223*(1-VLOOKUP($A224,[1]Hugst!$R$5:$W$9,MATCH(ROUNDUP((L$1)/10,0)*10,[1]Hugst!$R$4:$W$4,0))))</f>
        <v>0</v>
      </c>
      <c r="M224">
        <f>IF($C224-M$1&lt;År1,0,L223*(1-VLOOKUP($A224,[1]Hugst!$R$5:$W$9,MATCH(ROUNDUP((M$1)/10,0)*10,[1]Hugst!$R$4:$W$4,0))))</f>
        <v>0</v>
      </c>
      <c r="N224">
        <f>IF($C224-N$1&lt;År1,0,M223*(1-VLOOKUP($A224,[1]Hugst!$R$5:$W$9,MATCH(ROUNDUP((N$1)/10,0)*10,[1]Hugst!$R$4:$W$4,0))))</f>
        <v>0</v>
      </c>
      <c r="O224">
        <f>IF($C224-O$1&lt;År1,0,N223*(1-VLOOKUP($A224,[1]Hugst!$R$5:$W$9,MATCH(ROUNDUP((O$1)/10,0)*10,[1]Hugst!$R$4:$W$4,0))))</f>
        <v>0</v>
      </c>
      <c r="P224">
        <f>IF($C224-P$1&lt;År1,0,O223*(1-VLOOKUP($A224,[1]Hugst!$R$5:$W$9,MATCH(ROUNDUP((P$1)/10,0)*10,[1]Hugst!$R$4:$W$4,0))))</f>
        <v>0</v>
      </c>
      <c r="Q224">
        <f>IF($C224-Q$1&lt;År1,0,P223*(1-VLOOKUP($A224,[1]Hugst!$R$5:$W$9,MATCH(ROUNDUP((Q$1)/10,0)*10,[1]Hugst!$R$4:$W$4,0))))</f>
        <v>0</v>
      </c>
      <c r="R224">
        <f>IF($C224-R$1&lt;År1,0,Q223*(1-VLOOKUP($A224,[1]Hugst!$R$5:$W$9,MATCH(ROUNDUP((R$1)/10,0)*10,[1]Hugst!$R$4:$W$4,0))))</f>
        <v>0</v>
      </c>
      <c r="S224">
        <f>IF($C224-S$1&lt;År1,0,R223*(1-VLOOKUP($A224,[1]Hugst!$R$5:$W$9,MATCH(ROUNDUP((S$1)/10,0)*10,[1]Hugst!$R$4:$W$4,0))))</f>
        <v>0</v>
      </c>
      <c r="T224">
        <f>IF($C224-T$1&lt;År1,0,S223*(1-VLOOKUP($A224,[1]Hugst!$R$5:$W$9,MATCH(ROUNDUP((T$1)/10,0)*10,[1]Hugst!$R$4:$W$4,0))))</f>
        <v>0</v>
      </c>
      <c r="U224">
        <f>IF($C224-U$1&lt;År1,0,T223*(1-VLOOKUP($A224,[1]Hugst!$R$5:$W$9,MATCH(ROUNDUP((U$1)/10,0)*10,[1]Hugst!$R$4:$W$4,0))))</f>
        <v>0</v>
      </c>
      <c r="V224">
        <f>IF($C224-V$1&lt;År1,0,U223*(1-VLOOKUP($A224,[1]Hugst!$R$5:$W$9,MATCH(ROUNDUP((V$1)/10,0)*10,[1]Hugst!$R$4:$W$4,0))))</f>
        <v>0</v>
      </c>
      <c r="W224">
        <f>IF($C224-W$1&lt;År1,0,V223*(1-VLOOKUP($A224,[1]Hugst!$R$5:$W$9,MATCH(ROUNDUP((W$1)/10,0)*10,[1]Hugst!$R$4:$W$4,0))))</f>
        <v>0</v>
      </c>
      <c r="X224">
        <f>IF($C224-X$1&lt;År1,0,W223*(1-VLOOKUP($A224,[1]Hugst!$R$5:$W$9,MATCH(ROUNDUP((X$1)/10,0)*10,[1]Hugst!$R$4:$W$4,0))))</f>
        <v>0</v>
      </c>
      <c r="Y224">
        <f>IF($C224-Y$1&lt;År1,0,X223*(1-VLOOKUP($A224,[1]Hugst!$R$5:$W$9,MATCH(ROUNDUP((Y$1)/10,0)*10,[1]Hugst!$R$4:$W$4,0))))</f>
        <v>0</v>
      </c>
      <c r="Z224">
        <f>IF($C224-Z$1&lt;År1,0,Y223*(1-VLOOKUP($A224,[1]Hugst!$R$5:$W$9,MATCH(ROUNDUP((Z$1)/10,0)*10,[1]Hugst!$R$4:$W$4,0))))</f>
        <v>0</v>
      </c>
      <c r="AA224">
        <f>IF($C224-AA$1&lt;År1,0,Z223*(1-VLOOKUP($A224,[1]Hugst!$R$5:$W$9,MATCH(ROUNDUP((AA$1)/10,0)*10,[1]Hugst!$R$4:$W$4,0))))</f>
        <v>0</v>
      </c>
      <c r="AB224">
        <f>IF($C224-AB$1&lt;År1,0,AA223*(1-VLOOKUP($A224,[1]Hugst!$R$5:$W$9,MATCH(ROUNDUP((AB$1)/10,0)*10,[1]Hugst!$R$4:$W$4,0))))</f>
        <v>0</v>
      </c>
      <c r="AC224">
        <f>IF($C224-AC$1&lt;År1,0,AB223*(1-VLOOKUP($A224,[1]Hugst!$R$5:$W$9,MATCH(ROUNDUP((AC$1)/10,0)*10,[1]Hugst!$R$4:$W$4,0))))</f>
        <v>0</v>
      </c>
      <c r="AD224">
        <f>IF($C224-AD$1&lt;År1,0,AC223*(1-VLOOKUP($A224,[1]Hugst!$R$5:$W$9,MATCH(ROUNDUP((AD$1)/10,0)*10,[1]Hugst!$R$4:$W$4,0))))</f>
        <v>0</v>
      </c>
      <c r="AE224">
        <f>IF($C224-AE$1&lt;År1,0,AD223*(1-VLOOKUP($A224,[1]Hugst!$R$5:$W$9,MATCH(ROUNDUP((AE$1)/10,0)*10,[1]Hugst!$R$4:$W$4,0))))</f>
        <v>0</v>
      </c>
      <c r="AF224">
        <f>IF($C224-AF$1&lt;År1,0,AE223*(1-VLOOKUP($A224,[1]Hugst!$R$5:$W$9,MATCH(ROUNDUP((AF$1)/10,0)*10,[1]Hugst!$R$4:$W$4,0))))</f>
        <v>0</v>
      </c>
      <c r="AG224">
        <f>IF($C224-AG$1&lt;År1,0,AF223*(1-VLOOKUP($A224,[1]Hugst!$R$5:$W$9,MATCH(ROUNDUP((AG$1)/10,0)*10,[1]Hugst!$R$4:$W$4,0))))</f>
        <v>0</v>
      </c>
      <c r="AH224">
        <f>IF($C224-AH$1&lt;År1,0,AG223*(1-VLOOKUP($A224,[1]Hugst!$R$5:$W$9,MATCH(ROUNDUP((AH$1)/10,0)*10,[1]Hugst!$R$4:$W$4,0))))</f>
        <v>0</v>
      </c>
      <c r="AI224">
        <f>IF($C224-AI$1&lt;År1,0,AH223*(1-VLOOKUP($A224,[1]Hugst!$R$5:$W$9,MATCH(ROUNDUP((AI$1)/10,0)*10,[1]Hugst!$R$4:$W$4,0))))</f>
        <v>0</v>
      </c>
      <c r="AJ224">
        <f>IF($C224-AJ$1&lt;År1,0,AI223*(1-VLOOKUP($A224,[1]Hugst!$R$5:$W$9,MATCH(ROUNDUP((AJ$1)/10,0)*10,[1]Hugst!$R$4:$W$4,0))))</f>
        <v>0</v>
      </c>
    </row>
    <row r="225" spans="1:36" x14ac:dyDescent="0.25">
      <c r="A225" t="s">
        <v>179</v>
      </c>
      <c r="B225" t="s">
        <v>24</v>
      </c>
      <c r="C225">
        <v>2026</v>
      </c>
      <c r="D225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0</v>
      </c>
      <c r="E225">
        <f t="shared" ca="1" si="5"/>
        <v>0</v>
      </c>
      <c r="F225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>
        <f ca="1">IF($C225-G$1&lt;År1,0,F224*(1-VLOOKUP($A225,[1]Hugst!$R$5:$W$9,MATCH(ROUNDUP((G$1)/10,0)*10,[1]Hugst!$R$4:$W$4,0))))</f>
        <v>0</v>
      </c>
      <c r="H225">
        <f ca="1">IF($C225-H$1&lt;År1,0,G224*(1-VLOOKUP($A225,[1]Hugst!$R$5:$W$9,MATCH(ROUNDUP((H$1)/10,0)*10,[1]Hugst!$R$4:$W$4,0))))</f>
        <v>0</v>
      </c>
      <c r="I225">
        <f ca="1">IF($C225-I$1&lt;År1,0,H224*(1-VLOOKUP($A225,[1]Hugst!$R$5:$W$9,MATCH(ROUNDUP((I$1)/10,0)*10,[1]Hugst!$R$4:$W$4,0))))</f>
        <v>0</v>
      </c>
      <c r="J225">
        <f ca="1">IF($C225-J$1&lt;År1,0,I224*(1-VLOOKUP($A225,[1]Hugst!$R$5:$W$9,MATCH(ROUNDUP((J$1)/10,0)*10,[1]Hugst!$R$4:$W$4,0))))</f>
        <v>0</v>
      </c>
      <c r="K225">
        <f ca="1">IF($C225-K$1&lt;År1,0,J224*(1-VLOOKUP($A225,[1]Hugst!$R$5:$W$9,MATCH(ROUNDUP((K$1)/10,0)*10,[1]Hugst!$R$4:$W$4,0))))</f>
        <v>0</v>
      </c>
      <c r="L225">
        <f ca="1">IF($C225-L$1&lt;År1,0,K224*(1-VLOOKUP($A225,[1]Hugst!$R$5:$W$9,MATCH(ROUNDUP((L$1)/10,0)*10,[1]Hugst!$R$4:$W$4,0))))</f>
        <v>0</v>
      </c>
      <c r="M225">
        <f>IF($C225-M$1&lt;År1,0,L224*(1-VLOOKUP($A225,[1]Hugst!$R$5:$W$9,MATCH(ROUNDUP((M$1)/10,0)*10,[1]Hugst!$R$4:$W$4,0))))</f>
        <v>0</v>
      </c>
      <c r="N225">
        <f>IF($C225-N$1&lt;År1,0,M224*(1-VLOOKUP($A225,[1]Hugst!$R$5:$W$9,MATCH(ROUNDUP((N$1)/10,0)*10,[1]Hugst!$R$4:$W$4,0))))</f>
        <v>0</v>
      </c>
      <c r="O225">
        <f>IF($C225-O$1&lt;År1,0,N224*(1-VLOOKUP($A225,[1]Hugst!$R$5:$W$9,MATCH(ROUNDUP((O$1)/10,0)*10,[1]Hugst!$R$4:$W$4,0))))</f>
        <v>0</v>
      </c>
      <c r="P225">
        <f>IF($C225-P$1&lt;År1,0,O224*(1-VLOOKUP($A225,[1]Hugst!$R$5:$W$9,MATCH(ROUNDUP((P$1)/10,0)*10,[1]Hugst!$R$4:$W$4,0))))</f>
        <v>0</v>
      </c>
      <c r="Q225">
        <f>IF($C225-Q$1&lt;År1,0,P224*(1-VLOOKUP($A225,[1]Hugst!$R$5:$W$9,MATCH(ROUNDUP((Q$1)/10,0)*10,[1]Hugst!$R$4:$W$4,0))))</f>
        <v>0</v>
      </c>
      <c r="R225">
        <f>IF($C225-R$1&lt;År1,0,Q224*(1-VLOOKUP($A225,[1]Hugst!$R$5:$W$9,MATCH(ROUNDUP((R$1)/10,0)*10,[1]Hugst!$R$4:$W$4,0))))</f>
        <v>0</v>
      </c>
      <c r="S225">
        <f>IF($C225-S$1&lt;År1,0,R224*(1-VLOOKUP($A225,[1]Hugst!$R$5:$W$9,MATCH(ROUNDUP((S$1)/10,0)*10,[1]Hugst!$R$4:$W$4,0))))</f>
        <v>0</v>
      </c>
      <c r="T225">
        <f>IF($C225-T$1&lt;År1,0,S224*(1-VLOOKUP($A225,[1]Hugst!$R$5:$W$9,MATCH(ROUNDUP((T$1)/10,0)*10,[1]Hugst!$R$4:$W$4,0))))</f>
        <v>0</v>
      </c>
      <c r="U225">
        <f>IF($C225-U$1&lt;År1,0,T224*(1-VLOOKUP($A225,[1]Hugst!$R$5:$W$9,MATCH(ROUNDUP((U$1)/10,0)*10,[1]Hugst!$R$4:$W$4,0))))</f>
        <v>0</v>
      </c>
      <c r="V225">
        <f>IF($C225-V$1&lt;År1,0,U224*(1-VLOOKUP($A225,[1]Hugst!$R$5:$W$9,MATCH(ROUNDUP((V$1)/10,0)*10,[1]Hugst!$R$4:$W$4,0))))</f>
        <v>0</v>
      </c>
      <c r="W225">
        <f>IF($C225-W$1&lt;År1,0,V224*(1-VLOOKUP($A225,[1]Hugst!$R$5:$W$9,MATCH(ROUNDUP((W$1)/10,0)*10,[1]Hugst!$R$4:$W$4,0))))</f>
        <v>0</v>
      </c>
      <c r="X225">
        <f>IF($C225-X$1&lt;År1,0,W224*(1-VLOOKUP($A225,[1]Hugst!$R$5:$W$9,MATCH(ROUNDUP((X$1)/10,0)*10,[1]Hugst!$R$4:$W$4,0))))</f>
        <v>0</v>
      </c>
      <c r="Y225">
        <f>IF($C225-Y$1&lt;År1,0,X224*(1-VLOOKUP($A225,[1]Hugst!$R$5:$W$9,MATCH(ROUNDUP((Y$1)/10,0)*10,[1]Hugst!$R$4:$W$4,0))))</f>
        <v>0</v>
      </c>
      <c r="Z225">
        <f>IF($C225-Z$1&lt;År1,0,Y224*(1-VLOOKUP($A225,[1]Hugst!$R$5:$W$9,MATCH(ROUNDUP((Z$1)/10,0)*10,[1]Hugst!$R$4:$W$4,0))))</f>
        <v>0</v>
      </c>
      <c r="AA225">
        <f>IF($C225-AA$1&lt;År1,0,Z224*(1-VLOOKUP($A225,[1]Hugst!$R$5:$W$9,MATCH(ROUNDUP((AA$1)/10,0)*10,[1]Hugst!$R$4:$W$4,0))))</f>
        <v>0</v>
      </c>
      <c r="AB225">
        <f>IF($C225-AB$1&lt;År1,0,AA224*(1-VLOOKUP($A225,[1]Hugst!$R$5:$W$9,MATCH(ROUNDUP((AB$1)/10,0)*10,[1]Hugst!$R$4:$W$4,0))))</f>
        <v>0</v>
      </c>
      <c r="AC225">
        <f>IF($C225-AC$1&lt;År1,0,AB224*(1-VLOOKUP($A225,[1]Hugst!$R$5:$W$9,MATCH(ROUNDUP((AC$1)/10,0)*10,[1]Hugst!$R$4:$W$4,0))))</f>
        <v>0</v>
      </c>
      <c r="AD225">
        <f>IF($C225-AD$1&lt;År1,0,AC224*(1-VLOOKUP($A225,[1]Hugst!$R$5:$W$9,MATCH(ROUNDUP((AD$1)/10,0)*10,[1]Hugst!$R$4:$W$4,0))))</f>
        <v>0</v>
      </c>
      <c r="AE225">
        <f>IF($C225-AE$1&lt;År1,0,AD224*(1-VLOOKUP($A225,[1]Hugst!$R$5:$W$9,MATCH(ROUNDUP((AE$1)/10,0)*10,[1]Hugst!$R$4:$W$4,0))))</f>
        <v>0</v>
      </c>
      <c r="AF225">
        <f>IF($C225-AF$1&lt;År1,0,AE224*(1-VLOOKUP($A225,[1]Hugst!$R$5:$W$9,MATCH(ROUNDUP((AF$1)/10,0)*10,[1]Hugst!$R$4:$W$4,0))))</f>
        <v>0</v>
      </c>
      <c r="AG225">
        <f>IF($C225-AG$1&lt;År1,0,AF224*(1-VLOOKUP($A225,[1]Hugst!$R$5:$W$9,MATCH(ROUNDUP((AG$1)/10,0)*10,[1]Hugst!$R$4:$W$4,0))))</f>
        <v>0</v>
      </c>
      <c r="AH225">
        <f>IF($C225-AH$1&lt;År1,0,AG224*(1-VLOOKUP($A225,[1]Hugst!$R$5:$W$9,MATCH(ROUNDUP((AH$1)/10,0)*10,[1]Hugst!$R$4:$W$4,0))))</f>
        <v>0</v>
      </c>
      <c r="AI225">
        <f>IF($C225-AI$1&lt;År1,0,AH224*(1-VLOOKUP($A225,[1]Hugst!$R$5:$W$9,MATCH(ROUNDUP((AI$1)/10,0)*10,[1]Hugst!$R$4:$W$4,0))))</f>
        <v>0</v>
      </c>
      <c r="AJ225">
        <f>IF($C225-AJ$1&lt;År1,0,AI224*(1-VLOOKUP($A225,[1]Hugst!$R$5:$W$9,MATCH(ROUNDUP((AJ$1)/10,0)*10,[1]Hugst!$R$4:$W$4,0))))</f>
        <v>0</v>
      </c>
    </row>
    <row r="226" spans="1:36" x14ac:dyDescent="0.25">
      <c r="A226" t="s">
        <v>179</v>
      </c>
      <c r="B226" t="s">
        <v>24</v>
      </c>
      <c r="C226">
        <v>2027</v>
      </c>
      <c r="D226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0</v>
      </c>
      <c r="E226">
        <f t="shared" ca="1" si="5"/>
        <v>0</v>
      </c>
      <c r="F226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>
        <f ca="1">IF($C226-G$1&lt;År1,0,F225*(1-VLOOKUP($A226,[1]Hugst!$R$5:$W$9,MATCH(ROUNDUP((G$1)/10,0)*10,[1]Hugst!$R$4:$W$4,0))))</f>
        <v>0</v>
      </c>
      <c r="H226">
        <f ca="1">IF($C226-H$1&lt;År1,0,G225*(1-VLOOKUP($A226,[1]Hugst!$R$5:$W$9,MATCH(ROUNDUP((H$1)/10,0)*10,[1]Hugst!$R$4:$W$4,0))))</f>
        <v>0</v>
      </c>
      <c r="I226">
        <f ca="1">IF($C226-I$1&lt;År1,0,H225*(1-VLOOKUP($A226,[1]Hugst!$R$5:$W$9,MATCH(ROUNDUP((I$1)/10,0)*10,[1]Hugst!$R$4:$W$4,0))))</f>
        <v>0</v>
      </c>
      <c r="J226">
        <f ca="1">IF($C226-J$1&lt;År1,0,I225*(1-VLOOKUP($A226,[1]Hugst!$R$5:$W$9,MATCH(ROUNDUP((J$1)/10,0)*10,[1]Hugst!$R$4:$W$4,0))))</f>
        <v>0</v>
      </c>
      <c r="K226">
        <f ca="1">IF($C226-K$1&lt;År1,0,J225*(1-VLOOKUP($A226,[1]Hugst!$R$5:$W$9,MATCH(ROUNDUP((K$1)/10,0)*10,[1]Hugst!$R$4:$W$4,0))))</f>
        <v>0</v>
      </c>
      <c r="L226">
        <f ca="1">IF($C226-L$1&lt;År1,0,K225*(1-VLOOKUP($A226,[1]Hugst!$R$5:$W$9,MATCH(ROUNDUP((L$1)/10,0)*10,[1]Hugst!$R$4:$W$4,0))))</f>
        <v>0</v>
      </c>
      <c r="M226">
        <f ca="1">IF($C226-M$1&lt;År1,0,L225*(1-VLOOKUP($A226,[1]Hugst!$R$5:$W$9,MATCH(ROUNDUP((M$1)/10,0)*10,[1]Hugst!$R$4:$W$4,0))))</f>
        <v>0</v>
      </c>
      <c r="N226">
        <f>IF($C226-N$1&lt;År1,0,M225*(1-VLOOKUP($A226,[1]Hugst!$R$5:$W$9,MATCH(ROUNDUP((N$1)/10,0)*10,[1]Hugst!$R$4:$W$4,0))))</f>
        <v>0</v>
      </c>
      <c r="O226">
        <f>IF($C226-O$1&lt;År1,0,N225*(1-VLOOKUP($A226,[1]Hugst!$R$5:$W$9,MATCH(ROUNDUP((O$1)/10,0)*10,[1]Hugst!$R$4:$W$4,0))))</f>
        <v>0</v>
      </c>
      <c r="P226">
        <f>IF($C226-P$1&lt;År1,0,O225*(1-VLOOKUP($A226,[1]Hugst!$R$5:$W$9,MATCH(ROUNDUP((P$1)/10,0)*10,[1]Hugst!$R$4:$W$4,0))))</f>
        <v>0</v>
      </c>
      <c r="Q226">
        <f>IF($C226-Q$1&lt;År1,0,P225*(1-VLOOKUP($A226,[1]Hugst!$R$5:$W$9,MATCH(ROUNDUP((Q$1)/10,0)*10,[1]Hugst!$R$4:$W$4,0))))</f>
        <v>0</v>
      </c>
      <c r="R226">
        <f>IF($C226-R$1&lt;År1,0,Q225*(1-VLOOKUP($A226,[1]Hugst!$R$5:$W$9,MATCH(ROUNDUP((R$1)/10,0)*10,[1]Hugst!$R$4:$W$4,0))))</f>
        <v>0</v>
      </c>
      <c r="S226">
        <f>IF($C226-S$1&lt;År1,0,R225*(1-VLOOKUP($A226,[1]Hugst!$R$5:$W$9,MATCH(ROUNDUP((S$1)/10,0)*10,[1]Hugst!$R$4:$W$4,0))))</f>
        <v>0</v>
      </c>
      <c r="T226">
        <f>IF($C226-T$1&lt;År1,0,S225*(1-VLOOKUP($A226,[1]Hugst!$R$5:$W$9,MATCH(ROUNDUP((T$1)/10,0)*10,[1]Hugst!$R$4:$W$4,0))))</f>
        <v>0</v>
      </c>
      <c r="U226">
        <f>IF($C226-U$1&lt;År1,0,T225*(1-VLOOKUP($A226,[1]Hugst!$R$5:$W$9,MATCH(ROUNDUP((U$1)/10,0)*10,[1]Hugst!$R$4:$W$4,0))))</f>
        <v>0</v>
      </c>
      <c r="V226">
        <f>IF($C226-V$1&lt;År1,0,U225*(1-VLOOKUP($A226,[1]Hugst!$R$5:$W$9,MATCH(ROUNDUP((V$1)/10,0)*10,[1]Hugst!$R$4:$W$4,0))))</f>
        <v>0</v>
      </c>
      <c r="W226">
        <f>IF($C226-W$1&lt;År1,0,V225*(1-VLOOKUP($A226,[1]Hugst!$R$5:$W$9,MATCH(ROUNDUP((W$1)/10,0)*10,[1]Hugst!$R$4:$W$4,0))))</f>
        <v>0</v>
      </c>
      <c r="X226">
        <f>IF($C226-X$1&lt;År1,0,W225*(1-VLOOKUP($A226,[1]Hugst!$R$5:$W$9,MATCH(ROUNDUP((X$1)/10,0)*10,[1]Hugst!$R$4:$W$4,0))))</f>
        <v>0</v>
      </c>
      <c r="Y226">
        <f>IF($C226-Y$1&lt;År1,0,X225*(1-VLOOKUP($A226,[1]Hugst!$R$5:$W$9,MATCH(ROUNDUP((Y$1)/10,0)*10,[1]Hugst!$R$4:$W$4,0))))</f>
        <v>0</v>
      </c>
      <c r="Z226">
        <f>IF($C226-Z$1&lt;År1,0,Y225*(1-VLOOKUP($A226,[1]Hugst!$R$5:$W$9,MATCH(ROUNDUP((Z$1)/10,0)*10,[1]Hugst!$R$4:$W$4,0))))</f>
        <v>0</v>
      </c>
      <c r="AA226">
        <f>IF($C226-AA$1&lt;År1,0,Z225*(1-VLOOKUP($A226,[1]Hugst!$R$5:$W$9,MATCH(ROUNDUP((AA$1)/10,0)*10,[1]Hugst!$R$4:$W$4,0))))</f>
        <v>0</v>
      </c>
      <c r="AB226">
        <f>IF($C226-AB$1&lt;År1,0,AA225*(1-VLOOKUP($A226,[1]Hugst!$R$5:$W$9,MATCH(ROUNDUP((AB$1)/10,0)*10,[1]Hugst!$R$4:$W$4,0))))</f>
        <v>0</v>
      </c>
      <c r="AC226">
        <f>IF($C226-AC$1&lt;År1,0,AB225*(1-VLOOKUP($A226,[1]Hugst!$R$5:$W$9,MATCH(ROUNDUP((AC$1)/10,0)*10,[1]Hugst!$R$4:$W$4,0))))</f>
        <v>0</v>
      </c>
      <c r="AD226">
        <f>IF($C226-AD$1&lt;År1,0,AC225*(1-VLOOKUP($A226,[1]Hugst!$R$5:$W$9,MATCH(ROUNDUP((AD$1)/10,0)*10,[1]Hugst!$R$4:$W$4,0))))</f>
        <v>0</v>
      </c>
      <c r="AE226">
        <f>IF($C226-AE$1&lt;År1,0,AD225*(1-VLOOKUP($A226,[1]Hugst!$R$5:$W$9,MATCH(ROUNDUP((AE$1)/10,0)*10,[1]Hugst!$R$4:$W$4,0))))</f>
        <v>0</v>
      </c>
      <c r="AF226">
        <f>IF($C226-AF$1&lt;År1,0,AE225*(1-VLOOKUP($A226,[1]Hugst!$R$5:$W$9,MATCH(ROUNDUP((AF$1)/10,0)*10,[1]Hugst!$R$4:$W$4,0))))</f>
        <v>0</v>
      </c>
      <c r="AG226">
        <f>IF($C226-AG$1&lt;År1,0,AF225*(1-VLOOKUP($A226,[1]Hugst!$R$5:$W$9,MATCH(ROUNDUP((AG$1)/10,0)*10,[1]Hugst!$R$4:$W$4,0))))</f>
        <v>0</v>
      </c>
      <c r="AH226">
        <f>IF($C226-AH$1&lt;År1,0,AG225*(1-VLOOKUP($A226,[1]Hugst!$R$5:$W$9,MATCH(ROUNDUP((AH$1)/10,0)*10,[1]Hugst!$R$4:$W$4,0))))</f>
        <v>0</v>
      </c>
      <c r="AI226">
        <f>IF($C226-AI$1&lt;År1,0,AH225*(1-VLOOKUP($A226,[1]Hugst!$R$5:$W$9,MATCH(ROUNDUP((AI$1)/10,0)*10,[1]Hugst!$R$4:$W$4,0))))</f>
        <v>0</v>
      </c>
      <c r="AJ226">
        <f>IF($C226-AJ$1&lt;År1,0,AI225*(1-VLOOKUP($A226,[1]Hugst!$R$5:$W$9,MATCH(ROUNDUP((AJ$1)/10,0)*10,[1]Hugst!$R$4:$W$4,0))))</f>
        <v>0</v>
      </c>
    </row>
    <row r="227" spans="1:36" x14ac:dyDescent="0.25">
      <c r="A227" t="s">
        <v>179</v>
      </c>
      <c r="B227" t="s">
        <v>24</v>
      </c>
      <c r="C227">
        <v>2028</v>
      </c>
      <c r="D227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0</v>
      </c>
      <c r="E227">
        <f t="shared" ca="1" si="5"/>
        <v>0</v>
      </c>
      <c r="F227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>
        <f ca="1">IF($C227-G$1&lt;År1,0,F226*(1-VLOOKUP($A227,[1]Hugst!$R$5:$W$9,MATCH(ROUNDUP((G$1)/10,0)*10,[1]Hugst!$R$4:$W$4,0))))</f>
        <v>0</v>
      </c>
      <c r="H227">
        <f ca="1">IF($C227-H$1&lt;År1,0,G226*(1-VLOOKUP($A227,[1]Hugst!$R$5:$W$9,MATCH(ROUNDUP((H$1)/10,0)*10,[1]Hugst!$R$4:$W$4,0))))</f>
        <v>0</v>
      </c>
      <c r="I227">
        <f ca="1">IF($C227-I$1&lt;År1,0,H226*(1-VLOOKUP($A227,[1]Hugst!$R$5:$W$9,MATCH(ROUNDUP((I$1)/10,0)*10,[1]Hugst!$R$4:$W$4,0))))</f>
        <v>0</v>
      </c>
      <c r="J227">
        <f ca="1">IF($C227-J$1&lt;År1,0,I226*(1-VLOOKUP($A227,[1]Hugst!$R$5:$W$9,MATCH(ROUNDUP((J$1)/10,0)*10,[1]Hugst!$R$4:$W$4,0))))</f>
        <v>0</v>
      </c>
      <c r="K227">
        <f ca="1">IF($C227-K$1&lt;År1,0,J226*(1-VLOOKUP($A227,[1]Hugst!$R$5:$W$9,MATCH(ROUNDUP((K$1)/10,0)*10,[1]Hugst!$R$4:$W$4,0))))</f>
        <v>0</v>
      </c>
      <c r="L227">
        <f ca="1">IF($C227-L$1&lt;År1,0,K226*(1-VLOOKUP($A227,[1]Hugst!$R$5:$W$9,MATCH(ROUNDUP((L$1)/10,0)*10,[1]Hugst!$R$4:$W$4,0))))</f>
        <v>0</v>
      </c>
      <c r="M227">
        <f ca="1">IF($C227-M$1&lt;År1,0,L226*(1-VLOOKUP($A227,[1]Hugst!$R$5:$W$9,MATCH(ROUNDUP((M$1)/10,0)*10,[1]Hugst!$R$4:$W$4,0))))</f>
        <v>0</v>
      </c>
      <c r="N227">
        <f ca="1">IF($C227-N$1&lt;År1,0,M226*(1-VLOOKUP($A227,[1]Hugst!$R$5:$W$9,MATCH(ROUNDUP((N$1)/10,0)*10,[1]Hugst!$R$4:$W$4,0))))</f>
        <v>0</v>
      </c>
      <c r="O227">
        <f>IF($C227-O$1&lt;År1,0,N226*(1-VLOOKUP($A227,[1]Hugst!$R$5:$W$9,MATCH(ROUNDUP((O$1)/10,0)*10,[1]Hugst!$R$4:$W$4,0))))</f>
        <v>0</v>
      </c>
      <c r="P227">
        <f>IF($C227-P$1&lt;År1,0,O226*(1-VLOOKUP($A227,[1]Hugst!$R$5:$W$9,MATCH(ROUNDUP((P$1)/10,0)*10,[1]Hugst!$R$4:$W$4,0))))</f>
        <v>0</v>
      </c>
      <c r="Q227">
        <f>IF($C227-Q$1&lt;År1,0,P226*(1-VLOOKUP($A227,[1]Hugst!$R$5:$W$9,MATCH(ROUNDUP((Q$1)/10,0)*10,[1]Hugst!$R$4:$W$4,0))))</f>
        <v>0</v>
      </c>
      <c r="R227">
        <f>IF($C227-R$1&lt;År1,0,Q226*(1-VLOOKUP($A227,[1]Hugst!$R$5:$W$9,MATCH(ROUNDUP((R$1)/10,0)*10,[1]Hugst!$R$4:$W$4,0))))</f>
        <v>0</v>
      </c>
      <c r="S227">
        <f>IF($C227-S$1&lt;År1,0,R226*(1-VLOOKUP($A227,[1]Hugst!$R$5:$W$9,MATCH(ROUNDUP((S$1)/10,0)*10,[1]Hugst!$R$4:$W$4,0))))</f>
        <v>0</v>
      </c>
      <c r="T227">
        <f>IF($C227-T$1&lt;År1,0,S226*(1-VLOOKUP($A227,[1]Hugst!$R$5:$W$9,MATCH(ROUNDUP((T$1)/10,0)*10,[1]Hugst!$R$4:$W$4,0))))</f>
        <v>0</v>
      </c>
      <c r="U227">
        <f>IF($C227-U$1&lt;År1,0,T226*(1-VLOOKUP($A227,[1]Hugst!$R$5:$W$9,MATCH(ROUNDUP((U$1)/10,0)*10,[1]Hugst!$R$4:$W$4,0))))</f>
        <v>0</v>
      </c>
      <c r="V227">
        <f>IF($C227-V$1&lt;År1,0,U226*(1-VLOOKUP($A227,[1]Hugst!$R$5:$W$9,MATCH(ROUNDUP((V$1)/10,0)*10,[1]Hugst!$R$4:$W$4,0))))</f>
        <v>0</v>
      </c>
      <c r="W227">
        <f>IF($C227-W$1&lt;År1,0,V226*(1-VLOOKUP($A227,[1]Hugst!$R$5:$W$9,MATCH(ROUNDUP((W$1)/10,0)*10,[1]Hugst!$R$4:$W$4,0))))</f>
        <v>0</v>
      </c>
      <c r="X227">
        <f>IF($C227-X$1&lt;År1,0,W226*(1-VLOOKUP($A227,[1]Hugst!$R$5:$W$9,MATCH(ROUNDUP((X$1)/10,0)*10,[1]Hugst!$R$4:$W$4,0))))</f>
        <v>0</v>
      </c>
      <c r="Y227">
        <f>IF($C227-Y$1&lt;År1,0,X226*(1-VLOOKUP($A227,[1]Hugst!$R$5:$W$9,MATCH(ROUNDUP((Y$1)/10,0)*10,[1]Hugst!$R$4:$W$4,0))))</f>
        <v>0</v>
      </c>
      <c r="Z227">
        <f>IF($C227-Z$1&lt;År1,0,Y226*(1-VLOOKUP($A227,[1]Hugst!$R$5:$W$9,MATCH(ROUNDUP((Z$1)/10,0)*10,[1]Hugst!$R$4:$W$4,0))))</f>
        <v>0</v>
      </c>
      <c r="AA227">
        <f>IF($C227-AA$1&lt;År1,0,Z226*(1-VLOOKUP($A227,[1]Hugst!$R$5:$W$9,MATCH(ROUNDUP((AA$1)/10,0)*10,[1]Hugst!$R$4:$W$4,0))))</f>
        <v>0</v>
      </c>
      <c r="AB227">
        <f>IF($C227-AB$1&lt;År1,0,AA226*(1-VLOOKUP($A227,[1]Hugst!$R$5:$W$9,MATCH(ROUNDUP((AB$1)/10,0)*10,[1]Hugst!$R$4:$W$4,0))))</f>
        <v>0</v>
      </c>
      <c r="AC227">
        <f>IF($C227-AC$1&lt;År1,0,AB226*(1-VLOOKUP($A227,[1]Hugst!$R$5:$W$9,MATCH(ROUNDUP((AC$1)/10,0)*10,[1]Hugst!$R$4:$W$4,0))))</f>
        <v>0</v>
      </c>
      <c r="AD227">
        <f>IF($C227-AD$1&lt;År1,0,AC226*(1-VLOOKUP($A227,[1]Hugst!$R$5:$W$9,MATCH(ROUNDUP((AD$1)/10,0)*10,[1]Hugst!$R$4:$W$4,0))))</f>
        <v>0</v>
      </c>
      <c r="AE227">
        <f>IF($C227-AE$1&lt;År1,0,AD226*(1-VLOOKUP($A227,[1]Hugst!$R$5:$W$9,MATCH(ROUNDUP((AE$1)/10,0)*10,[1]Hugst!$R$4:$W$4,0))))</f>
        <v>0</v>
      </c>
      <c r="AF227">
        <f>IF($C227-AF$1&lt;År1,0,AE226*(1-VLOOKUP($A227,[1]Hugst!$R$5:$W$9,MATCH(ROUNDUP((AF$1)/10,0)*10,[1]Hugst!$R$4:$W$4,0))))</f>
        <v>0</v>
      </c>
      <c r="AG227">
        <f>IF($C227-AG$1&lt;År1,0,AF226*(1-VLOOKUP($A227,[1]Hugst!$R$5:$W$9,MATCH(ROUNDUP((AG$1)/10,0)*10,[1]Hugst!$R$4:$W$4,0))))</f>
        <v>0</v>
      </c>
      <c r="AH227">
        <f>IF($C227-AH$1&lt;År1,0,AG226*(1-VLOOKUP($A227,[1]Hugst!$R$5:$W$9,MATCH(ROUNDUP((AH$1)/10,0)*10,[1]Hugst!$R$4:$W$4,0))))</f>
        <v>0</v>
      </c>
      <c r="AI227">
        <f>IF($C227-AI$1&lt;År1,0,AH226*(1-VLOOKUP($A227,[1]Hugst!$R$5:$W$9,MATCH(ROUNDUP((AI$1)/10,0)*10,[1]Hugst!$R$4:$W$4,0))))</f>
        <v>0</v>
      </c>
      <c r="AJ227">
        <f>IF($C227-AJ$1&lt;År1,0,AI226*(1-VLOOKUP($A227,[1]Hugst!$R$5:$W$9,MATCH(ROUNDUP((AJ$1)/10,0)*10,[1]Hugst!$R$4:$W$4,0))))</f>
        <v>0</v>
      </c>
    </row>
    <row r="228" spans="1:36" x14ac:dyDescent="0.25">
      <c r="A228" t="s">
        <v>179</v>
      </c>
      <c r="B228" t="s">
        <v>24</v>
      </c>
      <c r="C228">
        <v>2029</v>
      </c>
      <c r="D22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0</v>
      </c>
      <c r="E228">
        <f t="shared" ca="1" si="5"/>
        <v>0</v>
      </c>
      <c r="F22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>
        <f ca="1">IF($C228-G$1&lt;År1,0,F227*(1-VLOOKUP($A228,[1]Hugst!$R$5:$W$9,MATCH(ROUNDUP((G$1)/10,0)*10,[1]Hugst!$R$4:$W$4,0))))</f>
        <v>0</v>
      </c>
      <c r="H228">
        <f ca="1">IF($C228-H$1&lt;År1,0,G227*(1-VLOOKUP($A228,[1]Hugst!$R$5:$W$9,MATCH(ROUNDUP((H$1)/10,0)*10,[1]Hugst!$R$4:$W$4,0))))</f>
        <v>0</v>
      </c>
      <c r="I228">
        <f ca="1">IF($C228-I$1&lt;År1,0,H227*(1-VLOOKUP($A228,[1]Hugst!$R$5:$W$9,MATCH(ROUNDUP((I$1)/10,0)*10,[1]Hugst!$R$4:$W$4,0))))</f>
        <v>0</v>
      </c>
      <c r="J228">
        <f ca="1">IF($C228-J$1&lt;År1,0,I227*(1-VLOOKUP($A228,[1]Hugst!$R$5:$W$9,MATCH(ROUNDUP((J$1)/10,0)*10,[1]Hugst!$R$4:$W$4,0))))</f>
        <v>0</v>
      </c>
      <c r="K228">
        <f ca="1">IF($C228-K$1&lt;År1,0,J227*(1-VLOOKUP($A228,[1]Hugst!$R$5:$W$9,MATCH(ROUNDUP((K$1)/10,0)*10,[1]Hugst!$R$4:$W$4,0))))</f>
        <v>0</v>
      </c>
      <c r="L228">
        <f ca="1">IF($C228-L$1&lt;År1,0,K227*(1-VLOOKUP($A228,[1]Hugst!$R$5:$W$9,MATCH(ROUNDUP((L$1)/10,0)*10,[1]Hugst!$R$4:$W$4,0))))</f>
        <v>0</v>
      </c>
      <c r="M228">
        <f ca="1">IF($C228-M$1&lt;År1,0,L227*(1-VLOOKUP($A228,[1]Hugst!$R$5:$W$9,MATCH(ROUNDUP((M$1)/10,0)*10,[1]Hugst!$R$4:$W$4,0))))</f>
        <v>0</v>
      </c>
      <c r="N228">
        <f ca="1">IF($C228-N$1&lt;År1,0,M227*(1-VLOOKUP($A228,[1]Hugst!$R$5:$W$9,MATCH(ROUNDUP((N$1)/10,0)*10,[1]Hugst!$R$4:$W$4,0))))</f>
        <v>0</v>
      </c>
      <c r="O228">
        <f ca="1">IF($C228-O$1&lt;År1,0,N227*(1-VLOOKUP($A228,[1]Hugst!$R$5:$W$9,MATCH(ROUNDUP((O$1)/10,0)*10,[1]Hugst!$R$4:$W$4,0))))</f>
        <v>0</v>
      </c>
      <c r="P228">
        <f>IF($C228-P$1&lt;År1,0,O227*(1-VLOOKUP($A228,[1]Hugst!$R$5:$W$9,MATCH(ROUNDUP((P$1)/10,0)*10,[1]Hugst!$R$4:$W$4,0))))</f>
        <v>0</v>
      </c>
      <c r="Q228">
        <f>IF($C228-Q$1&lt;År1,0,P227*(1-VLOOKUP($A228,[1]Hugst!$R$5:$W$9,MATCH(ROUNDUP((Q$1)/10,0)*10,[1]Hugst!$R$4:$W$4,0))))</f>
        <v>0</v>
      </c>
      <c r="R228">
        <f>IF($C228-R$1&lt;År1,0,Q227*(1-VLOOKUP($A228,[1]Hugst!$R$5:$W$9,MATCH(ROUNDUP((R$1)/10,0)*10,[1]Hugst!$R$4:$W$4,0))))</f>
        <v>0</v>
      </c>
      <c r="S228">
        <f>IF($C228-S$1&lt;År1,0,R227*(1-VLOOKUP($A228,[1]Hugst!$R$5:$W$9,MATCH(ROUNDUP((S$1)/10,0)*10,[1]Hugst!$R$4:$W$4,0))))</f>
        <v>0</v>
      </c>
      <c r="T228">
        <f>IF($C228-T$1&lt;År1,0,S227*(1-VLOOKUP($A228,[1]Hugst!$R$5:$W$9,MATCH(ROUNDUP((T$1)/10,0)*10,[1]Hugst!$R$4:$W$4,0))))</f>
        <v>0</v>
      </c>
      <c r="U228">
        <f>IF($C228-U$1&lt;År1,0,T227*(1-VLOOKUP($A228,[1]Hugst!$R$5:$W$9,MATCH(ROUNDUP((U$1)/10,0)*10,[1]Hugst!$R$4:$W$4,0))))</f>
        <v>0</v>
      </c>
      <c r="V228">
        <f>IF($C228-V$1&lt;År1,0,U227*(1-VLOOKUP($A228,[1]Hugst!$R$5:$W$9,MATCH(ROUNDUP((V$1)/10,0)*10,[1]Hugst!$R$4:$W$4,0))))</f>
        <v>0</v>
      </c>
      <c r="W228">
        <f>IF($C228-W$1&lt;År1,0,V227*(1-VLOOKUP($A228,[1]Hugst!$R$5:$W$9,MATCH(ROUNDUP((W$1)/10,0)*10,[1]Hugst!$R$4:$W$4,0))))</f>
        <v>0</v>
      </c>
      <c r="X228">
        <f>IF($C228-X$1&lt;År1,0,W227*(1-VLOOKUP($A228,[1]Hugst!$R$5:$W$9,MATCH(ROUNDUP((X$1)/10,0)*10,[1]Hugst!$R$4:$W$4,0))))</f>
        <v>0</v>
      </c>
      <c r="Y228">
        <f>IF($C228-Y$1&lt;År1,0,X227*(1-VLOOKUP($A228,[1]Hugst!$R$5:$W$9,MATCH(ROUNDUP((Y$1)/10,0)*10,[1]Hugst!$R$4:$W$4,0))))</f>
        <v>0</v>
      </c>
      <c r="Z228">
        <f>IF($C228-Z$1&lt;År1,0,Y227*(1-VLOOKUP($A228,[1]Hugst!$R$5:$W$9,MATCH(ROUNDUP((Z$1)/10,0)*10,[1]Hugst!$R$4:$W$4,0))))</f>
        <v>0</v>
      </c>
      <c r="AA228">
        <f>IF($C228-AA$1&lt;År1,0,Z227*(1-VLOOKUP($A228,[1]Hugst!$R$5:$W$9,MATCH(ROUNDUP((AA$1)/10,0)*10,[1]Hugst!$R$4:$W$4,0))))</f>
        <v>0</v>
      </c>
      <c r="AB228">
        <f>IF($C228-AB$1&lt;År1,0,AA227*(1-VLOOKUP($A228,[1]Hugst!$R$5:$W$9,MATCH(ROUNDUP((AB$1)/10,0)*10,[1]Hugst!$R$4:$W$4,0))))</f>
        <v>0</v>
      </c>
      <c r="AC228">
        <f>IF($C228-AC$1&lt;År1,0,AB227*(1-VLOOKUP($A228,[1]Hugst!$R$5:$W$9,MATCH(ROUNDUP((AC$1)/10,0)*10,[1]Hugst!$R$4:$W$4,0))))</f>
        <v>0</v>
      </c>
      <c r="AD228">
        <f>IF($C228-AD$1&lt;År1,0,AC227*(1-VLOOKUP($A228,[1]Hugst!$R$5:$W$9,MATCH(ROUNDUP((AD$1)/10,0)*10,[1]Hugst!$R$4:$W$4,0))))</f>
        <v>0</v>
      </c>
      <c r="AE228">
        <f>IF($C228-AE$1&lt;År1,0,AD227*(1-VLOOKUP($A228,[1]Hugst!$R$5:$W$9,MATCH(ROUNDUP((AE$1)/10,0)*10,[1]Hugst!$R$4:$W$4,0))))</f>
        <v>0</v>
      </c>
      <c r="AF228">
        <f>IF($C228-AF$1&lt;År1,0,AE227*(1-VLOOKUP($A228,[1]Hugst!$R$5:$W$9,MATCH(ROUNDUP((AF$1)/10,0)*10,[1]Hugst!$R$4:$W$4,0))))</f>
        <v>0</v>
      </c>
      <c r="AG228">
        <f>IF($C228-AG$1&lt;År1,0,AF227*(1-VLOOKUP($A228,[1]Hugst!$R$5:$W$9,MATCH(ROUNDUP((AG$1)/10,0)*10,[1]Hugst!$R$4:$W$4,0))))</f>
        <v>0</v>
      </c>
      <c r="AH228">
        <f>IF($C228-AH$1&lt;År1,0,AG227*(1-VLOOKUP($A228,[1]Hugst!$R$5:$W$9,MATCH(ROUNDUP((AH$1)/10,0)*10,[1]Hugst!$R$4:$W$4,0))))</f>
        <v>0</v>
      </c>
      <c r="AI228">
        <f>IF($C228-AI$1&lt;År1,0,AH227*(1-VLOOKUP($A228,[1]Hugst!$R$5:$W$9,MATCH(ROUNDUP((AI$1)/10,0)*10,[1]Hugst!$R$4:$W$4,0))))</f>
        <v>0</v>
      </c>
      <c r="AJ228">
        <f>IF($C228-AJ$1&lt;År1,0,AI227*(1-VLOOKUP($A228,[1]Hugst!$R$5:$W$9,MATCH(ROUNDUP((AJ$1)/10,0)*10,[1]Hugst!$R$4:$W$4,0))))</f>
        <v>0</v>
      </c>
    </row>
    <row r="229" spans="1:36" x14ac:dyDescent="0.25">
      <c r="A229" t="s">
        <v>179</v>
      </c>
      <c r="B229" t="s">
        <v>24</v>
      </c>
      <c r="C229">
        <v>2030</v>
      </c>
      <c r="D229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0</v>
      </c>
      <c r="E229">
        <f t="shared" ca="1" si="5"/>
        <v>0</v>
      </c>
      <c r="F22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>
        <f ca="1">IF($C229-G$1&lt;År1,0,F228*(1-VLOOKUP($A229,[1]Hugst!$R$5:$W$9,MATCH(ROUNDUP((G$1)/10,0)*10,[1]Hugst!$R$4:$W$4,0))))</f>
        <v>0</v>
      </c>
      <c r="H229">
        <f ca="1">IF($C229-H$1&lt;År1,0,G228*(1-VLOOKUP($A229,[1]Hugst!$R$5:$W$9,MATCH(ROUNDUP((H$1)/10,0)*10,[1]Hugst!$R$4:$W$4,0))))</f>
        <v>0</v>
      </c>
      <c r="I229">
        <f ca="1">IF($C229-I$1&lt;År1,0,H228*(1-VLOOKUP($A229,[1]Hugst!$R$5:$W$9,MATCH(ROUNDUP((I$1)/10,0)*10,[1]Hugst!$R$4:$W$4,0))))</f>
        <v>0</v>
      </c>
      <c r="J229">
        <f ca="1">IF($C229-J$1&lt;År1,0,I228*(1-VLOOKUP($A229,[1]Hugst!$R$5:$W$9,MATCH(ROUNDUP((J$1)/10,0)*10,[1]Hugst!$R$4:$W$4,0))))</f>
        <v>0</v>
      </c>
      <c r="K229">
        <f ca="1">IF($C229-K$1&lt;År1,0,J228*(1-VLOOKUP($A229,[1]Hugst!$R$5:$W$9,MATCH(ROUNDUP((K$1)/10,0)*10,[1]Hugst!$R$4:$W$4,0))))</f>
        <v>0</v>
      </c>
      <c r="L229">
        <f ca="1">IF($C229-L$1&lt;År1,0,K228*(1-VLOOKUP($A229,[1]Hugst!$R$5:$W$9,MATCH(ROUNDUP((L$1)/10,0)*10,[1]Hugst!$R$4:$W$4,0))))</f>
        <v>0</v>
      </c>
      <c r="M229">
        <f ca="1">IF($C229-M$1&lt;År1,0,L228*(1-VLOOKUP($A229,[1]Hugst!$R$5:$W$9,MATCH(ROUNDUP((M$1)/10,0)*10,[1]Hugst!$R$4:$W$4,0))))</f>
        <v>0</v>
      </c>
      <c r="N229">
        <f ca="1">IF($C229-N$1&lt;År1,0,M228*(1-VLOOKUP($A229,[1]Hugst!$R$5:$W$9,MATCH(ROUNDUP((N$1)/10,0)*10,[1]Hugst!$R$4:$W$4,0))))</f>
        <v>0</v>
      </c>
      <c r="O229">
        <f ca="1">IF($C229-O$1&lt;År1,0,N228*(1-VLOOKUP($A229,[1]Hugst!$R$5:$W$9,MATCH(ROUNDUP((O$1)/10,0)*10,[1]Hugst!$R$4:$W$4,0))))</f>
        <v>0</v>
      </c>
      <c r="P229">
        <f ca="1">IF($C229-P$1&lt;År1,0,O228*(1-VLOOKUP($A229,[1]Hugst!$R$5:$W$9,MATCH(ROUNDUP((P$1)/10,0)*10,[1]Hugst!$R$4:$W$4,0))))</f>
        <v>0</v>
      </c>
      <c r="Q229">
        <f>IF($C229-Q$1&lt;År1,0,P228*(1-VLOOKUP($A229,[1]Hugst!$R$5:$W$9,MATCH(ROUNDUP((Q$1)/10,0)*10,[1]Hugst!$R$4:$W$4,0))))</f>
        <v>0</v>
      </c>
      <c r="R229">
        <f>IF($C229-R$1&lt;År1,0,Q228*(1-VLOOKUP($A229,[1]Hugst!$R$5:$W$9,MATCH(ROUNDUP((R$1)/10,0)*10,[1]Hugst!$R$4:$W$4,0))))</f>
        <v>0</v>
      </c>
      <c r="S229">
        <f>IF($C229-S$1&lt;År1,0,R228*(1-VLOOKUP($A229,[1]Hugst!$R$5:$W$9,MATCH(ROUNDUP((S$1)/10,0)*10,[1]Hugst!$R$4:$W$4,0))))</f>
        <v>0</v>
      </c>
      <c r="T229">
        <f>IF($C229-T$1&lt;År1,0,S228*(1-VLOOKUP($A229,[1]Hugst!$R$5:$W$9,MATCH(ROUNDUP((T$1)/10,0)*10,[1]Hugst!$R$4:$W$4,0))))</f>
        <v>0</v>
      </c>
      <c r="U229">
        <f>IF($C229-U$1&lt;År1,0,T228*(1-VLOOKUP($A229,[1]Hugst!$R$5:$W$9,MATCH(ROUNDUP((U$1)/10,0)*10,[1]Hugst!$R$4:$W$4,0))))</f>
        <v>0</v>
      </c>
      <c r="V229">
        <f>IF($C229-V$1&lt;År1,0,U228*(1-VLOOKUP($A229,[1]Hugst!$R$5:$W$9,MATCH(ROUNDUP((V$1)/10,0)*10,[1]Hugst!$R$4:$W$4,0))))</f>
        <v>0</v>
      </c>
      <c r="W229">
        <f>IF($C229-W$1&lt;År1,0,V228*(1-VLOOKUP($A229,[1]Hugst!$R$5:$W$9,MATCH(ROUNDUP((W$1)/10,0)*10,[1]Hugst!$R$4:$W$4,0))))</f>
        <v>0</v>
      </c>
      <c r="X229">
        <f>IF($C229-X$1&lt;År1,0,W228*(1-VLOOKUP($A229,[1]Hugst!$R$5:$W$9,MATCH(ROUNDUP((X$1)/10,0)*10,[1]Hugst!$R$4:$W$4,0))))</f>
        <v>0</v>
      </c>
      <c r="Y229">
        <f>IF($C229-Y$1&lt;År1,0,X228*(1-VLOOKUP($A229,[1]Hugst!$R$5:$W$9,MATCH(ROUNDUP((Y$1)/10,0)*10,[1]Hugst!$R$4:$W$4,0))))</f>
        <v>0</v>
      </c>
      <c r="Z229">
        <f>IF($C229-Z$1&lt;År1,0,Y228*(1-VLOOKUP($A229,[1]Hugst!$R$5:$W$9,MATCH(ROUNDUP((Z$1)/10,0)*10,[1]Hugst!$R$4:$W$4,0))))</f>
        <v>0</v>
      </c>
      <c r="AA229">
        <f>IF($C229-AA$1&lt;År1,0,Z228*(1-VLOOKUP($A229,[1]Hugst!$R$5:$W$9,MATCH(ROUNDUP((AA$1)/10,0)*10,[1]Hugst!$R$4:$W$4,0))))</f>
        <v>0</v>
      </c>
      <c r="AB229">
        <f>IF($C229-AB$1&lt;År1,0,AA228*(1-VLOOKUP($A229,[1]Hugst!$R$5:$W$9,MATCH(ROUNDUP((AB$1)/10,0)*10,[1]Hugst!$R$4:$W$4,0))))</f>
        <v>0</v>
      </c>
      <c r="AC229">
        <f>IF($C229-AC$1&lt;År1,0,AB228*(1-VLOOKUP($A229,[1]Hugst!$R$5:$W$9,MATCH(ROUNDUP((AC$1)/10,0)*10,[1]Hugst!$R$4:$W$4,0))))</f>
        <v>0</v>
      </c>
      <c r="AD229">
        <f>IF($C229-AD$1&lt;År1,0,AC228*(1-VLOOKUP($A229,[1]Hugst!$R$5:$W$9,MATCH(ROUNDUP((AD$1)/10,0)*10,[1]Hugst!$R$4:$W$4,0))))</f>
        <v>0</v>
      </c>
      <c r="AE229">
        <f>IF($C229-AE$1&lt;År1,0,AD228*(1-VLOOKUP($A229,[1]Hugst!$R$5:$W$9,MATCH(ROUNDUP((AE$1)/10,0)*10,[1]Hugst!$R$4:$W$4,0))))</f>
        <v>0</v>
      </c>
      <c r="AF229">
        <f>IF($C229-AF$1&lt;År1,0,AE228*(1-VLOOKUP($A229,[1]Hugst!$R$5:$W$9,MATCH(ROUNDUP((AF$1)/10,0)*10,[1]Hugst!$R$4:$W$4,0))))</f>
        <v>0</v>
      </c>
      <c r="AG229">
        <f>IF($C229-AG$1&lt;År1,0,AF228*(1-VLOOKUP($A229,[1]Hugst!$R$5:$W$9,MATCH(ROUNDUP((AG$1)/10,0)*10,[1]Hugst!$R$4:$W$4,0))))</f>
        <v>0</v>
      </c>
      <c r="AH229">
        <f>IF($C229-AH$1&lt;År1,0,AG228*(1-VLOOKUP($A229,[1]Hugst!$R$5:$W$9,MATCH(ROUNDUP((AH$1)/10,0)*10,[1]Hugst!$R$4:$W$4,0))))</f>
        <v>0</v>
      </c>
      <c r="AI229">
        <f>IF($C229-AI$1&lt;År1,0,AH228*(1-VLOOKUP($A229,[1]Hugst!$R$5:$W$9,MATCH(ROUNDUP((AI$1)/10,0)*10,[1]Hugst!$R$4:$W$4,0))))</f>
        <v>0</v>
      </c>
      <c r="AJ229">
        <f>IF($C229-AJ$1&lt;År1,0,AI228*(1-VLOOKUP($A229,[1]Hugst!$R$5:$W$9,MATCH(ROUNDUP((AJ$1)/10,0)*10,[1]Hugst!$R$4:$W$4,0))))</f>
        <v>0</v>
      </c>
    </row>
    <row r="230" spans="1:36" x14ac:dyDescent="0.25">
      <c r="A230" t="s">
        <v>179</v>
      </c>
      <c r="B230" t="s">
        <v>24</v>
      </c>
      <c r="C230">
        <v>2031</v>
      </c>
      <c r="D230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0</v>
      </c>
      <c r="E230">
        <f t="shared" ca="1" si="5"/>
        <v>0</v>
      </c>
      <c r="F230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>
        <f ca="1">IF($C230-G$1&lt;År1,0,F229*(1-VLOOKUP($A230,[1]Hugst!$R$5:$W$9,MATCH(ROUNDUP((G$1)/10,0)*10,[1]Hugst!$R$4:$W$4,0))))</f>
        <v>0</v>
      </c>
      <c r="H230">
        <f ca="1">IF($C230-H$1&lt;År1,0,G229*(1-VLOOKUP($A230,[1]Hugst!$R$5:$W$9,MATCH(ROUNDUP((H$1)/10,0)*10,[1]Hugst!$R$4:$W$4,0))))</f>
        <v>0</v>
      </c>
      <c r="I230">
        <f ca="1">IF($C230-I$1&lt;År1,0,H229*(1-VLOOKUP($A230,[1]Hugst!$R$5:$W$9,MATCH(ROUNDUP((I$1)/10,0)*10,[1]Hugst!$R$4:$W$4,0))))</f>
        <v>0</v>
      </c>
      <c r="J230">
        <f ca="1">IF($C230-J$1&lt;År1,0,I229*(1-VLOOKUP($A230,[1]Hugst!$R$5:$W$9,MATCH(ROUNDUP((J$1)/10,0)*10,[1]Hugst!$R$4:$W$4,0))))</f>
        <v>0</v>
      </c>
      <c r="K230">
        <f ca="1">IF($C230-K$1&lt;År1,0,J229*(1-VLOOKUP($A230,[1]Hugst!$R$5:$W$9,MATCH(ROUNDUP((K$1)/10,0)*10,[1]Hugst!$R$4:$W$4,0))))</f>
        <v>0</v>
      </c>
      <c r="L230">
        <f ca="1">IF($C230-L$1&lt;År1,0,K229*(1-VLOOKUP($A230,[1]Hugst!$R$5:$W$9,MATCH(ROUNDUP((L$1)/10,0)*10,[1]Hugst!$R$4:$W$4,0))))</f>
        <v>0</v>
      </c>
      <c r="M230">
        <f ca="1">IF($C230-M$1&lt;År1,0,L229*(1-VLOOKUP($A230,[1]Hugst!$R$5:$W$9,MATCH(ROUNDUP((M$1)/10,0)*10,[1]Hugst!$R$4:$W$4,0))))</f>
        <v>0</v>
      </c>
      <c r="N230">
        <f ca="1">IF($C230-N$1&lt;År1,0,M229*(1-VLOOKUP($A230,[1]Hugst!$R$5:$W$9,MATCH(ROUNDUP((N$1)/10,0)*10,[1]Hugst!$R$4:$W$4,0))))</f>
        <v>0</v>
      </c>
      <c r="O230">
        <f ca="1">IF($C230-O$1&lt;År1,0,N229*(1-VLOOKUP($A230,[1]Hugst!$R$5:$W$9,MATCH(ROUNDUP((O$1)/10,0)*10,[1]Hugst!$R$4:$W$4,0))))</f>
        <v>0</v>
      </c>
      <c r="P230">
        <f ca="1">IF($C230-P$1&lt;År1,0,O229*(1-VLOOKUP($A230,[1]Hugst!$R$5:$W$9,MATCH(ROUNDUP((P$1)/10,0)*10,[1]Hugst!$R$4:$W$4,0))))</f>
        <v>0</v>
      </c>
      <c r="Q230">
        <f ca="1">IF($C230-Q$1&lt;År1,0,P229*(1-VLOOKUP($A230,[1]Hugst!$R$5:$W$9,MATCH(ROUNDUP((Q$1)/10,0)*10,[1]Hugst!$R$4:$W$4,0))))</f>
        <v>0</v>
      </c>
      <c r="R230">
        <f>IF($C230-R$1&lt;År1,0,Q229*(1-VLOOKUP($A230,[1]Hugst!$R$5:$W$9,MATCH(ROUNDUP((R$1)/10,0)*10,[1]Hugst!$R$4:$W$4,0))))</f>
        <v>0</v>
      </c>
      <c r="S230">
        <f>IF($C230-S$1&lt;År1,0,R229*(1-VLOOKUP($A230,[1]Hugst!$R$5:$W$9,MATCH(ROUNDUP((S$1)/10,0)*10,[1]Hugst!$R$4:$W$4,0))))</f>
        <v>0</v>
      </c>
      <c r="T230">
        <f>IF($C230-T$1&lt;År1,0,S229*(1-VLOOKUP($A230,[1]Hugst!$R$5:$W$9,MATCH(ROUNDUP((T$1)/10,0)*10,[1]Hugst!$R$4:$W$4,0))))</f>
        <v>0</v>
      </c>
      <c r="U230">
        <f>IF($C230-U$1&lt;År1,0,T229*(1-VLOOKUP($A230,[1]Hugst!$R$5:$W$9,MATCH(ROUNDUP((U$1)/10,0)*10,[1]Hugst!$R$4:$W$4,0))))</f>
        <v>0</v>
      </c>
      <c r="V230">
        <f>IF($C230-V$1&lt;År1,0,U229*(1-VLOOKUP($A230,[1]Hugst!$R$5:$W$9,MATCH(ROUNDUP((V$1)/10,0)*10,[1]Hugst!$R$4:$W$4,0))))</f>
        <v>0</v>
      </c>
      <c r="W230">
        <f>IF($C230-W$1&lt;År1,0,V229*(1-VLOOKUP($A230,[1]Hugst!$R$5:$W$9,MATCH(ROUNDUP((W$1)/10,0)*10,[1]Hugst!$R$4:$W$4,0))))</f>
        <v>0</v>
      </c>
      <c r="X230">
        <f>IF($C230-X$1&lt;År1,0,W229*(1-VLOOKUP($A230,[1]Hugst!$R$5:$W$9,MATCH(ROUNDUP((X$1)/10,0)*10,[1]Hugst!$R$4:$W$4,0))))</f>
        <v>0</v>
      </c>
      <c r="Y230">
        <f>IF($C230-Y$1&lt;År1,0,X229*(1-VLOOKUP($A230,[1]Hugst!$R$5:$W$9,MATCH(ROUNDUP((Y$1)/10,0)*10,[1]Hugst!$R$4:$W$4,0))))</f>
        <v>0</v>
      </c>
      <c r="Z230">
        <f>IF($C230-Z$1&lt;År1,0,Y229*(1-VLOOKUP($A230,[1]Hugst!$R$5:$W$9,MATCH(ROUNDUP((Z$1)/10,0)*10,[1]Hugst!$R$4:$W$4,0))))</f>
        <v>0</v>
      </c>
      <c r="AA230">
        <f>IF($C230-AA$1&lt;År1,0,Z229*(1-VLOOKUP($A230,[1]Hugst!$R$5:$W$9,MATCH(ROUNDUP((AA$1)/10,0)*10,[1]Hugst!$R$4:$W$4,0))))</f>
        <v>0</v>
      </c>
      <c r="AB230">
        <f>IF($C230-AB$1&lt;År1,0,AA229*(1-VLOOKUP($A230,[1]Hugst!$R$5:$W$9,MATCH(ROUNDUP((AB$1)/10,0)*10,[1]Hugst!$R$4:$W$4,0))))</f>
        <v>0</v>
      </c>
      <c r="AC230">
        <f>IF($C230-AC$1&lt;År1,0,AB229*(1-VLOOKUP($A230,[1]Hugst!$R$5:$W$9,MATCH(ROUNDUP((AC$1)/10,0)*10,[1]Hugst!$R$4:$W$4,0))))</f>
        <v>0</v>
      </c>
      <c r="AD230">
        <f>IF($C230-AD$1&lt;År1,0,AC229*(1-VLOOKUP($A230,[1]Hugst!$R$5:$W$9,MATCH(ROUNDUP((AD$1)/10,0)*10,[1]Hugst!$R$4:$W$4,0))))</f>
        <v>0</v>
      </c>
      <c r="AE230">
        <f>IF($C230-AE$1&lt;År1,0,AD229*(1-VLOOKUP($A230,[1]Hugst!$R$5:$W$9,MATCH(ROUNDUP((AE$1)/10,0)*10,[1]Hugst!$R$4:$W$4,0))))</f>
        <v>0</v>
      </c>
      <c r="AF230">
        <f>IF($C230-AF$1&lt;År1,0,AE229*(1-VLOOKUP($A230,[1]Hugst!$R$5:$W$9,MATCH(ROUNDUP((AF$1)/10,0)*10,[1]Hugst!$R$4:$W$4,0))))</f>
        <v>0</v>
      </c>
      <c r="AG230">
        <f>IF($C230-AG$1&lt;År1,0,AF229*(1-VLOOKUP($A230,[1]Hugst!$R$5:$W$9,MATCH(ROUNDUP((AG$1)/10,0)*10,[1]Hugst!$R$4:$W$4,0))))</f>
        <v>0</v>
      </c>
      <c r="AH230">
        <f>IF($C230-AH$1&lt;År1,0,AG229*(1-VLOOKUP($A230,[1]Hugst!$R$5:$W$9,MATCH(ROUNDUP((AH$1)/10,0)*10,[1]Hugst!$R$4:$W$4,0))))</f>
        <v>0</v>
      </c>
      <c r="AI230">
        <f>IF($C230-AI$1&lt;År1,0,AH229*(1-VLOOKUP($A230,[1]Hugst!$R$5:$W$9,MATCH(ROUNDUP((AI$1)/10,0)*10,[1]Hugst!$R$4:$W$4,0))))</f>
        <v>0</v>
      </c>
      <c r="AJ230">
        <f>IF($C230-AJ$1&lt;År1,0,AI229*(1-VLOOKUP($A230,[1]Hugst!$R$5:$W$9,MATCH(ROUNDUP((AJ$1)/10,0)*10,[1]Hugst!$R$4:$W$4,0))))</f>
        <v>0</v>
      </c>
    </row>
    <row r="231" spans="1:36" x14ac:dyDescent="0.25">
      <c r="A231" t="s">
        <v>179</v>
      </c>
      <c r="B231" t="s">
        <v>24</v>
      </c>
      <c r="C231">
        <v>2032</v>
      </c>
      <c r="D231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0</v>
      </c>
      <c r="E231">
        <f t="shared" ca="1" si="5"/>
        <v>0</v>
      </c>
      <c r="F231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>
        <f ca="1">IF($C231-G$1&lt;År1,0,F230*(1-VLOOKUP($A231,[1]Hugst!$R$5:$W$9,MATCH(ROUNDUP((G$1)/10,0)*10,[1]Hugst!$R$4:$W$4,0))))</f>
        <v>0</v>
      </c>
      <c r="H231">
        <f ca="1">IF($C231-H$1&lt;År1,0,G230*(1-VLOOKUP($A231,[1]Hugst!$R$5:$W$9,MATCH(ROUNDUP((H$1)/10,0)*10,[1]Hugst!$R$4:$W$4,0))))</f>
        <v>0</v>
      </c>
      <c r="I231">
        <f ca="1">IF($C231-I$1&lt;År1,0,H230*(1-VLOOKUP($A231,[1]Hugst!$R$5:$W$9,MATCH(ROUNDUP((I$1)/10,0)*10,[1]Hugst!$R$4:$W$4,0))))</f>
        <v>0</v>
      </c>
      <c r="J231">
        <f ca="1">IF($C231-J$1&lt;År1,0,I230*(1-VLOOKUP($A231,[1]Hugst!$R$5:$W$9,MATCH(ROUNDUP((J$1)/10,0)*10,[1]Hugst!$R$4:$W$4,0))))</f>
        <v>0</v>
      </c>
      <c r="K231">
        <f ca="1">IF($C231-K$1&lt;År1,0,J230*(1-VLOOKUP($A231,[1]Hugst!$R$5:$W$9,MATCH(ROUNDUP((K$1)/10,0)*10,[1]Hugst!$R$4:$W$4,0))))</f>
        <v>0</v>
      </c>
      <c r="L231">
        <f ca="1">IF($C231-L$1&lt;År1,0,K230*(1-VLOOKUP($A231,[1]Hugst!$R$5:$W$9,MATCH(ROUNDUP((L$1)/10,0)*10,[1]Hugst!$R$4:$W$4,0))))</f>
        <v>0</v>
      </c>
      <c r="M231">
        <f ca="1">IF($C231-M$1&lt;År1,0,L230*(1-VLOOKUP($A231,[1]Hugst!$R$5:$W$9,MATCH(ROUNDUP((M$1)/10,0)*10,[1]Hugst!$R$4:$W$4,0))))</f>
        <v>0</v>
      </c>
      <c r="N231">
        <f ca="1">IF($C231-N$1&lt;År1,0,M230*(1-VLOOKUP($A231,[1]Hugst!$R$5:$W$9,MATCH(ROUNDUP((N$1)/10,0)*10,[1]Hugst!$R$4:$W$4,0))))</f>
        <v>0</v>
      </c>
      <c r="O231">
        <f ca="1">IF($C231-O$1&lt;År1,0,N230*(1-VLOOKUP($A231,[1]Hugst!$R$5:$W$9,MATCH(ROUNDUP((O$1)/10,0)*10,[1]Hugst!$R$4:$W$4,0))))</f>
        <v>0</v>
      </c>
      <c r="P231">
        <f ca="1">IF($C231-P$1&lt;År1,0,O230*(1-VLOOKUP($A231,[1]Hugst!$R$5:$W$9,MATCH(ROUNDUP((P$1)/10,0)*10,[1]Hugst!$R$4:$W$4,0))))</f>
        <v>0</v>
      </c>
      <c r="Q231">
        <f ca="1">IF($C231-Q$1&lt;År1,0,P230*(1-VLOOKUP($A231,[1]Hugst!$R$5:$W$9,MATCH(ROUNDUP((Q$1)/10,0)*10,[1]Hugst!$R$4:$W$4,0))))</f>
        <v>0</v>
      </c>
      <c r="R231">
        <f ca="1">IF($C231-R$1&lt;År1,0,Q230*(1-VLOOKUP($A231,[1]Hugst!$R$5:$W$9,MATCH(ROUNDUP((R$1)/10,0)*10,[1]Hugst!$R$4:$W$4,0))))</f>
        <v>0</v>
      </c>
      <c r="S231">
        <f>IF($C231-S$1&lt;År1,0,R230*(1-VLOOKUP($A231,[1]Hugst!$R$5:$W$9,MATCH(ROUNDUP((S$1)/10,0)*10,[1]Hugst!$R$4:$W$4,0))))</f>
        <v>0</v>
      </c>
      <c r="T231">
        <f>IF($C231-T$1&lt;År1,0,S230*(1-VLOOKUP($A231,[1]Hugst!$R$5:$W$9,MATCH(ROUNDUP((T$1)/10,0)*10,[1]Hugst!$R$4:$W$4,0))))</f>
        <v>0</v>
      </c>
      <c r="U231">
        <f>IF($C231-U$1&lt;År1,0,T230*(1-VLOOKUP($A231,[1]Hugst!$R$5:$W$9,MATCH(ROUNDUP((U$1)/10,0)*10,[1]Hugst!$R$4:$W$4,0))))</f>
        <v>0</v>
      </c>
      <c r="V231">
        <f>IF($C231-V$1&lt;År1,0,U230*(1-VLOOKUP($A231,[1]Hugst!$R$5:$W$9,MATCH(ROUNDUP((V$1)/10,0)*10,[1]Hugst!$R$4:$W$4,0))))</f>
        <v>0</v>
      </c>
      <c r="W231">
        <f>IF($C231-W$1&lt;År1,0,V230*(1-VLOOKUP($A231,[1]Hugst!$R$5:$W$9,MATCH(ROUNDUP((W$1)/10,0)*10,[1]Hugst!$R$4:$W$4,0))))</f>
        <v>0</v>
      </c>
      <c r="X231">
        <f>IF($C231-X$1&lt;År1,0,W230*(1-VLOOKUP($A231,[1]Hugst!$R$5:$W$9,MATCH(ROUNDUP((X$1)/10,0)*10,[1]Hugst!$R$4:$W$4,0))))</f>
        <v>0</v>
      </c>
      <c r="Y231">
        <f>IF($C231-Y$1&lt;År1,0,X230*(1-VLOOKUP($A231,[1]Hugst!$R$5:$W$9,MATCH(ROUNDUP((Y$1)/10,0)*10,[1]Hugst!$R$4:$W$4,0))))</f>
        <v>0</v>
      </c>
      <c r="Z231">
        <f>IF($C231-Z$1&lt;År1,0,Y230*(1-VLOOKUP($A231,[1]Hugst!$R$5:$W$9,MATCH(ROUNDUP((Z$1)/10,0)*10,[1]Hugst!$R$4:$W$4,0))))</f>
        <v>0</v>
      </c>
      <c r="AA231">
        <f>IF($C231-AA$1&lt;År1,0,Z230*(1-VLOOKUP($A231,[1]Hugst!$R$5:$W$9,MATCH(ROUNDUP((AA$1)/10,0)*10,[1]Hugst!$R$4:$W$4,0))))</f>
        <v>0</v>
      </c>
      <c r="AB231">
        <f>IF($C231-AB$1&lt;År1,0,AA230*(1-VLOOKUP($A231,[1]Hugst!$R$5:$W$9,MATCH(ROUNDUP((AB$1)/10,0)*10,[1]Hugst!$R$4:$W$4,0))))</f>
        <v>0</v>
      </c>
      <c r="AC231">
        <f>IF($C231-AC$1&lt;År1,0,AB230*(1-VLOOKUP($A231,[1]Hugst!$R$5:$W$9,MATCH(ROUNDUP((AC$1)/10,0)*10,[1]Hugst!$R$4:$W$4,0))))</f>
        <v>0</v>
      </c>
      <c r="AD231">
        <f>IF($C231-AD$1&lt;År1,0,AC230*(1-VLOOKUP($A231,[1]Hugst!$R$5:$W$9,MATCH(ROUNDUP((AD$1)/10,0)*10,[1]Hugst!$R$4:$W$4,0))))</f>
        <v>0</v>
      </c>
      <c r="AE231">
        <f>IF($C231-AE$1&lt;År1,0,AD230*(1-VLOOKUP($A231,[1]Hugst!$R$5:$W$9,MATCH(ROUNDUP((AE$1)/10,0)*10,[1]Hugst!$R$4:$W$4,0))))</f>
        <v>0</v>
      </c>
      <c r="AF231">
        <f>IF($C231-AF$1&lt;År1,0,AE230*(1-VLOOKUP($A231,[1]Hugst!$R$5:$W$9,MATCH(ROUNDUP((AF$1)/10,0)*10,[1]Hugst!$R$4:$W$4,0))))</f>
        <v>0</v>
      </c>
      <c r="AG231">
        <f>IF($C231-AG$1&lt;År1,0,AF230*(1-VLOOKUP($A231,[1]Hugst!$R$5:$W$9,MATCH(ROUNDUP((AG$1)/10,0)*10,[1]Hugst!$R$4:$W$4,0))))</f>
        <v>0</v>
      </c>
      <c r="AH231">
        <f>IF($C231-AH$1&lt;År1,0,AG230*(1-VLOOKUP($A231,[1]Hugst!$R$5:$W$9,MATCH(ROUNDUP((AH$1)/10,0)*10,[1]Hugst!$R$4:$W$4,0))))</f>
        <v>0</v>
      </c>
      <c r="AI231">
        <f>IF($C231-AI$1&lt;År1,0,AH230*(1-VLOOKUP($A231,[1]Hugst!$R$5:$W$9,MATCH(ROUNDUP((AI$1)/10,0)*10,[1]Hugst!$R$4:$W$4,0))))</f>
        <v>0</v>
      </c>
      <c r="AJ231">
        <f>IF($C231-AJ$1&lt;År1,0,AI230*(1-VLOOKUP($A231,[1]Hugst!$R$5:$W$9,MATCH(ROUNDUP((AJ$1)/10,0)*10,[1]Hugst!$R$4:$W$4,0))))</f>
        <v>0</v>
      </c>
    </row>
    <row r="232" spans="1:36" x14ac:dyDescent="0.25">
      <c r="A232" t="s">
        <v>179</v>
      </c>
      <c r="B232" t="s">
        <v>24</v>
      </c>
      <c r="C232">
        <v>2033</v>
      </c>
      <c r="D232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0</v>
      </c>
      <c r="E232">
        <f t="shared" ca="1" si="5"/>
        <v>0</v>
      </c>
      <c r="F232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>
        <f ca="1">IF($C232-G$1&lt;År1,0,F231*(1-VLOOKUP($A232,[1]Hugst!$R$5:$W$9,MATCH(ROUNDUP((G$1)/10,0)*10,[1]Hugst!$R$4:$W$4,0))))</f>
        <v>0</v>
      </c>
      <c r="H232">
        <f ca="1">IF($C232-H$1&lt;År1,0,G231*(1-VLOOKUP($A232,[1]Hugst!$R$5:$W$9,MATCH(ROUNDUP((H$1)/10,0)*10,[1]Hugst!$R$4:$W$4,0))))</f>
        <v>0</v>
      </c>
      <c r="I232">
        <f ca="1">IF($C232-I$1&lt;År1,0,H231*(1-VLOOKUP($A232,[1]Hugst!$R$5:$W$9,MATCH(ROUNDUP((I$1)/10,0)*10,[1]Hugst!$R$4:$W$4,0))))</f>
        <v>0</v>
      </c>
      <c r="J232">
        <f ca="1">IF($C232-J$1&lt;År1,0,I231*(1-VLOOKUP($A232,[1]Hugst!$R$5:$W$9,MATCH(ROUNDUP((J$1)/10,0)*10,[1]Hugst!$R$4:$W$4,0))))</f>
        <v>0</v>
      </c>
      <c r="K232">
        <f ca="1">IF($C232-K$1&lt;År1,0,J231*(1-VLOOKUP($A232,[1]Hugst!$R$5:$W$9,MATCH(ROUNDUP((K$1)/10,0)*10,[1]Hugst!$R$4:$W$4,0))))</f>
        <v>0</v>
      </c>
      <c r="L232">
        <f ca="1">IF($C232-L$1&lt;År1,0,K231*(1-VLOOKUP($A232,[1]Hugst!$R$5:$W$9,MATCH(ROUNDUP((L$1)/10,0)*10,[1]Hugst!$R$4:$W$4,0))))</f>
        <v>0</v>
      </c>
      <c r="M232">
        <f ca="1">IF($C232-M$1&lt;År1,0,L231*(1-VLOOKUP($A232,[1]Hugst!$R$5:$W$9,MATCH(ROUNDUP((M$1)/10,0)*10,[1]Hugst!$R$4:$W$4,0))))</f>
        <v>0</v>
      </c>
      <c r="N232">
        <f ca="1">IF($C232-N$1&lt;År1,0,M231*(1-VLOOKUP($A232,[1]Hugst!$R$5:$W$9,MATCH(ROUNDUP((N$1)/10,0)*10,[1]Hugst!$R$4:$W$4,0))))</f>
        <v>0</v>
      </c>
      <c r="O232">
        <f ca="1">IF($C232-O$1&lt;År1,0,N231*(1-VLOOKUP($A232,[1]Hugst!$R$5:$W$9,MATCH(ROUNDUP((O$1)/10,0)*10,[1]Hugst!$R$4:$W$4,0))))</f>
        <v>0</v>
      </c>
      <c r="P232">
        <f ca="1">IF($C232-P$1&lt;År1,0,O231*(1-VLOOKUP($A232,[1]Hugst!$R$5:$W$9,MATCH(ROUNDUP((P$1)/10,0)*10,[1]Hugst!$R$4:$W$4,0))))</f>
        <v>0</v>
      </c>
      <c r="Q232">
        <f ca="1">IF($C232-Q$1&lt;År1,0,P231*(1-VLOOKUP($A232,[1]Hugst!$R$5:$W$9,MATCH(ROUNDUP((Q$1)/10,0)*10,[1]Hugst!$R$4:$W$4,0))))</f>
        <v>0</v>
      </c>
      <c r="R232">
        <f ca="1">IF($C232-R$1&lt;År1,0,Q231*(1-VLOOKUP($A232,[1]Hugst!$R$5:$W$9,MATCH(ROUNDUP((R$1)/10,0)*10,[1]Hugst!$R$4:$W$4,0))))</f>
        <v>0</v>
      </c>
      <c r="S232">
        <f ca="1">IF($C232-S$1&lt;År1,0,R231*(1-VLOOKUP($A232,[1]Hugst!$R$5:$W$9,MATCH(ROUNDUP((S$1)/10,0)*10,[1]Hugst!$R$4:$W$4,0))))</f>
        <v>0</v>
      </c>
      <c r="T232">
        <f>IF($C232-T$1&lt;År1,0,S231*(1-VLOOKUP($A232,[1]Hugst!$R$5:$W$9,MATCH(ROUNDUP((T$1)/10,0)*10,[1]Hugst!$R$4:$W$4,0))))</f>
        <v>0</v>
      </c>
      <c r="U232">
        <f>IF($C232-U$1&lt;År1,0,T231*(1-VLOOKUP($A232,[1]Hugst!$R$5:$W$9,MATCH(ROUNDUP((U$1)/10,0)*10,[1]Hugst!$R$4:$W$4,0))))</f>
        <v>0</v>
      </c>
      <c r="V232">
        <f>IF($C232-V$1&lt;År1,0,U231*(1-VLOOKUP($A232,[1]Hugst!$R$5:$W$9,MATCH(ROUNDUP((V$1)/10,0)*10,[1]Hugst!$R$4:$W$4,0))))</f>
        <v>0</v>
      </c>
      <c r="W232">
        <f>IF($C232-W$1&lt;År1,0,V231*(1-VLOOKUP($A232,[1]Hugst!$R$5:$W$9,MATCH(ROUNDUP((W$1)/10,0)*10,[1]Hugst!$R$4:$W$4,0))))</f>
        <v>0</v>
      </c>
      <c r="X232">
        <f>IF($C232-X$1&lt;År1,0,W231*(1-VLOOKUP($A232,[1]Hugst!$R$5:$W$9,MATCH(ROUNDUP((X$1)/10,0)*10,[1]Hugst!$R$4:$W$4,0))))</f>
        <v>0</v>
      </c>
      <c r="Y232">
        <f>IF($C232-Y$1&lt;År1,0,X231*(1-VLOOKUP($A232,[1]Hugst!$R$5:$W$9,MATCH(ROUNDUP((Y$1)/10,0)*10,[1]Hugst!$R$4:$W$4,0))))</f>
        <v>0</v>
      </c>
      <c r="Z232">
        <f>IF($C232-Z$1&lt;År1,0,Y231*(1-VLOOKUP($A232,[1]Hugst!$R$5:$W$9,MATCH(ROUNDUP((Z$1)/10,0)*10,[1]Hugst!$R$4:$W$4,0))))</f>
        <v>0</v>
      </c>
      <c r="AA232">
        <f>IF($C232-AA$1&lt;År1,0,Z231*(1-VLOOKUP($A232,[1]Hugst!$R$5:$W$9,MATCH(ROUNDUP((AA$1)/10,0)*10,[1]Hugst!$R$4:$W$4,0))))</f>
        <v>0</v>
      </c>
      <c r="AB232">
        <f>IF($C232-AB$1&lt;År1,0,AA231*(1-VLOOKUP($A232,[1]Hugst!$R$5:$W$9,MATCH(ROUNDUP((AB$1)/10,0)*10,[1]Hugst!$R$4:$W$4,0))))</f>
        <v>0</v>
      </c>
      <c r="AC232">
        <f>IF($C232-AC$1&lt;År1,0,AB231*(1-VLOOKUP($A232,[1]Hugst!$R$5:$W$9,MATCH(ROUNDUP((AC$1)/10,0)*10,[1]Hugst!$R$4:$W$4,0))))</f>
        <v>0</v>
      </c>
      <c r="AD232">
        <f>IF($C232-AD$1&lt;År1,0,AC231*(1-VLOOKUP($A232,[1]Hugst!$R$5:$W$9,MATCH(ROUNDUP((AD$1)/10,0)*10,[1]Hugst!$R$4:$W$4,0))))</f>
        <v>0</v>
      </c>
      <c r="AE232">
        <f>IF($C232-AE$1&lt;År1,0,AD231*(1-VLOOKUP($A232,[1]Hugst!$R$5:$W$9,MATCH(ROUNDUP((AE$1)/10,0)*10,[1]Hugst!$R$4:$W$4,0))))</f>
        <v>0</v>
      </c>
      <c r="AF232">
        <f>IF($C232-AF$1&lt;År1,0,AE231*(1-VLOOKUP($A232,[1]Hugst!$R$5:$W$9,MATCH(ROUNDUP((AF$1)/10,0)*10,[1]Hugst!$R$4:$W$4,0))))</f>
        <v>0</v>
      </c>
      <c r="AG232">
        <f>IF($C232-AG$1&lt;År1,0,AF231*(1-VLOOKUP($A232,[1]Hugst!$R$5:$W$9,MATCH(ROUNDUP((AG$1)/10,0)*10,[1]Hugst!$R$4:$W$4,0))))</f>
        <v>0</v>
      </c>
      <c r="AH232">
        <f>IF($C232-AH$1&lt;År1,0,AG231*(1-VLOOKUP($A232,[1]Hugst!$R$5:$W$9,MATCH(ROUNDUP((AH$1)/10,0)*10,[1]Hugst!$R$4:$W$4,0))))</f>
        <v>0</v>
      </c>
      <c r="AI232">
        <f>IF($C232-AI$1&lt;År1,0,AH231*(1-VLOOKUP($A232,[1]Hugst!$R$5:$W$9,MATCH(ROUNDUP((AI$1)/10,0)*10,[1]Hugst!$R$4:$W$4,0))))</f>
        <v>0</v>
      </c>
      <c r="AJ232">
        <f>IF($C232-AJ$1&lt;År1,0,AI231*(1-VLOOKUP($A232,[1]Hugst!$R$5:$W$9,MATCH(ROUNDUP((AJ$1)/10,0)*10,[1]Hugst!$R$4:$W$4,0))))</f>
        <v>0</v>
      </c>
    </row>
    <row r="233" spans="1:36" x14ac:dyDescent="0.25">
      <c r="A233" t="s">
        <v>179</v>
      </c>
      <c r="B233" t="s">
        <v>24</v>
      </c>
      <c r="C233">
        <v>2034</v>
      </c>
      <c r="D233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0</v>
      </c>
      <c r="E233">
        <f t="shared" ca="1" si="5"/>
        <v>0</v>
      </c>
      <c r="F233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>
        <f ca="1">IF($C233-G$1&lt;År1,0,F232*(1-VLOOKUP($A233,[1]Hugst!$R$5:$W$9,MATCH(ROUNDUP((G$1)/10,0)*10,[1]Hugst!$R$4:$W$4,0))))</f>
        <v>0</v>
      </c>
      <c r="H233">
        <f ca="1">IF($C233-H$1&lt;År1,0,G232*(1-VLOOKUP($A233,[1]Hugst!$R$5:$W$9,MATCH(ROUNDUP((H$1)/10,0)*10,[1]Hugst!$R$4:$W$4,0))))</f>
        <v>0</v>
      </c>
      <c r="I233">
        <f ca="1">IF($C233-I$1&lt;År1,0,H232*(1-VLOOKUP($A233,[1]Hugst!$R$5:$W$9,MATCH(ROUNDUP((I$1)/10,0)*10,[1]Hugst!$R$4:$W$4,0))))</f>
        <v>0</v>
      </c>
      <c r="J233">
        <f ca="1">IF($C233-J$1&lt;År1,0,I232*(1-VLOOKUP($A233,[1]Hugst!$R$5:$W$9,MATCH(ROUNDUP((J$1)/10,0)*10,[1]Hugst!$R$4:$W$4,0))))</f>
        <v>0</v>
      </c>
      <c r="K233">
        <f ca="1">IF($C233-K$1&lt;År1,0,J232*(1-VLOOKUP($A233,[1]Hugst!$R$5:$W$9,MATCH(ROUNDUP((K$1)/10,0)*10,[1]Hugst!$R$4:$W$4,0))))</f>
        <v>0</v>
      </c>
      <c r="L233">
        <f ca="1">IF($C233-L$1&lt;År1,0,K232*(1-VLOOKUP($A233,[1]Hugst!$R$5:$W$9,MATCH(ROUNDUP((L$1)/10,0)*10,[1]Hugst!$R$4:$W$4,0))))</f>
        <v>0</v>
      </c>
      <c r="M233">
        <f ca="1">IF($C233-M$1&lt;År1,0,L232*(1-VLOOKUP($A233,[1]Hugst!$R$5:$W$9,MATCH(ROUNDUP((M$1)/10,0)*10,[1]Hugst!$R$4:$W$4,0))))</f>
        <v>0</v>
      </c>
      <c r="N233">
        <f ca="1">IF($C233-N$1&lt;År1,0,M232*(1-VLOOKUP($A233,[1]Hugst!$R$5:$W$9,MATCH(ROUNDUP((N$1)/10,0)*10,[1]Hugst!$R$4:$W$4,0))))</f>
        <v>0</v>
      </c>
      <c r="O233">
        <f ca="1">IF($C233-O$1&lt;År1,0,N232*(1-VLOOKUP($A233,[1]Hugst!$R$5:$W$9,MATCH(ROUNDUP((O$1)/10,0)*10,[1]Hugst!$R$4:$W$4,0))))</f>
        <v>0</v>
      </c>
      <c r="P233">
        <f ca="1">IF($C233-P$1&lt;År1,0,O232*(1-VLOOKUP($A233,[1]Hugst!$R$5:$W$9,MATCH(ROUNDUP((P$1)/10,0)*10,[1]Hugst!$R$4:$W$4,0))))</f>
        <v>0</v>
      </c>
      <c r="Q233">
        <f ca="1">IF($C233-Q$1&lt;År1,0,P232*(1-VLOOKUP($A233,[1]Hugst!$R$5:$W$9,MATCH(ROUNDUP((Q$1)/10,0)*10,[1]Hugst!$R$4:$W$4,0))))</f>
        <v>0</v>
      </c>
      <c r="R233">
        <f ca="1">IF($C233-R$1&lt;År1,0,Q232*(1-VLOOKUP($A233,[1]Hugst!$R$5:$W$9,MATCH(ROUNDUP((R$1)/10,0)*10,[1]Hugst!$R$4:$W$4,0))))</f>
        <v>0</v>
      </c>
      <c r="S233">
        <f ca="1">IF($C233-S$1&lt;År1,0,R232*(1-VLOOKUP($A233,[1]Hugst!$R$5:$W$9,MATCH(ROUNDUP((S$1)/10,0)*10,[1]Hugst!$R$4:$W$4,0))))</f>
        <v>0</v>
      </c>
      <c r="T233">
        <f ca="1">IF($C233-T$1&lt;År1,0,S232*(1-VLOOKUP($A233,[1]Hugst!$R$5:$W$9,MATCH(ROUNDUP((T$1)/10,0)*10,[1]Hugst!$R$4:$W$4,0))))</f>
        <v>0</v>
      </c>
      <c r="U233">
        <f>IF($C233-U$1&lt;År1,0,T232*(1-VLOOKUP($A233,[1]Hugst!$R$5:$W$9,MATCH(ROUNDUP((U$1)/10,0)*10,[1]Hugst!$R$4:$W$4,0))))</f>
        <v>0</v>
      </c>
      <c r="V233">
        <f>IF($C233-V$1&lt;År1,0,U232*(1-VLOOKUP($A233,[1]Hugst!$R$5:$W$9,MATCH(ROUNDUP((V$1)/10,0)*10,[1]Hugst!$R$4:$W$4,0))))</f>
        <v>0</v>
      </c>
      <c r="W233">
        <f>IF($C233-W$1&lt;År1,0,V232*(1-VLOOKUP($A233,[1]Hugst!$R$5:$W$9,MATCH(ROUNDUP((W$1)/10,0)*10,[1]Hugst!$R$4:$W$4,0))))</f>
        <v>0</v>
      </c>
      <c r="X233">
        <f>IF($C233-X$1&lt;År1,0,W232*(1-VLOOKUP($A233,[1]Hugst!$R$5:$W$9,MATCH(ROUNDUP((X$1)/10,0)*10,[1]Hugst!$R$4:$W$4,0))))</f>
        <v>0</v>
      </c>
      <c r="Y233">
        <f>IF($C233-Y$1&lt;År1,0,X232*(1-VLOOKUP($A233,[1]Hugst!$R$5:$W$9,MATCH(ROUNDUP((Y$1)/10,0)*10,[1]Hugst!$R$4:$W$4,0))))</f>
        <v>0</v>
      </c>
      <c r="Z233">
        <f>IF($C233-Z$1&lt;År1,0,Y232*(1-VLOOKUP($A233,[1]Hugst!$R$5:$W$9,MATCH(ROUNDUP((Z$1)/10,0)*10,[1]Hugst!$R$4:$W$4,0))))</f>
        <v>0</v>
      </c>
      <c r="AA233">
        <f>IF($C233-AA$1&lt;År1,0,Z232*(1-VLOOKUP($A233,[1]Hugst!$R$5:$W$9,MATCH(ROUNDUP((AA$1)/10,0)*10,[1]Hugst!$R$4:$W$4,0))))</f>
        <v>0</v>
      </c>
      <c r="AB233">
        <f>IF($C233-AB$1&lt;År1,0,AA232*(1-VLOOKUP($A233,[1]Hugst!$R$5:$W$9,MATCH(ROUNDUP((AB$1)/10,0)*10,[1]Hugst!$R$4:$W$4,0))))</f>
        <v>0</v>
      </c>
      <c r="AC233">
        <f>IF($C233-AC$1&lt;År1,0,AB232*(1-VLOOKUP($A233,[1]Hugst!$R$5:$W$9,MATCH(ROUNDUP((AC$1)/10,0)*10,[1]Hugst!$R$4:$W$4,0))))</f>
        <v>0</v>
      </c>
      <c r="AD233">
        <f>IF($C233-AD$1&lt;År1,0,AC232*(1-VLOOKUP($A233,[1]Hugst!$R$5:$W$9,MATCH(ROUNDUP((AD$1)/10,0)*10,[1]Hugst!$R$4:$W$4,0))))</f>
        <v>0</v>
      </c>
      <c r="AE233">
        <f>IF($C233-AE$1&lt;År1,0,AD232*(1-VLOOKUP($A233,[1]Hugst!$R$5:$W$9,MATCH(ROUNDUP((AE$1)/10,0)*10,[1]Hugst!$R$4:$W$4,0))))</f>
        <v>0</v>
      </c>
      <c r="AF233">
        <f>IF($C233-AF$1&lt;År1,0,AE232*(1-VLOOKUP($A233,[1]Hugst!$R$5:$W$9,MATCH(ROUNDUP((AF$1)/10,0)*10,[1]Hugst!$R$4:$W$4,0))))</f>
        <v>0</v>
      </c>
      <c r="AG233">
        <f>IF($C233-AG$1&lt;År1,0,AF232*(1-VLOOKUP($A233,[1]Hugst!$R$5:$W$9,MATCH(ROUNDUP((AG$1)/10,0)*10,[1]Hugst!$R$4:$W$4,0))))</f>
        <v>0</v>
      </c>
      <c r="AH233">
        <f>IF($C233-AH$1&lt;År1,0,AG232*(1-VLOOKUP($A233,[1]Hugst!$R$5:$W$9,MATCH(ROUNDUP((AH$1)/10,0)*10,[1]Hugst!$R$4:$W$4,0))))</f>
        <v>0</v>
      </c>
      <c r="AI233">
        <f>IF($C233-AI$1&lt;År1,0,AH232*(1-VLOOKUP($A233,[1]Hugst!$R$5:$W$9,MATCH(ROUNDUP((AI$1)/10,0)*10,[1]Hugst!$R$4:$W$4,0))))</f>
        <v>0</v>
      </c>
      <c r="AJ233">
        <f>IF($C233-AJ$1&lt;År1,0,AI232*(1-VLOOKUP($A233,[1]Hugst!$R$5:$W$9,MATCH(ROUNDUP((AJ$1)/10,0)*10,[1]Hugst!$R$4:$W$4,0))))</f>
        <v>0</v>
      </c>
    </row>
    <row r="234" spans="1:36" x14ac:dyDescent="0.25">
      <c r="A234" t="s">
        <v>179</v>
      </c>
      <c r="B234" t="s">
        <v>24</v>
      </c>
      <c r="C234">
        <v>2035</v>
      </c>
      <c r="D234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0</v>
      </c>
      <c r="E234">
        <f t="shared" ca="1" si="5"/>
        <v>0</v>
      </c>
      <c r="F234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>
        <f ca="1">IF($C234-G$1&lt;År1,0,F233*(1-VLOOKUP($A234,[1]Hugst!$R$5:$W$9,MATCH(ROUNDUP((G$1)/10,0)*10,[1]Hugst!$R$4:$W$4,0))))</f>
        <v>0</v>
      </c>
      <c r="H234">
        <f ca="1">IF($C234-H$1&lt;År1,0,G233*(1-VLOOKUP($A234,[1]Hugst!$R$5:$W$9,MATCH(ROUNDUP((H$1)/10,0)*10,[1]Hugst!$R$4:$W$4,0))))</f>
        <v>0</v>
      </c>
      <c r="I234">
        <f ca="1">IF($C234-I$1&lt;År1,0,H233*(1-VLOOKUP($A234,[1]Hugst!$R$5:$W$9,MATCH(ROUNDUP((I$1)/10,0)*10,[1]Hugst!$R$4:$W$4,0))))</f>
        <v>0</v>
      </c>
      <c r="J234">
        <f ca="1">IF($C234-J$1&lt;År1,0,I233*(1-VLOOKUP($A234,[1]Hugst!$R$5:$W$9,MATCH(ROUNDUP((J$1)/10,0)*10,[1]Hugst!$R$4:$W$4,0))))</f>
        <v>0</v>
      </c>
      <c r="K234">
        <f ca="1">IF($C234-K$1&lt;År1,0,J233*(1-VLOOKUP($A234,[1]Hugst!$R$5:$W$9,MATCH(ROUNDUP((K$1)/10,0)*10,[1]Hugst!$R$4:$W$4,0))))</f>
        <v>0</v>
      </c>
      <c r="L234">
        <f ca="1">IF($C234-L$1&lt;År1,0,K233*(1-VLOOKUP($A234,[1]Hugst!$R$5:$W$9,MATCH(ROUNDUP((L$1)/10,0)*10,[1]Hugst!$R$4:$W$4,0))))</f>
        <v>0</v>
      </c>
      <c r="M234">
        <f ca="1">IF($C234-M$1&lt;År1,0,L233*(1-VLOOKUP($A234,[1]Hugst!$R$5:$W$9,MATCH(ROUNDUP((M$1)/10,0)*10,[1]Hugst!$R$4:$W$4,0))))</f>
        <v>0</v>
      </c>
      <c r="N234">
        <f ca="1">IF($C234-N$1&lt;År1,0,M233*(1-VLOOKUP($A234,[1]Hugst!$R$5:$W$9,MATCH(ROUNDUP((N$1)/10,0)*10,[1]Hugst!$R$4:$W$4,0))))</f>
        <v>0</v>
      </c>
      <c r="O234">
        <f ca="1">IF($C234-O$1&lt;År1,0,N233*(1-VLOOKUP($A234,[1]Hugst!$R$5:$W$9,MATCH(ROUNDUP((O$1)/10,0)*10,[1]Hugst!$R$4:$W$4,0))))</f>
        <v>0</v>
      </c>
      <c r="P234">
        <f ca="1">IF($C234-P$1&lt;År1,0,O233*(1-VLOOKUP($A234,[1]Hugst!$R$5:$W$9,MATCH(ROUNDUP((P$1)/10,0)*10,[1]Hugst!$R$4:$W$4,0))))</f>
        <v>0</v>
      </c>
      <c r="Q234">
        <f ca="1">IF($C234-Q$1&lt;År1,0,P233*(1-VLOOKUP($A234,[1]Hugst!$R$5:$W$9,MATCH(ROUNDUP((Q$1)/10,0)*10,[1]Hugst!$R$4:$W$4,0))))</f>
        <v>0</v>
      </c>
      <c r="R234">
        <f ca="1">IF($C234-R$1&lt;År1,0,Q233*(1-VLOOKUP($A234,[1]Hugst!$R$5:$W$9,MATCH(ROUNDUP((R$1)/10,0)*10,[1]Hugst!$R$4:$W$4,0))))</f>
        <v>0</v>
      </c>
      <c r="S234">
        <f ca="1">IF($C234-S$1&lt;År1,0,R233*(1-VLOOKUP($A234,[1]Hugst!$R$5:$W$9,MATCH(ROUNDUP((S$1)/10,0)*10,[1]Hugst!$R$4:$W$4,0))))</f>
        <v>0</v>
      </c>
      <c r="T234">
        <f ca="1">IF($C234-T$1&lt;År1,0,S233*(1-VLOOKUP($A234,[1]Hugst!$R$5:$W$9,MATCH(ROUNDUP((T$1)/10,0)*10,[1]Hugst!$R$4:$W$4,0))))</f>
        <v>0</v>
      </c>
      <c r="U234">
        <f ca="1">IF($C234-U$1&lt;År1,0,T233*(1-VLOOKUP($A234,[1]Hugst!$R$5:$W$9,MATCH(ROUNDUP((U$1)/10,0)*10,[1]Hugst!$R$4:$W$4,0))))</f>
        <v>0</v>
      </c>
      <c r="V234">
        <f>IF($C234-V$1&lt;År1,0,U233*(1-VLOOKUP($A234,[1]Hugst!$R$5:$W$9,MATCH(ROUNDUP((V$1)/10,0)*10,[1]Hugst!$R$4:$W$4,0))))</f>
        <v>0</v>
      </c>
      <c r="W234">
        <f>IF($C234-W$1&lt;År1,0,V233*(1-VLOOKUP($A234,[1]Hugst!$R$5:$W$9,MATCH(ROUNDUP((W$1)/10,0)*10,[1]Hugst!$R$4:$W$4,0))))</f>
        <v>0</v>
      </c>
      <c r="X234">
        <f>IF($C234-X$1&lt;År1,0,W233*(1-VLOOKUP($A234,[1]Hugst!$R$5:$W$9,MATCH(ROUNDUP((X$1)/10,0)*10,[1]Hugst!$R$4:$W$4,0))))</f>
        <v>0</v>
      </c>
      <c r="Y234">
        <f>IF($C234-Y$1&lt;År1,0,X233*(1-VLOOKUP($A234,[1]Hugst!$R$5:$W$9,MATCH(ROUNDUP((Y$1)/10,0)*10,[1]Hugst!$R$4:$W$4,0))))</f>
        <v>0</v>
      </c>
      <c r="Z234">
        <f>IF($C234-Z$1&lt;År1,0,Y233*(1-VLOOKUP($A234,[1]Hugst!$R$5:$W$9,MATCH(ROUNDUP((Z$1)/10,0)*10,[1]Hugst!$R$4:$W$4,0))))</f>
        <v>0</v>
      </c>
      <c r="AA234">
        <f>IF($C234-AA$1&lt;År1,0,Z233*(1-VLOOKUP($A234,[1]Hugst!$R$5:$W$9,MATCH(ROUNDUP((AA$1)/10,0)*10,[1]Hugst!$R$4:$W$4,0))))</f>
        <v>0</v>
      </c>
      <c r="AB234">
        <f>IF($C234-AB$1&lt;År1,0,AA233*(1-VLOOKUP($A234,[1]Hugst!$R$5:$W$9,MATCH(ROUNDUP((AB$1)/10,0)*10,[1]Hugst!$R$4:$W$4,0))))</f>
        <v>0</v>
      </c>
      <c r="AC234">
        <f>IF($C234-AC$1&lt;År1,0,AB233*(1-VLOOKUP($A234,[1]Hugst!$R$5:$W$9,MATCH(ROUNDUP((AC$1)/10,0)*10,[1]Hugst!$R$4:$W$4,0))))</f>
        <v>0</v>
      </c>
      <c r="AD234">
        <f>IF($C234-AD$1&lt;År1,0,AC233*(1-VLOOKUP($A234,[1]Hugst!$R$5:$W$9,MATCH(ROUNDUP((AD$1)/10,0)*10,[1]Hugst!$R$4:$W$4,0))))</f>
        <v>0</v>
      </c>
      <c r="AE234">
        <f>IF($C234-AE$1&lt;År1,0,AD233*(1-VLOOKUP($A234,[1]Hugst!$R$5:$W$9,MATCH(ROUNDUP((AE$1)/10,0)*10,[1]Hugst!$R$4:$W$4,0))))</f>
        <v>0</v>
      </c>
      <c r="AF234">
        <f>IF($C234-AF$1&lt;År1,0,AE233*(1-VLOOKUP($A234,[1]Hugst!$R$5:$W$9,MATCH(ROUNDUP((AF$1)/10,0)*10,[1]Hugst!$R$4:$W$4,0))))</f>
        <v>0</v>
      </c>
      <c r="AG234">
        <f>IF($C234-AG$1&lt;År1,0,AF233*(1-VLOOKUP($A234,[1]Hugst!$R$5:$W$9,MATCH(ROUNDUP((AG$1)/10,0)*10,[1]Hugst!$R$4:$W$4,0))))</f>
        <v>0</v>
      </c>
      <c r="AH234">
        <f>IF($C234-AH$1&lt;År1,0,AG233*(1-VLOOKUP($A234,[1]Hugst!$R$5:$W$9,MATCH(ROUNDUP((AH$1)/10,0)*10,[1]Hugst!$R$4:$W$4,0))))</f>
        <v>0</v>
      </c>
      <c r="AI234">
        <f>IF($C234-AI$1&lt;År1,0,AH233*(1-VLOOKUP($A234,[1]Hugst!$R$5:$W$9,MATCH(ROUNDUP((AI$1)/10,0)*10,[1]Hugst!$R$4:$W$4,0))))</f>
        <v>0</v>
      </c>
      <c r="AJ234">
        <f>IF($C234-AJ$1&lt;År1,0,AI233*(1-VLOOKUP($A234,[1]Hugst!$R$5:$W$9,MATCH(ROUNDUP((AJ$1)/10,0)*10,[1]Hugst!$R$4:$W$4,0))))</f>
        <v>0</v>
      </c>
    </row>
    <row r="235" spans="1:36" x14ac:dyDescent="0.25">
      <c r="A235" t="s">
        <v>179</v>
      </c>
      <c r="B235" t="s">
        <v>24</v>
      </c>
      <c r="C235">
        <v>2036</v>
      </c>
      <c r="D235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0</v>
      </c>
      <c r="E235">
        <f t="shared" ca="1" si="5"/>
        <v>0</v>
      </c>
      <c r="F235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>
        <f ca="1">IF($C235-G$1&lt;År1,0,F234*(1-VLOOKUP($A235,[1]Hugst!$R$5:$W$9,MATCH(ROUNDUP((G$1)/10,0)*10,[1]Hugst!$R$4:$W$4,0))))</f>
        <v>0</v>
      </c>
      <c r="H235">
        <f ca="1">IF($C235-H$1&lt;År1,0,G234*(1-VLOOKUP($A235,[1]Hugst!$R$5:$W$9,MATCH(ROUNDUP((H$1)/10,0)*10,[1]Hugst!$R$4:$W$4,0))))</f>
        <v>0</v>
      </c>
      <c r="I235">
        <f ca="1">IF($C235-I$1&lt;År1,0,H234*(1-VLOOKUP($A235,[1]Hugst!$R$5:$W$9,MATCH(ROUNDUP((I$1)/10,0)*10,[1]Hugst!$R$4:$W$4,0))))</f>
        <v>0</v>
      </c>
      <c r="J235">
        <f ca="1">IF($C235-J$1&lt;År1,0,I234*(1-VLOOKUP($A235,[1]Hugst!$R$5:$W$9,MATCH(ROUNDUP((J$1)/10,0)*10,[1]Hugst!$R$4:$W$4,0))))</f>
        <v>0</v>
      </c>
      <c r="K235">
        <f ca="1">IF($C235-K$1&lt;År1,0,J234*(1-VLOOKUP($A235,[1]Hugst!$R$5:$W$9,MATCH(ROUNDUP((K$1)/10,0)*10,[1]Hugst!$R$4:$W$4,0))))</f>
        <v>0</v>
      </c>
      <c r="L235">
        <f ca="1">IF($C235-L$1&lt;År1,0,K234*(1-VLOOKUP($A235,[1]Hugst!$R$5:$W$9,MATCH(ROUNDUP((L$1)/10,0)*10,[1]Hugst!$R$4:$W$4,0))))</f>
        <v>0</v>
      </c>
      <c r="M235">
        <f ca="1">IF($C235-M$1&lt;År1,0,L234*(1-VLOOKUP($A235,[1]Hugst!$R$5:$W$9,MATCH(ROUNDUP((M$1)/10,0)*10,[1]Hugst!$R$4:$W$4,0))))</f>
        <v>0</v>
      </c>
      <c r="N235">
        <f ca="1">IF($C235-N$1&lt;År1,0,M234*(1-VLOOKUP($A235,[1]Hugst!$R$5:$W$9,MATCH(ROUNDUP((N$1)/10,0)*10,[1]Hugst!$R$4:$W$4,0))))</f>
        <v>0</v>
      </c>
      <c r="O235">
        <f ca="1">IF($C235-O$1&lt;År1,0,N234*(1-VLOOKUP($A235,[1]Hugst!$R$5:$W$9,MATCH(ROUNDUP((O$1)/10,0)*10,[1]Hugst!$R$4:$W$4,0))))</f>
        <v>0</v>
      </c>
      <c r="P235">
        <f ca="1">IF($C235-P$1&lt;År1,0,O234*(1-VLOOKUP($A235,[1]Hugst!$R$5:$W$9,MATCH(ROUNDUP((P$1)/10,0)*10,[1]Hugst!$R$4:$W$4,0))))</f>
        <v>0</v>
      </c>
      <c r="Q235">
        <f ca="1">IF($C235-Q$1&lt;År1,0,P234*(1-VLOOKUP($A235,[1]Hugst!$R$5:$W$9,MATCH(ROUNDUP((Q$1)/10,0)*10,[1]Hugst!$R$4:$W$4,0))))</f>
        <v>0</v>
      </c>
      <c r="R235">
        <f ca="1">IF($C235-R$1&lt;År1,0,Q234*(1-VLOOKUP($A235,[1]Hugst!$R$5:$W$9,MATCH(ROUNDUP((R$1)/10,0)*10,[1]Hugst!$R$4:$W$4,0))))</f>
        <v>0</v>
      </c>
      <c r="S235">
        <f ca="1">IF($C235-S$1&lt;År1,0,R234*(1-VLOOKUP($A235,[1]Hugst!$R$5:$W$9,MATCH(ROUNDUP((S$1)/10,0)*10,[1]Hugst!$R$4:$W$4,0))))</f>
        <v>0</v>
      </c>
      <c r="T235">
        <f ca="1">IF($C235-T$1&lt;År1,0,S234*(1-VLOOKUP($A235,[1]Hugst!$R$5:$W$9,MATCH(ROUNDUP((T$1)/10,0)*10,[1]Hugst!$R$4:$W$4,0))))</f>
        <v>0</v>
      </c>
      <c r="U235">
        <f ca="1">IF($C235-U$1&lt;År1,0,T234*(1-VLOOKUP($A235,[1]Hugst!$R$5:$W$9,MATCH(ROUNDUP((U$1)/10,0)*10,[1]Hugst!$R$4:$W$4,0))))</f>
        <v>0</v>
      </c>
      <c r="V235">
        <f ca="1">IF($C235-V$1&lt;År1,0,U234*(1-VLOOKUP($A235,[1]Hugst!$R$5:$W$9,MATCH(ROUNDUP((V$1)/10,0)*10,[1]Hugst!$R$4:$W$4,0))))</f>
        <v>0</v>
      </c>
      <c r="W235">
        <f>IF($C235-W$1&lt;År1,0,V234*(1-VLOOKUP($A235,[1]Hugst!$R$5:$W$9,MATCH(ROUNDUP((W$1)/10,0)*10,[1]Hugst!$R$4:$W$4,0))))</f>
        <v>0</v>
      </c>
      <c r="X235">
        <f>IF($C235-X$1&lt;År1,0,W234*(1-VLOOKUP($A235,[1]Hugst!$R$5:$W$9,MATCH(ROUNDUP((X$1)/10,0)*10,[1]Hugst!$R$4:$W$4,0))))</f>
        <v>0</v>
      </c>
      <c r="Y235">
        <f>IF($C235-Y$1&lt;År1,0,X234*(1-VLOOKUP($A235,[1]Hugst!$R$5:$W$9,MATCH(ROUNDUP((Y$1)/10,0)*10,[1]Hugst!$R$4:$W$4,0))))</f>
        <v>0</v>
      </c>
      <c r="Z235">
        <f>IF($C235-Z$1&lt;År1,0,Y234*(1-VLOOKUP($A235,[1]Hugst!$R$5:$W$9,MATCH(ROUNDUP((Z$1)/10,0)*10,[1]Hugst!$R$4:$W$4,0))))</f>
        <v>0</v>
      </c>
      <c r="AA235">
        <f>IF($C235-AA$1&lt;År1,0,Z234*(1-VLOOKUP($A235,[1]Hugst!$R$5:$W$9,MATCH(ROUNDUP((AA$1)/10,0)*10,[1]Hugst!$R$4:$W$4,0))))</f>
        <v>0</v>
      </c>
      <c r="AB235">
        <f>IF($C235-AB$1&lt;År1,0,AA234*(1-VLOOKUP($A235,[1]Hugst!$R$5:$W$9,MATCH(ROUNDUP((AB$1)/10,0)*10,[1]Hugst!$R$4:$W$4,0))))</f>
        <v>0</v>
      </c>
      <c r="AC235">
        <f>IF($C235-AC$1&lt;År1,0,AB234*(1-VLOOKUP($A235,[1]Hugst!$R$5:$W$9,MATCH(ROUNDUP((AC$1)/10,0)*10,[1]Hugst!$R$4:$W$4,0))))</f>
        <v>0</v>
      </c>
      <c r="AD235">
        <f>IF($C235-AD$1&lt;År1,0,AC234*(1-VLOOKUP($A235,[1]Hugst!$R$5:$W$9,MATCH(ROUNDUP((AD$1)/10,0)*10,[1]Hugst!$R$4:$W$4,0))))</f>
        <v>0</v>
      </c>
      <c r="AE235">
        <f>IF($C235-AE$1&lt;År1,0,AD234*(1-VLOOKUP($A235,[1]Hugst!$R$5:$W$9,MATCH(ROUNDUP((AE$1)/10,0)*10,[1]Hugst!$R$4:$W$4,0))))</f>
        <v>0</v>
      </c>
      <c r="AF235">
        <f>IF($C235-AF$1&lt;År1,0,AE234*(1-VLOOKUP($A235,[1]Hugst!$R$5:$W$9,MATCH(ROUNDUP((AF$1)/10,0)*10,[1]Hugst!$R$4:$W$4,0))))</f>
        <v>0</v>
      </c>
      <c r="AG235">
        <f>IF($C235-AG$1&lt;År1,0,AF234*(1-VLOOKUP($A235,[1]Hugst!$R$5:$W$9,MATCH(ROUNDUP((AG$1)/10,0)*10,[1]Hugst!$R$4:$W$4,0))))</f>
        <v>0</v>
      </c>
      <c r="AH235">
        <f>IF($C235-AH$1&lt;År1,0,AG234*(1-VLOOKUP($A235,[1]Hugst!$R$5:$W$9,MATCH(ROUNDUP((AH$1)/10,0)*10,[1]Hugst!$R$4:$W$4,0))))</f>
        <v>0</v>
      </c>
      <c r="AI235">
        <f>IF($C235-AI$1&lt;År1,0,AH234*(1-VLOOKUP($A235,[1]Hugst!$R$5:$W$9,MATCH(ROUNDUP((AI$1)/10,0)*10,[1]Hugst!$R$4:$W$4,0))))</f>
        <v>0</v>
      </c>
      <c r="AJ235">
        <f>IF($C235-AJ$1&lt;År1,0,AI234*(1-VLOOKUP($A235,[1]Hugst!$R$5:$W$9,MATCH(ROUNDUP((AJ$1)/10,0)*10,[1]Hugst!$R$4:$W$4,0))))</f>
        <v>0</v>
      </c>
    </row>
    <row r="236" spans="1:36" x14ac:dyDescent="0.25">
      <c r="A236" t="s">
        <v>179</v>
      </c>
      <c r="B236" t="s">
        <v>24</v>
      </c>
      <c r="C236">
        <v>2037</v>
      </c>
      <c r="D236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0</v>
      </c>
      <c r="E236">
        <f t="shared" ca="1" si="5"/>
        <v>0</v>
      </c>
      <c r="F236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>
        <f ca="1">IF($C236-G$1&lt;År1,0,F235*(1-VLOOKUP($A236,[1]Hugst!$R$5:$W$9,MATCH(ROUNDUP((G$1)/10,0)*10,[1]Hugst!$R$4:$W$4,0))))</f>
        <v>0</v>
      </c>
      <c r="H236">
        <f ca="1">IF($C236-H$1&lt;År1,0,G235*(1-VLOOKUP($A236,[1]Hugst!$R$5:$W$9,MATCH(ROUNDUP((H$1)/10,0)*10,[1]Hugst!$R$4:$W$4,0))))</f>
        <v>0</v>
      </c>
      <c r="I236">
        <f ca="1">IF($C236-I$1&lt;År1,0,H235*(1-VLOOKUP($A236,[1]Hugst!$R$5:$W$9,MATCH(ROUNDUP((I$1)/10,0)*10,[1]Hugst!$R$4:$W$4,0))))</f>
        <v>0</v>
      </c>
      <c r="J236">
        <f ca="1">IF($C236-J$1&lt;År1,0,I235*(1-VLOOKUP($A236,[1]Hugst!$R$5:$W$9,MATCH(ROUNDUP((J$1)/10,0)*10,[1]Hugst!$R$4:$W$4,0))))</f>
        <v>0</v>
      </c>
      <c r="K236">
        <f ca="1">IF($C236-K$1&lt;År1,0,J235*(1-VLOOKUP($A236,[1]Hugst!$R$5:$W$9,MATCH(ROUNDUP((K$1)/10,0)*10,[1]Hugst!$R$4:$W$4,0))))</f>
        <v>0</v>
      </c>
      <c r="L236">
        <f ca="1">IF($C236-L$1&lt;År1,0,K235*(1-VLOOKUP($A236,[1]Hugst!$R$5:$W$9,MATCH(ROUNDUP((L$1)/10,0)*10,[1]Hugst!$R$4:$W$4,0))))</f>
        <v>0</v>
      </c>
      <c r="M236">
        <f ca="1">IF($C236-M$1&lt;År1,0,L235*(1-VLOOKUP($A236,[1]Hugst!$R$5:$W$9,MATCH(ROUNDUP((M$1)/10,0)*10,[1]Hugst!$R$4:$W$4,0))))</f>
        <v>0</v>
      </c>
      <c r="N236">
        <f ca="1">IF($C236-N$1&lt;År1,0,M235*(1-VLOOKUP($A236,[1]Hugst!$R$5:$W$9,MATCH(ROUNDUP((N$1)/10,0)*10,[1]Hugst!$R$4:$W$4,0))))</f>
        <v>0</v>
      </c>
      <c r="O236">
        <f ca="1">IF($C236-O$1&lt;År1,0,N235*(1-VLOOKUP($A236,[1]Hugst!$R$5:$W$9,MATCH(ROUNDUP((O$1)/10,0)*10,[1]Hugst!$R$4:$W$4,0))))</f>
        <v>0</v>
      </c>
      <c r="P236">
        <f ca="1">IF($C236-P$1&lt;År1,0,O235*(1-VLOOKUP($A236,[1]Hugst!$R$5:$W$9,MATCH(ROUNDUP((P$1)/10,0)*10,[1]Hugst!$R$4:$W$4,0))))</f>
        <v>0</v>
      </c>
      <c r="Q236">
        <f ca="1">IF($C236-Q$1&lt;År1,0,P235*(1-VLOOKUP($A236,[1]Hugst!$R$5:$W$9,MATCH(ROUNDUP((Q$1)/10,0)*10,[1]Hugst!$R$4:$W$4,0))))</f>
        <v>0</v>
      </c>
      <c r="R236">
        <f ca="1">IF($C236-R$1&lt;År1,0,Q235*(1-VLOOKUP($A236,[1]Hugst!$R$5:$W$9,MATCH(ROUNDUP((R$1)/10,0)*10,[1]Hugst!$R$4:$W$4,0))))</f>
        <v>0</v>
      </c>
      <c r="S236">
        <f ca="1">IF($C236-S$1&lt;År1,0,R235*(1-VLOOKUP($A236,[1]Hugst!$R$5:$W$9,MATCH(ROUNDUP((S$1)/10,0)*10,[1]Hugst!$R$4:$W$4,0))))</f>
        <v>0</v>
      </c>
      <c r="T236">
        <f ca="1">IF($C236-T$1&lt;År1,0,S235*(1-VLOOKUP($A236,[1]Hugst!$R$5:$W$9,MATCH(ROUNDUP((T$1)/10,0)*10,[1]Hugst!$R$4:$W$4,0))))</f>
        <v>0</v>
      </c>
      <c r="U236">
        <f ca="1">IF($C236-U$1&lt;År1,0,T235*(1-VLOOKUP($A236,[1]Hugst!$R$5:$W$9,MATCH(ROUNDUP((U$1)/10,0)*10,[1]Hugst!$R$4:$W$4,0))))</f>
        <v>0</v>
      </c>
      <c r="V236">
        <f ca="1">IF($C236-V$1&lt;År1,0,U235*(1-VLOOKUP($A236,[1]Hugst!$R$5:$W$9,MATCH(ROUNDUP((V$1)/10,0)*10,[1]Hugst!$R$4:$W$4,0))))</f>
        <v>0</v>
      </c>
      <c r="W236">
        <f ca="1">IF($C236-W$1&lt;År1,0,V235*(1-VLOOKUP($A236,[1]Hugst!$R$5:$W$9,MATCH(ROUNDUP((W$1)/10,0)*10,[1]Hugst!$R$4:$W$4,0))))</f>
        <v>0</v>
      </c>
      <c r="X236">
        <f>IF($C236-X$1&lt;År1,0,W235*(1-VLOOKUP($A236,[1]Hugst!$R$5:$W$9,MATCH(ROUNDUP((X$1)/10,0)*10,[1]Hugst!$R$4:$W$4,0))))</f>
        <v>0</v>
      </c>
      <c r="Y236">
        <f>IF($C236-Y$1&lt;År1,0,X235*(1-VLOOKUP($A236,[1]Hugst!$R$5:$W$9,MATCH(ROUNDUP((Y$1)/10,0)*10,[1]Hugst!$R$4:$W$4,0))))</f>
        <v>0</v>
      </c>
      <c r="Z236">
        <f>IF($C236-Z$1&lt;År1,0,Y235*(1-VLOOKUP($A236,[1]Hugst!$R$5:$W$9,MATCH(ROUNDUP((Z$1)/10,0)*10,[1]Hugst!$R$4:$W$4,0))))</f>
        <v>0</v>
      </c>
      <c r="AA236">
        <f>IF($C236-AA$1&lt;År1,0,Z235*(1-VLOOKUP($A236,[1]Hugst!$R$5:$W$9,MATCH(ROUNDUP((AA$1)/10,0)*10,[1]Hugst!$R$4:$W$4,0))))</f>
        <v>0</v>
      </c>
      <c r="AB236">
        <f>IF($C236-AB$1&lt;År1,0,AA235*(1-VLOOKUP($A236,[1]Hugst!$R$5:$W$9,MATCH(ROUNDUP((AB$1)/10,0)*10,[1]Hugst!$R$4:$W$4,0))))</f>
        <v>0</v>
      </c>
      <c r="AC236">
        <f>IF($C236-AC$1&lt;År1,0,AB235*(1-VLOOKUP($A236,[1]Hugst!$R$5:$W$9,MATCH(ROUNDUP((AC$1)/10,0)*10,[1]Hugst!$R$4:$W$4,0))))</f>
        <v>0</v>
      </c>
      <c r="AD236">
        <f>IF($C236-AD$1&lt;År1,0,AC235*(1-VLOOKUP($A236,[1]Hugst!$R$5:$W$9,MATCH(ROUNDUP((AD$1)/10,0)*10,[1]Hugst!$R$4:$W$4,0))))</f>
        <v>0</v>
      </c>
      <c r="AE236">
        <f>IF($C236-AE$1&lt;År1,0,AD235*(1-VLOOKUP($A236,[1]Hugst!$R$5:$W$9,MATCH(ROUNDUP((AE$1)/10,0)*10,[1]Hugst!$R$4:$W$4,0))))</f>
        <v>0</v>
      </c>
      <c r="AF236">
        <f>IF($C236-AF$1&lt;År1,0,AE235*(1-VLOOKUP($A236,[1]Hugst!$R$5:$W$9,MATCH(ROUNDUP((AF$1)/10,0)*10,[1]Hugst!$R$4:$W$4,0))))</f>
        <v>0</v>
      </c>
      <c r="AG236">
        <f>IF($C236-AG$1&lt;År1,0,AF235*(1-VLOOKUP($A236,[1]Hugst!$R$5:$W$9,MATCH(ROUNDUP((AG$1)/10,0)*10,[1]Hugst!$R$4:$W$4,0))))</f>
        <v>0</v>
      </c>
      <c r="AH236">
        <f>IF($C236-AH$1&lt;År1,0,AG235*(1-VLOOKUP($A236,[1]Hugst!$R$5:$W$9,MATCH(ROUNDUP((AH$1)/10,0)*10,[1]Hugst!$R$4:$W$4,0))))</f>
        <v>0</v>
      </c>
      <c r="AI236">
        <f>IF($C236-AI$1&lt;År1,0,AH235*(1-VLOOKUP($A236,[1]Hugst!$R$5:$W$9,MATCH(ROUNDUP((AI$1)/10,0)*10,[1]Hugst!$R$4:$W$4,0))))</f>
        <v>0</v>
      </c>
      <c r="AJ236">
        <f>IF($C236-AJ$1&lt;År1,0,AI235*(1-VLOOKUP($A236,[1]Hugst!$R$5:$W$9,MATCH(ROUNDUP((AJ$1)/10,0)*10,[1]Hugst!$R$4:$W$4,0))))</f>
        <v>0</v>
      </c>
    </row>
    <row r="237" spans="1:36" x14ac:dyDescent="0.25">
      <c r="A237" t="s">
        <v>179</v>
      </c>
      <c r="B237" t="s">
        <v>24</v>
      </c>
      <c r="C237">
        <v>2038</v>
      </c>
      <c r="D237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0</v>
      </c>
      <c r="E237">
        <f t="shared" ca="1" si="5"/>
        <v>0</v>
      </c>
      <c r="F237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>
        <f ca="1">IF($C237-G$1&lt;År1,0,F236*(1-VLOOKUP($A237,[1]Hugst!$R$5:$W$9,MATCH(ROUNDUP((G$1)/10,0)*10,[1]Hugst!$R$4:$W$4,0))))</f>
        <v>0</v>
      </c>
      <c r="H237">
        <f ca="1">IF($C237-H$1&lt;År1,0,G236*(1-VLOOKUP($A237,[1]Hugst!$R$5:$W$9,MATCH(ROUNDUP((H$1)/10,0)*10,[1]Hugst!$R$4:$W$4,0))))</f>
        <v>0</v>
      </c>
      <c r="I237">
        <f ca="1">IF($C237-I$1&lt;År1,0,H236*(1-VLOOKUP($A237,[1]Hugst!$R$5:$W$9,MATCH(ROUNDUP((I$1)/10,0)*10,[1]Hugst!$R$4:$W$4,0))))</f>
        <v>0</v>
      </c>
      <c r="J237">
        <f ca="1">IF($C237-J$1&lt;År1,0,I236*(1-VLOOKUP($A237,[1]Hugst!$R$5:$W$9,MATCH(ROUNDUP((J$1)/10,0)*10,[1]Hugst!$R$4:$W$4,0))))</f>
        <v>0</v>
      </c>
      <c r="K237">
        <f ca="1">IF($C237-K$1&lt;År1,0,J236*(1-VLOOKUP($A237,[1]Hugst!$R$5:$W$9,MATCH(ROUNDUP((K$1)/10,0)*10,[1]Hugst!$R$4:$W$4,0))))</f>
        <v>0</v>
      </c>
      <c r="L237">
        <f ca="1">IF($C237-L$1&lt;År1,0,K236*(1-VLOOKUP($A237,[1]Hugst!$R$5:$W$9,MATCH(ROUNDUP((L$1)/10,0)*10,[1]Hugst!$R$4:$W$4,0))))</f>
        <v>0</v>
      </c>
      <c r="M237">
        <f ca="1">IF($C237-M$1&lt;År1,0,L236*(1-VLOOKUP($A237,[1]Hugst!$R$5:$W$9,MATCH(ROUNDUP((M$1)/10,0)*10,[1]Hugst!$R$4:$W$4,0))))</f>
        <v>0</v>
      </c>
      <c r="N237">
        <f ca="1">IF($C237-N$1&lt;År1,0,M236*(1-VLOOKUP($A237,[1]Hugst!$R$5:$W$9,MATCH(ROUNDUP((N$1)/10,0)*10,[1]Hugst!$R$4:$W$4,0))))</f>
        <v>0</v>
      </c>
      <c r="O237">
        <f ca="1">IF($C237-O$1&lt;År1,0,N236*(1-VLOOKUP($A237,[1]Hugst!$R$5:$W$9,MATCH(ROUNDUP((O$1)/10,0)*10,[1]Hugst!$R$4:$W$4,0))))</f>
        <v>0</v>
      </c>
      <c r="P237">
        <f ca="1">IF($C237-P$1&lt;År1,0,O236*(1-VLOOKUP($A237,[1]Hugst!$R$5:$W$9,MATCH(ROUNDUP((P$1)/10,0)*10,[1]Hugst!$R$4:$W$4,0))))</f>
        <v>0</v>
      </c>
      <c r="Q237">
        <f ca="1">IF($C237-Q$1&lt;År1,0,P236*(1-VLOOKUP($A237,[1]Hugst!$R$5:$W$9,MATCH(ROUNDUP((Q$1)/10,0)*10,[1]Hugst!$R$4:$W$4,0))))</f>
        <v>0</v>
      </c>
      <c r="R237">
        <f ca="1">IF($C237-R$1&lt;År1,0,Q236*(1-VLOOKUP($A237,[1]Hugst!$R$5:$W$9,MATCH(ROUNDUP((R$1)/10,0)*10,[1]Hugst!$R$4:$W$4,0))))</f>
        <v>0</v>
      </c>
      <c r="S237">
        <f ca="1">IF($C237-S$1&lt;År1,0,R236*(1-VLOOKUP($A237,[1]Hugst!$R$5:$W$9,MATCH(ROUNDUP((S$1)/10,0)*10,[1]Hugst!$R$4:$W$4,0))))</f>
        <v>0</v>
      </c>
      <c r="T237">
        <f ca="1">IF($C237-T$1&lt;År1,0,S236*(1-VLOOKUP($A237,[1]Hugst!$R$5:$W$9,MATCH(ROUNDUP((T$1)/10,0)*10,[1]Hugst!$R$4:$W$4,0))))</f>
        <v>0</v>
      </c>
      <c r="U237">
        <f ca="1">IF($C237-U$1&lt;År1,0,T236*(1-VLOOKUP($A237,[1]Hugst!$R$5:$W$9,MATCH(ROUNDUP((U$1)/10,0)*10,[1]Hugst!$R$4:$W$4,0))))</f>
        <v>0</v>
      </c>
      <c r="V237">
        <f ca="1">IF($C237-V$1&lt;År1,0,U236*(1-VLOOKUP($A237,[1]Hugst!$R$5:$W$9,MATCH(ROUNDUP((V$1)/10,0)*10,[1]Hugst!$R$4:$W$4,0))))</f>
        <v>0</v>
      </c>
      <c r="W237">
        <f ca="1">IF($C237-W$1&lt;År1,0,V236*(1-VLOOKUP($A237,[1]Hugst!$R$5:$W$9,MATCH(ROUNDUP((W$1)/10,0)*10,[1]Hugst!$R$4:$W$4,0))))</f>
        <v>0</v>
      </c>
      <c r="X237">
        <f ca="1">IF($C237-X$1&lt;År1,0,W236*(1-VLOOKUP($A237,[1]Hugst!$R$5:$W$9,MATCH(ROUNDUP((X$1)/10,0)*10,[1]Hugst!$R$4:$W$4,0))))</f>
        <v>0</v>
      </c>
      <c r="Y237">
        <f>IF($C237-Y$1&lt;År1,0,X236*(1-VLOOKUP($A237,[1]Hugst!$R$5:$W$9,MATCH(ROUNDUP((Y$1)/10,0)*10,[1]Hugst!$R$4:$W$4,0))))</f>
        <v>0</v>
      </c>
      <c r="Z237">
        <f>IF($C237-Z$1&lt;År1,0,Y236*(1-VLOOKUP($A237,[1]Hugst!$R$5:$W$9,MATCH(ROUNDUP((Z$1)/10,0)*10,[1]Hugst!$R$4:$W$4,0))))</f>
        <v>0</v>
      </c>
      <c r="AA237">
        <f>IF($C237-AA$1&lt;År1,0,Z236*(1-VLOOKUP($A237,[1]Hugst!$R$5:$W$9,MATCH(ROUNDUP((AA$1)/10,0)*10,[1]Hugst!$R$4:$W$4,0))))</f>
        <v>0</v>
      </c>
      <c r="AB237">
        <f>IF($C237-AB$1&lt;År1,0,AA236*(1-VLOOKUP($A237,[1]Hugst!$R$5:$W$9,MATCH(ROUNDUP((AB$1)/10,0)*10,[1]Hugst!$R$4:$W$4,0))))</f>
        <v>0</v>
      </c>
      <c r="AC237">
        <f>IF($C237-AC$1&lt;År1,0,AB236*(1-VLOOKUP($A237,[1]Hugst!$R$5:$W$9,MATCH(ROUNDUP((AC$1)/10,0)*10,[1]Hugst!$R$4:$W$4,0))))</f>
        <v>0</v>
      </c>
      <c r="AD237">
        <f>IF($C237-AD$1&lt;År1,0,AC236*(1-VLOOKUP($A237,[1]Hugst!$R$5:$W$9,MATCH(ROUNDUP((AD$1)/10,0)*10,[1]Hugst!$R$4:$W$4,0))))</f>
        <v>0</v>
      </c>
      <c r="AE237">
        <f>IF($C237-AE$1&lt;År1,0,AD236*(1-VLOOKUP($A237,[1]Hugst!$R$5:$W$9,MATCH(ROUNDUP((AE$1)/10,0)*10,[1]Hugst!$R$4:$W$4,0))))</f>
        <v>0</v>
      </c>
      <c r="AF237">
        <f>IF($C237-AF$1&lt;År1,0,AE236*(1-VLOOKUP($A237,[1]Hugst!$R$5:$W$9,MATCH(ROUNDUP((AF$1)/10,0)*10,[1]Hugst!$R$4:$W$4,0))))</f>
        <v>0</v>
      </c>
      <c r="AG237">
        <f>IF($C237-AG$1&lt;År1,0,AF236*(1-VLOOKUP($A237,[1]Hugst!$R$5:$W$9,MATCH(ROUNDUP((AG$1)/10,0)*10,[1]Hugst!$R$4:$W$4,0))))</f>
        <v>0</v>
      </c>
      <c r="AH237">
        <f>IF($C237-AH$1&lt;År1,0,AG236*(1-VLOOKUP($A237,[1]Hugst!$R$5:$W$9,MATCH(ROUNDUP((AH$1)/10,0)*10,[1]Hugst!$R$4:$W$4,0))))</f>
        <v>0</v>
      </c>
      <c r="AI237">
        <f>IF($C237-AI$1&lt;År1,0,AH236*(1-VLOOKUP($A237,[1]Hugst!$R$5:$W$9,MATCH(ROUNDUP((AI$1)/10,0)*10,[1]Hugst!$R$4:$W$4,0))))</f>
        <v>0</v>
      </c>
      <c r="AJ237">
        <f>IF($C237-AJ$1&lt;År1,0,AI236*(1-VLOOKUP($A237,[1]Hugst!$R$5:$W$9,MATCH(ROUNDUP((AJ$1)/10,0)*10,[1]Hugst!$R$4:$W$4,0))))</f>
        <v>0</v>
      </c>
    </row>
    <row r="238" spans="1:36" x14ac:dyDescent="0.25">
      <c r="A238" t="s">
        <v>179</v>
      </c>
      <c r="B238" t="s">
        <v>24</v>
      </c>
      <c r="C238">
        <v>2039</v>
      </c>
      <c r="D23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0</v>
      </c>
      <c r="E238">
        <f t="shared" ca="1" si="5"/>
        <v>0</v>
      </c>
      <c r="F23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>
        <f ca="1">IF($C238-G$1&lt;År1,0,F237*(1-VLOOKUP($A238,[1]Hugst!$R$5:$W$9,MATCH(ROUNDUP((G$1)/10,0)*10,[1]Hugst!$R$4:$W$4,0))))</f>
        <v>0</v>
      </c>
      <c r="H238">
        <f ca="1">IF($C238-H$1&lt;År1,0,G237*(1-VLOOKUP($A238,[1]Hugst!$R$5:$W$9,MATCH(ROUNDUP((H$1)/10,0)*10,[1]Hugst!$R$4:$W$4,0))))</f>
        <v>0</v>
      </c>
      <c r="I238">
        <f ca="1">IF($C238-I$1&lt;År1,0,H237*(1-VLOOKUP($A238,[1]Hugst!$R$5:$W$9,MATCH(ROUNDUP((I$1)/10,0)*10,[1]Hugst!$R$4:$W$4,0))))</f>
        <v>0</v>
      </c>
      <c r="J238">
        <f ca="1">IF($C238-J$1&lt;År1,0,I237*(1-VLOOKUP($A238,[1]Hugst!$R$5:$W$9,MATCH(ROUNDUP((J$1)/10,0)*10,[1]Hugst!$R$4:$W$4,0))))</f>
        <v>0</v>
      </c>
      <c r="K238">
        <f ca="1">IF($C238-K$1&lt;År1,0,J237*(1-VLOOKUP($A238,[1]Hugst!$R$5:$W$9,MATCH(ROUNDUP((K$1)/10,0)*10,[1]Hugst!$R$4:$W$4,0))))</f>
        <v>0</v>
      </c>
      <c r="L238">
        <f ca="1">IF($C238-L$1&lt;År1,0,K237*(1-VLOOKUP($A238,[1]Hugst!$R$5:$W$9,MATCH(ROUNDUP((L$1)/10,0)*10,[1]Hugst!$R$4:$W$4,0))))</f>
        <v>0</v>
      </c>
      <c r="M238">
        <f ca="1">IF($C238-M$1&lt;År1,0,L237*(1-VLOOKUP($A238,[1]Hugst!$R$5:$W$9,MATCH(ROUNDUP((M$1)/10,0)*10,[1]Hugst!$R$4:$W$4,0))))</f>
        <v>0</v>
      </c>
      <c r="N238">
        <f ca="1">IF($C238-N$1&lt;År1,0,M237*(1-VLOOKUP($A238,[1]Hugst!$R$5:$W$9,MATCH(ROUNDUP((N$1)/10,0)*10,[1]Hugst!$R$4:$W$4,0))))</f>
        <v>0</v>
      </c>
      <c r="O238">
        <f ca="1">IF($C238-O$1&lt;År1,0,N237*(1-VLOOKUP($A238,[1]Hugst!$R$5:$W$9,MATCH(ROUNDUP((O$1)/10,0)*10,[1]Hugst!$R$4:$W$4,0))))</f>
        <v>0</v>
      </c>
      <c r="P238">
        <f ca="1">IF($C238-P$1&lt;År1,0,O237*(1-VLOOKUP($A238,[1]Hugst!$R$5:$W$9,MATCH(ROUNDUP((P$1)/10,0)*10,[1]Hugst!$R$4:$W$4,0))))</f>
        <v>0</v>
      </c>
      <c r="Q238">
        <f ca="1">IF($C238-Q$1&lt;År1,0,P237*(1-VLOOKUP($A238,[1]Hugst!$R$5:$W$9,MATCH(ROUNDUP((Q$1)/10,0)*10,[1]Hugst!$R$4:$W$4,0))))</f>
        <v>0</v>
      </c>
      <c r="R238">
        <f ca="1">IF($C238-R$1&lt;År1,0,Q237*(1-VLOOKUP($A238,[1]Hugst!$R$5:$W$9,MATCH(ROUNDUP((R$1)/10,0)*10,[1]Hugst!$R$4:$W$4,0))))</f>
        <v>0</v>
      </c>
      <c r="S238">
        <f ca="1">IF($C238-S$1&lt;År1,0,R237*(1-VLOOKUP($A238,[1]Hugst!$R$5:$W$9,MATCH(ROUNDUP((S$1)/10,0)*10,[1]Hugst!$R$4:$W$4,0))))</f>
        <v>0</v>
      </c>
      <c r="T238">
        <f ca="1">IF($C238-T$1&lt;År1,0,S237*(1-VLOOKUP($A238,[1]Hugst!$R$5:$W$9,MATCH(ROUNDUP((T$1)/10,0)*10,[1]Hugst!$R$4:$W$4,0))))</f>
        <v>0</v>
      </c>
      <c r="U238">
        <f ca="1">IF($C238-U$1&lt;År1,0,T237*(1-VLOOKUP($A238,[1]Hugst!$R$5:$W$9,MATCH(ROUNDUP((U$1)/10,0)*10,[1]Hugst!$R$4:$W$4,0))))</f>
        <v>0</v>
      </c>
      <c r="V238">
        <f ca="1">IF($C238-V$1&lt;År1,0,U237*(1-VLOOKUP($A238,[1]Hugst!$R$5:$W$9,MATCH(ROUNDUP((V$1)/10,0)*10,[1]Hugst!$R$4:$W$4,0))))</f>
        <v>0</v>
      </c>
      <c r="W238">
        <f ca="1">IF($C238-W$1&lt;År1,0,V237*(1-VLOOKUP($A238,[1]Hugst!$R$5:$W$9,MATCH(ROUNDUP((W$1)/10,0)*10,[1]Hugst!$R$4:$W$4,0))))</f>
        <v>0</v>
      </c>
      <c r="X238">
        <f ca="1">IF($C238-X$1&lt;År1,0,W237*(1-VLOOKUP($A238,[1]Hugst!$R$5:$W$9,MATCH(ROUNDUP((X$1)/10,0)*10,[1]Hugst!$R$4:$W$4,0))))</f>
        <v>0</v>
      </c>
      <c r="Y238">
        <f ca="1">IF($C238-Y$1&lt;År1,0,X237*(1-VLOOKUP($A238,[1]Hugst!$R$5:$W$9,MATCH(ROUNDUP((Y$1)/10,0)*10,[1]Hugst!$R$4:$W$4,0))))</f>
        <v>0</v>
      </c>
      <c r="Z238">
        <f>IF($C238-Z$1&lt;År1,0,Y237*(1-VLOOKUP($A238,[1]Hugst!$R$5:$W$9,MATCH(ROUNDUP((Z$1)/10,0)*10,[1]Hugst!$R$4:$W$4,0))))</f>
        <v>0</v>
      </c>
      <c r="AA238">
        <f>IF($C238-AA$1&lt;År1,0,Z237*(1-VLOOKUP($A238,[1]Hugst!$R$5:$W$9,MATCH(ROUNDUP((AA$1)/10,0)*10,[1]Hugst!$R$4:$W$4,0))))</f>
        <v>0</v>
      </c>
      <c r="AB238">
        <f>IF($C238-AB$1&lt;År1,0,AA237*(1-VLOOKUP($A238,[1]Hugst!$R$5:$W$9,MATCH(ROUNDUP((AB$1)/10,0)*10,[1]Hugst!$R$4:$W$4,0))))</f>
        <v>0</v>
      </c>
      <c r="AC238">
        <f>IF($C238-AC$1&lt;År1,0,AB237*(1-VLOOKUP($A238,[1]Hugst!$R$5:$W$9,MATCH(ROUNDUP((AC$1)/10,0)*10,[1]Hugst!$R$4:$W$4,0))))</f>
        <v>0</v>
      </c>
      <c r="AD238">
        <f>IF($C238-AD$1&lt;År1,0,AC237*(1-VLOOKUP($A238,[1]Hugst!$R$5:$W$9,MATCH(ROUNDUP((AD$1)/10,0)*10,[1]Hugst!$R$4:$W$4,0))))</f>
        <v>0</v>
      </c>
      <c r="AE238">
        <f>IF($C238-AE$1&lt;År1,0,AD237*(1-VLOOKUP($A238,[1]Hugst!$R$5:$W$9,MATCH(ROUNDUP((AE$1)/10,0)*10,[1]Hugst!$R$4:$W$4,0))))</f>
        <v>0</v>
      </c>
      <c r="AF238">
        <f>IF($C238-AF$1&lt;År1,0,AE237*(1-VLOOKUP($A238,[1]Hugst!$R$5:$W$9,MATCH(ROUNDUP((AF$1)/10,0)*10,[1]Hugst!$R$4:$W$4,0))))</f>
        <v>0</v>
      </c>
      <c r="AG238">
        <f>IF($C238-AG$1&lt;År1,0,AF237*(1-VLOOKUP($A238,[1]Hugst!$R$5:$W$9,MATCH(ROUNDUP((AG$1)/10,0)*10,[1]Hugst!$R$4:$W$4,0))))</f>
        <v>0</v>
      </c>
      <c r="AH238">
        <f>IF($C238-AH$1&lt;År1,0,AG237*(1-VLOOKUP($A238,[1]Hugst!$R$5:$W$9,MATCH(ROUNDUP((AH$1)/10,0)*10,[1]Hugst!$R$4:$W$4,0))))</f>
        <v>0</v>
      </c>
      <c r="AI238">
        <f>IF($C238-AI$1&lt;År1,0,AH237*(1-VLOOKUP($A238,[1]Hugst!$R$5:$W$9,MATCH(ROUNDUP((AI$1)/10,0)*10,[1]Hugst!$R$4:$W$4,0))))</f>
        <v>0</v>
      </c>
      <c r="AJ238">
        <f>IF($C238-AJ$1&lt;År1,0,AI237*(1-VLOOKUP($A238,[1]Hugst!$R$5:$W$9,MATCH(ROUNDUP((AJ$1)/10,0)*10,[1]Hugst!$R$4:$W$4,0))))</f>
        <v>0</v>
      </c>
    </row>
    <row r="239" spans="1:36" x14ac:dyDescent="0.25">
      <c r="A239" t="s">
        <v>179</v>
      </c>
      <c r="B239" t="s">
        <v>24</v>
      </c>
      <c r="C239">
        <v>2040</v>
      </c>
      <c r="D239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0</v>
      </c>
      <c r="E239">
        <f t="shared" ca="1" si="5"/>
        <v>0</v>
      </c>
      <c r="F23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>
        <f ca="1">IF($C239-G$1&lt;År1,0,F238*(1-VLOOKUP($A239,[1]Hugst!$R$5:$W$9,MATCH(ROUNDUP((G$1)/10,0)*10,[1]Hugst!$R$4:$W$4,0))))</f>
        <v>0</v>
      </c>
      <c r="H239">
        <f ca="1">IF($C239-H$1&lt;År1,0,G238*(1-VLOOKUP($A239,[1]Hugst!$R$5:$W$9,MATCH(ROUNDUP((H$1)/10,0)*10,[1]Hugst!$R$4:$W$4,0))))</f>
        <v>0</v>
      </c>
      <c r="I239">
        <f ca="1">IF($C239-I$1&lt;År1,0,H238*(1-VLOOKUP($A239,[1]Hugst!$R$5:$W$9,MATCH(ROUNDUP((I$1)/10,0)*10,[1]Hugst!$R$4:$W$4,0))))</f>
        <v>0</v>
      </c>
      <c r="J239">
        <f ca="1">IF($C239-J$1&lt;År1,0,I238*(1-VLOOKUP($A239,[1]Hugst!$R$5:$W$9,MATCH(ROUNDUP((J$1)/10,0)*10,[1]Hugst!$R$4:$W$4,0))))</f>
        <v>0</v>
      </c>
      <c r="K239">
        <f ca="1">IF($C239-K$1&lt;År1,0,J238*(1-VLOOKUP($A239,[1]Hugst!$R$5:$W$9,MATCH(ROUNDUP((K$1)/10,0)*10,[1]Hugst!$R$4:$W$4,0))))</f>
        <v>0</v>
      </c>
      <c r="L239">
        <f ca="1">IF($C239-L$1&lt;År1,0,K238*(1-VLOOKUP($A239,[1]Hugst!$R$5:$W$9,MATCH(ROUNDUP((L$1)/10,0)*10,[1]Hugst!$R$4:$W$4,0))))</f>
        <v>0</v>
      </c>
      <c r="M239">
        <f ca="1">IF($C239-M$1&lt;År1,0,L238*(1-VLOOKUP($A239,[1]Hugst!$R$5:$W$9,MATCH(ROUNDUP((M$1)/10,0)*10,[1]Hugst!$R$4:$W$4,0))))</f>
        <v>0</v>
      </c>
      <c r="N239">
        <f ca="1">IF($C239-N$1&lt;År1,0,M238*(1-VLOOKUP($A239,[1]Hugst!$R$5:$W$9,MATCH(ROUNDUP((N$1)/10,0)*10,[1]Hugst!$R$4:$W$4,0))))</f>
        <v>0</v>
      </c>
      <c r="O239">
        <f ca="1">IF($C239-O$1&lt;År1,0,N238*(1-VLOOKUP($A239,[1]Hugst!$R$5:$W$9,MATCH(ROUNDUP((O$1)/10,0)*10,[1]Hugst!$R$4:$W$4,0))))</f>
        <v>0</v>
      </c>
      <c r="P239">
        <f ca="1">IF($C239-P$1&lt;År1,0,O238*(1-VLOOKUP($A239,[1]Hugst!$R$5:$W$9,MATCH(ROUNDUP((P$1)/10,0)*10,[1]Hugst!$R$4:$W$4,0))))</f>
        <v>0</v>
      </c>
      <c r="Q239">
        <f ca="1">IF($C239-Q$1&lt;År1,0,P238*(1-VLOOKUP($A239,[1]Hugst!$R$5:$W$9,MATCH(ROUNDUP((Q$1)/10,0)*10,[1]Hugst!$R$4:$W$4,0))))</f>
        <v>0</v>
      </c>
      <c r="R239">
        <f ca="1">IF($C239-R$1&lt;År1,0,Q238*(1-VLOOKUP($A239,[1]Hugst!$R$5:$W$9,MATCH(ROUNDUP((R$1)/10,0)*10,[1]Hugst!$R$4:$W$4,0))))</f>
        <v>0</v>
      </c>
      <c r="S239">
        <f ca="1">IF($C239-S$1&lt;År1,0,R238*(1-VLOOKUP($A239,[1]Hugst!$R$5:$W$9,MATCH(ROUNDUP((S$1)/10,0)*10,[1]Hugst!$R$4:$W$4,0))))</f>
        <v>0</v>
      </c>
      <c r="T239">
        <f ca="1">IF($C239-T$1&lt;År1,0,S238*(1-VLOOKUP($A239,[1]Hugst!$R$5:$W$9,MATCH(ROUNDUP((T$1)/10,0)*10,[1]Hugst!$R$4:$W$4,0))))</f>
        <v>0</v>
      </c>
      <c r="U239">
        <f ca="1">IF($C239-U$1&lt;År1,0,T238*(1-VLOOKUP($A239,[1]Hugst!$R$5:$W$9,MATCH(ROUNDUP((U$1)/10,0)*10,[1]Hugst!$R$4:$W$4,0))))</f>
        <v>0</v>
      </c>
      <c r="V239">
        <f ca="1">IF($C239-V$1&lt;År1,0,U238*(1-VLOOKUP($A239,[1]Hugst!$R$5:$W$9,MATCH(ROUNDUP((V$1)/10,0)*10,[1]Hugst!$R$4:$W$4,0))))</f>
        <v>0</v>
      </c>
      <c r="W239">
        <f ca="1">IF($C239-W$1&lt;År1,0,V238*(1-VLOOKUP($A239,[1]Hugst!$R$5:$W$9,MATCH(ROUNDUP((W$1)/10,0)*10,[1]Hugst!$R$4:$W$4,0))))</f>
        <v>0</v>
      </c>
      <c r="X239">
        <f ca="1">IF($C239-X$1&lt;År1,0,W238*(1-VLOOKUP($A239,[1]Hugst!$R$5:$W$9,MATCH(ROUNDUP((X$1)/10,0)*10,[1]Hugst!$R$4:$W$4,0))))</f>
        <v>0</v>
      </c>
      <c r="Y239">
        <f ca="1">IF($C239-Y$1&lt;År1,0,X238*(1-VLOOKUP($A239,[1]Hugst!$R$5:$W$9,MATCH(ROUNDUP((Y$1)/10,0)*10,[1]Hugst!$R$4:$W$4,0))))</f>
        <v>0</v>
      </c>
      <c r="Z239">
        <f ca="1">IF($C239-Z$1&lt;År1,0,Y238*(1-VLOOKUP($A239,[1]Hugst!$R$5:$W$9,MATCH(ROUNDUP((Z$1)/10,0)*10,[1]Hugst!$R$4:$W$4,0))))</f>
        <v>0</v>
      </c>
      <c r="AA239">
        <f>IF($C239-AA$1&lt;År1,0,Z238*(1-VLOOKUP($A239,[1]Hugst!$R$5:$W$9,MATCH(ROUNDUP((AA$1)/10,0)*10,[1]Hugst!$R$4:$W$4,0))))</f>
        <v>0</v>
      </c>
      <c r="AB239">
        <f>IF($C239-AB$1&lt;År1,0,AA238*(1-VLOOKUP($A239,[1]Hugst!$R$5:$W$9,MATCH(ROUNDUP((AB$1)/10,0)*10,[1]Hugst!$R$4:$W$4,0))))</f>
        <v>0</v>
      </c>
      <c r="AC239">
        <f>IF($C239-AC$1&lt;År1,0,AB238*(1-VLOOKUP($A239,[1]Hugst!$R$5:$W$9,MATCH(ROUNDUP((AC$1)/10,0)*10,[1]Hugst!$R$4:$W$4,0))))</f>
        <v>0</v>
      </c>
      <c r="AD239">
        <f>IF($C239-AD$1&lt;År1,0,AC238*(1-VLOOKUP($A239,[1]Hugst!$R$5:$W$9,MATCH(ROUNDUP((AD$1)/10,0)*10,[1]Hugst!$R$4:$W$4,0))))</f>
        <v>0</v>
      </c>
      <c r="AE239">
        <f>IF($C239-AE$1&lt;År1,0,AD238*(1-VLOOKUP($A239,[1]Hugst!$R$5:$W$9,MATCH(ROUNDUP((AE$1)/10,0)*10,[1]Hugst!$R$4:$W$4,0))))</f>
        <v>0</v>
      </c>
      <c r="AF239">
        <f>IF($C239-AF$1&lt;År1,0,AE238*(1-VLOOKUP($A239,[1]Hugst!$R$5:$W$9,MATCH(ROUNDUP((AF$1)/10,0)*10,[1]Hugst!$R$4:$W$4,0))))</f>
        <v>0</v>
      </c>
      <c r="AG239">
        <f>IF($C239-AG$1&lt;År1,0,AF238*(1-VLOOKUP($A239,[1]Hugst!$R$5:$W$9,MATCH(ROUNDUP((AG$1)/10,0)*10,[1]Hugst!$R$4:$W$4,0))))</f>
        <v>0</v>
      </c>
      <c r="AH239">
        <f>IF($C239-AH$1&lt;År1,0,AG238*(1-VLOOKUP($A239,[1]Hugst!$R$5:$W$9,MATCH(ROUNDUP((AH$1)/10,0)*10,[1]Hugst!$R$4:$W$4,0))))</f>
        <v>0</v>
      </c>
      <c r="AI239">
        <f>IF($C239-AI$1&lt;År1,0,AH238*(1-VLOOKUP($A239,[1]Hugst!$R$5:$W$9,MATCH(ROUNDUP((AI$1)/10,0)*10,[1]Hugst!$R$4:$W$4,0))))</f>
        <v>0</v>
      </c>
      <c r="AJ239">
        <f>IF($C239-AJ$1&lt;År1,0,AI238*(1-VLOOKUP($A239,[1]Hugst!$R$5:$W$9,MATCH(ROUNDUP((AJ$1)/10,0)*10,[1]Hugst!$R$4:$W$4,0))))</f>
        <v>0</v>
      </c>
    </row>
    <row r="240" spans="1:36" x14ac:dyDescent="0.25">
      <c r="A240" t="s">
        <v>179</v>
      </c>
      <c r="B240" t="s">
        <v>24</v>
      </c>
      <c r="C240">
        <v>2041</v>
      </c>
      <c r="D240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0</v>
      </c>
      <c r="E240">
        <f t="shared" ca="1" si="5"/>
        <v>0</v>
      </c>
      <c r="F240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>
        <f ca="1">IF($C240-G$1&lt;År1,0,F239*(1-VLOOKUP($A240,[1]Hugst!$R$5:$W$9,MATCH(ROUNDUP((G$1)/10,0)*10,[1]Hugst!$R$4:$W$4,0))))</f>
        <v>0</v>
      </c>
      <c r="H240">
        <f ca="1">IF($C240-H$1&lt;År1,0,G239*(1-VLOOKUP($A240,[1]Hugst!$R$5:$W$9,MATCH(ROUNDUP((H$1)/10,0)*10,[1]Hugst!$R$4:$W$4,0))))</f>
        <v>0</v>
      </c>
      <c r="I240">
        <f ca="1">IF($C240-I$1&lt;År1,0,H239*(1-VLOOKUP($A240,[1]Hugst!$R$5:$W$9,MATCH(ROUNDUP((I$1)/10,0)*10,[1]Hugst!$R$4:$W$4,0))))</f>
        <v>0</v>
      </c>
      <c r="J240">
        <f ca="1">IF($C240-J$1&lt;År1,0,I239*(1-VLOOKUP($A240,[1]Hugst!$R$5:$W$9,MATCH(ROUNDUP((J$1)/10,0)*10,[1]Hugst!$R$4:$W$4,0))))</f>
        <v>0</v>
      </c>
      <c r="K240">
        <f ca="1">IF($C240-K$1&lt;År1,0,J239*(1-VLOOKUP($A240,[1]Hugst!$R$5:$W$9,MATCH(ROUNDUP((K$1)/10,0)*10,[1]Hugst!$R$4:$W$4,0))))</f>
        <v>0</v>
      </c>
      <c r="L240">
        <f ca="1">IF($C240-L$1&lt;År1,0,K239*(1-VLOOKUP($A240,[1]Hugst!$R$5:$W$9,MATCH(ROUNDUP((L$1)/10,0)*10,[1]Hugst!$R$4:$W$4,0))))</f>
        <v>0</v>
      </c>
      <c r="M240">
        <f ca="1">IF($C240-M$1&lt;År1,0,L239*(1-VLOOKUP($A240,[1]Hugst!$R$5:$W$9,MATCH(ROUNDUP((M$1)/10,0)*10,[1]Hugst!$R$4:$W$4,0))))</f>
        <v>0</v>
      </c>
      <c r="N240">
        <f ca="1">IF($C240-N$1&lt;År1,0,M239*(1-VLOOKUP($A240,[1]Hugst!$R$5:$W$9,MATCH(ROUNDUP((N$1)/10,0)*10,[1]Hugst!$R$4:$W$4,0))))</f>
        <v>0</v>
      </c>
      <c r="O240">
        <f ca="1">IF($C240-O$1&lt;År1,0,N239*(1-VLOOKUP($A240,[1]Hugst!$R$5:$W$9,MATCH(ROUNDUP((O$1)/10,0)*10,[1]Hugst!$R$4:$W$4,0))))</f>
        <v>0</v>
      </c>
      <c r="P240">
        <f ca="1">IF($C240-P$1&lt;År1,0,O239*(1-VLOOKUP($A240,[1]Hugst!$R$5:$W$9,MATCH(ROUNDUP((P$1)/10,0)*10,[1]Hugst!$R$4:$W$4,0))))</f>
        <v>0</v>
      </c>
      <c r="Q240">
        <f ca="1">IF($C240-Q$1&lt;År1,0,P239*(1-VLOOKUP($A240,[1]Hugst!$R$5:$W$9,MATCH(ROUNDUP((Q$1)/10,0)*10,[1]Hugst!$R$4:$W$4,0))))</f>
        <v>0</v>
      </c>
      <c r="R240">
        <f ca="1">IF($C240-R$1&lt;År1,0,Q239*(1-VLOOKUP($A240,[1]Hugst!$R$5:$W$9,MATCH(ROUNDUP((R$1)/10,0)*10,[1]Hugst!$R$4:$W$4,0))))</f>
        <v>0</v>
      </c>
      <c r="S240">
        <f ca="1">IF($C240-S$1&lt;År1,0,R239*(1-VLOOKUP($A240,[1]Hugst!$R$5:$W$9,MATCH(ROUNDUP((S$1)/10,0)*10,[1]Hugst!$R$4:$W$4,0))))</f>
        <v>0</v>
      </c>
      <c r="T240">
        <f ca="1">IF($C240-T$1&lt;År1,0,S239*(1-VLOOKUP($A240,[1]Hugst!$R$5:$W$9,MATCH(ROUNDUP((T$1)/10,0)*10,[1]Hugst!$R$4:$W$4,0))))</f>
        <v>0</v>
      </c>
      <c r="U240">
        <f ca="1">IF($C240-U$1&lt;År1,0,T239*(1-VLOOKUP($A240,[1]Hugst!$R$5:$W$9,MATCH(ROUNDUP((U$1)/10,0)*10,[1]Hugst!$R$4:$W$4,0))))</f>
        <v>0</v>
      </c>
      <c r="V240">
        <f ca="1">IF($C240-V$1&lt;År1,0,U239*(1-VLOOKUP($A240,[1]Hugst!$R$5:$W$9,MATCH(ROUNDUP((V$1)/10,0)*10,[1]Hugst!$R$4:$W$4,0))))</f>
        <v>0</v>
      </c>
      <c r="W240">
        <f ca="1">IF($C240-W$1&lt;År1,0,V239*(1-VLOOKUP($A240,[1]Hugst!$R$5:$W$9,MATCH(ROUNDUP((W$1)/10,0)*10,[1]Hugst!$R$4:$W$4,0))))</f>
        <v>0</v>
      </c>
      <c r="X240">
        <f ca="1">IF($C240-X$1&lt;År1,0,W239*(1-VLOOKUP($A240,[1]Hugst!$R$5:$W$9,MATCH(ROUNDUP((X$1)/10,0)*10,[1]Hugst!$R$4:$W$4,0))))</f>
        <v>0</v>
      </c>
      <c r="Y240">
        <f ca="1">IF($C240-Y$1&lt;År1,0,X239*(1-VLOOKUP($A240,[1]Hugst!$R$5:$W$9,MATCH(ROUNDUP((Y$1)/10,0)*10,[1]Hugst!$R$4:$W$4,0))))</f>
        <v>0</v>
      </c>
      <c r="Z240">
        <f ca="1">IF($C240-Z$1&lt;År1,0,Y239*(1-VLOOKUP($A240,[1]Hugst!$R$5:$W$9,MATCH(ROUNDUP((Z$1)/10,0)*10,[1]Hugst!$R$4:$W$4,0))))</f>
        <v>0</v>
      </c>
      <c r="AA240">
        <f ca="1">IF($C240-AA$1&lt;År1,0,Z239*(1-VLOOKUP($A240,[1]Hugst!$R$5:$W$9,MATCH(ROUNDUP((AA$1)/10,0)*10,[1]Hugst!$R$4:$W$4,0))))</f>
        <v>0</v>
      </c>
      <c r="AB240">
        <f>IF($C240-AB$1&lt;År1,0,AA239*(1-VLOOKUP($A240,[1]Hugst!$R$5:$W$9,MATCH(ROUNDUP((AB$1)/10,0)*10,[1]Hugst!$R$4:$W$4,0))))</f>
        <v>0</v>
      </c>
      <c r="AC240">
        <f>IF($C240-AC$1&lt;År1,0,AB239*(1-VLOOKUP($A240,[1]Hugst!$R$5:$W$9,MATCH(ROUNDUP((AC$1)/10,0)*10,[1]Hugst!$R$4:$W$4,0))))</f>
        <v>0</v>
      </c>
      <c r="AD240">
        <f>IF($C240-AD$1&lt;År1,0,AC239*(1-VLOOKUP($A240,[1]Hugst!$R$5:$W$9,MATCH(ROUNDUP((AD$1)/10,0)*10,[1]Hugst!$R$4:$W$4,0))))</f>
        <v>0</v>
      </c>
      <c r="AE240">
        <f>IF($C240-AE$1&lt;År1,0,AD239*(1-VLOOKUP($A240,[1]Hugst!$R$5:$W$9,MATCH(ROUNDUP((AE$1)/10,0)*10,[1]Hugst!$R$4:$W$4,0))))</f>
        <v>0</v>
      </c>
      <c r="AF240">
        <f>IF($C240-AF$1&lt;År1,0,AE239*(1-VLOOKUP($A240,[1]Hugst!$R$5:$W$9,MATCH(ROUNDUP((AF$1)/10,0)*10,[1]Hugst!$R$4:$W$4,0))))</f>
        <v>0</v>
      </c>
      <c r="AG240">
        <f>IF($C240-AG$1&lt;År1,0,AF239*(1-VLOOKUP($A240,[1]Hugst!$R$5:$W$9,MATCH(ROUNDUP((AG$1)/10,0)*10,[1]Hugst!$R$4:$W$4,0))))</f>
        <v>0</v>
      </c>
      <c r="AH240">
        <f>IF($C240-AH$1&lt;År1,0,AG239*(1-VLOOKUP($A240,[1]Hugst!$R$5:$W$9,MATCH(ROUNDUP((AH$1)/10,0)*10,[1]Hugst!$R$4:$W$4,0))))</f>
        <v>0</v>
      </c>
      <c r="AI240">
        <f>IF($C240-AI$1&lt;År1,0,AH239*(1-VLOOKUP($A240,[1]Hugst!$R$5:$W$9,MATCH(ROUNDUP((AI$1)/10,0)*10,[1]Hugst!$R$4:$W$4,0))))</f>
        <v>0</v>
      </c>
      <c r="AJ240">
        <f>IF($C240-AJ$1&lt;År1,0,AI239*(1-VLOOKUP($A240,[1]Hugst!$R$5:$W$9,MATCH(ROUNDUP((AJ$1)/10,0)*10,[1]Hugst!$R$4:$W$4,0))))</f>
        <v>0</v>
      </c>
    </row>
    <row r="241" spans="1:36" x14ac:dyDescent="0.25">
      <c r="A241" t="s">
        <v>179</v>
      </c>
      <c r="B241" t="s">
        <v>24</v>
      </c>
      <c r="C241">
        <v>2042</v>
      </c>
      <c r="D241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0</v>
      </c>
      <c r="E241">
        <f t="shared" ca="1" si="5"/>
        <v>0</v>
      </c>
      <c r="F241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>
        <f ca="1">IF($C241-G$1&lt;År1,0,F240*(1-VLOOKUP($A241,[1]Hugst!$R$5:$W$9,MATCH(ROUNDUP((G$1)/10,0)*10,[1]Hugst!$R$4:$W$4,0))))</f>
        <v>0</v>
      </c>
      <c r="H241">
        <f ca="1">IF($C241-H$1&lt;År1,0,G240*(1-VLOOKUP($A241,[1]Hugst!$R$5:$W$9,MATCH(ROUNDUP((H$1)/10,0)*10,[1]Hugst!$R$4:$W$4,0))))</f>
        <v>0</v>
      </c>
      <c r="I241">
        <f ca="1">IF($C241-I$1&lt;År1,0,H240*(1-VLOOKUP($A241,[1]Hugst!$R$5:$W$9,MATCH(ROUNDUP((I$1)/10,0)*10,[1]Hugst!$R$4:$W$4,0))))</f>
        <v>0</v>
      </c>
      <c r="J241">
        <f ca="1">IF($C241-J$1&lt;År1,0,I240*(1-VLOOKUP($A241,[1]Hugst!$R$5:$W$9,MATCH(ROUNDUP((J$1)/10,0)*10,[1]Hugst!$R$4:$W$4,0))))</f>
        <v>0</v>
      </c>
      <c r="K241">
        <f ca="1">IF($C241-K$1&lt;År1,0,J240*(1-VLOOKUP($A241,[1]Hugst!$R$5:$W$9,MATCH(ROUNDUP((K$1)/10,0)*10,[1]Hugst!$R$4:$W$4,0))))</f>
        <v>0</v>
      </c>
      <c r="L241">
        <f ca="1">IF($C241-L$1&lt;År1,0,K240*(1-VLOOKUP($A241,[1]Hugst!$R$5:$W$9,MATCH(ROUNDUP((L$1)/10,0)*10,[1]Hugst!$R$4:$W$4,0))))</f>
        <v>0</v>
      </c>
      <c r="M241">
        <f ca="1">IF($C241-M$1&lt;År1,0,L240*(1-VLOOKUP($A241,[1]Hugst!$R$5:$W$9,MATCH(ROUNDUP((M$1)/10,0)*10,[1]Hugst!$R$4:$W$4,0))))</f>
        <v>0</v>
      </c>
      <c r="N241">
        <f ca="1">IF($C241-N$1&lt;År1,0,M240*(1-VLOOKUP($A241,[1]Hugst!$R$5:$W$9,MATCH(ROUNDUP((N$1)/10,0)*10,[1]Hugst!$R$4:$W$4,0))))</f>
        <v>0</v>
      </c>
      <c r="O241">
        <f ca="1">IF($C241-O$1&lt;År1,0,N240*(1-VLOOKUP($A241,[1]Hugst!$R$5:$W$9,MATCH(ROUNDUP((O$1)/10,0)*10,[1]Hugst!$R$4:$W$4,0))))</f>
        <v>0</v>
      </c>
      <c r="P241">
        <f ca="1">IF($C241-P$1&lt;År1,0,O240*(1-VLOOKUP($A241,[1]Hugst!$R$5:$W$9,MATCH(ROUNDUP((P$1)/10,0)*10,[1]Hugst!$R$4:$W$4,0))))</f>
        <v>0</v>
      </c>
      <c r="Q241">
        <f ca="1">IF($C241-Q$1&lt;År1,0,P240*(1-VLOOKUP($A241,[1]Hugst!$R$5:$W$9,MATCH(ROUNDUP((Q$1)/10,0)*10,[1]Hugst!$R$4:$W$4,0))))</f>
        <v>0</v>
      </c>
      <c r="R241">
        <f ca="1">IF($C241-R$1&lt;År1,0,Q240*(1-VLOOKUP($A241,[1]Hugst!$R$5:$W$9,MATCH(ROUNDUP((R$1)/10,0)*10,[1]Hugst!$R$4:$W$4,0))))</f>
        <v>0</v>
      </c>
      <c r="S241">
        <f ca="1">IF($C241-S$1&lt;År1,0,R240*(1-VLOOKUP($A241,[1]Hugst!$R$5:$W$9,MATCH(ROUNDUP((S$1)/10,0)*10,[1]Hugst!$R$4:$W$4,0))))</f>
        <v>0</v>
      </c>
      <c r="T241">
        <f ca="1">IF($C241-T$1&lt;År1,0,S240*(1-VLOOKUP($A241,[1]Hugst!$R$5:$W$9,MATCH(ROUNDUP((T$1)/10,0)*10,[1]Hugst!$R$4:$W$4,0))))</f>
        <v>0</v>
      </c>
      <c r="U241">
        <f ca="1">IF($C241-U$1&lt;År1,0,T240*(1-VLOOKUP($A241,[1]Hugst!$R$5:$W$9,MATCH(ROUNDUP((U$1)/10,0)*10,[1]Hugst!$R$4:$W$4,0))))</f>
        <v>0</v>
      </c>
      <c r="V241">
        <f ca="1">IF($C241-V$1&lt;År1,0,U240*(1-VLOOKUP($A241,[1]Hugst!$R$5:$W$9,MATCH(ROUNDUP((V$1)/10,0)*10,[1]Hugst!$R$4:$W$4,0))))</f>
        <v>0</v>
      </c>
      <c r="W241">
        <f ca="1">IF($C241-W$1&lt;År1,0,V240*(1-VLOOKUP($A241,[1]Hugst!$R$5:$W$9,MATCH(ROUNDUP((W$1)/10,0)*10,[1]Hugst!$R$4:$W$4,0))))</f>
        <v>0</v>
      </c>
      <c r="X241">
        <f ca="1">IF($C241-X$1&lt;År1,0,W240*(1-VLOOKUP($A241,[1]Hugst!$R$5:$W$9,MATCH(ROUNDUP((X$1)/10,0)*10,[1]Hugst!$R$4:$W$4,0))))</f>
        <v>0</v>
      </c>
      <c r="Y241">
        <f ca="1">IF($C241-Y$1&lt;År1,0,X240*(1-VLOOKUP($A241,[1]Hugst!$R$5:$W$9,MATCH(ROUNDUP((Y$1)/10,0)*10,[1]Hugst!$R$4:$W$4,0))))</f>
        <v>0</v>
      </c>
      <c r="Z241">
        <f ca="1">IF($C241-Z$1&lt;År1,0,Y240*(1-VLOOKUP($A241,[1]Hugst!$R$5:$W$9,MATCH(ROUNDUP((Z$1)/10,0)*10,[1]Hugst!$R$4:$W$4,0))))</f>
        <v>0</v>
      </c>
      <c r="AA241">
        <f ca="1">IF($C241-AA$1&lt;År1,0,Z240*(1-VLOOKUP($A241,[1]Hugst!$R$5:$W$9,MATCH(ROUNDUP((AA$1)/10,0)*10,[1]Hugst!$R$4:$W$4,0))))</f>
        <v>0</v>
      </c>
      <c r="AB241">
        <f ca="1">IF($C241-AB$1&lt;År1,0,AA240*(1-VLOOKUP($A241,[1]Hugst!$R$5:$W$9,MATCH(ROUNDUP((AB$1)/10,0)*10,[1]Hugst!$R$4:$W$4,0))))</f>
        <v>0</v>
      </c>
      <c r="AC241">
        <f>IF($C241-AC$1&lt;År1,0,AB240*(1-VLOOKUP($A241,[1]Hugst!$R$5:$W$9,MATCH(ROUNDUP((AC$1)/10,0)*10,[1]Hugst!$R$4:$W$4,0))))</f>
        <v>0</v>
      </c>
      <c r="AD241">
        <f>IF($C241-AD$1&lt;År1,0,AC240*(1-VLOOKUP($A241,[1]Hugst!$R$5:$W$9,MATCH(ROUNDUP((AD$1)/10,0)*10,[1]Hugst!$R$4:$W$4,0))))</f>
        <v>0</v>
      </c>
      <c r="AE241">
        <f>IF($C241-AE$1&lt;År1,0,AD240*(1-VLOOKUP($A241,[1]Hugst!$R$5:$W$9,MATCH(ROUNDUP((AE$1)/10,0)*10,[1]Hugst!$R$4:$W$4,0))))</f>
        <v>0</v>
      </c>
      <c r="AF241">
        <f>IF($C241-AF$1&lt;År1,0,AE240*(1-VLOOKUP($A241,[1]Hugst!$R$5:$W$9,MATCH(ROUNDUP((AF$1)/10,0)*10,[1]Hugst!$R$4:$W$4,0))))</f>
        <v>0</v>
      </c>
      <c r="AG241">
        <f>IF($C241-AG$1&lt;År1,0,AF240*(1-VLOOKUP($A241,[1]Hugst!$R$5:$W$9,MATCH(ROUNDUP((AG$1)/10,0)*10,[1]Hugst!$R$4:$W$4,0))))</f>
        <v>0</v>
      </c>
      <c r="AH241">
        <f>IF($C241-AH$1&lt;År1,0,AG240*(1-VLOOKUP($A241,[1]Hugst!$R$5:$W$9,MATCH(ROUNDUP((AH$1)/10,0)*10,[1]Hugst!$R$4:$W$4,0))))</f>
        <v>0</v>
      </c>
      <c r="AI241">
        <f>IF($C241-AI$1&lt;År1,0,AH240*(1-VLOOKUP($A241,[1]Hugst!$R$5:$W$9,MATCH(ROUNDUP((AI$1)/10,0)*10,[1]Hugst!$R$4:$W$4,0))))</f>
        <v>0</v>
      </c>
      <c r="AJ241">
        <f>IF($C241-AJ$1&lt;År1,0,AI240*(1-VLOOKUP($A241,[1]Hugst!$R$5:$W$9,MATCH(ROUNDUP((AJ$1)/10,0)*10,[1]Hugst!$R$4:$W$4,0))))</f>
        <v>0</v>
      </c>
    </row>
    <row r="242" spans="1:36" x14ac:dyDescent="0.25">
      <c r="A242" t="s">
        <v>179</v>
      </c>
      <c r="B242" t="s">
        <v>24</v>
      </c>
      <c r="C242">
        <v>2043</v>
      </c>
      <c r="D242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0</v>
      </c>
      <c r="E242">
        <f t="shared" ca="1" si="5"/>
        <v>0</v>
      </c>
      <c r="F242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>
        <f ca="1">IF($C242-G$1&lt;År1,0,F241*(1-VLOOKUP($A242,[1]Hugst!$R$5:$W$9,MATCH(ROUNDUP((G$1)/10,0)*10,[1]Hugst!$R$4:$W$4,0))))</f>
        <v>0</v>
      </c>
      <c r="H242">
        <f ca="1">IF($C242-H$1&lt;År1,0,G241*(1-VLOOKUP($A242,[1]Hugst!$R$5:$W$9,MATCH(ROUNDUP((H$1)/10,0)*10,[1]Hugst!$R$4:$W$4,0))))</f>
        <v>0</v>
      </c>
      <c r="I242">
        <f ca="1">IF($C242-I$1&lt;År1,0,H241*(1-VLOOKUP($A242,[1]Hugst!$R$5:$W$9,MATCH(ROUNDUP((I$1)/10,0)*10,[1]Hugst!$R$4:$W$4,0))))</f>
        <v>0</v>
      </c>
      <c r="J242">
        <f ca="1">IF($C242-J$1&lt;År1,0,I241*(1-VLOOKUP($A242,[1]Hugst!$R$5:$W$9,MATCH(ROUNDUP((J$1)/10,0)*10,[1]Hugst!$R$4:$W$4,0))))</f>
        <v>0</v>
      </c>
      <c r="K242">
        <f ca="1">IF($C242-K$1&lt;År1,0,J241*(1-VLOOKUP($A242,[1]Hugst!$R$5:$W$9,MATCH(ROUNDUP((K$1)/10,0)*10,[1]Hugst!$R$4:$W$4,0))))</f>
        <v>0</v>
      </c>
      <c r="L242">
        <f ca="1">IF($C242-L$1&lt;År1,0,K241*(1-VLOOKUP($A242,[1]Hugst!$R$5:$W$9,MATCH(ROUNDUP((L$1)/10,0)*10,[1]Hugst!$R$4:$W$4,0))))</f>
        <v>0</v>
      </c>
      <c r="M242">
        <f ca="1">IF($C242-M$1&lt;År1,0,L241*(1-VLOOKUP($A242,[1]Hugst!$R$5:$W$9,MATCH(ROUNDUP((M$1)/10,0)*10,[1]Hugst!$R$4:$W$4,0))))</f>
        <v>0</v>
      </c>
      <c r="N242">
        <f ca="1">IF($C242-N$1&lt;År1,0,M241*(1-VLOOKUP($A242,[1]Hugst!$R$5:$W$9,MATCH(ROUNDUP((N$1)/10,0)*10,[1]Hugst!$R$4:$W$4,0))))</f>
        <v>0</v>
      </c>
      <c r="O242">
        <f ca="1">IF($C242-O$1&lt;År1,0,N241*(1-VLOOKUP($A242,[1]Hugst!$R$5:$W$9,MATCH(ROUNDUP((O$1)/10,0)*10,[1]Hugst!$R$4:$W$4,0))))</f>
        <v>0</v>
      </c>
      <c r="P242">
        <f ca="1">IF($C242-P$1&lt;År1,0,O241*(1-VLOOKUP($A242,[1]Hugst!$R$5:$W$9,MATCH(ROUNDUP((P$1)/10,0)*10,[1]Hugst!$R$4:$W$4,0))))</f>
        <v>0</v>
      </c>
      <c r="Q242">
        <f ca="1">IF($C242-Q$1&lt;År1,0,P241*(1-VLOOKUP($A242,[1]Hugst!$R$5:$W$9,MATCH(ROUNDUP((Q$1)/10,0)*10,[1]Hugst!$R$4:$W$4,0))))</f>
        <v>0</v>
      </c>
      <c r="R242">
        <f ca="1">IF($C242-R$1&lt;År1,0,Q241*(1-VLOOKUP($A242,[1]Hugst!$R$5:$W$9,MATCH(ROUNDUP((R$1)/10,0)*10,[1]Hugst!$R$4:$W$4,0))))</f>
        <v>0</v>
      </c>
      <c r="S242">
        <f ca="1">IF($C242-S$1&lt;År1,0,R241*(1-VLOOKUP($A242,[1]Hugst!$R$5:$W$9,MATCH(ROUNDUP((S$1)/10,0)*10,[1]Hugst!$R$4:$W$4,0))))</f>
        <v>0</v>
      </c>
      <c r="T242">
        <f ca="1">IF($C242-T$1&lt;År1,0,S241*(1-VLOOKUP($A242,[1]Hugst!$R$5:$W$9,MATCH(ROUNDUP((T$1)/10,0)*10,[1]Hugst!$R$4:$W$4,0))))</f>
        <v>0</v>
      </c>
      <c r="U242">
        <f ca="1">IF($C242-U$1&lt;År1,0,T241*(1-VLOOKUP($A242,[1]Hugst!$R$5:$W$9,MATCH(ROUNDUP((U$1)/10,0)*10,[1]Hugst!$R$4:$W$4,0))))</f>
        <v>0</v>
      </c>
      <c r="V242">
        <f ca="1">IF($C242-V$1&lt;År1,0,U241*(1-VLOOKUP($A242,[1]Hugst!$R$5:$W$9,MATCH(ROUNDUP((V$1)/10,0)*10,[1]Hugst!$R$4:$W$4,0))))</f>
        <v>0</v>
      </c>
      <c r="W242">
        <f ca="1">IF($C242-W$1&lt;År1,0,V241*(1-VLOOKUP($A242,[1]Hugst!$R$5:$W$9,MATCH(ROUNDUP((W$1)/10,0)*10,[1]Hugst!$R$4:$W$4,0))))</f>
        <v>0</v>
      </c>
      <c r="X242">
        <f ca="1">IF($C242-X$1&lt;År1,0,W241*(1-VLOOKUP($A242,[1]Hugst!$R$5:$W$9,MATCH(ROUNDUP((X$1)/10,0)*10,[1]Hugst!$R$4:$W$4,0))))</f>
        <v>0</v>
      </c>
      <c r="Y242">
        <f ca="1">IF($C242-Y$1&lt;År1,0,X241*(1-VLOOKUP($A242,[1]Hugst!$R$5:$W$9,MATCH(ROUNDUP((Y$1)/10,0)*10,[1]Hugst!$R$4:$W$4,0))))</f>
        <v>0</v>
      </c>
      <c r="Z242">
        <f ca="1">IF($C242-Z$1&lt;År1,0,Y241*(1-VLOOKUP($A242,[1]Hugst!$R$5:$W$9,MATCH(ROUNDUP((Z$1)/10,0)*10,[1]Hugst!$R$4:$W$4,0))))</f>
        <v>0</v>
      </c>
      <c r="AA242">
        <f ca="1">IF($C242-AA$1&lt;År1,0,Z241*(1-VLOOKUP($A242,[1]Hugst!$R$5:$W$9,MATCH(ROUNDUP((AA$1)/10,0)*10,[1]Hugst!$R$4:$W$4,0))))</f>
        <v>0</v>
      </c>
      <c r="AB242">
        <f ca="1">IF($C242-AB$1&lt;År1,0,AA241*(1-VLOOKUP($A242,[1]Hugst!$R$5:$W$9,MATCH(ROUNDUP((AB$1)/10,0)*10,[1]Hugst!$R$4:$W$4,0))))</f>
        <v>0</v>
      </c>
      <c r="AC242">
        <f ca="1">IF($C242-AC$1&lt;År1,0,AB241*(1-VLOOKUP($A242,[1]Hugst!$R$5:$W$9,MATCH(ROUNDUP((AC$1)/10,0)*10,[1]Hugst!$R$4:$W$4,0))))</f>
        <v>0</v>
      </c>
      <c r="AD242">
        <f>IF($C242-AD$1&lt;År1,0,AC241*(1-VLOOKUP($A242,[1]Hugst!$R$5:$W$9,MATCH(ROUNDUP((AD$1)/10,0)*10,[1]Hugst!$R$4:$W$4,0))))</f>
        <v>0</v>
      </c>
      <c r="AE242">
        <f>IF($C242-AE$1&lt;År1,0,AD241*(1-VLOOKUP($A242,[1]Hugst!$R$5:$W$9,MATCH(ROUNDUP((AE$1)/10,0)*10,[1]Hugst!$R$4:$W$4,0))))</f>
        <v>0</v>
      </c>
      <c r="AF242">
        <f>IF($C242-AF$1&lt;År1,0,AE241*(1-VLOOKUP($A242,[1]Hugst!$R$5:$W$9,MATCH(ROUNDUP((AF$1)/10,0)*10,[1]Hugst!$R$4:$W$4,0))))</f>
        <v>0</v>
      </c>
      <c r="AG242">
        <f>IF($C242-AG$1&lt;År1,0,AF241*(1-VLOOKUP($A242,[1]Hugst!$R$5:$W$9,MATCH(ROUNDUP((AG$1)/10,0)*10,[1]Hugst!$R$4:$W$4,0))))</f>
        <v>0</v>
      </c>
      <c r="AH242">
        <f>IF($C242-AH$1&lt;År1,0,AG241*(1-VLOOKUP($A242,[1]Hugst!$R$5:$W$9,MATCH(ROUNDUP((AH$1)/10,0)*10,[1]Hugst!$R$4:$W$4,0))))</f>
        <v>0</v>
      </c>
      <c r="AI242">
        <f>IF($C242-AI$1&lt;År1,0,AH241*(1-VLOOKUP($A242,[1]Hugst!$R$5:$W$9,MATCH(ROUNDUP((AI$1)/10,0)*10,[1]Hugst!$R$4:$W$4,0))))</f>
        <v>0</v>
      </c>
      <c r="AJ242">
        <f>IF($C242-AJ$1&lt;År1,0,AI241*(1-VLOOKUP($A242,[1]Hugst!$R$5:$W$9,MATCH(ROUNDUP((AJ$1)/10,0)*10,[1]Hugst!$R$4:$W$4,0))))</f>
        <v>0</v>
      </c>
    </row>
    <row r="243" spans="1:36" x14ac:dyDescent="0.25">
      <c r="A243" t="s">
        <v>179</v>
      </c>
      <c r="B243" t="s">
        <v>24</v>
      </c>
      <c r="C243">
        <v>2044</v>
      </c>
      <c r="D243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0</v>
      </c>
      <c r="E243">
        <f t="shared" ca="1" si="5"/>
        <v>0</v>
      </c>
      <c r="F243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>
        <f ca="1">IF($C243-G$1&lt;År1,0,F242*(1-VLOOKUP($A243,[1]Hugst!$R$5:$W$9,MATCH(ROUNDUP((G$1)/10,0)*10,[1]Hugst!$R$4:$W$4,0))))</f>
        <v>0</v>
      </c>
      <c r="H243">
        <f ca="1">IF($C243-H$1&lt;År1,0,G242*(1-VLOOKUP($A243,[1]Hugst!$R$5:$W$9,MATCH(ROUNDUP((H$1)/10,0)*10,[1]Hugst!$R$4:$W$4,0))))</f>
        <v>0</v>
      </c>
      <c r="I243">
        <f ca="1">IF($C243-I$1&lt;År1,0,H242*(1-VLOOKUP($A243,[1]Hugst!$R$5:$W$9,MATCH(ROUNDUP((I$1)/10,0)*10,[1]Hugst!$R$4:$W$4,0))))</f>
        <v>0</v>
      </c>
      <c r="J243">
        <f ca="1">IF($C243-J$1&lt;År1,0,I242*(1-VLOOKUP($A243,[1]Hugst!$R$5:$W$9,MATCH(ROUNDUP((J$1)/10,0)*10,[1]Hugst!$R$4:$W$4,0))))</f>
        <v>0</v>
      </c>
      <c r="K243">
        <f ca="1">IF($C243-K$1&lt;År1,0,J242*(1-VLOOKUP($A243,[1]Hugst!$R$5:$W$9,MATCH(ROUNDUP((K$1)/10,0)*10,[1]Hugst!$R$4:$W$4,0))))</f>
        <v>0</v>
      </c>
      <c r="L243">
        <f ca="1">IF($C243-L$1&lt;År1,0,K242*(1-VLOOKUP($A243,[1]Hugst!$R$5:$W$9,MATCH(ROUNDUP((L$1)/10,0)*10,[1]Hugst!$R$4:$W$4,0))))</f>
        <v>0</v>
      </c>
      <c r="M243">
        <f ca="1">IF($C243-M$1&lt;År1,0,L242*(1-VLOOKUP($A243,[1]Hugst!$R$5:$W$9,MATCH(ROUNDUP((M$1)/10,0)*10,[1]Hugst!$R$4:$W$4,0))))</f>
        <v>0</v>
      </c>
      <c r="N243">
        <f ca="1">IF($C243-N$1&lt;År1,0,M242*(1-VLOOKUP($A243,[1]Hugst!$R$5:$W$9,MATCH(ROUNDUP((N$1)/10,0)*10,[1]Hugst!$R$4:$W$4,0))))</f>
        <v>0</v>
      </c>
      <c r="O243">
        <f ca="1">IF($C243-O$1&lt;År1,0,N242*(1-VLOOKUP($A243,[1]Hugst!$R$5:$W$9,MATCH(ROUNDUP((O$1)/10,0)*10,[1]Hugst!$R$4:$W$4,0))))</f>
        <v>0</v>
      </c>
      <c r="P243">
        <f ca="1">IF($C243-P$1&lt;År1,0,O242*(1-VLOOKUP($A243,[1]Hugst!$R$5:$W$9,MATCH(ROUNDUP((P$1)/10,0)*10,[1]Hugst!$R$4:$W$4,0))))</f>
        <v>0</v>
      </c>
      <c r="Q243">
        <f ca="1">IF($C243-Q$1&lt;År1,0,P242*(1-VLOOKUP($A243,[1]Hugst!$R$5:$W$9,MATCH(ROUNDUP((Q$1)/10,0)*10,[1]Hugst!$R$4:$W$4,0))))</f>
        <v>0</v>
      </c>
      <c r="R243">
        <f ca="1">IF($C243-R$1&lt;År1,0,Q242*(1-VLOOKUP($A243,[1]Hugst!$R$5:$W$9,MATCH(ROUNDUP((R$1)/10,0)*10,[1]Hugst!$R$4:$W$4,0))))</f>
        <v>0</v>
      </c>
      <c r="S243">
        <f ca="1">IF($C243-S$1&lt;År1,0,R242*(1-VLOOKUP($A243,[1]Hugst!$R$5:$W$9,MATCH(ROUNDUP((S$1)/10,0)*10,[1]Hugst!$R$4:$W$4,0))))</f>
        <v>0</v>
      </c>
      <c r="T243">
        <f ca="1">IF($C243-T$1&lt;År1,0,S242*(1-VLOOKUP($A243,[1]Hugst!$R$5:$W$9,MATCH(ROUNDUP((T$1)/10,0)*10,[1]Hugst!$R$4:$W$4,0))))</f>
        <v>0</v>
      </c>
      <c r="U243">
        <f ca="1">IF($C243-U$1&lt;År1,0,T242*(1-VLOOKUP($A243,[1]Hugst!$R$5:$W$9,MATCH(ROUNDUP((U$1)/10,0)*10,[1]Hugst!$R$4:$W$4,0))))</f>
        <v>0</v>
      </c>
      <c r="V243">
        <f ca="1">IF($C243-V$1&lt;År1,0,U242*(1-VLOOKUP($A243,[1]Hugst!$R$5:$W$9,MATCH(ROUNDUP((V$1)/10,0)*10,[1]Hugst!$R$4:$W$4,0))))</f>
        <v>0</v>
      </c>
      <c r="W243">
        <f ca="1">IF($C243-W$1&lt;År1,0,V242*(1-VLOOKUP($A243,[1]Hugst!$R$5:$W$9,MATCH(ROUNDUP((W$1)/10,0)*10,[1]Hugst!$R$4:$W$4,0))))</f>
        <v>0</v>
      </c>
      <c r="X243">
        <f ca="1">IF($C243-X$1&lt;År1,0,W242*(1-VLOOKUP($A243,[1]Hugst!$R$5:$W$9,MATCH(ROUNDUP((X$1)/10,0)*10,[1]Hugst!$R$4:$W$4,0))))</f>
        <v>0</v>
      </c>
      <c r="Y243">
        <f ca="1">IF($C243-Y$1&lt;År1,0,X242*(1-VLOOKUP($A243,[1]Hugst!$R$5:$W$9,MATCH(ROUNDUP((Y$1)/10,0)*10,[1]Hugst!$R$4:$W$4,0))))</f>
        <v>0</v>
      </c>
      <c r="Z243">
        <f ca="1">IF($C243-Z$1&lt;År1,0,Y242*(1-VLOOKUP($A243,[1]Hugst!$R$5:$W$9,MATCH(ROUNDUP((Z$1)/10,0)*10,[1]Hugst!$R$4:$W$4,0))))</f>
        <v>0</v>
      </c>
      <c r="AA243">
        <f ca="1">IF($C243-AA$1&lt;År1,0,Z242*(1-VLOOKUP($A243,[1]Hugst!$R$5:$W$9,MATCH(ROUNDUP((AA$1)/10,0)*10,[1]Hugst!$R$4:$W$4,0))))</f>
        <v>0</v>
      </c>
      <c r="AB243">
        <f ca="1">IF($C243-AB$1&lt;År1,0,AA242*(1-VLOOKUP($A243,[1]Hugst!$R$5:$W$9,MATCH(ROUNDUP((AB$1)/10,0)*10,[1]Hugst!$R$4:$W$4,0))))</f>
        <v>0</v>
      </c>
      <c r="AC243">
        <f ca="1">IF($C243-AC$1&lt;År1,0,AB242*(1-VLOOKUP($A243,[1]Hugst!$R$5:$W$9,MATCH(ROUNDUP((AC$1)/10,0)*10,[1]Hugst!$R$4:$W$4,0))))</f>
        <v>0</v>
      </c>
      <c r="AD243">
        <f ca="1">IF($C243-AD$1&lt;År1,0,AC242*(1-VLOOKUP($A243,[1]Hugst!$R$5:$W$9,MATCH(ROUNDUP((AD$1)/10,0)*10,[1]Hugst!$R$4:$W$4,0))))</f>
        <v>0</v>
      </c>
      <c r="AE243">
        <f>IF($C243-AE$1&lt;År1,0,AD242*(1-VLOOKUP($A243,[1]Hugst!$R$5:$W$9,MATCH(ROUNDUP((AE$1)/10,0)*10,[1]Hugst!$R$4:$W$4,0))))</f>
        <v>0</v>
      </c>
      <c r="AF243">
        <f>IF($C243-AF$1&lt;År1,0,AE242*(1-VLOOKUP($A243,[1]Hugst!$R$5:$W$9,MATCH(ROUNDUP((AF$1)/10,0)*10,[1]Hugst!$R$4:$W$4,0))))</f>
        <v>0</v>
      </c>
      <c r="AG243">
        <f>IF($C243-AG$1&lt;År1,0,AF242*(1-VLOOKUP($A243,[1]Hugst!$R$5:$W$9,MATCH(ROUNDUP((AG$1)/10,0)*10,[1]Hugst!$R$4:$W$4,0))))</f>
        <v>0</v>
      </c>
      <c r="AH243">
        <f>IF($C243-AH$1&lt;År1,0,AG242*(1-VLOOKUP($A243,[1]Hugst!$R$5:$W$9,MATCH(ROUNDUP((AH$1)/10,0)*10,[1]Hugst!$R$4:$W$4,0))))</f>
        <v>0</v>
      </c>
      <c r="AI243">
        <f>IF($C243-AI$1&lt;År1,0,AH242*(1-VLOOKUP($A243,[1]Hugst!$R$5:$W$9,MATCH(ROUNDUP((AI$1)/10,0)*10,[1]Hugst!$R$4:$W$4,0))))</f>
        <v>0</v>
      </c>
      <c r="AJ243">
        <f>IF($C243-AJ$1&lt;År1,0,AI242*(1-VLOOKUP($A243,[1]Hugst!$R$5:$W$9,MATCH(ROUNDUP((AJ$1)/10,0)*10,[1]Hugst!$R$4:$W$4,0))))</f>
        <v>0</v>
      </c>
    </row>
    <row r="244" spans="1:36" x14ac:dyDescent="0.25">
      <c r="A244" t="s">
        <v>179</v>
      </c>
      <c r="B244" t="s">
        <v>24</v>
      </c>
      <c r="C244">
        <v>2045</v>
      </c>
      <c r="D244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0</v>
      </c>
      <c r="E244">
        <f t="shared" ca="1" si="5"/>
        <v>0</v>
      </c>
      <c r="F244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>
        <f ca="1">IF($C244-G$1&lt;År1,0,F243*(1-VLOOKUP($A244,[1]Hugst!$R$5:$W$9,MATCH(ROUNDUP((G$1)/10,0)*10,[1]Hugst!$R$4:$W$4,0))))</f>
        <v>0</v>
      </c>
      <c r="H244">
        <f ca="1">IF($C244-H$1&lt;År1,0,G243*(1-VLOOKUP($A244,[1]Hugst!$R$5:$W$9,MATCH(ROUNDUP((H$1)/10,0)*10,[1]Hugst!$R$4:$W$4,0))))</f>
        <v>0</v>
      </c>
      <c r="I244">
        <f ca="1">IF($C244-I$1&lt;År1,0,H243*(1-VLOOKUP($A244,[1]Hugst!$R$5:$W$9,MATCH(ROUNDUP((I$1)/10,0)*10,[1]Hugst!$R$4:$W$4,0))))</f>
        <v>0</v>
      </c>
      <c r="J244">
        <f ca="1">IF($C244-J$1&lt;År1,0,I243*(1-VLOOKUP($A244,[1]Hugst!$R$5:$W$9,MATCH(ROUNDUP((J$1)/10,0)*10,[1]Hugst!$R$4:$W$4,0))))</f>
        <v>0</v>
      </c>
      <c r="K244">
        <f ca="1">IF($C244-K$1&lt;År1,0,J243*(1-VLOOKUP($A244,[1]Hugst!$R$5:$W$9,MATCH(ROUNDUP((K$1)/10,0)*10,[1]Hugst!$R$4:$W$4,0))))</f>
        <v>0</v>
      </c>
      <c r="L244">
        <f ca="1">IF($C244-L$1&lt;År1,0,K243*(1-VLOOKUP($A244,[1]Hugst!$R$5:$W$9,MATCH(ROUNDUP((L$1)/10,0)*10,[1]Hugst!$R$4:$W$4,0))))</f>
        <v>0</v>
      </c>
      <c r="M244">
        <f ca="1">IF($C244-M$1&lt;År1,0,L243*(1-VLOOKUP($A244,[1]Hugst!$R$5:$W$9,MATCH(ROUNDUP((M$1)/10,0)*10,[1]Hugst!$R$4:$W$4,0))))</f>
        <v>0</v>
      </c>
      <c r="N244">
        <f ca="1">IF($C244-N$1&lt;År1,0,M243*(1-VLOOKUP($A244,[1]Hugst!$R$5:$W$9,MATCH(ROUNDUP((N$1)/10,0)*10,[1]Hugst!$R$4:$W$4,0))))</f>
        <v>0</v>
      </c>
      <c r="O244">
        <f ca="1">IF($C244-O$1&lt;År1,0,N243*(1-VLOOKUP($A244,[1]Hugst!$R$5:$W$9,MATCH(ROUNDUP((O$1)/10,0)*10,[1]Hugst!$R$4:$W$4,0))))</f>
        <v>0</v>
      </c>
      <c r="P244">
        <f ca="1">IF($C244-P$1&lt;År1,0,O243*(1-VLOOKUP($A244,[1]Hugst!$R$5:$W$9,MATCH(ROUNDUP((P$1)/10,0)*10,[1]Hugst!$R$4:$W$4,0))))</f>
        <v>0</v>
      </c>
      <c r="Q244">
        <f ca="1">IF($C244-Q$1&lt;År1,0,P243*(1-VLOOKUP($A244,[1]Hugst!$R$5:$W$9,MATCH(ROUNDUP((Q$1)/10,0)*10,[1]Hugst!$R$4:$W$4,0))))</f>
        <v>0</v>
      </c>
      <c r="R244">
        <f ca="1">IF($C244-R$1&lt;År1,0,Q243*(1-VLOOKUP($A244,[1]Hugst!$R$5:$W$9,MATCH(ROUNDUP((R$1)/10,0)*10,[1]Hugst!$R$4:$W$4,0))))</f>
        <v>0</v>
      </c>
      <c r="S244">
        <f ca="1">IF($C244-S$1&lt;År1,0,R243*(1-VLOOKUP($A244,[1]Hugst!$R$5:$W$9,MATCH(ROUNDUP((S$1)/10,0)*10,[1]Hugst!$R$4:$W$4,0))))</f>
        <v>0</v>
      </c>
      <c r="T244">
        <f ca="1">IF($C244-T$1&lt;År1,0,S243*(1-VLOOKUP($A244,[1]Hugst!$R$5:$W$9,MATCH(ROUNDUP((T$1)/10,0)*10,[1]Hugst!$R$4:$W$4,0))))</f>
        <v>0</v>
      </c>
      <c r="U244">
        <f ca="1">IF($C244-U$1&lt;År1,0,T243*(1-VLOOKUP($A244,[1]Hugst!$R$5:$W$9,MATCH(ROUNDUP((U$1)/10,0)*10,[1]Hugst!$R$4:$W$4,0))))</f>
        <v>0</v>
      </c>
      <c r="V244">
        <f ca="1">IF($C244-V$1&lt;År1,0,U243*(1-VLOOKUP($A244,[1]Hugst!$R$5:$W$9,MATCH(ROUNDUP((V$1)/10,0)*10,[1]Hugst!$R$4:$W$4,0))))</f>
        <v>0</v>
      </c>
      <c r="W244">
        <f ca="1">IF($C244-W$1&lt;År1,0,V243*(1-VLOOKUP($A244,[1]Hugst!$R$5:$W$9,MATCH(ROUNDUP((W$1)/10,0)*10,[1]Hugst!$R$4:$W$4,0))))</f>
        <v>0</v>
      </c>
      <c r="X244">
        <f ca="1">IF($C244-X$1&lt;År1,0,W243*(1-VLOOKUP($A244,[1]Hugst!$R$5:$W$9,MATCH(ROUNDUP((X$1)/10,0)*10,[1]Hugst!$R$4:$W$4,0))))</f>
        <v>0</v>
      </c>
      <c r="Y244">
        <f ca="1">IF($C244-Y$1&lt;År1,0,X243*(1-VLOOKUP($A244,[1]Hugst!$R$5:$W$9,MATCH(ROUNDUP((Y$1)/10,0)*10,[1]Hugst!$R$4:$W$4,0))))</f>
        <v>0</v>
      </c>
      <c r="Z244">
        <f ca="1">IF($C244-Z$1&lt;År1,0,Y243*(1-VLOOKUP($A244,[1]Hugst!$R$5:$W$9,MATCH(ROUNDUP((Z$1)/10,0)*10,[1]Hugst!$R$4:$W$4,0))))</f>
        <v>0</v>
      </c>
      <c r="AA244">
        <f ca="1">IF($C244-AA$1&lt;År1,0,Z243*(1-VLOOKUP($A244,[1]Hugst!$R$5:$W$9,MATCH(ROUNDUP((AA$1)/10,0)*10,[1]Hugst!$R$4:$W$4,0))))</f>
        <v>0</v>
      </c>
      <c r="AB244">
        <f ca="1">IF($C244-AB$1&lt;År1,0,AA243*(1-VLOOKUP($A244,[1]Hugst!$R$5:$W$9,MATCH(ROUNDUP((AB$1)/10,0)*10,[1]Hugst!$R$4:$W$4,0))))</f>
        <v>0</v>
      </c>
      <c r="AC244">
        <f ca="1">IF($C244-AC$1&lt;År1,0,AB243*(1-VLOOKUP($A244,[1]Hugst!$R$5:$W$9,MATCH(ROUNDUP((AC$1)/10,0)*10,[1]Hugst!$R$4:$W$4,0))))</f>
        <v>0</v>
      </c>
      <c r="AD244">
        <f ca="1">IF($C244-AD$1&lt;År1,0,AC243*(1-VLOOKUP($A244,[1]Hugst!$R$5:$W$9,MATCH(ROUNDUP((AD$1)/10,0)*10,[1]Hugst!$R$4:$W$4,0))))</f>
        <v>0</v>
      </c>
      <c r="AE244">
        <f ca="1">IF($C244-AE$1&lt;År1,0,AD243*(1-VLOOKUP($A244,[1]Hugst!$R$5:$W$9,MATCH(ROUNDUP((AE$1)/10,0)*10,[1]Hugst!$R$4:$W$4,0))))</f>
        <v>0</v>
      </c>
      <c r="AF244">
        <f>IF($C244-AF$1&lt;År1,0,AE243*(1-VLOOKUP($A244,[1]Hugst!$R$5:$W$9,MATCH(ROUNDUP((AF$1)/10,0)*10,[1]Hugst!$R$4:$W$4,0))))</f>
        <v>0</v>
      </c>
      <c r="AG244">
        <f>IF($C244-AG$1&lt;År1,0,AF243*(1-VLOOKUP($A244,[1]Hugst!$R$5:$W$9,MATCH(ROUNDUP((AG$1)/10,0)*10,[1]Hugst!$R$4:$W$4,0))))</f>
        <v>0</v>
      </c>
      <c r="AH244">
        <f>IF($C244-AH$1&lt;År1,0,AG243*(1-VLOOKUP($A244,[1]Hugst!$R$5:$W$9,MATCH(ROUNDUP((AH$1)/10,0)*10,[1]Hugst!$R$4:$W$4,0))))</f>
        <v>0</v>
      </c>
      <c r="AI244">
        <f>IF($C244-AI$1&lt;År1,0,AH243*(1-VLOOKUP($A244,[1]Hugst!$R$5:$W$9,MATCH(ROUNDUP((AI$1)/10,0)*10,[1]Hugst!$R$4:$W$4,0))))</f>
        <v>0</v>
      </c>
      <c r="AJ244">
        <f>IF($C244-AJ$1&lt;År1,0,AI243*(1-VLOOKUP($A244,[1]Hugst!$R$5:$W$9,MATCH(ROUNDUP((AJ$1)/10,0)*10,[1]Hugst!$R$4:$W$4,0))))</f>
        <v>0</v>
      </c>
    </row>
    <row r="245" spans="1:36" x14ac:dyDescent="0.25">
      <c r="A245" t="s">
        <v>179</v>
      </c>
      <c r="B245" t="s">
        <v>24</v>
      </c>
      <c r="C245">
        <v>2046</v>
      </c>
      <c r="D245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0</v>
      </c>
      <c r="E245">
        <f t="shared" ca="1" si="5"/>
        <v>0</v>
      </c>
      <c r="F245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>
        <f ca="1">IF($C245-G$1&lt;År1,0,F244*(1-VLOOKUP($A245,[1]Hugst!$R$5:$W$9,MATCH(ROUNDUP((G$1)/10,0)*10,[1]Hugst!$R$4:$W$4,0))))</f>
        <v>0</v>
      </c>
      <c r="H245">
        <f ca="1">IF($C245-H$1&lt;År1,0,G244*(1-VLOOKUP($A245,[1]Hugst!$R$5:$W$9,MATCH(ROUNDUP((H$1)/10,0)*10,[1]Hugst!$R$4:$W$4,0))))</f>
        <v>0</v>
      </c>
      <c r="I245">
        <f ca="1">IF($C245-I$1&lt;År1,0,H244*(1-VLOOKUP($A245,[1]Hugst!$R$5:$W$9,MATCH(ROUNDUP((I$1)/10,0)*10,[1]Hugst!$R$4:$W$4,0))))</f>
        <v>0</v>
      </c>
      <c r="J245">
        <f ca="1">IF($C245-J$1&lt;År1,0,I244*(1-VLOOKUP($A245,[1]Hugst!$R$5:$W$9,MATCH(ROUNDUP((J$1)/10,0)*10,[1]Hugst!$R$4:$W$4,0))))</f>
        <v>0</v>
      </c>
      <c r="K245">
        <f ca="1">IF($C245-K$1&lt;År1,0,J244*(1-VLOOKUP($A245,[1]Hugst!$R$5:$W$9,MATCH(ROUNDUP((K$1)/10,0)*10,[1]Hugst!$R$4:$W$4,0))))</f>
        <v>0</v>
      </c>
      <c r="L245">
        <f ca="1">IF($C245-L$1&lt;År1,0,K244*(1-VLOOKUP($A245,[1]Hugst!$R$5:$W$9,MATCH(ROUNDUP((L$1)/10,0)*10,[1]Hugst!$R$4:$W$4,0))))</f>
        <v>0</v>
      </c>
      <c r="M245">
        <f ca="1">IF($C245-M$1&lt;År1,0,L244*(1-VLOOKUP($A245,[1]Hugst!$R$5:$W$9,MATCH(ROUNDUP((M$1)/10,0)*10,[1]Hugst!$R$4:$W$4,0))))</f>
        <v>0</v>
      </c>
      <c r="N245">
        <f ca="1">IF($C245-N$1&lt;År1,0,M244*(1-VLOOKUP($A245,[1]Hugst!$R$5:$W$9,MATCH(ROUNDUP((N$1)/10,0)*10,[1]Hugst!$R$4:$W$4,0))))</f>
        <v>0</v>
      </c>
      <c r="O245">
        <f ca="1">IF($C245-O$1&lt;År1,0,N244*(1-VLOOKUP($A245,[1]Hugst!$R$5:$W$9,MATCH(ROUNDUP((O$1)/10,0)*10,[1]Hugst!$R$4:$W$4,0))))</f>
        <v>0</v>
      </c>
      <c r="P245">
        <f ca="1">IF($C245-P$1&lt;År1,0,O244*(1-VLOOKUP($A245,[1]Hugst!$R$5:$W$9,MATCH(ROUNDUP((P$1)/10,0)*10,[1]Hugst!$R$4:$W$4,0))))</f>
        <v>0</v>
      </c>
      <c r="Q245">
        <f ca="1">IF($C245-Q$1&lt;År1,0,P244*(1-VLOOKUP($A245,[1]Hugst!$R$5:$W$9,MATCH(ROUNDUP((Q$1)/10,0)*10,[1]Hugst!$R$4:$W$4,0))))</f>
        <v>0</v>
      </c>
      <c r="R245">
        <f ca="1">IF($C245-R$1&lt;År1,0,Q244*(1-VLOOKUP($A245,[1]Hugst!$R$5:$W$9,MATCH(ROUNDUP((R$1)/10,0)*10,[1]Hugst!$R$4:$W$4,0))))</f>
        <v>0</v>
      </c>
      <c r="S245">
        <f ca="1">IF($C245-S$1&lt;År1,0,R244*(1-VLOOKUP($A245,[1]Hugst!$R$5:$W$9,MATCH(ROUNDUP((S$1)/10,0)*10,[1]Hugst!$R$4:$W$4,0))))</f>
        <v>0</v>
      </c>
      <c r="T245">
        <f ca="1">IF($C245-T$1&lt;År1,0,S244*(1-VLOOKUP($A245,[1]Hugst!$R$5:$W$9,MATCH(ROUNDUP((T$1)/10,0)*10,[1]Hugst!$R$4:$W$4,0))))</f>
        <v>0</v>
      </c>
      <c r="U245">
        <f ca="1">IF($C245-U$1&lt;År1,0,T244*(1-VLOOKUP($A245,[1]Hugst!$R$5:$W$9,MATCH(ROUNDUP((U$1)/10,0)*10,[1]Hugst!$R$4:$W$4,0))))</f>
        <v>0</v>
      </c>
      <c r="V245">
        <f ca="1">IF($C245-V$1&lt;År1,0,U244*(1-VLOOKUP($A245,[1]Hugst!$R$5:$W$9,MATCH(ROUNDUP((V$1)/10,0)*10,[1]Hugst!$R$4:$W$4,0))))</f>
        <v>0</v>
      </c>
      <c r="W245">
        <f ca="1">IF($C245-W$1&lt;År1,0,V244*(1-VLOOKUP($A245,[1]Hugst!$R$5:$W$9,MATCH(ROUNDUP((W$1)/10,0)*10,[1]Hugst!$R$4:$W$4,0))))</f>
        <v>0</v>
      </c>
      <c r="X245">
        <f ca="1">IF($C245-X$1&lt;År1,0,W244*(1-VLOOKUP($A245,[1]Hugst!$R$5:$W$9,MATCH(ROUNDUP((X$1)/10,0)*10,[1]Hugst!$R$4:$W$4,0))))</f>
        <v>0</v>
      </c>
      <c r="Y245">
        <f ca="1">IF($C245-Y$1&lt;År1,0,X244*(1-VLOOKUP($A245,[1]Hugst!$R$5:$W$9,MATCH(ROUNDUP((Y$1)/10,0)*10,[1]Hugst!$R$4:$W$4,0))))</f>
        <v>0</v>
      </c>
      <c r="Z245">
        <f ca="1">IF($C245-Z$1&lt;År1,0,Y244*(1-VLOOKUP($A245,[1]Hugst!$R$5:$W$9,MATCH(ROUNDUP((Z$1)/10,0)*10,[1]Hugst!$R$4:$W$4,0))))</f>
        <v>0</v>
      </c>
      <c r="AA245">
        <f ca="1">IF($C245-AA$1&lt;År1,0,Z244*(1-VLOOKUP($A245,[1]Hugst!$R$5:$W$9,MATCH(ROUNDUP((AA$1)/10,0)*10,[1]Hugst!$R$4:$W$4,0))))</f>
        <v>0</v>
      </c>
      <c r="AB245">
        <f ca="1">IF($C245-AB$1&lt;År1,0,AA244*(1-VLOOKUP($A245,[1]Hugst!$R$5:$W$9,MATCH(ROUNDUP((AB$1)/10,0)*10,[1]Hugst!$R$4:$W$4,0))))</f>
        <v>0</v>
      </c>
      <c r="AC245">
        <f ca="1">IF($C245-AC$1&lt;År1,0,AB244*(1-VLOOKUP($A245,[1]Hugst!$R$5:$W$9,MATCH(ROUNDUP((AC$1)/10,0)*10,[1]Hugst!$R$4:$W$4,0))))</f>
        <v>0</v>
      </c>
      <c r="AD245">
        <f ca="1">IF($C245-AD$1&lt;År1,0,AC244*(1-VLOOKUP($A245,[1]Hugst!$R$5:$W$9,MATCH(ROUNDUP((AD$1)/10,0)*10,[1]Hugst!$R$4:$W$4,0))))</f>
        <v>0</v>
      </c>
      <c r="AE245">
        <f ca="1">IF($C245-AE$1&lt;År1,0,AD244*(1-VLOOKUP($A245,[1]Hugst!$R$5:$W$9,MATCH(ROUNDUP((AE$1)/10,0)*10,[1]Hugst!$R$4:$W$4,0))))</f>
        <v>0</v>
      </c>
      <c r="AF245">
        <f ca="1">IF($C245-AF$1&lt;År1,0,AE244*(1-VLOOKUP($A245,[1]Hugst!$R$5:$W$9,MATCH(ROUNDUP((AF$1)/10,0)*10,[1]Hugst!$R$4:$W$4,0))))</f>
        <v>0</v>
      </c>
      <c r="AG245">
        <f>IF($C245-AG$1&lt;År1,0,AF244*(1-VLOOKUP($A245,[1]Hugst!$R$5:$W$9,MATCH(ROUNDUP((AG$1)/10,0)*10,[1]Hugst!$R$4:$W$4,0))))</f>
        <v>0</v>
      </c>
      <c r="AH245">
        <f>IF($C245-AH$1&lt;År1,0,AG244*(1-VLOOKUP($A245,[1]Hugst!$R$5:$W$9,MATCH(ROUNDUP((AH$1)/10,0)*10,[1]Hugst!$R$4:$W$4,0))))</f>
        <v>0</v>
      </c>
      <c r="AI245">
        <f>IF($C245-AI$1&lt;År1,0,AH244*(1-VLOOKUP($A245,[1]Hugst!$R$5:$W$9,MATCH(ROUNDUP((AI$1)/10,0)*10,[1]Hugst!$R$4:$W$4,0))))</f>
        <v>0</v>
      </c>
      <c r="AJ245">
        <f>IF($C245-AJ$1&lt;År1,0,AI244*(1-VLOOKUP($A245,[1]Hugst!$R$5:$W$9,MATCH(ROUNDUP((AJ$1)/10,0)*10,[1]Hugst!$R$4:$W$4,0))))</f>
        <v>0</v>
      </c>
    </row>
    <row r="246" spans="1:36" x14ac:dyDescent="0.25">
      <c r="A246" t="s">
        <v>179</v>
      </c>
      <c r="B246" t="s">
        <v>24</v>
      </c>
      <c r="C246">
        <v>2047</v>
      </c>
      <c r="D246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0</v>
      </c>
      <c r="E246">
        <f t="shared" ca="1" si="5"/>
        <v>0</v>
      </c>
      <c r="F246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>
        <f ca="1">IF($C246-G$1&lt;År1,0,F245*(1-VLOOKUP($A246,[1]Hugst!$R$5:$W$9,MATCH(ROUNDUP((G$1)/10,0)*10,[1]Hugst!$R$4:$W$4,0))))</f>
        <v>0</v>
      </c>
      <c r="H246">
        <f ca="1">IF($C246-H$1&lt;År1,0,G245*(1-VLOOKUP($A246,[1]Hugst!$R$5:$W$9,MATCH(ROUNDUP((H$1)/10,0)*10,[1]Hugst!$R$4:$W$4,0))))</f>
        <v>0</v>
      </c>
      <c r="I246">
        <f ca="1">IF($C246-I$1&lt;År1,0,H245*(1-VLOOKUP($A246,[1]Hugst!$R$5:$W$9,MATCH(ROUNDUP((I$1)/10,0)*10,[1]Hugst!$R$4:$W$4,0))))</f>
        <v>0</v>
      </c>
      <c r="J246">
        <f ca="1">IF($C246-J$1&lt;År1,0,I245*(1-VLOOKUP($A246,[1]Hugst!$R$5:$W$9,MATCH(ROUNDUP((J$1)/10,0)*10,[1]Hugst!$R$4:$W$4,0))))</f>
        <v>0</v>
      </c>
      <c r="K246">
        <f ca="1">IF($C246-K$1&lt;År1,0,J245*(1-VLOOKUP($A246,[1]Hugst!$R$5:$W$9,MATCH(ROUNDUP((K$1)/10,0)*10,[1]Hugst!$R$4:$W$4,0))))</f>
        <v>0</v>
      </c>
      <c r="L246">
        <f ca="1">IF($C246-L$1&lt;År1,0,K245*(1-VLOOKUP($A246,[1]Hugst!$R$5:$W$9,MATCH(ROUNDUP((L$1)/10,0)*10,[1]Hugst!$R$4:$W$4,0))))</f>
        <v>0</v>
      </c>
      <c r="M246">
        <f ca="1">IF($C246-M$1&lt;År1,0,L245*(1-VLOOKUP($A246,[1]Hugst!$R$5:$W$9,MATCH(ROUNDUP((M$1)/10,0)*10,[1]Hugst!$R$4:$W$4,0))))</f>
        <v>0</v>
      </c>
      <c r="N246">
        <f ca="1">IF($C246-N$1&lt;År1,0,M245*(1-VLOOKUP($A246,[1]Hugst!$R$5:$W$9,MATCH(ROUNDUP((N$1)/10,0)*10,[1]Hugst!$R$4:$W$4,0))))</f>
        <v>0</v>
      </c>
      <c r="O246">
        <f ca="1">IF($C246-O$1&lt;År1,0,N245*(1-VLOOKUP($A246,[1]Hugst!$R$5:$W$9,MATCH(ROUNDUP((O$1)/10,0)*10,[1]Hugst!$R$4:$W$4,0))))</f>
        <v>0</v>
      </c>
      <c r="P246">
        <f ca="1">IF($C246-P$1&lt;År1,0,O245*(1-VLOOKUP($A246,[1]Hugst!$R$5:$W$9,MATCH(ROUNDUP((P$1)/10,0)*10,[1]Hugst!$R$4:$W$4,0))))</f>
        <v>0</v>
      </c>
      <c r="Q246">
        <f ca="1">IF($C246-Q$1&lt;År1,0,P245*(1-VLOOKUP($A246,[1]Hugst!$R$5:$W$9,MATCH(ROUNDUP((Q$1)/10,0)*10,[1]Hugst!$R$4:$W$4,0))))</f>
        <v>0</v>
      </c>
      <c r="R246">
        <f ca="1">IF($C246-R$1&lt;År1,0,Q245*(1-VLOOKUP($A246,[1]Hugst!$R$5:$W$9,MATCH(ROUNDUP((R$1)/10,0)*10,[1]Hugst!$R$4:$W$4,0))))</f>
        <v>0</v>
      </c>
      <c r="S246">
        <f ca="1">IF($C246-S$1&lt;År1,0,R245*(1-VLOOKUP($A246,[1]Hugst!$R$5:$W$9,MATCH(ROUNDUP((S$1)/10,0)*10,[1]Hugst!$R$4:$W$4,0))))</f>
        <v>0</v>
      </c>
      <c r="T246">
        <f ca="1">IF($C246-T$1&lt;År1,0,S245*(1-VLOOKUP($A246,[1]Hugst!$R$5:$W$9,MATCH(ROUNDUP((T$1)/10,0)*10,[1]Hugst!$R$4:$W$4,0))))</f>
        <v>0</v>
      </c>
      <c r="U246">
        <f ca="1">IF($C246-U$1&lt;År1,0,T245*(1-VLOOKUP($A246,[1]Hugst!$R$5:$W$9,MATCH(ROUNDUP((U$1)/10,0)*10,[1]Hugst!$R$4:$W$4,0))))</f>
        <v>0</v>
      </c>
      <c r="V246">
        <f ca="1">IF($C246-V$1&lt;År1,0,U245*(1-VLOOKUP($A246,[1]Hugst!$R$5:$W$9,MATCH(ROUNDUP((V$1)/10,0)*10,[1]Hugst!$R$4:$W$4,0))))</f>
        <v>0</v>
      </c>
      <c r="W246">
        <f ca="1">IF($C246-W$1&lt;År1,0,V245*(1-VLOOKUP($A246,[1]Hugst!$R$5:$W$9,MATCH(ROUNDUP((W$1)/10,0)*10,[1]Hugst!$R$4:$W$4,0))))</f>
        <v>0</v>
      </c>
      <c r="X246">
        <f ca="1">IF($C246-X$1&lt;År1,0,W245*(1-VLOOKUP($A246,[1]Hugst!$R$5:$W$9,MATCH(ROUNDUP((X$1)/10,0)*10,[1]Hugst!$R$4:$W$4,0))))</f>
        <v>0</v>
      </c>
      <c r="Y246">
        <f ca="1">IF($C246-Y$1&lt;År1,0,X245*(1-VLOOKUP($A246,[1]Hugst!$R$5:$W$9,MATCH(ROUNDUP((Y$1)/10,0)*10,[1]Hugst!$R$4:$W$4,0))))</f>
        <v>0</v>
      </c>
      <c r="Z246">
        <f ca="1">IF($C246-Z$1&lt;År1,0,Y245*(1-VLOOKUP($A246,[1]Hugst!$R$5:$W$9,MATCH(ROUNDUP((Z$1)/10,0)*10,[1]Hugst!$R$4:$W$4,0))))</f>
        <v>0</v>
      </c>
      <c r="AA246">
        <f ca="1">IF($C246-AA$1&lt;År1,0,Z245*(1-VLOOKUP($A246,[1]Hugst!$R$5:$W$9,MATCH(ROUNDUP((AA$1)/10,0)*10,[1]Hugst!$R$4:$W$4,0))))</f>
        <v>0</v>
      </c>
      <c r="AB246">
        <f ca="1">IF($C246-AB$1&lt;År1,0,AA245*(1-VLOOKUP($A246,[1]Hugst!$R$5:$W$9,MATCH(ROUNDUP((AB$1)/10,0)*10,[1]Hugst!$R$4:$W$4,0))))</f>
        <v>0</v>
      </c>
      <c r="AC246">
        <f ca="1">IF($C246-AC$1&lt;År1,0,AB245*(1-VLOOKUP($A246,[1]Hugst!$R$5:$W$9,MATCH(ROUNDUP((AC$1)/10,0)*10,[1]Hugst!$R$4:$W$4,0))))</f>
        <v>0</v>
      </c>
      <c r="AD246">
        <f ca="1">IF($C246-AD$1&lt;År1,0,AC245*(1-VLOOKUP($A246,[1]Hugst!$R$5:$W$9,MATCH(ROUNDUP((AD$1)/10,0)*10,[1]Hugst!$R$4:$W$4,0))))</f>
        <v>0</v>
      </c>
      <c r="AE246">
        <f ca="1">IF($C246-AE$1&lt;År1,0,AD245*(1-VLOOKUP($A246,[1]Hugst!$R$5:$W$9,MATCH(ROUNDUP((AE$1)/10,0)*10,[1]Hugst!$R$4:$W$4,0))))</f>
        <v>0</v>
      </c>
      <c r="AF246">
        <f ca="1">IF($C246-AF$1&lt;År1,0,AE245*(1-VLOOKUP($A246,[1]Hugst!$R$5:$W$9,MATCH(ROUNDUP((AF$1)/10,0)*10,[1]Hugst!$R$4:$W$4,0))))</f>
        <v>0</v>
      </c>
      <c r="AG246">
        <f ca="1">IF($C246-AG$1&lt;År1,0,AF245*(1-VLOOKUP($A246,[1]Hugst!$R$5:$W$9,MATCH(ROUNDUP((AG$1)/10,0)*10,[1]Hugst!$R$4:$W$4,0))))</f>
        <v>0</v>
      </c>
      <c r="AH246">
        <f>IF($C246-AH$1&lt;År1,0,AG245*(1-VLOOKUP($A246,[1]Hugst!$R$5:$W$9,MATCH(ROUNDUP((AH$1)/10,0)*10,[1]Hugst!$R$4:$W$4,0))))</f>
        <v>0</v>
      </c>
      <c r="AI246">
        <f>IF($C246-AI$1&lt;År1,0,AH245*(1-VLOOKUP($A246,[1]Hugst!$R$5:$W$9,MATCH(ROUNDUP((AI$1)/10,0)*10,[1]Hugst!$R$4:$W$4,0))))</f>
        <v>0</v>
      </c>
      <c r="AJ246">
        <f>IF($C246-AJ$1&lt;År1,0,AI245*(1-VLOOKUP($A246,[1]Hugst!$R$5:$W$9,MATCH(ROUNDUP((AJ$1)/10,0)*10,[1]Hugst!$R$4:$W$4,0))))</f>
        <v>0</v>
      </c>
    </row>
    <row r="247" spans="1:36" x14ac:dyDescent="0.25">
      <c r="A247" t="s">
        <v>179</v>
      </c>
      <c r="B247" t="s">
        <v>24</v>
      </c>
      <c r="C247">
        <v>2048</v>
      </c>
      <c r="D247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0</v>
      </c>
      <c r="E247">
        <f t="shared" ca="1" si="5"/>
        <v>0</v>
      </c>
      <c r="F247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>
        <f ca="1">IF($C247-G$1&lt;År1,0,F246*(1-VLOOKUP($A247,[1]Hugst!$R$5:$W$9,MATCH(ROUNDUP((G$1)/10,0)*10,[1]Hugst!$R$4:$W$4,0))))</f>
        <v>0</v>
      </c>
      <c r="H247">
        <f ca="1">IF($C247-H$1&lt;År1,0,G246*(1-VLOOKUP($A247,[1]Hugst!$R$5:$W$9,MATCH(ROUNDUP((H$1)/10,0)*10,[1]Hugst!$R$4:$W$4,0))))</f>
        <v>0</v>
      </c>
      <c r="I247">
        <f ca="1">IF($C247-I$1&lt;År1,0,H246*(1-VLOOKUP($A247,[1]Hugst!$R$5:$W$9,MATCH(ROUNDUP((I$1)/10,0)*10,[1]Hugst!$R$4:$W$4,0))))</f>
        <v>0</v>
      </c>
      <c r="J247">
        <f ca="1">IF($C247-J$1&lt;År1,0,I246*(1-VLOOKUP($A247,[1]Hugst!$R$5:$W$9,MATCH(ROUNDUP((J$1)/10,0)*10,[1]Hugst!$R$4:$W$4,0))))</f>
        <v>0</v>
      </c>
      <c r="K247">
        <f ca="1">IF($C247-K$1&lt;År1,0,J246*(1-VLOOKUP($A247,[1]Hugst!$R$5:$W$9,MATCH(ROUNDUP((K$1)/10,0)*10,[1]Hugst!$R$4:$W$4,0))))</f>
        <v>0</v>
      </c>
      <c r="L247">
        <f ca="1">IF($C247-L$1&lt;År1,0,K246*(1-VLOOKUP($A247,[1]Hugst!$R$5:$W$9,MATCH(ROUNDUP((L$1)/10,0)*10,[1]Hugst!$R$4:$W$4,0))))</f>
        <v>0</v>
      </c>
      <c r="M247">
        <f ca="1">IF($C247-M$1&lt;År1,0,L246*(1-VLOOKUP($A247,[1]Hugst!$R$5:$W$9,MATCH(ROUNDUP((M$1)/10,0)*10,[1]Hugst!$R$4:$W$4,0))))</f>
        <v>0</v>
      </c>
      <c r="N247">
        <f ca="1">IF($C247-N$1&lt;År1,0,M246*(1-VLOOKUP($A247,[1]Hugst!$R$5:$W$9,MATCH(ROUNDUP((N$1)/10,0)*10,[1]Hugst!$R$4:$W$4,0))))</f>
        <v>0</v>
      </c>
      <c r="O247">
        <f ca="1">IF($C247-O$1&lt;År1,0,N246*(1-VLOOKUP($A247,[1]Hugst!$R$5:$W$9,MATCH(ROUNDUP((O$1)/10,0)*10,[1]Hugst!$R$4:$W$4,0))))</f>
        <v>0</v>
      </c>
      <c r="P247">
        <f ca="1">IF($C247-P$1&lt;År1,0,O246*(1-VLOOKUP($A247,[1]Hugst!$R$5:$W$9,MATCH(ROUNDUP((P$1)/10,0)*10,[1]Hugst!$R$4:$W$4,0))))</f>
        <v>0</v>
      </c>
      <c r="Q247">
        <f ca="1">IF($C247-Q$1&lt;År1,0,P246*(1-VLOOKUP($A247,[1]Hugst!$R$5:$W$9,MATCH(ROUNDUP((Q$1)/10,0)*10,[1]Hugst!$R$4:$W$4,0))))</f>
        <v>0</v>
      </c>
      <c r="R247">
        <f ca="1">IF($C247-R$1&lt;År1,0,Q246*(1-VLOOKUP($A247,[1]Hugst!$R$5:$W$9,MATCH(ROUNDUP((R$1)/10,0)*10,[1]Hugst!$R$4:$W$4,0))))</f>
        <v>0</v>
      </c>
      <c r="S247">
        <f ca="1">IF($C247-S$1&lt;År1,0,R246*(1-VLOOKUP($A247,[1]Hugst!$R$5:$W$9,MATCH(ROUNDUP((S$1)/10,0)*10,[1]Hugst!$R$4:$W$4,0))))</f>
        <v>0</v>
      </c>
      <c r="T247">
        <f ca="1">IF($C247-T$1&lt;År1,0,S246*(1-VLOOKUP($A247,[1]Hugst!$R$5:$W$9,MATCH(ROUNDUP((T$1)/10,0)*10,[1]Hugst!$R$4:$W$4,0))))</f>
        <v>0</v>
      </c>
      <c r="U247">
        <f ca="1">IF($C247-U$1&lt;År1,0,T246*(1-VLOOKUP($A247,[1]Hugst!$R$5:$W$9,MATCH(ROUNDUP((U$1)/10,0)*10,[1]Hugst!$R$4:$W$4,0))))</f>
        <v>0</v>
      </c>
      <c r="V247">
        <f ca="1">IF($C247-V$1&lt;År1,0,U246*(1-VLOOKUP($A247,[1]Hugst!$R$5:$W$9,MATCH(ROUNDUP((V$1)/10,0)*10,[1]Hugst!$R$4:$W$4,0))))</f>
        <v>0</v>
      </c>
      <c r="W247">
        <f ca="1">IF($C247-W$1&lt;År1,0,V246*(1-VLOOKUP($A247,[1]Hugst!$R$5:$W$9,MATCH(ROUNDUP((W$1)/10,0)*10,[1]Hugst!$R$4:$W$4,0))))</f>
        <v>0</v>
      </c>
      <c r="X247">
        <f ca="1">IF($C247-X$1&lt;År1,0,W246*(1-VLOOKUP($A247,[1]Hugst!$R$5:$W$9,MATCH(ROUNDUP((X$1)/10,0)*10,[1]Hugst!$R$4:$W$4,0))))</f>
        <v>0</v>
      </c>
      <c r="Y247">
        <f ca="1">IF($C247-Y$1&lt;År1,0,X246*(1-VLOOKUP($A247,[1]Hugst!$R$5:$W$9,MATCH(ROUNDUP((Y$1)/10,0)*10,[1]Hugst!$R$4:$W$4,0))))</f>
        <v>0</v>
      </c>
      <c r="Z247">
        <f ca="1">IF($C247-Z$1&lt;År1,0,Y246*(1-VLOOKUP($A247,[1]Hugst!$R$5:$W$9,MATCH(ROUNDUP((Z$1)/10,0)*10,[1]Hugst!$R$4:$W$4,0))))</f>
        <v>0</v>
      </c>
      <c r="AA247">
        <f ca="1">IF($C247-AA$1&lt;År1,0,Z246*(1-VLOOKUP($A247,[1]Hugst!$R$5:$W$9,MATCH(ROUNDUP((AA$1)/10,0)*10,[1]Hugst!$R$4:$W$4,0))))</f>
        <v>0</v>
      </c>
      <c r="AB247">
        <f ca="1">IF($C247-AB$1&lt;År1,0,AA246*(1-VLOOKUP($A247,[1]Hugst!$R$5:$W$9,MATCH(ROUNDUP((AB$1)/10,0)*10,[1]Hugst!$R$4:$W$4,0))))</f>
        <v>0</v>
      </c>
      <c r="AC247">
        <f ca="1">IF($C247-AC$1&lt;År1,0,AB246*(1-VLOOKUP($A247,[1]Hugst!$R$5:$W$9,MATCH(ROUNDUP((AC$1)/10,0)*10,[1]Hugst!$R$4:$W$4,0))))</f>
        <v>0</v>
      </c>
      <c r="AD247">
        <f ca="1">IF($C247-AD$1&lt;År1,0,AC246*(1-VLOOKUP($A247,[1]Hugst!$R$5:$W$9,MATCH(ROUNDUP((AD$1)/10,0)*10,[1]Hugst!$R$4:$W$4,0))))</f>
        <v>0</v>
      </c>
      <c r="AE247">
        <f ca="1">IF($C247-AE$1&lt;År1,0,AD246*(1-VLOOKUP($A247,[1]Hugst!$R$5:$W$9,MATCH(ROUNDUP((AE$1)/10,0)*10,[1]Hugst!$R$4:$W$4,0))))</f>
        <v>0</v>
      </c>
      <c r="AF247">
        <f ca="1">IF($C247-AF$1&lt;År1,0,AE246*(1-VLOOKUP($A247,[1]Hugst!$R$5:$W$9,MATCH(ROUNDUP((AF$1)/10,0)*10,[1]Hugst!$R$4:$W$4,0))))</f>
        <v>0</v>
      </c>
      <c r="AG247">
        <f ca="1">IF($C247-AG$1&lt;År1,0,AF246*(1-VLOOKUP($A247,[1]Hugst!$R$5:$W$9,MATCH(ROUNDUP((AG$1)/10,0)*10,[1]Hugst!$R$4:$W$4,0))))</f>
        <v>0</v>
      </c>
      <c r="AH247">
        <f ca="1">IF($C247-AH$1&lt;År1,0,AG246*(1-VLOOKUP($A247,[1]Hugst!$R$5:$W$9,MATCH(ROUNDUP((AH$1)/10,0)*10,[1]Hugst!$R$4:$W$4,0))))</f>
        <v>0</v>
      </c>
      <c r="AI247">
        <f>IF($C247-AI$1&lt;År1,0,AH246*(1-VLOOKUP($A247,[1]Hugst!$R$5:$W$9,MATCH(ROUNDUP((AI$1)/10,0)*10,[1]Hugst!$R$4:$W$4,0))))</f>
        <v>0</v>
      </c>
      <c r="AJ247">
        <f>IF($C247-AJ$1&lt;År1,0,AI246*(1-VLOOKUP($A247,[1]Hugst!$R$5:$W$9,MATCH(ROUNDUP((AJ$1)/10,0)*10,[1]Hugst!$R$4:$W$4,0))))</f>
        <v>0</v>
      </c>
    </row>
    <row r="248" spans="1:36" x14ac:dyDescent="0.25">
      <c r="A248" t="s">
        <v>179</v>
      </c>
      <c r="B248" t="s">
        <v>24</v>
      </c>
      <c r="C248">
        <v>2049</v>
      </c>
      <c r="D24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0</v>
      </c>
      <c r="E248">
        <f t="shared" ca="1" si="5"/>
        <v>0</v>
      </c>
      <c r="F24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>
        <f ca="1">IF($C248-G$1&lt;År1,0,F247*(1-VLOOKUP($A248,[1]Hugst!$R$5:$W$9,MATCH(ROUNDUP((G$1)/10,0)*10,[1]Hugst!$R$4:$W$4,0))))</f>
        <v>0</v>
      </c>
      <c r="H248">
        <f ca="1">IF($C248-H$1&lt;År1,0,G247*(1-VLOOKUP($A248,[1]Hugst!$R$5:$W$9,MATCH(ROUNDUP((H$1)/10,0)*10,[1]Hugst!$R$4:$W$4,0))))</f>
        <v>0</v>
      </c>
      <c r="I248">
        <f ca="1">IF($C248-I$1&lt;År1,0,H247*(1-VLOOKUP($A248,[1]Hugst!$R$5:$W$9,MATCH(ROUNDUP((I$1)/10,0)*10,[1]Hugst!$R$4:$W$4,0))))</f>
        <v>0</v>
      </c>
      <c r="J248">
        <f ca="1">IF($C248-J$1&lt;År1,0,I247*(1-VLOOKUP($A248,[1]Hugst!$R$5:$W$9,MATCH(ROUNDUP((J$1)/10,0)*10,[1]Hugst!$R$4:$W$4,0))))</f>
        <v>0</v>
      </c>
      <c r="K248">
        <f ca="1">IF($C248-K$1&lt;År1,0,J247*(1-VLOOKUP($A248,[1]Hugst!$R$5:$W$9,MATCH(ROUNDUP((K$1)/10,0)*10,[1]Hugst!$R$4:$W$4,0))))</f>
        <v>0</v>
      </c>
      <c r="L248">
        <f ca="1">IF($C248-L$1&lt;År1,0,K247*(1-VLOOKUP($A248,[1]Hugst!$R$5:$W$9,MATCH(ROUNDUP((L$1)/10,0)*10,[1]Hugst!$R$4:$W$4,0))))</f>
        <v>0</v>
      </c>
      <c r="M248">
        <f ca="1">IF($C248-M$1&lt;År1,0,L247*(1-VLOOKUP($A248,[1]Hugst!$R$5:$W$9,MATCH(ROUNDUP((M$1)/10,0)*10,[1]Hugst!$R$4:$W$4,0))))</f>
        <v>0</v>
      </c>
      <c r="N248">
        <f ca="1">IF($C248-N$1&lt;År1,0,M247*(1-VLOOKUP($A248,[1]Hugst!$R$5:$W$9,MATCH(ROUNDUP((N$1)/10,0)*10,[1]Hugst!$R$4:$W$4,0))))</f>
        <v>0</v>
      </c>
      <c r="O248">
        <f ca="1">IF($C248-O$1&lt;År1,0,N247*(1-VLOOKUP($A248,[1]Hugst!$R$5:$W$9,MATCH(ROUNDUP((O$1)/10,0)*10,[1]Hugst!$R$4:$W$4,0))))</f>
        <v>0</v>
      </c>
      <c r="P248">
        <f ca="1">IF($C248-P$1&lt;År1,0,O247*(1-VLOOKUP($A248,[1]Hugst!$R$5:$W$9,MATCH(ROUNDUP((P$1)/10,0)*10,[1]Hugst!$R$4:$W$4,0))))</f>
        <v>0</v>
      </c>
      <c r="Q248">
        <f ca="1">IF($C248-Q$1&lt;År1,0,P247*(1-VLOOKUP($A248,[1]Hugst!$R$5:$W$9,MATCH(ROUNDUP((Q$1)/10,0)*10,[1]Hugst!$R$4:$W$4,0))))</f>
        <v>0</v>
      </c>
      <c r="R248">
        <f ca="1">IF($C248-R$1&lt;År1,0,Q247*(1-VLOOKUP($A248,[1]Hugst!$R$5:$W$9,MATCH(ROUNDUP((R$1)/10,0)*10,[1]Hugst!$R$4:$W$4,0))))</f>
        <v>0</v>
      </c>
      <c r="S248">
        <f ca="1">IF($C248-S$1&lt;År1,0,R247*(1-VLOOKUP($A248,[1]Hugst!$R$5:$W$9,MATCH(ROUNDUP((S$1)/10,0)*10,[1]Hugst!$R$4:$W$4,0))))</f>
        <v>0</v>
      </c>
      <c r="T248">
        <f ca="1">IF($C248-T$1&lt;År1,0,S247*(1-VLOOKUP($A248,[1]Hugst!$R$5:$W$9,MATCH(ROUNDUP((T$1)/10,0)*10,[1]Hugst!$R$4:$W$4,0))))</f>
        <v>0</v>
      </c>
      <c r="U248">
        <f ca="1">IF($C248-U$1&lt;År1,0,T247*(1-VLOOKUP($A248,[1]Hugst!$R$5:$W$9,MATCH(ROUNDUP((U$1)/10,0)*10,[1]Hugst!$R$4:$W$4,0))))</f>
        <v>0</v>
      </c>
      <c r="V248">
        <f ca="1">IF($C248-V$1&lt;År1,0,U247*(1-VLOOKUP($A248,[1]Hugst!$R$5:$W$9,MATCH(ROUNDUP((V$1)/10,0)*10,[1]Hugst!$R$4:$W$4,0))))</f>
        <v>0</v>
      </c>
      <c r="W248">
        <f ca="1">IF($C248-W$1&lt;År1,0,V247*(1-VLOOKUP($A248,[1]Hugst!$R$5:$W$9,MATCH(ROUNDUP((W$1)/10,0)*10,[1]Hugst!$R$4:$W$4,0))))</f>
        <v>0</v>
      </c>
      <c r="X248">
        <f ca="1">IF($C248-X$1&lt;År1,0,W247*(1-VLOOKUP($A248,[1]Hugst!$R$5:$W$9,MATCH(ROUNDUP((X$1)/10,0)*10,[1]Hugst!$R$4:$W$4,0))))</f>
        <v>0</v>
      </c>
      <c r="Y248">
        <f ca="1">IF($C248-Y$1&lt;År1,0,X247*(1-VLOOKUP($A248,[1]Hugst!$R$5:$W$9,MATCH(ROUNDUP((Y$1)/10,0)*10,[1]Hugst!$R$4:$W$4,0))))</f>
        <v>0</v>
      </c>
      <c r="Z248">
        <f ca="1">IF($C248-Z$1&lt;År1,0,Y247*(1-VLOOKUP($A248,[1]Hugst!$R$5:$W$9,MATCH(ROUNDUP((Z$1)/10,0)*10,[1]Hugst!$R$4:$W$4,0))))</f>
        <v>0</v>
      </c>
      <c r="AA248">
        <f ca="1">IF($C248-AA$1&lt;År1,0,Z247*(1-VLOOKUP($A248,[1]Hugst!$R$5:$W$9,MATCH(ROUNDUP((AA$1)/10,0)*10,[1]Hugst!$R$4:$W$4,0))))</f>
        <v>0</v>
      </c>
      <c r="AB248">
        <f ca="1">IF($C248-AB$1&lt;År1,0,AA247*(1-VLOOKUP($A248,[1]Hugst!$R$5:$W$9,MATCH(ROUNDUP((AB$1)/10,0)*10,[1]Hugst!$R$4:$W$4,0))))</f>
        <v>0</v>
      </c>
      <c r="AC248">
        <f ca="1">IF($C248-AC$1&lt;År1,0,AB247*(1-VLOOKUP($A248,[1]Hugst!$R$5:$W$9,MATCH(ROUNDUP((AC$1)/10,0)*10,[1]Hugst!$R$4:$W$4,0))))</f>
        <v>0</v>
      </c>
      <c r="AD248">
        <f ca="1">IF($C248-AD$1&lt;År1,0,AC247*(1-VLOOKUP($A248,[1]Hugst!$R$5:$W$9,MATCH(ROUNDUP((AD$1)/10,0)*10,[1]Hugst!$R$4:$W$4,0))))</f>
        <v>0</v>
      </c>
      <c r="AE248">
        <f ca="1">IF($C248-AE$1&lt;År1,0,AD247*(1-VLOOKUP($A248,[1]Hugst!$R$5:$W$9,MATCH(ROUNDUP((AE$1)/10,0)*10,[1]Hugst!$R$4:$W$4,0))))</f>
        <v>0</v>
      </c>
      <c r="AF248">
        <f ca="1">IF($C248-AF$1&lt;År1,0,AE247*(1-VLOOKUP($A248,[1]Hugst!$R$5:$W$9,MATCH(ROUNDUP((AF$1)/10,0)*10,[1]Hugst!$R$4:$W$4,0))))</f>
        <v>0</v>
      </c>
      <c r="AG248">
        <f ca="1">IF($C248-AG$1&lt;År1,0,AF247*(1-VLOOKUP($A248,[1]Hugst!$R$5:$W$9,MATCH(ROUNDUP((AG$1)/10,0)*10,[1]Hugst!$R$4:$W$4,0))))</f>
        <v>0</v>
      </c>
      <c r="AH248">
        <f ca="1">IF($C248-AH$1&lt;År1,0,AG247*(1-VLOOKUP($A248,[1]Hugst!$R$5:$W$9,MATCH(ROUNDUP((AH$1)/10,0)*10,[1]Hugst!$R$4:$W$4,0))))</f>
        <v>0</v>
      </c>
      <c r="AI248">
        <f ca="1">IF($C248-AI$1&lt;År1,0,AH247*(1-VLOOKUP($A248,[1]Hugst!$R$5:$W$9,MATCH(ROUNDUP((AI$1)/10,0)*10,[1]Hugst!$R$4:$W$4,0))))</f>
        <v>0</v>
      </c>
      <c r="AJ248">
        <f>IF($C248-AJ$1&lt;År1,0,AI247*(1-VLOOKUP($A248,[1]Hugst!$R$5:$W$9,MATCH(ROUNDUP((AJ$1)/10,0)*10,[1]Hugst!$R$4:$W$4,0))))</f>
        <v>0</v>
      </c>
    </row>
    <row r="249" spans="1:36" x14ac:dyDescent="0.25">
      <c r="A249" t="s">
        <v>179</v>
      </c>
      <c r="B249" t="s">
        <v>24</v>
      </c>
      <c r="C249">
        <v>2050</v>
      </c>
      <c r="D249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0</v>
      </c>
      <c r="E249">
        <f ca="1">IF(C249=2020,SUM(G249:AJ249),SUM(F248:AJ248)-SUM(G249:AJ249))</f>
        <v>0</v>
      </c>
      <c r="F24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>
        <f ca="1">IF($C249-G$1&lt;År1,0,F248*(1-VLOOKUP($A249,[1]Hugst!$R$5:$W$9,MATCH(ROUNDUP((G$1)/10,0)*10,[1]Hugst!$R$4:$W$4,0))))</f>
        <v>0</v>
      </c>
      <c r="H249">
        <f ca="1">IF($C249-H$1&lt;År1,0,G248*(1-VLOOKUP($A249,[1]Hugst!$R$5:$W$9,MATCH(ROUNDUP((H$1)/10,0)*10,[1]Hugst!$R$4:$W$4,0))))</f>
        <v>0</v>
      </c>
      <c r="I249">
        <f ca="1">IF($C249-I$1&lt;År1,0,H248*(1-VLOOKUP($A249,[1]Hugst!$R$5:$W$9,MATCH(ROUNDUP((I$1)/10,0)*10,[1]Hugst!$R$4:$W$4,0))))</f>
        <v>0</v>
      </c>
      <c r="J249">
        <f ca="1">IF($C249-J$1&lt;År1,0,I248*(1-VLOOKUP($A249,[1]Hugst!$R$5:$W$9,MATCH(ROUNDUP((J$1)/10,0)*10,[1]Hugst!$R$4:$W$4,0))))</f>
        <v>0</v>
      </c>
      <c r="K249">
        <f ca="1">IF($C249-K$1&lt;År1,0,J248*(1-VLOOKUP($A249,[1]Hugst!$R$5:$W$9,MATCH(ROUNDUP((K$1)/10,0)*10,[1]Hugst!$R$4:$W$4,0))))</f>
        <v>0</v>
      </c>
      <c r="L249">
        <f ca="1">IF($C249-L$1&lt;År1,0,K248*(1-VLOOKUP($A249,[1]Hugst!$R$5:$W$9,MATCH(ROUNDUP((L$1)/10,0)*10,[1]Hugst!$R$4:$W$4,0))))</f>
        <v>0</v>
      </c>
      <c r="M249">
        <f ca="1">IF($C249-M$1&lt;År1,0,L248*(1-VLOOKUP($A249,[1]Hugst!$R$5:$W$9,MATCH(ROUNDUP((M$1)/10,0)*10,[1]Hugst!$R$4:$W$4,0))))</f>
        <v>0</v>
      </c>
      <c r="N249">
        <f ca="1">IF($C249-N$1&lt;År1,0,M248*(1-VLOOKUP($A249,[1]Hugst!$R$5:$W$9,MATCH(ROUNDUP((N$1)/10,0)*10,[1]Hugst!$R$4:$W$4,0))))</f>
        <v>0</v>
      </c>
      <c r="O249">
        <f ca="1">IF($C249-O$1&lt;År1,0,N248*(1-VLOOKUP($A249,[1]Hugst!$R$5:$W$9,MATCH(ROUNDUP((O$1)/10,0)*10,[1]Hugst!$R$4:$W$4,0))))</f>
        <v>0</v>
      </c>
      <c r="P249">
        <f ca="1">IF($C249-P$1&lt;År1,0,O248*(1-VLOOKUP($A249,[1]Hugst!$R$5:$W$9,MATCH(ROUNDUP((P$1)/10,0)*10,[1]Hugst!$R$4:$W$4,0))))</f>
        <v>0</v>
      </c>
      <c r="Q249">
        <f ca="1">IF($C249-Q$1&lt;År1,0,P248*(1-VLOOKUP($A249,[1]Hugst!$R$5:$W$9,MATCH(ROUNDUP((Q$1)/10,0)*10,[1]Hugst!$R$4:$W$4,0))))</f>
        <v>0</v>
      </c>
      <c r="R249">
        <f ca="1">IF($C249-R$1&lt;År1,0,Q248*(1-VLOOKUP($A249,[1]Hugst!$R$5:$W$9,MATCH(ROUNDUP((R$1)/10,0)*10,[1]Hugst!$R$4:$W$4,0))))</f>
        <v>0</v>
      </c>
      <c r="S249">
        <f ca="1">IF($C249-S$1&lt;År1,0,R248*(1-VLOOKUP($A249,[1]Hugst!$R$5:$W$9,MATCH(ROUNDUP((S$1)/10,0)*10,[1]Hugst!$R$4:$W$4,0))))</f>
        <v>0</v>
      </c>
      <c r="T249">
        <f ca="1">IF($C249-T$1&lt;År1,0,S248*(1-VLOOKUP($A249,[1]Hugst!$R$5:$W$9,MATCH(ROUNDUP((T$1)/10,0)*10,[1]Hugst!$R$4:$W$4,0))))</f>
        <v>0</v>
      </c>
      <c r="U249">
        <f ca="1">IF($C249-U$1&lt;År1,0,T248*(1-VLOOKUP($A249,[1]Hugst!$R$5:$W$9,MATCH(ROUNDUP((U$1)/10,0)*10,[1]Hugst!$R$4:$W$4,0))))</f>
        <v>0</v>
      </c>
      <c r="V249">
        <f ca="1">IF($C249-V$1&lt;År1,0,U248*(1-VLOOKUP($A249,[1]Hugst!$R$5:$W$9,MATCH(ROUNDUP((V$1)/10,0)*10,[1]Hugst!$R$4:$W$4,0))))</f>
        <v>0</v>
      </c>
      <c r="W249">
        <f ca="1">IF($C249-W$1&lt;År1,0,V248*(1-VLOOKUP($A249,[1]Hugst!$R$5:$W$9,MATCH(ROUNDUP((W$1)/10,0)*10,[1]Hugst!$R$4:$W$4,0))))</f>
        <v>0</v>
      </c>
      <c r="X249">
        <f ca="1">IF($C249-X$1&lt;År1,0,W248*(1-VLOOKUP($A249,[1]Hugst!$R$5:$W$9,MATCH(ROUNDUP((X$1)/10,0)*10,[1]Hugst!$R$4:$W$4,0))))</f>
        <v>0</v>
      </c>
      <c r="Y249">
        <f ca="1">IF($C249-Y$1&lt;År1,0,X248*(1-VLOOKUP($A249,[1]Hugst!$R$5:$W$9,MATCH(ROUNDUP((Y$1)/10,0)*10,[1]Hugst!$R$4:$W$4,0))))</f>
        <v>0</v>
      </c>
      <c r="Z249">
        <f ca="1">IF($C249-Z$1&lt;År1,0,Y248*(1-VLOOKUP($A249,[1]Hugst!$R$5:$W$9,MATCH(ROUNDUP((Z$1)/10,0)*10,[1]Hugst!$R$4:$W$4,0))))</f>
        <v>0</v>
      </c>
      <c r="AA249">
        <f ca="1">IF($C249-AA$1&lt;År1,0,Z248*(1-VLOOKUP($A249,[1]Hugst!$R$5:$W$9,MATCH(ROUNDUP((AA$1)/10,0)*10,[1]Hugst!$R$4:$W$4,0))))</f>
        <v>0</v>
      </c>
      <c r="AB249">
        <f ca="1">IF($C249-AB$1&lt;År1,0,AA248*(1-VLOOKUP($A249,[1]Hugst!$R$5:$W$9,MATCH(ROUNDUP((AB$1)/10,0)*10,[1]Hugst!$R$4:$W$4,0))))</f>
        <v>0</v>
      </c>
      <c r="AC249">
        <f ca="1">IF($C249-AC$1&lt;År1,0,AB248*(1-VLOOKUP($A249,[1]Hugst!$R$5:$W$9,MATCH(ROUNDUP((AC$1)/10,0)*10,[1]Hugst!$R$4:$W$4,0))))</f>
        <v>0</v>
      </c>
      <c r="AD249">
        <f ca="1">IF($C249-AD$1&lt;År1,0,AC248*(1-VLOOKUP($A249,[1]Hugst!$R$5:$W$9,MATCH(ROUNDUP((AD$1)/10,0)*10,[1]Hugst!$R$4:$W$4,0))))</f>
        <v>0</v>
      </c>
      <c r="AE249">
        <f ca="1">IF($C249-AE$1&lt;År1,0,AD248*(1-VLOOKUP($A249,[1]Hugst!$R$5:$W$9,MATCH(ROUNDUP((AE$1)/10,0)*10,[1]Hugst!$R$4:$W$4,0))))</f>
        <v>0</v>
      </c>
      <c r="AF249">
        <f ca="1">IF($C249-AF$1&lt;År1,0,AE248*(1-VLOOKUP($A249,[1]Hugst!$R$5:$W$9,MATCH(ROUNDUP((AF$1)/10,0)*10,[1]Hugst!$R$4:$W$4,0))))</f>
        <v>0</v>
      </c>
      <c r="AG249">
        <f ca="1">IF($C249-AG$1&lt;År1,0,AF248*(1-VLOOKUP($A249,[1]Hugst!$R$5:$W$9,MATCH(ROUNDUP((AG$1)/10,0)*10,[1]Hugst!$R$4:$W$4,0))))</f>
        <v>0</v>
      </c>
      <c r="AH249">
        <f ca="1">IF($C249-AH$1&lt;År1,0,AG248*(1-VLOOKUP($A249,[1]Hugst!$R$5:$W$9,MATCH(ROUNDUP((AH$1)/10,0)*10,[1]Hugst!$R$4:$W$4,0))))</f>
        <v>0</v>
      </c>
      <c r="AI249">
        <f ca="1">IF($C249-AI$1&lt;År1,0,AH248*(1-VLOOKUP($A249,[1]Hugst!$R$5:$W$9,MATCH(ROUNDUP((AI$1)/10,0)*10,[1]Hugst!$R$4:$W$4,0))))</f>
        <v>0</v>
      </c>
      <c r="AJ249">
        <f ca="1">IF($C249-AJ$1&lt;År1,0,AI248*(1-VLOOKUP($A249,[1]Hugst!$R$5:$W$9,MATCH(ROUNDUP((AJ$1)/10,0)*10,[1]Hugst!$R$4:$W$4,0))))</f>
        <v>0</v>
      </c>
    </row>
    <row r="250" spans="1:36" x14ac:dyDescent="0.25">
      <c r="A250" t="s">
        <v>180</v>
      </c>
      <c r="B250" t="s">
        <v>23</v>
      </c>
      <c r="C250">
        <v>2020</v>
      </c>
      <c r="D250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1305.1935648691956</v>
      </c>
      <c r="E250">
        <f>IF(C250=2020,SUM(G250:AJ250),SUM(F249:AJ249)-SUM(G250:AJ250))</f>
        <v>0</v>
      </c>
      <c r="F250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7224.3854840611129</v>
      </c>
      <c r="G250">
        <f>IF($C250-G$1&lt;År1,0,F249*(1-VLOOKUP($A250,[1]Hugst!$R$5:$W$9,MATCH(ROUNDUP((G$1)/10,0)*10,[1]Hugst!$R$4:$W$4,0))))</f>
        <v>0</v>
      </c>
      <c r="H250">
        <f>IF($C250-H$1&lt;År1,0,G249*(1-VLOOKUP($A250,[1]Hugst!$R$5:$W$9,MATCH(ROUNDUP((H$1)/10,0)*10,[1]Hugst!$R$4:$W$4,0))))</f>
        <v>0</v>
      </c>
      <c r="I250">
        <f>IF($C250-I$1&lt;År1,0,H249*(1-VLOOKUP($A250,[1]Hugst!$R$5:$W$9,MATCH(ROUNDUP((I$1)/10,0)*10,[1]Hugst!$R$4:$W$4,0))))</f>
        <v>0</v>
      </c>
      <c r="J250">
        <f>IF($C250-J$1&lt;År1,0,I249*(1-VLOOKUP($A250,[1]Hugst!$R$5:$W$9,MATCH(ROUNDUP((J$1)/10,0)*10,[1]Hugst!$R$4:$W$4,0))))</f>
        <v>0</v>
      </c>
      <c r="K250">
        <f>IF($C250-K$1&lt;År1,0,J249*(1-VLOOKUP($A250,[1]Hugst!$R$5:$W$9,MATCH(ROUNDUP((K$1)/10,0)*10,[1]Hugst!$R$4:$W$4,0))))</f>
        <v>0</v>
      </c>
      <c r="L250">
        <f>IF($C250-L$1&lt;År1,0,K249*(1-VLOOKUP($A250,[1]Hugst!$R$5:$W$9,MATCH(ROUNDUP((L$1)/10,0)*10,[1]Hugst!$R$4:$W$4,0))))</f>
        <v>0</v>
      </c>
      <c r="M250">
        <f>IF($C250-M$1&lt;År1,0,L249*(1-VLOOKUP($A250,[1]Hugst!$R$5:$W$9,MATCH(ROUNDUP((M$1)/10,0)*10,[1]Hugst!$R$4:$W$4,0))))</f>
        <v>0</v>
      </c>
      <c r="N250">
        <f>IF($C250-N$1&lt;År1,0,M249*(1-VLOOKUP($A250,[1]Hugst!$R$5:$W$9,MATCH(ROUNDUP((N$1)/10,0)*10,[1]Hugst!$R$4:$W$4,0))))</f>
        <v>0</v>
      </c>
      <c r="O250">
        <f>IF($C250-O$1&lt;År1,0,N249*(1-VLOOKUP($A250,[1]Hugst!$R$5:$W$9,MATCH(ROUNDUP((O$1)/10,0)*10,[1]Hugst!$R$4:$W$4,0))))</f>
        <v>0</v>
      </c>
      <c r="P250">
        <f>IF($C250-P$1&lt;År1,0,O249*(1-VLOOKUP($A250,[1]Hugst!$R$5:$W$9,MATCH(ROUNDUP((P$1)/10,0)*10,[1]Hugst!$R$4:$W$4,0))))</f>
        <v>0</v>
      </c>
      <c r="Q250">
        <f>IF($C250-Q$1&lt;År1,0,P249*(1-VLOOKUP($A250,[1]Hugst!$R$5:$W$9,MATCH(ROUNDUP((Q$1)/10,0)*10,[1]Hugst!$R$4:$W$4,0))))</f>
        <v>0</v>
      </c>
      <c r="R250">
        <f>IF($C250-R$1&lt;År1,0,Q249*(1-VLOOKUP($A250,[1]Hugst!$R$5:$W$9,MATCH(ROUNDUP((R$1)/10,0)*10,[1]Hugst!$R$4:$W$4,0))))</f>
        <v>0</v>
      </c>
      <c r="S250">
        <f>IF($C250-S$1&lt;År1,0,R249*(1-VLOOKUP($A250,[1]Hugst!$R$5:$W$9,MATCH(ROUNDUP((S$1)/10,0)*10,[1]Hugst!$R$4:$W$4,0))))</f>
        <v>0</v>
      </c>
      <c r="T250">
        <f>IF($C250-T$1&lt;År1,0,S249*(1-VLOOKUP($A250,[1]Hugst!$R$5:$W$9,MATCH(ROUNDUP((T$1)/10,0)*10,[1]Hugst!$R$4:$W$4,0))))</f>
        <v>0</v>
      </c>
      <c r="U250">
        <f>IF($C250-U$1&lt;År1,0,T249*(1-VLOOKUP($A250,[1]Hugst!$R$5:$W$9,MATCH(ROUNDUP((U$1)/10,0)*10,[1]Hugst!$R$4:$W$4,0))))</f>
        <v>0</v>
      </c>
      <c r="V250">
        <f>IF($C250-V$1&lt;År1,0,U249*(1-VLOOKUP($A250,[1]Hugst!$R$5:$W$9,MATCH(ROUNDUP((V$1)/10,0)*10,[1]Hugst!$R$4:$W$4,0))))</f>
        <v>0</v>
      </c>
      <c r="W250">
        <f>IF($C250-W$1&lt;År1,0,V249*(1-VLOOKUP($A250,[1]Hugst!$R$5:$W$9,MATCH(ROUNDUP((W$1)/10,0)*10,[1]Hugst!$R$4:$W$4,0))))</f>
        <v>0</v>
      </c>
      <c r="X250">
        <f>IF($C250-X$1&lt;År1,0,W249*(1-VLOOKUP($A250,[1]Hugst!$R$5:$W$9,MATCH(ROUNDUP((X$1)/10,0)*10,[1]Hugst!$R$4:$W$4,0))))</f>
        <v>0</v>
      </c>
      <c r="Y250">
        <f>IF($C250-Y$1&lt;År1,0,X249*(1-VLOOKUP($A250,[1]Hugst!$R$5:$W$9,MATCH(ROUNDUP((Y$1)/10,0)*10,[1]Hugst!$R$4:$W$4,0))))</f>
        <v>0</v>
      </c>
      <c r="Z250">
        <f>IF($C250-Z$1&lt;År1,0,Y249*(1-VLOOKUP($A250,[1]Hugst!$R$5:$W$9,MATCH(ROUNDUP((Z$1)/10,0)*10,[1]Hugst!$R$4:$W$4,0))))</f>
        <v>0</v>
      </c>
      <c r="AA250">
        <f>IF($C250-AA$1&lt;År1,0,Z249*(1-VLOOKUP($A250,[1]Hugst!$R$5:$W$9,MATCH(ROUNDUP((AA$1)/10,0)*10,[1]Hugst!$R$4:$W$4,0))))</f>
        <v>0</v>
      </c>
      <c r="AB250">
        <f>IF($C250-AB$1&lt;År1,0,AA249*(1-VLOOKUP($A250,[1]Hugst!$R$5:$W$9,MATCH(ROUNDUP((AB$1)/10,0)*10,[1]Hugst!$R$4:$W$4,0))))</f>
        <v>0</v>
      </c>
      <c r="AC250">
        <f>IF($C250-AC$1&lt;År1,0,AB249*(1-VLOOKUP($A250,[1]Hugst!$R$5:$W$9,MATCH(ROUNDUP((AC$1)/10,0)*10,[1]Hugst!$R$4:$W$4,0))))</f>
        <v>0</v>
      </c>
      <c r="AD250">
        <f>IF($C250-AD$1&lt;År1,0,AC249*(1-VLOOKUP($A250,[1]Hugst!$R$5:$W$9,MATCH(ROUNDUP((AD$1)/10,0)*10,[1]Hugst!$R$4:$W$4,0))))</f>
        <v>0</v>
      </c>
      <c r="AE250">
        <f>IF($C250-AE$1&lt;År1,0,AD249*(1-VLOOKUP($A250,[1]Hugst!$R$5:$W$9,MATCH(ROUNDUP((AE$1)/10,0)*10,[1]Hugst!$R$4:$W$4,0))))</f>
        <v>0</v>
      </c>
      <c r="AF250">
        <f>IF($C250-AF$1&lt;År1,0,AE249*(1-VLOOKUP($A250,[1]Hugst!$R$5:$W$9,MATCH(ROUNDUP((AF$1)/10,0)*10,[1]Hugst!$R$4:$W$4,0))))</f>
        <v>0</v>
      </c>
      <c r="AG250">
        <f>IF($C250-AG$1&lt;År1,0,AF249*(1-VLOOKUP($A250,[1]Hugst!$R$5:$W$9,MATCH(ROUNDUP((AG$1)/10,0)*10,[1]Hugst!$R$4:$W$4,0))))</f>
        <v>0</v>
      </c>
      <c r="AH250">
        <f>IF($C250-AH$1&lt;År1,0,AG249*(1-VLOOKUP($A250,[1]Hugst!$R$5:$W$9,MATCH(ROUNDUP((AH$1)/10,0)*10,[1]Hugst!$R$4:$W$4,0))))</f>
        <v>0</v>
      </c>
      <c r="AI250">
        <f>IF($C250-AI$1&lt;År1,0,AH249*(1-VLOOKUP($A250,[1]Hugst!$R$5:$W$9,MATCH(ROUNDUP((AI$1)/10,0)*10,[1]Hugst!$R$4:$W$4,0))))</f>
        <v>0</v>
      </c>
      <c r="AJ250">
        <f>IF($C250-AJ$1&lt;År1,0,AI249*(1-VLOOKUP($A250,[1]Hugst!$R$5:$W$9,MATCH(ROUNDUP((AJ$1)/10,0)*10,[1]Hugst!$R$4:$W$4,0))))</f>
        <v>0</v>
      </c>
    </row>
    <row r="251" spans="1:36" x14ac:dyDescent="0.25">
      <c r="A251" t="s">
        <v>180</v>
      </c>
      <c r="B251" t="s">
        <v>23</v>
      </c>
      <c r="C251">
        <v>2021</v>
      </c>
      <c r="D251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1298.6675970448182</v>
      </c>
      <c r="E251">
        <f t="shared" ref="E251:E280" ca="1" si="6">IF(C251=2020,SUM(G251:AJ251),SUM(F250:AJ250)-SUM(G251:AJ251))</f>
        <v>0</v>
      </c>
      <c r="F251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7217.8595162367346</v>
      </c>
      <c r="G251">
        <f ca="1">IF($C251-G$1&lt;År1,0,F250*(1-VLOOKUP($A251,[1]Hugst!$R$5:$W$9,MATCH(ROUNDUP((G$1)/10,0)*10,[1]Hugst!$R$4:$W$4,0))))</f>
        <v>7224.3854840611129</v>
      </c>
      <c r="H251">
        <f>IF($C251-H$1&lt;År1,0,G250*(1-VLOOKUP($A251,[1]Hugst!$R$5:$W$9,MATCH(ROUNDUP((H$1)/10,0)*10,[1]Hugst!$R$4:$W$4,0))))</f>
        <v>0</v>
      </c>
      <c r="I251">
        <f>IF($C251-I$1&lt;År1,0,H250*(1-VLOOKUP($A251,[1]Hugst!$R$5:$W$9,MATCH(ROUNDUP((I$1)/10,0)*10,[1]Hugst!$R$4:$W$4,0))))</f>
        <v>0</v>
      </c>
      <c r="J251">
        <f>IF($C251-J$1&lt;År1,0,I250*(1-VLOOKUP($A251,[1]Hugst!$R$5:$W$9,MATCH(ROUNDUP((J$1)/10,0)*10,[1]Hugst!$R$4:$W$4,0))))</f>
        <v>0</v>
      </c>
      <c r="K251">
        <f>IF($C251-K$1&lt;År1,0,J250*(1-VLOOKUP($A251,[1]Hugst!$R$5:$W$9,MATCH(ROUNDUP((K$1)/10,0)*10,[1]Hugst!$R$4:$W$4,0))))</f>
        <v>0</v>
      </c>
      <c r="L251">
        <f>IF($C251-L$1&lt;År1,0,K250*(1-VLOOKUP($A251,[1]Hugst!$R$5:$W$9,MATCH(ROUNDUP((L$1)/10,0)*10,[1]Hugst!$R$4:$W$4,0))))</f>
        <v>0</v>
      </c>
      <c r="M251">
        <f>IF($C251-M$1&lt;År1,0,L250*(1-VLOOKUP($A251,[1]Hugst!$R$5:$W$9,MATCH(ROUNDUP((M$1)/10,0)*10,[1]Hugst!$R$4:$W$4,0))))</f>
        <v>0</v>
      </c>
      <c r="N251">
        <f>IF($C251-N$1&lt;År1,0,M250*(1-VLOOKUP($A251,[1]Hugst!$R$5:$W$9,MATCH(ROUNDUP((N$1)/10,0)*10,[1]Hugst!$R$4:$W$4,0))))</f>
        <v>0</v>
      </c>
      <c r="O251">
        <f>IF($C251-O$1&lt;År1,0,N250*(1-VLOOKUP($A251,[1]Hugst!$R$5:$W$9,MATCH(ROUNDUP((O$1)/10,0)*10,[1]Hugst!$R$4:$W$4,0))))</f>
        <v>0</v>
      </c>
      <c r="P251">
        <f>IF($C251-P$1&lt;År1,0,O250*(1-VLOOKUP($A251,[1]Hugst!$R$5:$W$9,MATCH(ROUNDUP((P$1)/10,0)*10,[1]Hugst!$R$4:$W$4,0))))</f>
        <v>0</v>
      </c>
      <c r="Q251">
        <f>IF($C251-Q$1&lt;År1,0,P250*(1-VLOOKUP($A251,[1]Hugst!$R$5:$W$9,MATCH(ROUNDUP((Q$1)/10,0)*10,[1]Hugst!$R$4:$W$4,0))))</f>
        <v>0</v>
      </c>
      <c r="R251">
        <f>IF($C251-R$1&lt;År1,0,Q250*(1-VLOOKUP($A251,[1]Hugst!$R$5:$W$9,MATCH(ROUNDUP((R$1)/10,0)*10,[1]Hugst!$R$4:$W$4,0))))</f>
        <v>0</v>
      </c>
      <c r="S251">
        <f>IF($C251-S$1&lt;År1,0,R250*(1-VLOOKUP($A251,[1]Hugst!$R$5:$W$9,MATCH(ROUNDUP((S$1)/10,0)*10,[1]Hugst!$R$4:$W$4,0))))</f>
        <v>0</v>
      </c>
      <c r="T251">
        <f>IF($C251-T$1&lt;År1,0,S250*(1-VLOOKUP($A251,[1]Hugst!$R$5:$W$9,MATCH(ROUNDUP((T$1)/10,0)*10,[1]Hugst!$R$4:$W$4,0))))</f>
        <v>0</v>
      </c>
      <c r="U251">
        <f>IF($C251-U$1&lt;År1,0,T250*(1-VLOOKUP($A251,[1]Hugst!$R$5:$W$9,MATCH(ROUNDUP((U$1)/10,0)*10,[1]Hugst!$R$4:$W$4,0))))</f>
        <v>0</v>
      </c>
      <c r="V251">
        <f>IF($C251-V$1&lt;År1,0,U250*(1-VLOOKUP($A251,[1]Hugst!$R$5:$W$9,MATCH(ROUNDUP((V$1)/10,0)*10,[1]Hugst!$R$4:$W$4,0))))</f>
        <v>0</v>
      </c>
      <c r="W251">
        <f>IF($C251-W$1&lt;År1,0,V250*(1-VLOOKUP($A251,[1]Hugst!$R$5:$W$9,MATCH(ROUNDUP((W$1)/10,0)*10,[1]Hugst!$R$4:$W$4,0))))</f>
        <v>0</v>
      </c>
      <c r="X251">
        <f>IF($C251-X$1&lt;År1,0,W250*(1-VLOOKUP($A251,[1]Hugst!$R$5:$W$9,MATCH(ROUNDUP((X$1)/10,0)*10,[1]Hugst!$R$4:$W$4,0))))</f>
        <v>0</v>
      </c>
      <c r="Y251">
        <f>IF($C251-Y$1&lt;År1,0,X250*(1-VLOOKUP($A251,[1]Hugst!$R$5:$W$9,MATCH(ROUNDUP((Y$1)/10,0)*10,[1]Hugst!$R$4:$W$4,0))))</f>
        <v>0</v>
      </c>
      <c r="Z251">
        <f>IF($C251-Z$1&lt;År1,0,Y250*(1-VLOOKUP($A251,[1]Hugst!$R$5:$W$9,MATCH(ROUNDUP((Z$1)/10,0)*10,[1]Hugst!$R$4:$W$4,0))))</f>
        <v>0</v>
      </c>
      <c r="AA251">
        <f>IF($C251-AA$1&lt;År1,0,Z250*(1-VLOOKUP($A251,[1]Hugst!$R$5:$W$9,MATCH(ROUNDUP((AA$1)/10,0)*10,[1]Hugst!$R$4:$W$4,0))))</f>
        <v>0</v>
      </c>
      <c r="AB251">
        <f>IF($C251-AB$1&lt;År1,0,AA250*(1-VLOOKUP($A251,[1]Hugst!$R$5:$W$9,MATCH(ROUNDUP((AB$1)/10,0)*10,[1]Hugst!$R$4:$W$4,0))))</f>
        <v>0</v>
      </c>
      <c r="AC251">
        <f>IF($C251-AC$1&lt;År1,0,AB250*(1-VLOOKUP($A251,[1]Hugst!$R$5:$W$9,MATCH(ROUNDUP((AC$1)/10,0)*10,[1]Hugst!$R$4:$W$4,0))))</f>
        <v>0</v>
      </c>
      <c r="AD251">
        <f>IF($C251-AD$1&lt;År1,0,AC250*(1-VLOOKUP($A251,[1]Hugst!$R$5:$W$9,MATCH(ROUNDUP((AD$1)/10,0)*10,[1]Hugst!$R$4:$W$4,0))))</f>
        <v>0</v>
      </c>
      <c r="AE251">
        <f>IF($C251-AE$1&lt;År1,0,AD250*(1-VLOOKUP($A251,[1]Hugst!$R$5:$W$9,MATCH(ROUNDUP((AE$1)/10,0)*10,[1]Hugst!$R$4:$W$4,0))))</f>
        <v>0</v>
      </c>
      <c r="AF251">
        <f>IF($C251-AF$1&lt;År1,0,AE250*(1-VLOOKUP($A251,[1]Hugst!$R$5:$W$9,MATCH(ROUNDUP((AF$1)/10,0)*10,[1]Hugst!$R$4:$W$4,0))))</f>
        <v>0</v>
      </c>
      <c r="AG251">
        <f>IF($C251-AG$1&lt;År1,0,AF250*(1-VLOOKUP($A251,[1]Hugst!$R$5:$W$9,MATCH(ROUNDUP((AG$1)/10,0)*10,[1]Hugst!$R$4:$W$4,0))))</f>
        <v>0</v>
      </c>
      <c r="AH251">
        <f>IF($C251-AH$1&lt;År1,0,AG250*(1-VLOOKUP($A251,[1]Hugst!$R$5:$W$9,MATCH(ROUNDUP((AH$1)/10,0)*10,[1]Hugst!$R$4:$W$4,0))))</f>
        <v>0</v>
      </c>
      <c r="AI251">
        <f>IF($C251-AI$1&lt;År1,0,AH250*(1-VLOOKUP($A251,[1]Hugst!$R$5:$W$9,MATCH(ROUNDUP((AI$1)/10,0)*10,[1]Hugst!$R$4:$W$4,0))))</f>
        <v>0</v>
      </c>
      <c r="AJ251">
        <f>IF($C251-AJ$1&lt;År1,0,AI250*(1-VLOOKUP($A251,[1]Hugst!$R$5:$W$9,MATCH(ROUNDUP((AJ$1)/10,0)*10,[1]Hugst!$R$4:$W$4,0))))</f>
        <v>0</v>
      </c>
    </row>
    <row r="252" spans="1:36" x14ac:dyDescent="0.25">
      <c r="A252" t="s">
        <v>180</v>
      </c>
      <c r="B252" t="s">
        <v>23</v>
      </c>
      <c r="C252">
        <v>2022</v>
      </c>
      <c r="D252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1292.1742590596314</v>
      </c>
      <c r="E252">
        <f t="shared" ca="1" si="6"/>
        <v>0</v>
      </c>
      <c r="F252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7211.3661782515483</v>
      </c>
      <c r="G252">
        <f ca="1">IF($C252-G$1&lt;År1,0,F251*(1-VLOOKUP($A252,[1]Hugst!$R$5:$W$9,MATCH(ROUNDUP((G$1)/10,0)*10,[1]Hugst!$R$4:$W$4,0))))</f>
        <v>7217.8595162367346</v>
      </c>
      <c r="H252">
        <f ca="1">IF($C252-H$1&lt;År1,0,G251*(1-VLOOKUP($A252,[1]Hugst!$R$5:$W$9,MATCH(ROUNDUP((H$1)/10,0)*10,[1]Hugst!$R$4:$W$4,0))))</f>
        <v>7224.3854840611129</v>
      </c>
      <c r="I252">
        <f>IF($C252-I$1&lt;År1,0,H251*(1-VLOOKUP($A252,[1]Hugst!$R$5:$W$9,MATCH(ROUNDUP((I$1)/10,0)*10,[1]Hugst!$R$4:$W$4,0))))</f>
        <v>0</v>
      </c>
      <c r="J252">
        <f>IF($C252-J$1&lt;År1,0,I251*(1-VLOOKUP($A252,[1]Hugst!$R$5:$W$9,MATCH(ROUNDUP((J$1)/10,0)*10,[1]Hugst!$R$4:$W$4,0))))</f>
        <v>0</v>
      </c>
      <c r="K252">
        <f>IF($C252-K$1&lt;År1,0,J251*(1-VLOOKUP($A252,[1]Hugst!$R$5:$W$9,MATCH(ROUNDUP((K$1)/10,0)*10,[1]Hugst!$R$4:$W$4,0))))</f>
        <v>0</v>
      </c>
      <c r="L252">
        <f>IF($C252-L$1&lt;År1,0,K251*(1-VLOOKUP($A252,[1]Hugst!$R$5:$W$9,MATCH(ROUNDUP((L$1)/10,0)*10,[1]Hugst!$R$4:$W$4,0))))</f>
        <v>0</v>
      </c>
      <c r="M252">
        <f>IF($C252-M$1&lt;År1,0,L251*(1-VLOOKUP($A252,[1]Hugst!$R$5:$W$9,MATCH(ROUNDUP((M$1)/10,0)*10,[1]Hugst!$R$4:$W$4,0))))</f>
        <v>0</v>
      </c>
      <c r="N252">
        <f>IF($C252-N$1&lt;År1,0,M251*(1-VLOOKUP($A252,[1]Hugst!$R$5:$W$9,MATCH(ROUNDUP((N$1)/10,0)*10,[1]Hugst!$R$4:$W$4,0))))</f>
        <v>0</v>
      </c>
      <c r="O252">
        <f>IF($C252-O$1&lt;År1,0,N251*(1-VLOOKUP($A252,[1]Hugst!$R$5:$W$9,MATCH(ROUNDUP((O$1)/10,0)*10,[1]Hugst!$R$4:$W$4,0))))</f>
        <v>0</v>
      </c>
      <c r="P252">
        <f>IF($C252-P$1&lt;År1,0,O251*(1-VLOOKUP($A252,[1]Hugst!$R$5:$W$9,MATCH(ROUNDUP((P$1)/10,0)*10,[1]Hugst!$R$4:$W$4,0))))</f>
        <v>0</v>
      </c>
      <c r="Q252">
        <f>IF($C252-Q$1&lt;År1,0,P251*(1-VLOOKUP($A252,[1]Hugst!$R$5:$W$9,MATCH(ROUNDUP((Q$1)/10,0)*10,[1]Hugst!$R$4:$W$4,0))))</f>
        <v>0</v>
      </c>
      <c r="R252">
        <f>IF($C252-R$1&lt;År1,0,Q251*(1-VLOOKUP($A252,[1]Hugst!$R$5:$W$9,MATCH(ROUNDUP((R$1)/10,0)*10,[1]Hugst!$R$4:$W$4,0))))</f>
        <v>0</v>
      </c>
      <c r="S252">
        <f>IF($C252-S$1&lt;År1,0,R251*(1-VLOOKUP($A252,[1]Hugst!$R$5:$W$9,MATCH(ROUNDUP((S$1)/10,0)*10,[1]Hugst!$R$4:$W$4,0))))</f>
        <v>0</v>
      </c>
      <c r="T252">
        <f>IF($C252-T$1&lt;År1,0,S251*(1-VLOOKUP($A252,[1]Hugst!$R$5:$W$9,MATCH(ROUNDUP((T$1)/10,0)*10,[1]Hugst!$R$4:$W$4,0))))</f>
        <v>0</v>
      </c>
      <c r="U252">
        <f>IF($C252-U$1&lt;År1,0,T251*(1-VLOOKUP($A252,[1]Hugst!$R$5:$W$9,MATCH(ROUNDUP((U$1)/10,0)*10,[1]Hugst!$R$4:$W$4,0))))</f>
        <v>0</v>
      </c>
      <c r="V252">
        <f>IF($C252-V$1&lt;År1,0,U251*(1-VLOOKUP($A252,[1]Hugst!$R$5:$W$9,MATCH(ROUNDUP((V$1)/10,0)*10,[1]Hugst!$R$4:$W$4,0))))</f>
        <v>0</v>
      </c>
      <c r="W252">
        <f>IF($C252-W$1&lt;År1,0,V251*(1-VLOOKUP($A252,[1]Hugst!$R$5:$W$9,MATCH(ROUNDUP((W$1)/10,0)*10,[1]Hugst!$R$4:$W$4,0))))</f>
        <v>0</v>
      </c>
      <c r="X252">
        <f>IF($C252-X$1&lt;År1,0,W251*(1-VLOOKUP($A252,[1]Hugst!$R$5:$W$9,MATCH(ROUNDUP((X$1)/10,0)*10,[1]Hugst!$R$4:$W$4,0))))</f>
        <v>0</v>
      </c>
      <c r="Y252">
        <f>IF($C252-Y$1&lt;År1,0,X251*(1-VLOOKUP($A252,[1]Hugst!$R$5:$W$9,MATCH(ROUNDUP((Y$1)/10,0)*10,[1]Hugst!$R$4:$W$4,0))))</f>
        <v>0</v>
      </c>
      <c r="Z252">
        <f>IF($C252-Z$1&lt;År1,0,Y251*(1-VLOOKUP($A252,[1]Hugst!$R$5:$W$9,MATCH(ROUNDUP((Z$1)/10,0)*10,[1]Hugst!$R$4:$W$4,0))))</f>
        <v>0</v>
      </c>
      <c r="AA252">
        <f>IF($C252-AA$1&lt;År1,0,Z251*(1-VLOOKUP($A252,[1]Hugst!$R$5:$W$9,MATCH(ROUNDUP((AA$1)/10,0)*10,[1]Hugst!$R$4:$W$4,0))))</f>
        <v>0</v>
      </c>
      <c r="AB252">
        <f>IF($C252-AB$1&lt;År1,0,AA251*(1-VLOOKUP($A252,[1]Hugst!$R$5:$W$9,MATCH(ROUNDUP((AB$1)/10,0)*10,[1]Hugst!$R$4:$W$4,0))))</f>
        <v>0</v>
      </c>
      <c r="AC252">
        <f>IF($C252-AC$1&lt;År1,0,AB251*(1-VLOOKUP($A252,[1]Hugst!$R$5:$W$9,MATCH(ROUNDUP((AC$1)/10,0)*10,[1]Hugst!$R$4:$W$4,0))))</f>
        <v>0</v>
      </c>
      <c r="AD252">
        <f>IF($C252-AD$1&lt;År1,0,AC251*(1-VLOOKUP($A252,[1]Hugst!$R$5:$W$9,MATCH(ROUNDUP((AD$1)/10,0)*10,[1]Hugst!$R$4:$W$4,0))))</f>
        <v>0</v>
      </c>
      <c r="AE252">
        <f>IF($C252-AE$1&lt;År1,0,AD251*(1-VLOOKUP($A252,[1]Hugst!$R$5:$W$9,MATCH(ROUNDUP((AE$1)/10,0)*10,[1]Hugst!$R$4:$W$4,0))))</f>
        <v>0</v>
      </c>
      <c r="AF252">
        <f>IF($C252-AF$1&lt;År1,0,AE251*(1-VLOOKUP($A252,[1]Hugst!$R$5:$W$9,MATCH(ROUNDUP((AF$1)/10,0)*10,[1]Hugst!$R$4:$W$4,0))))</f>
        <v>0</v>
      </c>
      <c r="AG252">
        <f>IF($C252-AG$1&lt;År1,0,AF251*(1-VLOOKUP($A252,[1]Hugst!$R$5:$W$9,MATCH(ROUNDUP((AG$1)/10,0)*10,[1]Hugst!$R$4:$W$4,0))))</f>
        <v>0</v>
      </c>
      <c r="AH252">
        <f>IF($C252-AH$1&lt;År1,0,AG251*(1-VLOOKUP($A252,[1]Hugst!$R$5:$W$9,MATCH(ROUNDUP((AH$1)/10,0)*10,[1]Hugst!$R$4:$W$4,0))))</f>
        <v>0</v>
      </c>
      <c r="AI252">
        <f>IF($C252-AI$1&lt;År1,0,AH251*(1-VLOOKUP($A252,[1]Hugst!$R$5:$W$9,MATCH(ROUNDUP((AI$1)/10,0)*10,[1]Hugst!$R$4:$W$4,0))))</f>
        <v>0</v>
      </c>
      <c r="AJ252">
        <f>IF($C252-AJ$1&lt;År1,0,AI251*(1-VLOOKUP($A252,[1]Hugst!$R$5:$W$9,MATCH(ROUNDUP((AJ$1)/10,0)*10,[1]Hugst!$R$4:$W$4,0))))</f>
        <v>0</v>
      </c>
    </row>
    <row r="253" spans="1:36" x14ac:dyDescent="0.25">
      <c r="A253" t="s">
        <v>180</v>
      </c>
      <c r="B253" t="s">
        <v>23</v>
      </c>
      <c r="C253">
        <v>2023</v>
      </c>
      <c r="D253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1285.7133877643273</v>
      </c>
      <c r="E253">
        <f t="shared" ca="1" si="6"/>
        <v>0</v>
      </c>
      <c r="F253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7204.9053069562442</v>
      </c>
      <c r="G253">
        <f ca="1">IF($C253-G$1&lt;År1,0,F252*(1-VLOOKUP($A253,[1]Hugst!$R$5:$W$9,MATCH(ROUNDUP((G$1)/10,0)*10,[1]Hugst!$R$4:$W$4,0))))</f>
        <v>7211.3661782515483</v>
      </c>
      <c r="H253">
        <f ca="1">IF($C253-H$1&lt;År1,0,G252*(1-VLOOKUP($A253,[1]Hugst!$R$5:$W$9,MATCH(ROUNDUP((H$1)/10,0)*10,[1]Hugst!$R$4:$W$4,0))))</f>
        <v>7217.8595162367346</v>
      </c>
      <c r="I253">
        <f ca="1">IF($C253-I$1&lt;År1,0,H252*(1-VLOOKUP($A253,[1]Hugst!$R$5:$W$9,MATCH(ROUNDUP((I$1)/10,0)*10,[1]Hugst!$R$4:$W$4,0))))</f>
        <v>7224.3854840611129</v>
      </c>
      <c r="J253">
        <f>IF($C253-J$1&lt;År1,0,I252*(1-VLOOKUP($A253,[1]Hugst!$R$5:$W$9,MATCH(ROUNDUP((J$1)/10,0)*10,[1]Hugst!$R$4:$W$4,0))))</f>
        <v>0</v>
      </c>
      <c r="K253">
        <f>IF($C253-K$1&lt;År1,0,J252*(1-VLOOKUP($A253,[1]Hugst!$R$5:$W$9,MATCH(ROUNDUP((K$1)/10,0)*10,[1]Hugst!$R$4:$W$4,0))))</f>
        <v>0</v>
      </c>
      <c r="L253">
        <f>IF($C253-L$1&lt;År1,0,K252*(1-VLOOKUP($A253,[1]Hugst!$R$5:$W$9,MATCH(ROUNDUP((L$1)/10,0)*10,[1]Hugst!$R$4:$W$4,0))))</f>
        <v>0</v>
      </c>
      <c r="M253">
        <f>IF($C253-M$1&lt;År1,0,L252*(1-VLOOKUP($A253,[1]Hugst!$R$5:$W$9,MATCH(ROUNDUP((M$1)/10,0)*10,[1]Hugst!$R$4:$W$4,0))))</f>
        <v>0</v>
      </c>
      <c r="N253">
        <f>IF($C253-N$1&lt;År1,0,M252*(1-VLOOKUP($A253,[1]Hugst!$R$5:$W$9,MATCH(ROUNDUP((N$1)/10,0)*10,[1]Hugst!$R$4:$W$4,0))))</f>
        <v>0</v>
      </c>
      <c r="O253">
        <f>IF($C253-O$1&lt;År1,0,N252*(1-VLOOKUP($A253,[1]Hugst!$R$5:$W$9,MATCH(ROUNDUP((O$1)/10,0)*10,[1]Hugst!$R$4:$W$4,0))))</f>
        <v>0</v>
      </c>
      <c r="P253">
        <f>IF($C253-P$1&lt;År1,0,O252*(1-VLOOKUP($A253,[1]Hugst!$R$5:$W$9,MATCH(ROUNDUP((P$1)/10,0)*10,[1]Hugst!$R$4:$W$4,0))))</f>
        <v>0</v>
      </c>
      <c r="Q253">
        <f>IF($C253-Q$1&lt;År1,0,P252*(1-VLOOKUP($A253,[1]Hugst!$R$5:$W$9,MATCH(ROUNDUP((Q$1)/10,0)*10,[1]Hugst!$R$4:$W$4,0))))</f>
        <v>0</v>
      </c>
      <c r="R253">
        <f>IF($C253-R$1&lt;År1,0,Q252*(1-VLOOKUP($A253,[1]Hugst!$R$5:$W$9,MATCH(ROUNDUP((R$1)/10,0)*10,[1]Hugst!$R$4:$W$4,0))))</f>
        <v>0</v>
      </c>
      <c r="S253">
        <f>IF($C253-S$1&lt;År1,0,R252*(1-VLOOKUP($A253,[1]Hugst!$R$5:$W$9,MATCH(ROUNDUP((S$1)/10,0)*10,[1]Hugst!$R$4:$W$4,0))))</f>
        <v>0</v>
      </c>
      <c r="T253">
        <f>IF($C253-T$1&lt;År1,0,S252*(1-VLOOKUP($A253,[1]Hugst!$R$5:$W$9,MATCH(ROUNDUP((T$1)/10,0)*10,[1]Hugst!$R$4:$W$4,0))))</f>
        <v>0</v>
      </c>
      <c r="U253">
        <f>IF($C253-U$1&lt;År1,0,T252*(1-VLOOKUP($A253,[1]Hugst!$R$5:$W$9,MATCH(ROUNDUP((U$1)/10,0)*10,[1]Hugst!$R$4:$W$4,0))))</f>
        <v>0</v>
      </c>
      <c r="V253">
        <f>IF($C253-V$1&lt;År1,0,U252*(1-VLOOKUP($A253,[1]Hugst!$R$5:$W$9,MATCH(ROUNDUP((V$1)/10,0)*10,[1]Hugst!$R$4:$W$4,0))))</f>
        <v>0</v>
      </c>
      <c r="W253">
        <f>IF($C253-W$1&lt;År1,0,V252*(1-VLOOKUP($A253,[1]Hugst!$R$5:$W$9,MATCH(ROUNDUP((W$1)/10,0)*10,[1]Hugst!$R$4:$W$4,0))))</f>
        <v>0</v>
      </c>
      <c r="X253">
        <f>IF($C253-X$1&lt;År1,0,W252*(1-VLOOKUP($A253,[1]Hugst!$R$5:$W$9,MATCH(ROUNDUP((X$1)/10,0)*10,[1]Hugst!$R$4:$W$4,0))))</f>
        <v>0</v>
      </c>
      <c r="Y253">
        <f>IF($C253-Y$1&lt;År1,0,X252*(1-VLOOKUP($A253,[1]Hugst!$R$5:$W$9,MATCH(ROUNDUP((Y$1)/10,0)*10,[1]Hugst!$R$4:$W$4,0))))</f>
        <v>0</v>
      </c>
      <c r="Z253">
        <f>IF($C253-Z$1&lt;År1,0,Y252*(1-VLOOKUP($A253,[1]Hugst!$R$5:$W$9,MATCH(ROUNDUP((Z$1)/10,0)*10,[1]Hugst!$R$4:$W$4,0))))</f>
        <v>0</v>
      </c>
      <c r="AA253">
        <f>IF($C253-AA$1&lt;År1,0,Z252*(1-VLOOKUP($A253,[1]Hugst!$R$5:$W$9,MATCH(ROUNDUP((AA$1)/10,0)*10,[1]Hugst!$R$4:$W$4,0))))</f>
        <v>0</v>
      </c>
      <c r="AB253">
        <f>IF($C253-AB$1&lt;År1,0,AA252*(1-VLOOKUP($A253,[1]Hugst!$R$5:$W$9,MATCH(ROUNDUP((AB$1)/10,0)*10,[1]Hugst!$R$4:$W$4,0))))</f>
        <v>0</v>
      </c>
      <c r="AC253">
        <f>IF($C253-AC$1&lt;År1,0,AB252*(1-VLOOKUP($A253,[1]Hugst!$R$5:$W$9,MATCH(ROUNDUP((AC$1)/10,0)*10,[1]Hugst!$R$4:$W$4,0))))</f>
        <v>0</v>
      </c>
      <c r="AD253">
        <f>IF($C253-AD$1&lt;År1,0,AC252*(1-VLOOKUP($A253,[1]Hugst!$R$5:$W$9,MATCH(ROUNDUP((AD$1)/10,0)*10,[1]Hugst!$R$4:$W$4,0))))</f>
        <v>0</v>
      </c>
      <c r="AE253">
        <f>IF($C253-AE$1&lt;År1,0,AD252*(1-VLOOKUP($A253,[1]Hugst!$R$5:$W$9,MATCH(ROUNDUP((AE$1)/10,0)*10,[1]Hugst!$R$4:$W$4,0))))</f>
        <v>0</v>
      </c>
      <c r="AF253">
        <f>IF($C253-AF$1&lt;År1,0,AE252*(1-VLOOKUP($A253,[1]Hugst!$R$5:$W$9,MATCH(ROUNDUP((AF$1)/10,0)*10,[1]Hugst!$R$4:$W$4,0))))</f>
        <v>0</v>
      </c>
      <c r="AG253">
        <f>IF($C253-AG$1&lt;År1,0,AF252*(1-VLOOKUP($A253,[1]Hugst!$R$5:$W$9,MATCH(ROUNDUP((AG$1)/10,0)*10,[1]Hugst!$R$4:$W$4,0))))</f>
        <v>0</v>
      </c>
      <c r="AH253">
        <f>IF($C253-AH$1&lt;År1,0,AG252*(1-VLOOKUP($A253,[1]Hugst!$R$5:$W$9,MATCH(ROUNDUP((AH$1)/10,0)*10,[1]Hugst!$R$4:$W$4,0))))</f>
        <v>0</v>
      </c>
      <c r="AI253">
        <f>IF($C253-AI$1&lt;År1,0,AH252*(1-VLOOKUP($A253,[1]Hugst!$R$5:$W$9,MATCH(ROUNDUP((AI$1)/10,0)*10,[1]Hugst!$R$4:$W$4,0))))</f>
        <v>0</v>
      </c>
      <c r="AJ253">
        <f>IF($C253-AJ$1&lt;År1,0,AI252*(1-VLOOKUP($A253,[1]Hugst!$R$5:$W$9,MATCH(ROUNDUP((AJ$1)/10,0)*10,[1]Hugst!$R$4:$W$4,0))))</f>
        <v>0</v>
      </c>
    </row>
    <row r="254" spans="1:36" x14ac:dyDescent="0.25">
      <c r="A254" t="s">
        <v>180</v>
      </c>
      <c r="B254" t="s">
        <v>23</v>
      </c>
      <c r="C254">
        <v>2024</v>
      </c>
      <c r="D254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1279.2848208255018</v>
      </c>
      <c r="E254">
        <f t="shared" ca="1" si="6"/>
        <v>0</v>
      </c>
      <c r="F254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7198.4767400174187</v>
      </c>
      <c r="G254">
        <f ca="1">IF($C254-G$1&lt;År1,0,F253*(1-VLOOKUP($A254,[1]Hugst!$R$5:$W$9,MATCH(ROUNDUP((G$1)/10,0)*10,[1]Hugst!$R$4:$W$4,0))))</f>
        <v>7204.9053069562442</v>
      </c>
      <c r="H254">
        <f ca="1">IF($C254-H$1&lt;År1,0,G253*(1-VLOOKUP($A254,[1]Hugst!$R$5:$W$9,MATCH(ROUNDUP((H$1)/10,0)*10,[1]Hugst!$R$4:$W$4,0))))</f>
        <v>7211.3661782515483</v>
      </c>
      <c r="I254">
        <f ca="1">IF($C254-I$1&lt;År1,0,H253*(1-VLOOKUP($A254,[1]Hugst!$R$5:$W$9,MATCH(ROUNDUP((I$1)/10,0)*10,[1]Hugst!$R$4:$W$4,0))))</f>
        <v>7217.8595162367346</v>
      </c>
      <c r="J254">
        <f ca="1">IF($C254-J$1&lt;År1,0,I253*(1-VLOOKUP($A254,[1]Hugst!$R$5:$W$9,MATCH(ROUNDUP((J$1)/10,0)*10,[1]Hugst!$R$4:$W$4,0))))</f>
        <v>7224.3854840611129</v>
      </c>
      <c r="K254">
        <f>IF($C254-K$1&lt;År1,0,J253*(1-VLOOKUP($A254,[1]Hugst!$R$5:$W$9,MATCH(ROUNDUP((K$1)/10,0)*10,[1]Hugst!$R$4:$W$4,0))))</f>
        <v>0</v>
      </c>
      <c r="L254">
        <f>IF($C254-L$1&lt;År1,0,K253*(1-VLOOKUP($A254,[1]Hugst!$R$5:$W$9,MATCH(ROUNDUP((L$1)/10,0)*10,[1]Hugst!$R$4:$W$4,0))))</f>
        <v>0</v>
      </c>
      <c r="M254">
        <f>IF($C254-M$1&lt;År1,0,L253*(1-VLOOKUP($A254,[1]Hugst!$R$5:$W$9,MATCH(ROUNDUP((M$1)/10,0)*10,[1]Hugst!$R$4:$W$4,0))))</f>
        <v>0</v>
      </c>
      <c r="N254">
        <f>IF($C254-N$1&lt;År1,0,M253*(1-VLOOKUP($A254,[1]Hugst!$R$5:$W$9,MATCH(ROUNDUP((N$1)/10,0)*10,[1]Hugst!$R$4:$W$4,0))))</f>
        <v>0</v>
      </c>
      <c r="O254">
        <f>IF($C254-O$1&lt;År1,0,N253*(1-VLOOKUP($A254,[1]Hugst!$R$5:$W$9,MATCH(ROUNDUP((O$1)/10,0)*10,[1]Hugst!$R$4:$W$4,0))))</f>
        <v>0</v>
      </c>
      <c r="P254">
        <f>IF($C254-P$1&lt;År1,0,O253*(1-VLOOKUP($A254,[1]Hugst!$R$5:$W$9,MATCH(ROUNDUP((P$1)/10,0)*10,[1]Hugst!$R$4:$W$4,0))))</f>
        <v>0</v>
      </c>
      <c r="Q254">
        <f>IF($C254-Q$1&lt;År1,0,P253*(1-VLOOKUP($A254,[1]Hugst!$R$5:$W$9,MATCH(ROUNDUP((Q$1)/10,0)*10,[1]Hugst!$R$4:$W$4,0))))</f>
        <v>0</v>
      </c>
      <c r="R254">
        <f>IF($C254-R$1&lt;År1,0,Q253*(1-VLOOKUP($A254,[1]Hugst!$R$5:$W$9,MATCH(ROUNDUP((R$1)/10,0)*10,[1]Hugst!$R$4:$W$4,0))))</f>
        <v>0</v>
      </c>
      <c r="S254">
        <f>IF($C254-S$1&lt;År1,0,R253*(1-VLOOKUP($A254,[1]Hugst!$R$5:$W$9,MATCH(ROUNDUP((S$1)/10,0)*10,[1]Hugst!$R$4:$W$4,0))))</f>
        <v>0</v>
      </c>
      <c r="T254">
        <f>IF($C254-T$1&lt;År1,0,S253*(1-VLOOKUP($A254,[1]Hugst!$R$5:$W$9,MATCH(ROUNDUP((T$1)/10,0)*10,[1]Hugst!$R$4:$W$4,0))))</f>
        <v>0</v>
      </c>
      <c r="U254">
        <f>IF($C254-U$1&lt;År1,0,T253*(1-VLOOKUP($A254,[1]Hugst!$R$5:$W$9,MATCH(ROUNDUP((U$1)/10,0)*10,[1]Hugst!$R$4:$W$4,0))))</f>
        <v>0</v>
      </c>
      <c r="V254">
        <f>IF($C254-V$1&lt;År1,0,U253*(1-VLOOKUP($A254,[1]Hugst!$R$5:$W$9,MATCH(ROUNDUP((V$1)/10,0)*10,[1]Hugst!$R$4:$W$4,0))))</f>
        <v>0</v>
      </c>
      <c r="W254">
        <f>IF($C254-W$1&lt;År1,0,V253*(1-VLOOKUP($A254,[1]Hugst!$R$5:$W$9,MATCH(ROUNDUP((W$1)/10,0)*10,[1]Hugst!$R$4:$W$4,0))))</f>
        <v>0</v>
      </c>
      <c r="X254">
        <f>IF($C254-X$1&lt;År1,0,W253*(1-VLOOKUP($A254,[1]Hugst!$R$5:$W$9,MATCH(ROUNDUP((X$1)/10,0)*10,[1]Hugst!$R$4:$W$4,0))))</f>
        <v>0</v>
      </c>
      <c r="Y254">
        <f>IF($C254-Y$1&lt;År1,0,X253*(1-VLOOKUP($A254,[1]Hugst!$R$5:$W$9,MATCH(ROUNDUP((Y$1)/10,0)*10,[1]Hugst!$R$4:$W$4,0))))</f>
        <v>0</v>
      </c>
      <c r="Z254">
        <f>IF($C254-Z$1&lt;År1,0,Y253*(1-VLOOKUP($A254,[1]Hugst!$R$5:$W$9,MATCH(ROUNDUP((Z$1)/10,0)*10,[1]Hugst!$R$4:$W$4,0))))</f>
        <v>0</v>
      </c>
      <c r="AA254">
        <f>IF($C254-AA$1&lt;År1,0,Z253*(1-VLOOKUP($A254,[1]Hugst!$R$5:$W$9,MATCH(ROUNDUP((AA$1)/10,0)*10,[1]Hugst!$R$4:$W$4,0))))</f>
        <v>0</v>
      </c>
      <c r="AB254">
        <f>IF($C254-AB$1&lt;År1,0,AA253*(1-VLOOKUP($A254,[1]Hugst!$R$5:$W$9,MATCH(ROUNDUP((AB$1)/10,0)*10,[1]Hugst!$R$4:$W$4,0))))</f>
        <v>0</v>
      </c>
      <c r="AC254">
        <f>IF($C254-AC$1&lt;År1,0,AB253*(1-VLOOKUP($A254,[1]Hugst!$R$5:$W$9,MATCH(ROUNDUP((AC$1)/10,0)*10,[1]Hugst!$R$4:$W$4,0))))</f>
        <v>0</v>
      </c>
      <c r="AD254">
        <f>IF($C254-AD$1&lt;År1,0,AC253*(1-VLOOKUP($A254,[1]Hugst!$R$5:$W$9,MATCH(ROUNDUP((AD$1)/10,0)*10,[1]Hugst!$R$4:$W$4,0))))</f>
        <v>0</v>
      </c>
      <c r="AE254">
        <f>IF($C254-AE$1&lt;År1,0,AD253*(1-VLOOKUP($A254,[1]Hugst!$R$5:$W$9,MATCH(ROUNDUP((AE$1)/10,0)*10,[1]Hugst!$R$4:$W$4,0))))</f>
        <v>0</v>
      </c>
      <c r="AF254">
        <f>IF($C254-AF$1&lt;År1,0,AE253*(1-VLOOKUP($A254,[1]Hugst!$R$5:$W$9,MATCH(ROUNDUP((AF$1)/10,0)*10,[1]Hugst!$R$4:$W$4,0))))</f>
        <v>0</v>
      </c>
      <c r="AG254">
        <f>IF($C254-AG$1&lt;År1,0,AF253*(1-VLOOKUP($A254,[1]Hugst!$R$5:$W$9,MATCH(ROUNDUP((AG$1)/10,0)*10,[1]Hugst!$R$4:$W$4,0))))</f>
        <v>0</v>
      </c>
      <c r="AH254">
        <f>IF($C254-AH$1&lt;År1,0,AG253*(1-VLOOKUP($A254,[1]Hugst!$R$5:$W$9,MATCH(ROUNDUP((AH$1)/10,0)*10,[1]Hugst!$R$4:$W$4,0))))</f>
        <v>0</v>
      </c>
      <c r="AI254">
        <f>IF($C254-AI$1&lt;År1,0,AH253*(1-VLOOKUP($A254,[1]Hugst!$R$5:$W$9,MATCH(ROUNDUP((AI$1)/10,0)*10,[1]Hugst!$R$4:$W$4,0))))</f>
        <v>0</v>
      </c>
      <c r="AJ254">
        <f>IF($C254-AJ$1&lt;År1,0,AI253*(1-VLOOKUP($A254,[1]Hugst!$R$5:$W$9,MATCH(ROUNDUP((AJ$1)/10,0)*10,[1]Hugst!$R$4:$W$4,0))))</f>
        <v>0</v>
      </c>
    </row>
    <row r="255" spans="1:36" x14ac:dyDescent="0.25">
      <c r="A255" t="s">
        <v>180</v>
      </c>
      <c r="B255" t="s">
        <v>23</v>
      </c>
      <c r="C255">
        <v>2025</v>
      </c>
      <c r="D255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1272.8883967213678</v>
      </c>
      <c r="E255">
        <f t="shared" ca="1" si="6"/>
        <v>0</v>
      </c>
      <c r="F255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7192.0803159132847</v>
      </c>
      <c r="G255">
        <f ca="1">IF($C255-G$1&lt;År1,0,F254*(1-VLOOKUP($A255,[1]Hugst!$R$5:$W$9,MATCH(ROUNDUP((G$1)/10,0)*10,[1]Hugst!$R$4:$W$4,0))))</f>
        <v>7198.4767400174187</v>
      </c>
      <c r="H255">
        <f ca="1">IF($C255-H$1&lt;År1,0,G254*(1-VLOOKUP($A255,[1]Hugst!$R$5:$W$9,MATCH(ROUNDUP((H$1)/10,0)*10,[1]Hugst!$R$4:$W$4,0))))</f>
        <v>7204.9053069562442</v>
      </c>
      <c r="I255">
        <f ca="1">IF($C255-I$1&lt;År1,0,H254*(1-VLOOKUP($A255,[1]Hugst!$R$5:$W$9,MATCH(ROUNDUP((I$1)/10,0)*10,[1]Hugst!$R$4:$W$4,0))))</f>
        <v>7211.3661782515483</v>
      </c>
      <c r="J255">
        <f ca="1">IF($C255-J$1&lt;År1,0,I254*(1-VLOOKUP($A255,[1]Hugst!$R$5:$W$9,MATCH(ROUNDUP((J$1)/10,0)*10,[1]Hugst!$R$4:$W$4,0))))</f>
        <v>7217.8595162367346</v>
      </c>
      <c r="K255">
        <f ca="1">IF($C255-K$1&lt;År1,0,J254*(1-VLOOKUP($A255,[1]Hugst!$R$5:$W$9,MATCH(ROUNDUP((K$1)/10,0)*10,[1]Hugst!$R$4:$W$4,0))))</f>
        <v>7224.3854840611129</v>
      </c>
      <c r="L255">
        <f>IF($C255-L$1&lt;År1,0,K254*(1-VLOOKUP($A255,[1]Hugst!$R$5:$W$9,MATCH(ROUNDUP((L$1)/10,0)*10,[1]Hugst!$R$4:$W$4,0))))</f>
        <v>0</v>
      </c>
      <c r="M255">
        <f>IF($C255-M$1&lt;År1,0,L254*(1-VLOOKUP($A255,[1]Hugst!$R$5:$W$9,MATCH(ROUNDUP((M$1)/10,0)*10,[1]Hugst!$R$4:$W$4,0))))</f>
        <v>0</v>
      </c>
      <c r="N255">
        <f>IF($C255-N$1&lt;År1,0,M254*(1-VLOOKUP($A255,[1]Hugst!$R$5:$W$9,MATCH(ROUNDUP((N$1)/10,0)*10,[1]Hugst!$R$4:$W$4,0))))</f>
        <v>0</v>
      </c>
      <c r="O255">
        <f>IF($C255-O$1&lt;År1,0,N254*(1-VLOOKUP($A255,[1]Hugst!$R$5:$W$9,MATCH(ROUNDUP((O$1)/10,0)*10,[1]Hugst!$R$4:$W$4,0))))</f>
        <v>0</v>
      </c>
      <c r="P255">
        <f>IF($C255-P$1&lt;År1,0,O254*(1-VLOOKUP($A255,[1]Hugst!$R$5:$W$9,MATCH(ROUNDUP((P$1)/10,0)*10,[1]Hugst!$R$4:$W$4,0))))</f>
        <v>0</v>
      </c>
      <c r="Q255">
        <f>IF($C255-Q$1&lt;År1,0,P254*(1-VLOOKUP($A255,[1]Hugst!$R$5:$W$9,MATCH(ROUNDUP((Q$1)/10,0)*10,[1]Hugst!$R$4:$W$4,0))))</f>
        <v>0</v>
      </c>
      <c r="R255">
        <f>IF($C255-R$1&lt;År1,0,Q254*(1-VLOOKUP($A255,[1]Hugst!$R$5:$W$9,MATCH(ROUNDUP((R$1)/10,0)*10,[1]Hugst!$R$4:$W$4,0))))</f>
        <v>0</v>
      </c>
      <c r="S255">
        <f>IF($C255-S$1&lt;År1,0,R254*(1-VLOOKUP($A255,[1]Hugst!$R$5:$W$9,MATCH(ROUNDUP((S$1)/10,0)*10,[1]Hugst!$R$4:$W$4,0))))</f>
        <v>0</v>
      </c>
      <c r="T255">
        <f>IF($C255-T$1&lt;År1,0,S254*(1-VLOOKUP($A255,[1]Hugst!$R$5:$W$9,MATCH(ROUNDUP((T$1)/10,0)*10,[1]Hugst!$R$4:$W$4,0))))</f>
        <v>0</v>
      </c>
      <c r="U255">
        <f>IF($C255-U$1&lt;År1,0,T254*(1-VLOOKUP($A255,[1]Hugst!$R$5:$W$9,MATCH(ROUNDUP((U$1)/10,0)*10,[1]Hugst!$R$4:$W$4,0))))</f>
        <v>0</v>
      </c>
      <c r="V255">
        <f>IF($C255-V$1&lt;År1,0,U254*(1-VLOOKUP($A255,[1]Hugst!$R$5:$W$9,MATCH(ROUNDUP((V$1)/10,0)*10,[1]Hugst!$R$4:$W$4,0))))</f>
        <v>0</v>
      </c>
      <c r="W255">
        <f>IF($C255-W$1&lt;År1,0,V254*(1-VLOOKUP($A255,[1]Hugst!$R$5:$W$9,MATCH(ROUNDUP((W$1)/10,0)*10,[1]Hugst!$R$4:$W$4,0))))</f>
        <v>0</v>
      </c>
      <c r="X255">
        <f>IF($C255-X$1&lt;År1,0,W254*(1-VLOOKUP($A255,[1]Hugst!$R$5:$W$9,MATCH(ROUNDUP((X$1)/10,0)*10,[1]Hugst!$R$4:$W$4,0))))</f>
        <v>0</v>
      </c>
      <c r="Y255">
        <f>IF($C255-Y$1&lt;År1,0,X254*(1-VLOOKUP($A255,[1]Hugst!$R$5:$W$9,MATCH(ROUNDUP((Y$1)/10,0)*10,[1]Hugst!$R$4:$W$4,0))))</f>
        <v>0</v>
      </c>
      <c r="Z255">
        <f>IF($C255-Z$1&lt;År1,0,Y254*(1-VLOOKUP($A255,[1]Hugst!$R$5:$W$9,MATCH(ROUNDUP((Z$1)/10,0)*10,[1]Hugst!$R$4:$W$4,0))))</f>
        <v>0</v>
      </c>
      <c r="AA255">
        <f>IF($C255-AA$1&lt;År1,0,Z254*(1-VLOOKUP($A255,[1]Hugst!$R$5:$W$9,MATCH(ROUNDUP((AA$1)/10,0)*10,[1]Hugst!$R$4:$W$4,0))))</f>
        <v>0</v>
      </c>
      <c r="AB255">
        <f>IF($C255-AB$1&lt;År1,0,AA254*(1-VLOOKUP($A255,[1]Hugst!$R$5:$W$9,MATCH(ROUNDUP((AB$1)/10,0)*10,[1]Hugst!$R$4:$W$4,0))))</f>
        <v>0</v>
      </c>
      <c r="AC255">
        <f>IF($C255-AC$1&lt;År1,0,AB254*(1-VLOOKUP($A255,[1]Hugst!$R$5:$W$9,MATCH(ROUNDUP((AC$1)/10,0)*10,[1]Hugst!$R$4:$W$4,0))))</f>
        <v>0</v>
      </c>
      <c r="AD255">
        <f>IF($C255-AD$1&lt;År1,0,AC254*(1-VLOOKUP($A255,[1]Hugst!$R$5:$W$9,MATCH(ROUNDUP((AD$1)/10,0)*10,[1]Hugst!$R$4:$W$4,0))))</f>
        <v>0</v>
      </c>
      <c r="AE255">
        <f>IF($C255-AE$1&lt;År1,0,AD254*(1-VLOOKUP($A255,[1]Hugst!$R$5:$W$9,MATCH(ROUNDUP((AE$1)/10,0)*10,[1]Hugst!$R$4:$W$4,0))))</f>
        <v>0</v>
      </c>
      <c r="AF255">
        <f>IF($C255-AF$1&lt;År1,0,AE254*(1-VLOOKUP($A255,[1]Hugst!$R$5:$W$9,MATCH(ROUNDUP((AF$1)/10,0)*10,[1]Hugst!$R$4:$W$4,0))))</f>
        <v>0</v>
      </c>
      <c r="AG255">
        <f>IF($C255-AG$1&lt;År1,0,AF254*(1-VLOOKUP($A255,[1]Hugst!$R$5:$W$9,MATCH(ROUNDUP((AG$1)/10,0)*10,[1]Hugst!$R$4:$W$4,0))))</f>
        <v>0</v>
      </c>
      <c r="AH255">
        <f>IF($C255-AH$1&lt;År1,0,AG254*(1-VLOOKUP($A255,[1]Hugst!$R$5:$W$9,MATCH(ROUNDUP((AH$1)/10,0)*10,[1]Hugst!$R$4:$W$4,0))))</f>
        <v>0</v>
      </c>
      <c r="AI255">
        <f>IF($C255-AI$1&lt;År1,0,AH254*(1-VLOOKUP($A255,[1]Hugst!$R$5:$W$9,MATCH(ROUNDUP((AI$1)/10,0)*10,[1]Hugst!$R$4:$W$4,0))))</f>
        <v>0</v>
      </c>
      <c r="AJ255">
        <f>IF($C255-AJ$1&lt;År1,0,AI254*(1-VLOOKUP($A255,[1]Hugst!$R$5:$W$9,MATCH(ROUNDUP((AJ$1)/10,0)*10,[1]Hugst!$R$4:$W$4,0))))</f>
        <v>0</v>
      </c>
    </row>
    <row r="256" spans="1:36" x14ac:dyDescent="0.25">
      <c r="A256" t="s">
        <v>180</v>
      </c>
      <c r="B256" t="s">
        <v>23</v>
      </c>
      <c r="C256">
        <v>2026</v>
      </c>
      <c r="D256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1266.5239547377687</v>
      </c>
      <c r="E256">
        <f t="shared" ca="1" si="6"/>
        <v>0</v>
      </c>
      <c r="F256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7185.7158739296856</v>
      </c>
      <c r="G256">
        <f ca="1">IF($C256-G$1&lt;År1,0,F255*(1-VLOOKUP($A256,[1]Hugst!$R$5:$W$9,MATCH(ROUNDUP((G$1)/10,0)*10,[1]Hugst!$R$4:$W$4,0))))</f>
        <v>7192.0803159132847</v>
      </c>
      <c r="H256">
        <f ca="1">IF($C256-H$1&lt;År1,0,G255*(1-VLOOKUP($A256,[1]Hugst!$R$5:$W$9,MATCH(ROUNDUP((H$1)/10,0)*10,[1]Hugst!$R$4:$W$4,0))))</f>
        <v>7198.4767400174187</v>
      </c>
      <c r="I256">
        <f ca="1">IF($C256-I$1&lt;År1,0,H255*(1-VLOOKUP($A256,[1]Hugst!$R$5:$W$9,MATCH(ROUNDUP((I$1)/10,0)*10,[1]Hugst!$R$4:$W$4,0))))</f>
        <v>7204.9053069562442</v>
      </c>
      <c r="J256">
        <f ca="1">IF($C256-J$1&lt;År1,0,I255*(1-VLOOKUP($A256,[1]Hugst!$R$5:$W$9,MATCH(ROUNDUP((J$1)/10,0)*10,[1]Hugst!$R$4:$W$4,0))))</f>
        <v>7211.3661782515483</v>
      </c>
      <c r="K256">
        <f ca="1">IF($C256-K$1&lt;År1,0,J255*(1-VLOOKUP($A256,[1]Hugst!$R$5:$W$9,MATCH(ROUNDUP((K$1)/10,0)*10,[1]Hugst!$R$4:$W$4,0))))</f>
        <v>7217.8595162367346</v>
      </c>
      <c r="L256">
        <f ca="1">IF($C256-L$1&lt;År1,0,K255*(1-VLOOKUP($A256,[1]Hugst!$R$5:$W$9,MATCH(ROUNDUP((L$1)/10,0)*10,[1]Hugst!$R$4:$W$4,0))))</f>
        <v>7224.3854840611129</v>
      </c>
      <c r="M256">
        <f>IF($C256-M$1&lt;År1,0,L255*(1-VLOOKUP($A256,[1]Hugst!$R$5:$W$9,MATCH(ROUNDUP((M$1)/10,0)*10,[1]Hugst!$R$4:$W$4,0))))</f>
        <v>0</v>
      </c>
      <c r="N256">
        <f>IF($C256-N$1&lt;År1,0,M255*(1-VLOOKUP($A256,[1]Hugst!$R$5:$W$9,MATCH(ROUNDUP((N$1)/10,0)*10,[1]Hugst!$R$4:$W$4,0))))</f>
        <v>0</v>
      </c>
      <c r="O256">
        <f>IF($C256-O$1&lt;År1,0,N255*(1-VLOOKUP($A256,[1]Hugst!$R$5:$W$9,MATCH(ROUNDUP((O$1)/10,0)*10,[1]Hugst!$R$4:$W$4,0))))</f>
        <v>0</v>
      </c>
      <c r="P256">
        <f>IF($C256-P$1&lt;År1,0,O255*(1-VLOOKUP($A256,[1]Hugst!$R$5:$W$9,MATCH(ROUNDUP((P$1)/10,0)*10,[1]Hugst!$R$4:$W$4,0))))</f>
        <v>0</v>
      </c>
      <c r="Q256">
        <f>IF($C256-Q$1&lt;År1,0,P255*(1-VLOOKUP($A256,[1]Hugst!$R$5:$W$9,MATCH(ROUNDUP((Q$1)/10,0)*10,[1]Hugst!$R$4:$W$4,0))))</f>
        <v>0</v>
      </c>
      <c r="R256">
        <f>IF($C256-R$1&lt;År1,0,Q255*(1-VLOOKUP($A256,[1]Hugst!$R$5:$W$9,MATCH(ROUNDUP((R$1)/10,0)*10,[1]Hugst!$R$4:$W$4,0))))</f>
        <v>0</v>
      </c>
      <c r="S256">
        <f>IF($C256-S$1&lt;År1,0,R255*(1-VLOOKUP($A256,[1]Hugst!$R$5:$W$9,MATCH(ROUNDUP((S$1)/10,0)*10,[1]Hugst!$R$4:$W$4,0))))</f>
        <v>0</v>
      </c>
      <c r="T256">
        <f>IF($C256-T$1&lt;År1,0,S255*(1-VLOOKUP($A256,[1]Hugst!$R$5:$W$9,MATCH(ROUNDUP((T$1)/10,0)*10,[1]Hugst!$R$4:$W$4,0))))</f>
        <v>0</v>
      </c>
      <c r="U256">
        <f>IF($C256-U$1&lt;År1,0,T255*(1-VLOOKUP($A256,[1]Hugst!$R$5:$W$9,MATCH(ROUNDUP((U$1)/10,0)*10,[1]Hugst!$R$4:$W$4,0))))</f>
        <v>0</v>
      </c>
      <c r="V256">
        <f>IF($C256-V$1&lt;År1,0,U255*(1-VLOOKUP($A256,[1]Hugst!$R$5:$W$9,MATCH(ROUNDUP((V$1)/10,0)*10,[1]Hugst!$R$4:$W$4,0))))</f>
        <v>0</v>
      </c>
      <c r="W256">
        <f>IF($C256-W$1&lt;År1,0,V255*(1-VLOOKUP($A256,[1]Hugst!$R$5:$W$9,MATCH(ROUNDUP((W$1)/10,0)*10,[1]Hugst!$R$4:$W$4,0))))</f>
        <v>0</v>
      </c>
      <c r="X256">
        <f>IF($C256-X$1&lt;År1,0,W255*(1-VLOOKUP($A256,[1]Hugst!$R$5:$W$9,MATCH(ROUNDUP((X$1)/10,0)*10,[1]Hugst!$R$4:$W$4,0))))</f>
        <v>0</v>
      </c>
      <c r="Y256">
        <f>IF($C256-Y$1&lt;År1,0,X255*(1-VLOOKUP($A256,[1]Hugst!$R$5:$W$9,MATCH(ROUNDUP((Y$1)/10,0)*10,[1]Hugst!$R$4:$W$4,0))))</f>
        <v>0</v>
      </c>
      <c r="Z256">
        <f>IF($C256-Z$1&lt;År1,0,Y255*(1-VLOOKUP($A256,[1]Hugst!$R$5:$W$9,MATCH(ROUNDUP((Z$1)/10,0)*10,[1]Hugst!$R$4:$W$4,0))))</f>
        <v>0</v>
      </c>
      <c r="AA256">
        <f>IF($C256-AA$1&lt;År1,0,Z255*(1-VLOOKUP($A256,[1]Hugst!$R$5:$W$9,MATCH(ROUNDUP((AA$1)/10,0)*10,[1]Hugst!$R$4:$W$4,0))))</f>
        <v>0</v>
      </c>
      <c r="AB256">
        <f>IF($C256-AB$1&lt;År1,0,AA255*(1-VLOOKUP($A256,[1]Hugst!$R$5:$W$9,MATCH(ROUNDUP((AB$1)/10,0)*10,[1]Hugst!$R$4:$W$4,0))))</f>
        <v>0</v>
      </c>
      <c r="AC256">
        <f>IF($C256-AC$1&lt;År1,0,AB255*(1-VLOOKUP($A256,[1]Hugst!$R$5:$W$9,MATCH(ROUNDUP((AC$1)/10,0)*10,[1]Hugst!$R$4:$W$4,0))))</f>
        <v>0</v>
      </c>
      <c r="AD256">
        <f>IF($C256-AD$1&lt;År1,0,AC255*(1-VLOOKUP($A256,[1]Hugst!$R$5:$W$9,MATCH(ROUNDUP((AD$1)/10,0)*10,[1]Hugst!$R$4:$W$4,0))))</f>
        <v>0</v>
      </c>
      <c r="AE256">
        <f>IF($C256-AE$1&lt;År1,0,AD255*(1-VLOOKUP($A256,[1]Hugst!$R$5:$W$9,MATCH(ROUNDUP((AE$1)/10,0)*10,[1]Hugst!$R$4:$W$4,0))))</f>
        <v>0</v>
      </c>
      <c r="AF256">
        <f>IF($C256-AF$1&lt;År1,0,AE255*(1-VLOOKUP($A256,[1]Hugst!$R$5:$W$9,MATCH(ROUNDUP((AF$1)/10,0)*10,[1]Hugst!$R$4:$W$4,0))))</f>
        <v>0</v>
      </c>
      <c r="AG256">
        <f>IF($C256-AG$1&lt;År1,0,AF255*(1-VLOOKUP($A256,[1]Hugst!$R$5:$W$9,MATCH(ROUNDUP((AG$1)/10,0)*10,[1]Hugst!$R$4:$W$4,0))))</f>
        <v>0</v>
      </c>
      <c r="AH256">
        <f>IF($C256-AH$1&lt;År1,0,AG255*(1-VLOOKUP($A256,[1]Hugst!$R$5:$W$9,MATCH(ROUNDUP((AH$1)/10,0)*10,[1]Hugst!$R$4:$W$4,0))))</f>
        <v>0</v>
      </c>
      <c r="AI256">
        <f>IF($C256-AI$1&lt;År1,0,AH255*(1-VLOOKUP($A256,[1]Hugst!$R$5:$W$9,MATCH(ROUNDUP((AI$1)/10,0)*10,[1]Hugst!$R$4:$W$4,0))))</f>
        <v>0</v>
      </c>
      <c r="AJ256">
        <f>IF($C256-AJ$1&lt;År1,0,AI255*(1-VLOOKUP($A256,[1]Hugst!$R$5:$W$9,MATCH(ROUNDUP((AJ$1)/10,0)*10,[1]Hugst!$R$4:$W$4,0))))</f>
        <v>0</v>
      </c>
    </row>
    <row r="257" spans="1:36" x14ac:dyDescent="0.25">
      <c r="A257" t="s">
        <v>180</v>
      </c>
      <c r="B257" t="s">
        <v>23</v>
      </c>
      <c r="C257">
        <v>2027</v>
      </c>
      <c r="D257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1260.1913349640909</v>
      </c>
      <c r="E257">
        <f t="shared" ca="1" si="6"/>
        <v>0</v>
      </c>
      <c r="F257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7179.3832541560078</v>
      </c>
      <c r="G257">
        <f ca="1">IF($C257-G$1&lt;År1,0,F256*(1-VLOOKUP($A257,[1]Hugst!$R$5:$W$9,MATCH(ROUNDUP((G$1)/10,0)*10,[1]Hugst!$R$4:$W$4,0))))</f>
        <v>7185.7158739296856</v>
      </c>
      <c r="H257">
        <f ca="1">IF($C257-H$1&lt;År1,0,G256*(1-VLOOKUP($A257,[1]Hugst!$R$5:$W$9,MATCH(ROUNDUP((H$1)/10,0)*10,[1]Hugst!$R$4:$W$4,0))))</f>
        <v>7192.0803159132847</v>
      </c>
      <c r="I257">
        <f ca="1">IF($C257-I$1&lt;År1,0,H256*(1-VLOOKUP($A257,[1]Hugst!$R$5:$W$9,MATCH(ROUNDUP((I$1)/10,0)*10,[1]Hugst!$R$4:$W$4,0))))</f>
        <v>7198.4767400174187</v>
      </c>
      <c r="J257">
        <f ca="1">IF($C257-J$1&lt;År1,0,I256*(1-VLOOKUP($A257,[1]Hugst!$R$5:$W$9,MATCH(ROUNDUP((J$1)/10,0)*10,[1]Hugst!$R$4:$W$4,0))))</f>
        <v>7204.9053069562442</v>
      </c>
      <c r="K257">
        <f ca="1">IF($C257-K$1&lt;År1,0,J256*(1-VLOOKUP($A257,[1]Hugst!$R$5:$W$9,MATCH(ROUNDUP((K$1)/10,0)*10,[1]Hugst!$R$4:$W$4,0))))</f>
        <v>7211.3661782515483</v>
      </c>
      <c r="L257">
        <f ca="1">IF($C257-L$1&lt;År1,0,K256*(1-VLOOKUP($A257,[1]Hugst!$R$5:$W$9,MATCH(ROUNDUP((L$1)/10,0)*10,[1]Hugst!$R$4:$W$4,0))))</f>
        <v>7217.8595162367346</v>
      </c>
      <c r="M257">
        <f ca="1">IF($C257-M$1&lt;År1,0,L256*(1-VLOOKUP($A257,[1]Hugst!$R$5:$W$9,MATCH(ROUNDUP((M$1)/10,0)*10,[1]Hugst!$R$4:$W$4,0))))</f>
        <v>7224.3854840611129</v>
      </c>
      <c r="N257">
        <f>IF($C257-N$1&lt;År1,0,M256*(1-VLOOKUP($A257,[1]Hugst!$R$5:$W$9,MATCH(ROUNDUP((N$1)/10,0)*10,[1]Hugst!$R$4:$W$4,0))))</f>
        <v>0</v>
      </c>
      <c r="O257">
        <f>IF($C257-O$1&lt;År1,0,N256*(1-VLOOKUP($A257,[1]Hugst!$R$5:$W$9,MATCH(ROUNDUP((O$1)/10,0)*10,[1]Hugst!$R$4:$W$4,0))))</f>
        <v>0</v>
      </c>
      <c r="P257">
        <f>IF($C257-P$1&lt;År1,0,O256*(1-VLOOKUP($A257,[1]Hugst!$R$5:$W$9,MATCH(ROUNDUP((P$1)/10,0)*10,[1]Hugst!$R$4:$W$4,0))))</f>
        <v>0</v>
      </c>
      <c r="Q257">
        <f>IF($C257-Q$1&lt;År1,0,P256*(1-VLOOKUP($A257,[1]Hugst!$R$5:$W$9,MATCH(ROUNDUP((Q$1)/10,0)*10,[1]Hugst!$R$4:$W$4,0))))</f>
        <v>0</v>
      </c>
      <c r="R257">
        <f>IF($C257-R$1&lt;År1,0,Q256*(1-VLOOKUP($A257,[1]Hugst!$R$5:$W$9,MATCH(ROUNDUP((R$1)/10,0)*10,[1]Hugst!$R$4:$W$4,0))))</f>
        <v>0</v>
      </c>
      <c r="S257">
        <f>IF($C257-S$1&lt;År1,0,R256*(1-VLOOKUP($A257,[1]Hugst!$R$5:$W$9,MATCH(ROUNDUP((S$1)/10,0)*10,[1]Hugst!$R$4:$W$4,0))))</f>
        <v>0</v>
      </c>
      <c r="T257">
        <f>IF($C257-T$1&lt;År1,0,S256*(1-VLOOKUP($A257,[1]Hugst!$R$5:$W$9,MATCH(ROUNDUP((T$1)/10,0)*10,[1]Hugst!$R$4:$W$4,0))))</f>
        <v>0</v>
      </c>
      <c r="U257">
        <f>IF($C257-U$1&lt;År1,0,T256*(1-VLOOKUP($A257,[1]Hugst!$R$5:$W$9,MATCH(ROUNDUP((U$1)/10,0)*10,[1]Hugst!$R$4:$W$4,0))))</f>
        <v>0</v>
      </c>
      <c r="V257">
        <f>IF($C257-V$1&lt;År1,0,U256*(1-VLOOKUP($A257,[1]Hugst!$R$5:$W$9,MATCH(ROUNDUP((V$1)/10,0)*10,[1]Hugst!$R$4:$W$4,0))))</f>
        <v>0</v>
      </c>
      <c r="W257">
        <f>IF($C257-W$1&lt;År1,0,V256*(1-VLOOKUP($A257,[1]Hugst!$R$5:$W$9,MATCH(ROUNDUP((W$1)/10,0)*10,[1]Hugst!$R$4:$W$4,0))))</f>
        <v>0</v>
      </c>
      <c r="X257">
        <f>IF($C257-X$1&lt;År1,0,W256*(1-VLOOKUP($A257,[1]Hugst!$R$5:$W$9,MATCH(ROUNDUP((X$1)/10,0)*10,[1]Hugst!$R$4:$W$4,0))))</f>
        <v>0</v>
      </c>
      <c r="Y257">
        <f>IF($C257-Y$1&lt;År1,0,X256*(1-VLOOKUP($A257,[1]Hugst!$R$5:$W$9,MATCH(ROUNDUP((Y$1)/10,0)*10,[1]Hugst!$R$4:$W$4,0))))</f>
        <v>0</v>
      </c>
      <c r="Z257">
        <f>IF($C257-Z$1&lt;År1,0,Y256*(1-VLOOKUP($A257,[1]Hugst!$R$5:$W$9,MATCH(ROUNDUP((Z$1)/10,0)*10,[1]Hugst!$R$4:$W$4,0))))</f>
        <v>0</v>
      </c>
      <c r="AA257">
        <f>IF($C257-AA$1&lt;År1,0,Z256*(1-VLOOKUP($A257,[1]Hugst!$R$5:$W$9,MATCH(ROUNDUP((AA$1)/10,0)*10,[1]Hugst!$R$4:$W$4,0))))</f>
        <v>0</v>
      </c>
      <c r="AB257">
        <f>IF($C257-AB$1&lt;År1,0,AA256*(1-VLOOKUP($A257,[1]Hugst!$R$5:$W$9,MATCH(ROUNDUP((AB$1)/10,0)*10,[1]Hugst!$R$4:$W$4,0))))</f>
        <v>0</v>
      </c>
      <c r="AC257">
        <f>IF($C257-AC$1&lt;År1,0,AB256*(1-VLOOKUP($A257,[1]Hugst!$R$5:$W$9,MATCH(ROUNDUP((AC$1)/10,0)*10,[1]Hugst!$R$4:$W$4,0))))</f>
        <v>0</v>
      </c>
      <c r="AD257">
        <f>IF($C257-AD$1&lt;År1,0,AC256*(1-VLOOKUP($A257,[1]Hugst!$R$5:$W$9,MATCH(ROUNDUP((AD$1)/10,0)*10,[1]Hugst!$R$4:$W$4,0))))</f>
        <v>0</v>
      </c>
      <c r="AE257">
        <f>IF($C257-AE$1&lt;År1,0,AD256*(1-VLOOKUP($A257,[1]Hugst!$R$5:$W$9,MATCH(ROUNDUP((AE$1)/10,0)*10,[1]Hugst!$R$4:$W$4,0))))</f>
        <v>0</v>
      </c>
      <c r="AF257">
        <f>IF($C257-AF$1&lt;År1,0,AE256*(1-VLOOKUP($A257,[1]Hugst!$R$5:$W$9,MATCH(ROUNDUP((AF$1)/10,0)*10,[1]Hugst!$R$4:$W$4,0))))</f>
        <v>0</v>
      </c>
      <c r="AG257">
        <f>IF($C257-AG$1&lt;År1,0,AF256*(1-VLOOKUP($A257,[1]Hugst!$R$5:$W$9,MATCH(ROUNDUP((AG$1)/10,0)*10,[1]Hugst!$R$4:$W$4,0))))</f>
        <v>0</v>
      </c>
      <c r="AH257">
        <f>IF($C257-AH$1&lt;År1,0,AG256*(1-VLOOKUP($A257,[1]Hugst!$R$5:$W$9,MATCH(ROUNDUP((AH$1)/10,0)*10,[1]Hugst!$R$4:$W$4,0))))</f>
        <v>0</v>
      </c>
      <c r="AI257">
        <f>IF($C257-AI$1&lt;År1,0,AH256*(1-VLOOKUP($A257,[1]Hugst!$R$5:$W$9,MATCH(ROUNDUP((AI$1)/10,0)*10,[1]Hugst!$R$4:$W$4,0))))</f>
        <v>0</v>
      </c>
      <c r="AJ257">
        <f>IF($C257-AJ$1&lt;År1,0,AI256*(1-VLOOKUP($A257,[1]Hugst!$R$5:$W$9,MATCH(ROUNDUP((AJ$1)/10,0)*10,[1]Hugst!$R$4:$W$4,0))))</f>
        <v>0</v>
      </c>
    </row>
    <row r="258" spans="1:36" x14ac:dyDescent="0.25">
      <c r="A258" t="s">
        <v>180</v>
      </c>
      <c r="B258" t="s">
        <v>23</v>
      </c>
      <c r="C258">
        <v>2028</v>
      </c>
      <c r="D25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1253.8903782892849</v>
      </c>
      <c r="E258">
        <f t="shared" ca="1" si="6"/>
        <v>0</v>
      </c>
      <c r="F25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7173.0822974812017</v>
      </c>
      <c r="G258">
        <f ca="1">IF($C258-G$1&lt;År1,0,F257*(1-VLOOKUP($A258,[1]Hugst!$R$5:$W$9,MATCH(ROUNDUP((G$1)/10,0)*10,[1]Hugst!$R$4:$W$4,0))))</f>
        <v>7179.3832541560078</v>
      </c>
      <c r="H258">
        <f ca="1">IF($C258-H$1&lt;År1,0,G257*(1-VLOOKUP($A258,[1]Hugst!$R$5:$W$9,MATCH(ROUNDUP((H$1)/10,0)*10,[1]Hugst!$R$4:$W$4,0))))</f>
        <v>7185.7158739296856</v>
      </c>
      <c r="I258">
        <f ca="1">IF($C258-I$1&lt;År1,0,H257*(1-VLOOKUP($A258,[1]Hugst!$R$5:$W$9,MATCH(ROUNDUP((I$1)/10,0)*10,[1]Hugst!$R$4:$W$4,0))))</f>
        <v>7192.0803159132847</v>
      </c>
      <c r="J258">
        <f ca="1">IF($C258-J$1&lt;År1,0,I257*(1-VLOOKUP($A258,[1]Hugst!$R$5:$W$9,MATCH(ROUNDUP((J$1)/10,0)*10,[1]Hugst!$R$4:$W$4,0))))</f>
        <v>7198.4767400174187</v>
      </c>
      <c r="K258">
        <f ca="1">IF($C258-K$1&lt;År1,0,J257*(1-VLOOKUP($A258,[1]Hugst!$R$5:$W$9,MATCH(ROUNDUP((K$1)/10,0)*10,[1]Hugst!$R$4:$W$4,0))))</f>
        <v>7204.9053069562442</v>
      </c>
      <c r="L258">
        <f ca="1">IF($C258-L$1&lt;År1,0,K257*(1-VLOOKUP($A258,[1]Hugst!$R$5:$W$9,MATCH(ROUNDUP((L$1)/10,0)*10,[1]Hugst!$R$4:$W$4,0))))</f>
        <v>7211.3661782515483</v>
      </c>
      <c r="M258">
        <f ca="1">IF($C258-M$1&lt;År1,0,L257*(1-VLOOKUP($A258,[1]Hugst!$R$5:$W$9,MATCH(ROUNDUP((M$1)/10,0)*10,[1]Hugst!$R$4:$W$4,0))))</f>
        <v>7217.8595162367346</v>
      </c>
      <c r="N258">
        <f ca="1">IF($C258-N$1&lt;År1,0,M257*(1-VLOOKUP($A258,[1]Hugst!$R$5:$W$9,MATCH(ROUNDUP((N$1)/10,0)*10,[1]Hugst!$R$4:$W$4,0))))</f>
        <v>7224.3854840611129</v>
      </c>
      <c r="O258">
        <f>IF($C258-O$1&lt;År1,0,N257*(1-VLOOKUP($A258,[1]Hugst!$R$5:$W$9,MATCH(ROUNDUP((O$1)/10,0)*10,[1]Hugst!$R$4:$W$4,0))))</f>
        <v>0</v>
      </c>
      <c r="P258">
        <f>IF($C258-P$1&lt;År1,0,O257*(1-VLOOKUP($A258,[1]Hugst!$R$5:$W$9,MATCH(ROUNDUP((P$1)/10,0)*10,[1]Hugst!$R$4:$W$4,0))))</f>
        <v>0</v>
      </c>
      <c r="Q258">
        <f>IF($C258-Q$1&lt;År1,0,P257*(1-VLOOKUP($A258,[1]Hugst!$R$5:$W$9,MATCH(ROUNDUP((Q$1)/10,0)*10,[1]Hugst!$R$4:$W$4,0))))</f>
        <v>0</v>
      </c>
      <c r="R258">
        <f>IF($C258-R$1&lt;År1,0,Q257*(1-VLOOKUP($A258,[1]Hugst!$R$5:$W$9,MATCH(ROUNDUP((R$1)/10,0)*10,[1]Hugst!$R$4:$W$4,0))))</f>
        <v>0</v>
      </c>
      <c r="S258">
        <f>IF($C258-S$1&lt;År1,0,R257*(1-VLOOKUP($A258,[1]Hugst!$R$5:$W$9,MATCH(ROUNDUP((S$1)/10,0)*10,[1]Hugst!$R$4:$W$4,0))))</f>
        <v>0</v>
      </c>
      <c r="T258">
        <f>IF($C258-T$1&lt;År1,0,S257*(1-VLOOKUP($A258,[1]Hugst!$R$5:$W$9,MATCH(ROUNDUP((T$1)/10,0)*10,[1]Hugst!$R$4:$W$4,0))))</f>
        <v>0</v>
      </c>
      <c r="U258">
        <f>IF($C258-U$1&lt;År1,0,T257*(1-VLOOKUP($A258,[1]Hugst!$R$5:$W$9,MATCH(ROUNDUP((U$1)/10,0)*10,[1]Hugst!$R$4:$W$4,0))))</f>
        <v>0</v>
      </c>
      <c r="V258">
        <f>IF($C258-V$1&lt;År1,0,U257*(1-VLOOKUP($A258,[1]Hugst!$R$5:$W$9,MATCH(ROUNDUP((V$1)/10,0)*10,[1]Hugst!$R$4:$W$4,0))))</f>
        <v>0</v>
      </c>
      <c r="W258">
        <f>IF($C258-W$1&lt;År1,0,V257*(1-VLOOKUP($A258,[1]Hugst!$R$5:$W$9,MATCH(ROUNDUP((W$1)/10,0)*10,[1]Hugst!$R$4:$W$4,0))))</f>
        <v>0</v>
      </c>
      <c r="X258">
        <f>IF($C258-X$1&lt;År1,0,W257*(1-VLOOKUP($A258,[1]Hugst!$R$5:$W$9,MATCH(ROUNDUP((X$1)/10,0)*10,[1]Hugst!$R$4:$W$4,0))))</f>
        <v>0</v>
      </c>
      <c r="Y258">
        <f>IF($C258-Y$1&lt;År1,0,X257*(1-VLOOKUP($A258,[1]Hugst!$R$5:$W$9,MATCH(ROUNDUP((Y$1)/10,0)*10,[1]Hugst!$R$4:$W$4,0))))</f>
        <v>0</v>
      </c>
      <c r="Z258">
        <f>IF($C258-Z$1&lt;År1,0,Y257*(1-VLOOKUP($A258,[1]Hugst!$R$5:$W$9,MATCH(ROUNDUP((Z$1)/10,0)*10,[1]Hugst!$R$4:$W$4,0))))</f>
        <v>0</v>
      </c>
      <c r="AA258">
        <f>IF($C258-AA$1&lt;År1,0,Z257*(1-VLOOKUP($A258,[1]Hugst!$R$5:$W$9,MATCH(ROUNDUP((AA$1)/10,0)*10,[1]Hugst!$R$4:$W$4,0))))</f>
        <v>0</v>
      </c>
      <c r="AB258">
        <f>IF($C258-AB$1&lt;År1,0,AA257*(1-VLOOKUP($A258,[1]Hugst!$R$5:$W$9,MATCH(ROUNDUP((AB$1)/10,0)*10,[1]Hugst!$R$4:$W$4,0))))</f>
        <v>0</v>
      </c>
      <c r="AC258">
        <f>IF($C258-AC$1&lt;År1,0,AB257*(1-VLOOKUP($A258,[1]Hugst!$R$5:$W$9,MATCH(ROUNDUP((AC$1)/10,0)*10,[1]Hugst!$R$4:$W$4,0))))</f>
        <v>0</v>
      </c>
      <c r="AD258">
        <f>IF($C258-AD$1&lt;År1,0,AC257*(1-VLOOKUP($A258,[1]Hugst!$R$5:$W$9,MATCH(ROUNDUP((AD$1)/10,0)*10,[1]Hugst!$R$4:$W$4,0))))</f>
        <v>0</v>
      </c>
      <c r="AE258">
        <f>IF($C258-AE$1&lt;År1,0,AD257*(1-VLOOKUP($A258,[1]Hugst!$R$5:$W$9,MATCH(ROUNDUP((AE$1)/10,0)*10,[1]Hugst!$R$4:$W$4,0))))</f>
        <v>0</v>
      </c>
      <c r="AF258">
        <f>IF($C258-AF$1&lt;År1,0,AE257*(1-VLOOKUP($A258,[1]Hugst!$R$5:$W$9,MATCH(ROUNDUP((AF$1)/10,0)*10,[1]Hugst!$R$4:$W$4,0))))</f>
        <v>0</v>
      </c>
      <c r="AG258">
        <f>IF($C258-AG$1&lt;År1,0,AF257*(1-VLOOKUP($A258,[1]Hugst!$R$5:$W$9,MATCH(ROUNDUP((AG$1)/10,0)*10,[1]Hugst!$R$4:$W$4,0))))</f>
        <v>0</v>
      </c>
      <c r="AH258">
        <f>IF($C258-AH$1&lt;År1,0,AG257*(1-VLOOKUP($A258,[1]Hugst!$R$5:$W$9,MATCH(ROUNDUP((AH$1)/10,0)*10,[1]Hugst!$R$4:$W$4,0))))</f>
        <v>0</v>
      </c>
      <c r="AI258">
        <f>IF($C258-AI$1&lt;År1,0,AH257*(1-VLOOKUP($A258,[1]Hugst!$R$5:$W$9,MATCH(ROUNDUP((AI$1)/10,0)*10,[1]Hugst!$R$4:$W$4,0))))</f>
        <v>0</v>
      </c>
      <c r="AJ258">
        <f>IF($C258-AJ$1&lt;År1,0,AI257*(1-VLOOKUP($A258,[1]Hugst!$R$5:$W$9,MATCH(ROUNDUP((AJ$1)/10,0)*10,[1]Hugst!$R$4:$W$4,0))))</f>
        <v>0</v>
      </c>
    </row>
    <row r="259" spans="1:36" x14ac:dyDescent="0.25">
      <c r="A259" t="s">
        <v>180</v>
      </c>
      <c r="B259" t="s">
        <v>23</v>
      </c>
      <c r="C259">
        <v>2029</v>
      </c>
      <c r="D259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1247.6209263977835</v>
      </c>
      <c r="E259">
        <f t="shared" ca="1" si="6"/>
        <v>0</v>
      </c>
      <c r="F25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7166.8128455897004</v>
      </c>
      <c r="G259">
        <f ca="1">IF($C259-G$1&lt;År1,0,F258*(1-VLOOKUP($A259,[1]Hugst!$R$5:$W$9,MATCH(ROUNDUP((G$1)/10,0)*10,[1]Hugst!$R$4:$W$4,0))))</f>
        <v>7173.0822974812017</v>
      </c>
      <c r="H259">
        <f ca="1">IF($C259-H$1&lt;År1,0,G258*(1-VLOOKUP($A259,[1]Hugst!$R$5:$W$9,MATCH(ROUNDUP((H$1)/10,0)*10,[1]Hugst!$R$4:$W$4,0))))</f>
        <v>7179.3832541560078</v>
      </c>
      <c r="I259">
        <f ca="1">IF($C259-I$1&lt;År1,0,H258*(1-VLOOKUP($A259,[1]Hugst!$R$5:$W$9,MATCH(ROUNDUP((I$1)/10,0)*10,[1]Hugst!$R$4:$W$4,0))))</f>
        <v>7185.7158739296856</v>
      </c>
      <c r="J259">
        <f ca="1">IF($C259-J$1&lt;År1,0,I258*(1-VLOOKUP($A259,[1]Hugst!$R$5:$W$9,MATCH(ROUNDUP((J$1)/10,0)*10,[1]Hugst!$R$4:$W$4,0))))</f>
        <v>7192.0803159132847</v>
      </c>
      <c r="K259">
        <f ca="1">IF($C259-K$1&lt;År1,0,J258*(1-VLOOKUP($A259,[1]Hugst!$R$5:$W$9,MATCH(ROUNDUP((K$1)/10,0)*10,[1]Hugst!$R$4:$W$4,0))))</f>
        <v>7198.4767400174187</v>
      </c>
      <c r="L259">
        <f ca="1">IF($C259-L$1&lt;År1,0,K258*(1-VLOOKUP($A259,[1]Hugst!$R$5:$W$9,MATCH(ROUNDUP((L$1)/10,0)*10,[1]Hugst!$R$4:$W$4,0))))</f>
        <v>7204.9053069562442</v>
      </c>
      <c r="M259">
        <f ca="1">IF($C259-M$1&lt;År1,0,L258*(1-VLOOKUP($A259,[1]Hugst!$R$5:$W$9,MATCH(ROUNDUP((M$1)/10,0)*10,[1]Hugst!$R$4:$W$4,0))))</f>
        <v>7211.3661782515483</v>
      </c>
      <c r="N259">
        <f ca="1">IF($C259-N$1&lt;År1,0,M258*(1-VLOOKUP($A259,[1]Hugst!$R$5:$W$9,MATCH(ROUNDUP((N$1)/10,0)*10,[1]Hugst!$R$4:$W$4,0))))</f>
        <v>7217.8595162367346</v>
      </c>
      <c r="O259">
        <f ca="1">IF($C259-O$1&lt;År1,0,N258*(1-VLOOKUP($A259,[1]Hugst!$R$5:$W$9,MATCH(ROUNDUP((O$1)/10,0)*10,[1]Hugst!$R$4:$W$4,0))))</f>
        <v>7224.3854840611129</v>
      </c>
      <c r="P259">
        <f>IF($C259-P$1&lt;År1,0,O258*(1-VLOOKUP($A259,[1]Hugst!$R$5:$W$9,MATCH(ROUNDUP((P$1)/10,0)*10,[1]Hugst!$R$4:$W$4,0))))</f>
        <v>0</v>
      </c>
      <c r="Q259">
        <f>IF($C259-Q$1&lt;År1,0,P258*(1-VLOOKUP($A259,[1]Hugst!$R$5:$W$9,MATCH(ROUNDUP((Q$1)/10,0)*10,[1]Hugst!$R$4:$W$4,0))))</f>
        <v>0</v>
      </c>
      <c r="R259">
        <f>IF($C259-R$1&lt;År1,0,Q258*(1-VLOOKUP($A259,[1]Hugst!$R$5:$W$9,MATCH(ROUNDUP((R$1)/10,0)*10,[1]Hugst!$R$4:$W$4,0))))</f>
        <v>0</v>
      </c>
      <c r="S259">
        <f>IF($C259-S$1&lt;År1,0,R258*(1-VLOOKUP($A259,[1]Hugst!$R$5:$W$9,MATCH(ROUNDUP((S$1)/10,0)*10,[1]Hugst!$R$4:$W$4,0))))</f>
        <v>0</v>
      </c>
      <c r="T259">
        <f>IF($C259-T$1&lt;År1,0,S258*(1-VLOOKUP($A259,[1]Hugst!$R$5:$W$9,MATCH(ROUNDUP((T$1)/10,0)*10,[1]Hugst!$R$4:$W$4,0))))</f>
        <v>0</v>
      </c>
      <c r="U259">
        <f>IF($C259-U$1&lt;År1,0,T258*(1-VLOOKUP($A259,[1]Hugst!$R$5:$W$9,MATCH(ROUNDUP((U$1)/10,0)*10,[1]Hugst!$R$4:$W$4,0))))</f>
        <v>0</v>
      </c>
      <c r="V259">
        <f>IF($C259-V$1&lt;År1,0,U258*(1-VLOOKUP($A259,[1]Hugst!$R$5:$W$9,MATCH(ROUNDUP((V$1)/10,0)*10,[1]Hugst!$R$4:$W$4,0))))</f>
        <v>0</v>
      </c>
      <c r="W259">
        <f>IF($C259-W$1&lt;År1,0,V258*(1-VLOOKUP($A259,[1]Hugst!$R$5:$W$9,MATCH(ROUNDUP((W$1)/10,0)*10,[1]Hugst!$R$4:$W$4,0))))</f>
        <v>0</v>
      </c>
      <c r="X259">
        <f>IF($C259-X$1&lt;År1,0,W258*(1-VLOOKUP($A259,[1]Hugst!$R$5:$W$9,MATCH(ROUNDUP((X$1)/10,0)*10,[1]Hugst!$R$4:$W$4,0))))</f>
        <v>0</v>
      </c>
      <c r="Y259">
        <f>IF($C259-Y$1&lt;År1,0,X258*(1-VLOOKUP($A259,[1]Hugst!$R$5:$W$9,MATCH(ROUNDUP((Y$1)/10,0)*10,[1]Hugst!$R$4:$W$4,0))))</f>
        <v>0</v>
      </c>
      <c r="Z259">
        <f>IF($C259-Z$1&lt;År1,0,Y258*(1-VLOOKUP($A259,[1]Hugst!$R$5:$W$9,MATCH(ROUNDUP((Z$1)/10,0)*10,[1]Hugst!$R$4:$W$4,0))))</f>
        <v>0</v>
      </c>
      <c r="AA259">
        <f>IF($C259-AA$1&lt;År1,0,Z258*(1-VLOOKUP($A259,[1]Hugst!$R$5:$W$9,MATCH(ROUNDUP((AA$1)/10,0)*10,[1]Hugst!$R$4:$W$4,0))))</f>
        <v>0</v>
      </c>
      <c r="AB259">
        <f>IF($C259-AB$1&lt;År1,0,AA258*(1-VLOOKUP($A259,[1]Hugst!$R$5:$W$9,MATCH(ROUNDUP((AB$1)/10,0)*10,[1]Hugst!$R$4:$W$4,0))))</f>
        <v>0</v>
      </c>
      <c r="AC259">
        <f>IF($C259-AC$1&lt;År1,0,AB258*(1-VLOOKUP($A259,[1]Hugst!$R$5:$W$9,MATCH(ROUNDUP((AC$1)/10,0)*10,[1]Hugst!$R$4:$W$4,0))))</f>
        <v>0</v>
      </c>
      <c r="AD259">
        <f>IF($C259-AD$1&lt;År1,0,AC258*(1-VLOOKUP($A259,[1]Hugst!$R$5:$W$9,MATCH(ROUNDUP((AD$1)/10,0)*10,[1]Hugst!$R$4:$W$4,0))))</f>
        <v>0</v>
      </c>
      <c r="AE259">
        <f>IF($C259-AE$1&lt;År1,0,AD258*(1-VLOOKUP($A259,[1]Hugst!$R$5:$W$9,MATCH(ROUNDUP((AE$1)/10,0)*10,[1]Hugst!$R$4:$W$4,0))))</f>
        <v>0</v>
      </c>
      <c r="AF259">
        <f>IF($C259-AF$1&lt;År1,0,AE258*(1-VLOOKUP($A259,[1]Hugst!$R$5:$W$9,MATCH(ROUNDUP((AF$1)/10,0)*10,[1]Hugst!$R$4:$W$4,0))))</f>
        <v>0</v>
      </c>
      <c r="AG259">
        <f>IF($C259-AG$1&lt;År1,0,AF258*(1-VLOOKUP($A259,[1]Hugst!$R$5:$W$9,MATCH(ROUNDUP((AG$1)/10,0)*10,[1]Hugst!$R$4:$W$4,0))))</f>
        <v>0</v>
      </c>
      <c r="AH259">
        <f>IF($C259-AH$1&lt;År1,0,AG258*(1-VLOOKUP($A259,[1]Hugst!$R$5:$W$9,MATCH(ROUNDUP((AH$1)/10,0)*10,[1]Hugst!$R$4:$W$4,0))))</f>
        <v>0</v>
      </c>
      <c r="AI259">
        <f>IF($C259-AI$1&lt;År1,0,AH258*(1-VLOOKUP($A259,[1]Hugst!$R$5:$W$9,MATCH(ROUNDUP((AI$1)/10,0)*10,[1]Hugst!$R$4:$W$4,0))))</f>
        <v>0</v>
      </c>
      <c r="AJ259">
        <f>IF($C259-AJ$1&lt;År1,0,AI258*(1-VLOOKUP($A259,[1]Hugst!$R$5:$W$9,MATCH(ROUNDUP((AJ$1)/10,0)*10,[1]Hugst!$R$4:$W$4,0))))</f>
        <v>0</v>
      </c>
    </row>
    <row r="260" spans="1:36" x14ac:dyDescent="0.25">
      <c r="A260" t="s">
        <v>180</v>
      </c>
      <c r="B260" t="s">
        <v>23</v>
      </c>
      <c r="C260">
        <v>2030</v>
      </c>
      <c r="D260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1241.3828217658556</v>
      </c>
      <c r="E260">
        <f t="shared" ca="1" si="6"/>
        <v>0</v>
      </c>
      <c r="F260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7160.5747409577725</v>
      </c>
      <c r="G260">
        <f ca="1">IF($C260-G$1&lt;År1,0,F259*(1-VLOOKUP($A260,[1]Hugst!$R$5:$W$9,MATCH(ROUNDUP((G$1)/10,0)*10,[1]Hugst!$R$4:$W$4,0))))</f>
        <v>7166.8128455897004</v>
      </c>
      <c r="H260">
        <f ca="1">IF($C260-H$1&lt;År1,0,G259*(1-VLOOKUP($A260,[1]Hugst!$R$5:$W$9,MATCH(ROUNDUP((H$1)/10,0)*10,[1]Hugst!$R$4:$W$4,0))))</f>
        <v>7173.0822974812017</v>
      </c>
      <c r="I260">
        <f ca="1">IF($C260-I$1&lt;År1,0,H259*(1-VLOOKUP($A260,[1]Hugst!$R$5:$W$9,MATCH(ROUNDUP((I$1)/10,0)*10,[1]Hugst!$R$4:$W$4,0))))</f>
        <v>7179.3832541560078</v>
      </c>
      <c r="J260">
        <f ca="1">IF($C260-J$1&lt;År1,0,I259*(1-VLOOKUP($A260,[1]Hugst!$R$5:$W$9,MATCH(ROUNDUP((J$1)/10,0)*10,[1]Hugst!$R$4:$W$4,0))))</f>
        <v>7185.7158739296856</v>
      </c>
      <c r="K260">
        <f ca="1">IF($C260-K$1&lt;År1,0,J259*(1-VLOOKUP($A260,[1]Hugst!$R$5:$W$9,MATCH(ROUNDUP((K$1)/10,0)*10,[1]Hugst!$R$4:$W$4,0))))</f>
        <v>7192.0803159132847</v>
      </c>
      <c r="L260">
        <f ca="1">IF($C260-L$1&lt;År1,0,K259*(1-VLOOKUP($A260,[1]Hugst!$R$5:$W$9,MATCH(ROUNDUP((L$1)/10,0)*10,[1]Hugst!$R$4:$W$4,0))))</f>
        <v>7198.4767400174187</v>
      </c>
      <c r="M260">
        <f ca="1">IF($C260-M$1&lt;År1,0,L259*(1-VLOOKUP($A260,[1]Hugst!$R$5:$W$9,MATCH(ROUNDUP((M$1)/10,0)*10,[1]Hugst!$R$4:$W$4,0))))</f>
        <v>7204.9053069562442</v>
      </c>
      <c r="N260">
        <f ca="1">IF($C260-N$1&lt;År1,0,M259*(1-VLOOKUP($A260,[1]Hugst!$R$5:$W$9,MATCH(ROUNDUP((N$1)/10,0)*10,[1]Hugst!$R$4:$W$4,0))))</f>
        <v>7211.3661782515483</v>
      </c>
      <c r="O260">
        <f ca="1">IF($C260-O$1&lt;År1,0,N259*(1-VLOOKUP($A260,[1]Hugst!$R$5:$W$9,MATCH(ROUNDUP((O$1)/10,0)*10,[1]Hugst!$R$4:$W$4,0))))</f>
        <v>7217.8595162367346</v>
      </c>
      <c r="P260">
        <f ca="1">IF($C260-P$1&lt;År1,0,O259*(1-VLOOKUP($A260,[1]Hugst!$R$5:$W$9,MATCH(ROUNDUP((P$1)/10,0)*10,[1]Hugst!$R$4:$W$4,0))))</f>
        <v>7224.3854840611129</v>
      </c>
      <c r="Q260">
        <f>IF($C260-Q$1&lt;År1,0,P259*(1-VLOOKUP($A260,[1]Hugst!$R$5:$W$9,MATCH(ROUNDUP((Q$1)/10,0)*10,[1]Hugst!$R$4:$W$4,0))))</f>
        <v>0</v>
      </c>
      <c r="R260">
        <f>IF($C260-R$1&lt;År1,0,Q259*(1-VLOOKUP($A260,[1]Hugst!$R$5:$W$9,MATCH(ROUNDUP((R$1)/10,0)*10,[1]Hugst!$R$4:$W$4,0))))</f>
        <v>0</v>
      </c>
      <c r="S260">
        <f>IF($C260-S$1&lt;År1,0,R259*(1-VLOOKUP($A260,[1]Hugst!$R$5:$W$9,MATCH(ROUNDUP((S$1)/10,0)*10,[1]Hugst!$R$4:$W$4,0))))</f>
        <v>0</v>
      </c>
      <c r="T260">
        <f>IF($C260-T$1&lt;År1,0,S259*(1-VLOOKUP($A260,[1]Hugst!$R$5:$W$9,MATCH(ROUNDUP((T$1)/10,0)*10,[1]Hugst!$R$4:$W$4,0))))</f>
        <v>0</v>
      </c>
      <c r="U260">
        <f>IF($C260-U$1&lt;År1,0,T259*(1-VLOOKUP($A260,[1]Hugst!$R$5:$W$9,MATCH(ROUNDUP((U$1)/10,0)*10,[1]Hugst!$R$4:$W$4,0))))</f>
        <v>0</v>
      </c>
      <c r="V260">
        <f>IF($C260-V$1&lt;År1,0,U259*(1-VLOOKUP($A260,[1]Hugst!$R$5:$W$9,MATCH(ROUNDUP((V$1)/10,0)*10,[1]Hugst!$R$4:$W$4,0))))</f>
        <v>0</v>
      </c>
      <c r="W260">
        <f>IF($C260-W$1&lt;År1,0,V259*(1-VLOOKUP($A260,[1]Hugst!$R$5:$W$9,MATCH(ROUNDUP((W$1)/10,0)*10,[1]Hugst!$R$4:$W$4,0))))</f>
        <v>0</v>
      </c>
      <c r="X260">
        <f>IF($C260-X$1&lt;År1,0,W259*(1-VLOOKUP($A260,[1]Hugst!$R$5:$W$9,MATCH(ROUNDUP((X$1)/10,0)*10,[1]Hugst!$R$4:$W$4,0))))</f>
        <v>0</v>
      </c>
      <c r="Y260">
        <f>IF($C260-Y$1&lt;År1,0,X259*(1-VLOOKUP($A260,[1]Hugst!$R$5:$W$9,MATCH(ROUNDUP((Y$1)/10,0)*10,[1]Hugst!$R$4:$W$4,0))))</f>
        <v>0</v>
      </c>
      <c r="Z260">
        <f>IF($C260-Z$1&lt;År1,0,Y259*(1-VLOOKUP($A260,[1]Hugst!$R$5:$W$9,MATCH(ROUNDUP((Z$1)/10,0)*10,[1]Hugst!$R$4:$W$4,0))))</f>
        <v>0</v>
      </c>
      <c r="AA260">
        <f>IF($C260-AA$1&lt;År1,0,Z259*(1-VLOOKUP($A260,[1]Hugst!$R$5:$W$9,MATCH(ROUNDUP((AA$1)/10,0)*10,[1]Hugst!$R$4:$W$4,0))))</f>
        <v>0</v>
      </c>
      <c r="AB260">
        <f>IF($C260-AB$1&lt;År1,0,AA259*(1-VLOOKUP($A260,[1]Hugst!$R$5:$W$9,MATCH(ROUNDUP((AB$1)/10,0)*10,[1]Hugst!$R$4:$W$4,0))))</f>
        <v>0</v>
      </c>
      <c r="AC260">
        <f>IF($C260-AC$1&lt;År1,0,AB259*(1-VLOOKUP($A260,[1]Hugst!$R$5:$W$9,MATCH(ROUNDUP((AC$1)/10,0)*10,[1]Hugst!$R$4:$W$4,0))))</f>
        <v>0</v>
      </c>
      <c r="AD260">
        <f>IF($C260-AD$1&lt;År1,0,AC259*(1-VLOOKUP($A260,[1]Hugst!$R$5:$W$9,MATCH(ROUNDUP((AD$1)/10,0)*10,[1]Hugst!$R$4:$W$4,0))))</f>
        <v>0</v>
      </c>
      <c r="AE260">
        <f>IF($C260-AE$1&lt;År1,0,AD259*(1-VLOOKUP($A260,[1]Hugst!$R$5:$W$9,MATCH(ROUNDUP((AE$1)/10,0)*10,[1]Hugst!$R$4:$W$4,0))))</f>
        <v>0</v>
      </c>
      <c r="AF260">
        <f>IF($C260-AF$1&lt;År1,0,AE259*(1-VLOOKUP($A260,[1]Hugst!$R$5:$W$9,MATCH(ROUNDUP((AF$1)/10,0)*10,[1]Hugst!$R$4:$W$4,0))))</f>
        <v>0</v>
      </c>
      <c r="AG260">
        <f>IF($C260-AG$1&lt;År1,0,AF259*(1-VLOOKUP($A260,[1]Hugst!$R$5:$W$9,MATCH(ROUNDUP((AG$1)/10,0)*10,[1]Hugst!$R$4:$W$4,0))))</f>
        <v>0</v>
      </c>
      <c r="AH260">
        <f>IF($C260-AH$1&lt;År1,0,AG259*(1-VLOOKUP($A260,[1]Hugst!$R$5:$W$9,MATCH(ROUNDUP((AH$1)/10,0)*10,[1]Hugst!$R$4:$W$4,0))))</f>
        <v>0</v>
      </c>
      <c r="AI260">
        <f>IF($C260-AI$1&lt;År1,0,AH259*(1-VLOOKUP($A260,[1]Hugst!$R$5:$W$9,MATCH(ROUNDUP((AI$1)/10,0)*10,[1]Hugst!$R$4:$W$4,0))))</f>
        <v>0</v>
      </c>
      <c r="AJ260">
        <f>IF($C260-AJ$1&lt;År1,0,AI259*(1-VLOOKUP($A260,[1]Hugst!$R$5:$W$9,MATCH(ROUNDUP((AJ$1)/10,0)*10,[1]Hugst!$R$4:$W$4,0))))</f>
        <v>0</v>
      </c>
    </row>
    <row r="261" spans="1:36" x14ac:dyDescent="0.25">
      <c r="A261" t="s">
        <v>180</v>
      </c>
      <c r="B261" t="s">
        <v>23</v>
      </c>
      <c r="C261">
        <v>2031</v>
      </c>
      <c r="D261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1235.1759076569451</v>
      </c>
      <c r="E261">
        <f t="shared" ca="1" si="6"/>
        <v>0</v>
      </c>
      <c r="F261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4490.7314632125017</v>
      </c>
      <c r="G261">
        <f ca="1">IF($C261-G$1&lt;År1,0,F260*(1-VLOOKUP($A261,[1]Hugst!$R$5:$W$9,MATCH(ROUNDUP((G$1)/10,0)*10,[1]Hugst!$R$4:$W$4,0))))</f>
        <v>7160.5747409577725</v>
      </c>
      <c r="H261">
        <f ca="1">IF($C261-H$1&lt;År1,0,G260*(1-VLOOKUP($A261,[1]Hugst!$R$5:$W$9,MATCH(ROUNDUP((H$1)/10,0)*10,[1]Hugst!$R$4:$W$4,0))))</f>
        <v>7166.8128455897004</v>
      </c>
      <c r="I261">
        <f ca="1">IF($C261-I$1&lt;År1,0,H260*(1-VLOOKUP($A261,[1]Hugst!$R$5:$W$9,MATCH(ROUNDUP((I$1)/10,0)*10,[1]Hugst!$R$4:$W$4,0))))</f>
        <v>7173.0822974812017</v>
      </c>
      <c r="J261">
        <f ca="1">IF($C261-J$1&lt;År1,0,I260*(1-VLOOKUP($A261,[1]Hugst!$R$5:$W$9,MATCH(ROUNDUP((J$1)/10,0)*10,[1]Hugst!$R$4:$W$4,0))))</f>
        <v>7179.3832541560078</v>
      </c>
      <c r="K261">
        <f ca="1">IF($C261-K$1&lt;År1,0,J260*(1-VLOOKUP($A261,[1]Hugst!$R$5:$W$9,MATCH(ROUNDUP((K$1)/10,0)*10,[1]Hugst!$R$4:$W$4,0))))</f>
        <v>7185.7158739296856</v>
      </c>
      <c r="L261">
        <f ca="1">IF($C261-L$1&lt;År1,0,K260*(1-VLOOKUP($A261,[1]Hugst!$R$5:$W$9,MATCH(ROUNDUP((L$1)/10,0)*10,[1]Hugst!$R$4:$W$4,0))))</f>
        <v>7192.0803159132847</v>
      </c>
      <c r="M261">
        <f ca="1">IF($C261-M$1&lt;År1,0,L260*(1-VLOOKUP($A261,[1]Hugst!$R$5:$W$9,MATCH(ROUNDUP((M$1)/10,0)*10,[1]Hugst!$R$4:$W$4,0))))</f>
        <v>7198.4767400174187</v>
      </c>
      <c r="N261">
        <f ca="1">IF($C261-N$1&lt;År1,0,M260*(1-VLOOKUP($A261,[1]Hugst!$R$5:$W$9,MATCH(ROUNDUP((N$1)/10,0)*10,[1]Hugst!$R$4:$W$4,0))))</f>
        <v>7204.9053069562442</v>
      </c>
      <c r="O261">
        <f ca="1">IF($C261-O$1&lt;År1,0,N260*(1-VLOOKUP($A261,[1]Hugst!$R$5:$W$9,MATCH(ROUNDUP((O$1)/10,0)*10,[1]Hugst!$R$4:$W$4,0))))</f>
        <v>7211.3661782515483</v>
      </c>
      <c r="P261">
        <f ca="1">IF($C261-P$1&lt;År1,0,O260*(1-VLOOKUP($A261,[1]Hugst!$R$5:$W$9,MATCH(ROUNDUP((P$1)/10,0)*10,[1]Hugst!$R$4:$W$4,0))))</f>
        <v>7217.8595162367346</v>
      </c>
      <c r="Q261">
        <f ca="1">IF($C261-Q$1&lt;År1,0,P260*(1-VLOOKUP($A261,[1]Hugst!$R$5:$W$9,MATCH(ROUNDUP((Q$1)/10,0)*10,[1]Hugst!$R$4:$W$4,0))))</f>
        <v>7224.3854840611129</v>
      </c>
      <c r="R261">
        <f>IF($C261-R$1&lt;År1,0,Q260*(1-VLOOKUP($A261,[1]Hugst!$R$5:$W$9,MATCH(ROUNDUP((R$1)/10,0)*10,[1]Hugst!$R$4:$W$4,0))))</f>
        <v>0</v>
      </c>
      <c r="S261">
        <f>IF($C261-S$1&lt;År1,0,R260*(1-VLOOKUP($A261,[1]Hugst!$R$5:$W$9,MATCH(ROUNDUP((S$1)/10,0)*10,[1]Hugst!$R$4:$W$4,0))))</f>
        <v>0</v>
      </c>
      <c r="T261">
        <f>IF($C261-T$1&lt;År1,0,S260*(1-VLOOKUP($A261,[1]Hugst!$R$5:$W$9,MATCH(ROUNDUP((T$1)/10,0)*10,[1]Hugst!$R$4:$W$4,0))))</f>
        <v>0</v>
      </c>
      <c r="U261">
        <f>IF($C261-U$1&lt;År1,0,T260*(1-VLOOKUP($A261,[1]Hugst!$R$5:$W$9,MATCH(ROUNDUP((U$1)/10,0)*10,[1]Hugst!$R$4:$W$4,0))))</f>
        <v>0</v>
      </c>
      <c r="V261">
        <f>IF($C261-V$1&lt;År1,0,U260*(1-VLOOKUP($A261,[1]Hugst!$R$5:$W$9,MATCH(ROUNDUP((V$1)/10,0)*10,[1]Hugst!$R$4:$W$4,0))))</f>
        <v>0</v>
      </c>
      <c r="W261">
        <f>IF($C261-W$1&lt;År1,0,V260*(1-VLOOKUP($A261,[1]Hugst!$R$5:$W$9,MATCH(ROUNDUP((W$1)/10,0)*10,[1]Hugst!$R$4:$W$4,0))))</f>
        <v>0</v>
      </c>
      <c r="X261">
        <f>IF($C261-X$1&lt;År1,0,W260*(1-VLOOKUP($A261,[1]Hugst!$R$5:$W$9,MATCH(ROUNDUP((X$1)/10,0)*10,[1]Hugst!$R$4:$W$4,0))))</f>
        <v>0</v>
      </c>
      <c r="Y261">
        <f>IF($C261-Y$1&lt;År1,0,X260*(1-VLOOKUP($A261,[1]Hugst!$R$5:$W$9,MATCH(ROUNDUP((Y$1)/10,0)*10,[1]Hugst!$R$4:$W$4,0))))</f>
        <v>0</v>
      </c>
      <c r="Z261">
        <f>IF($C261-Z$1&lt;År1,0,Y260*(1-VLOOKUP($A261,[1]Hugst!$R$5:$W$9,MATCH(ROUNDUP((Z$1)/10,0)*10,[1]Hugst!$R$4:$W$4,0))))</f>
        <v>0</v>
      </c>
      <c r="AA261">
        <f>IF($C261-AA$1&lt;År1,0,Z260*(1-VLOOKUP($A261,[1]Hugst!$R$5:$W$9,MATCH(ROUNDUP((AA$1)/10,0)*10,[1]Hugst!$R$4:$W$4,0))))</f>
        <v>0</v>
      </c>
      <c r="AB261">
        <f>IF($C261-AB$1&lt;År1,0,AA260*(1-VLOOKUP($A261,[1]Hugst!$R$5:$W$9,MATCH(ROUNDUP((AB$1)/10,0)*10,[1]Hugst!$R$4:$W$4,0))))</f>
        <v>0</v>
      </c>
      <c r="AC261">
        <f>IF($C261-AC$1&lt;År1,0,AB260*(1-VLOOKUP($A261,[1]Hugst!$R$5:$W$9,MATCH(ROUNDUP((AC$1)/10,0)*10,[1]Hugst!$R$4:$W$4,0))))</f>
        <v>0</v>
      </c>
      <c r="AD261">
        <f>IF($C261-AD$1&lt;År1,0,AC260*(1-VLOOKUP($A261,[1]Hugst!$R$5:$W$9,MATCH(ROUNDUP((AD$1)/10,0)*10,[1]Hugst!$R$4:$W$4,0))))</f>
        <v>0</v>
      </c>
      <c r="AE261">
        <f>IF($C261-AE$1&lt;År1,0,AD260*(1-VLOOKUP($A261,[1]Hugst!$R$5:$W$9,MATCH(ROUNDUP((AE$1)/10,0)*10,[1]Hugst!$R$4:$W$4,0))))</f>
        <v>0</v>
      </c>
      <c r="AF261">
        <f>IF($C261-AF$1&lt;År1,0,AE260*(1-VLOOKUP($A261,[1]Hugst!$R$5:$W$9,MATCH(ROUNDUP((AF$1)/10,0)*10,[1]Hugst!$R$4:$W$4,0))))</f>
        <v>0</v>
      </c>
      <c r="AG261">
        <f>IF($C261-AG$1&lt;År1,0,AF260*(1-VLOOKUP($A261,[1]Hugst!$R$5:$W$9,MATCH(ROUNDUP((AG$1)/10,0)*10,[1]Hugst!$R$4:$W$4,0))))</f>
        <v>0</v>
      </c>
      <c r="AH261">
        <f>IF($C261-AH$1&lt;År1,0,AG260*(1-VLOOKUP($A261,[1]Hugst!$R$5:$W$9,MATCH(ROUNDUP((AH$1)/10,0)*10,[1]Hugst!$R$4:$W$4,0))))</f>
        <v>0</v>
      </c>
      <c r="AI261">
        <f>IF($C261-AI$1&lt;År1,0,AH260*(1-VLOOKUP($A261,[1]Hugst!$R$5:$W$9,MATCH(ROUNDUP((AI$1)/10,0)*10,[1]Hugst!$R$4:$W$4,0))))</f>
        <v>0</v>
      </c>
      <c r="AJ261">
        <f>IF($C261-AJ$1&lt;År1,0,AI260*(1-VLOOKUP($A261,[1]Hugst!$R$5:$W$9,MATCH(ROUNDUP((AJ$1)/10,0)*10,[1]Hugst!$R$4:$W$4,0))))</f>
        <v>0</v>
      </c>
    </row>
    <row r="262" spans="1:36" x14ac:dyDescent="0.25">
      <c r="A262" t="s">
        <v>180</v>
      </c>
      <c r="B262" t="s">
        <v>23</v>
      </c>
      <c r="C262">
        <v>2032</v>
      </c>
      <c r="D262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1229.000028118724</v>
      </c>
      <c r="E262">
        <f t="shared" ca="1" si="6"/>
        <v>0</v>
      </c>
      <c r="F262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4484.5555836742806</v>
      </c>
      <c r="G262">
        <f ca="1">IF($C262-G$1&lt;År1,0,F261*(1-VLOOKUP($A262,[1]Hugst!$R$5:$W$9,MATCH(ROUNDUP((G$1)/10,0)*10,[1]Hugst!$R$4:$W$4,0))))</f>
        <v>4490.7314632125017</v>
      </c>
      <c r="H262">
        <f ca="1">IF($C262-H$1&lt;År1,0,G261*(1-VLOOKUP($A262,[1]Hugst!$R$5:$W$9,MATCH(ROUNDUP((H$1)/10,0)*10,[1]Hugst!$R$4:$W$4,0))))</f>
        <v>7160.5747409577725</v>
      </c>
      <c r="I262">
        <f ca="1">IF($C262-I$1&lt;År1,0,H261*(1-VLOOKUP($A262,[1]Hugst!$R$5:$W$9,MATCH(ROUNDUP((I$1)/10,0)*10,[1]Hugst!$R$4:$W$4,0))))</f>
        <v>7166.8128455897004</v>
      </c>
      <c r="J262">
        <f ca="1">IF($C262-J$1&lt;År1,0,I261*(1-VLOOKUP($A262,[1]Hugst!$R$5:$W$9,MATCH(ROUNDUP((J$1)/10,0)*10,[1]Hugst!$R$4:$W$4,0))))</f>
        <v>7173.0822974812017</v>
      </c>
      <c r="K262">
        <f ca="1">IF($C262-K$1&lt;År1,0,J261*(1-VLOOKUP($A262,[1]Hugst!$R$5:$W$9,MATCH(ROUNDUP((K$1)/10,0)*10,[1]Hugst!$R$4:$W$4,0))))</f>
        <v>7179.3832541560078</v>
      </c>
      <c r="L262">
        <f ca="1">IF($C262-L$1&lt;År1,0,K261*(1-VLOOKUP($A262,[1]Hugst!$R$5:$W$9,MATCH(ROUNDUP((L$1)/10,0)*10,[1]Hugst!$R$4:$W$4,0))))</f>
        <v>7185.7158739296856</v>
      </c>
      <c r="M262">
        <f ca="1">IF($C262-M$1&lt;År1,0,L261*(1-VLOOKUP($A262,[1]Hugst!$R$5:$W$9,MATCH(ROUNDUP((M$1)/10,0)*10,[1]Hugst!$R$4:$W$4,0))))</f>
        <v>7192.0803159132847</v>
      </c>
      <c r="N262">
        <f ca="1">IF($C262-N$1&lt;År1,0,M261*(1-VLOOKUP($A262,[1]Hugst!$R$5:$W$9,MATCH(ROUNDUP((N$1)/10,0)*10,[1]Hugst!$R$4:$W$4,0))))</f>
        <v>7198.4767400174187</v>
      </c>
      <c r="O262">
        <f ca="1">IF($C262-O$1&lt;År1,0,N261*(1-VLOOKUP($A262,[1]Hugst!$R$5:$W$9,MATCH(ROUNDUP((O$1)/10,0)*10,[1]Hugst!$R$4:$W$4,0))))</f>
        <v>7204.9053069562442</v>
      </c>
      <c r="P262">
        <f ca="1">IF($C262-P$1&lt;År1,0,O261*(1-VLOOKUP($A262,[1]Hugst!$R$5:$W$9,MATCH(ROUNDUP((P$1)/10,0)*10,[1]Hugst!$R$4:$W$4,0))))</f>
        <v>7211.3661782515483</v>
      </c>
      <c r="Q262">
        <f ca="1">IF($C262-Q$1&lt;År1,0,P261*(1-VLOOKUP($A262,[1]Hugst!$R$5:$W$9,MATCH(ROUNDUP((Q$1)/10,0)*10,[1]Hugst!$R$4:$W$4,0))))</f>
        <v>7217.8595162367346</v>
      </c>
      <c r="R262">
        <f ca="1">IF($C262-R$1&lt;År1,0,Q261*(1-VLOOKUP($A262,[1]Hugst!$R$5:$W$9,MATCH(ROUNDUP((R$1)/10,0)*10,[1]Hugst!$R$4:$W$4,0))))</f>
        <v>7224.3854840611129</v>
      </c>
      <c r="S262">
        <f>IF($C262-S$1&lt;År1,0,R261*(1-VLOOKUP($A262,[1]Hugst!$R$5:$W$9,MATCH(ROUNDUP((S$1)/10,0)*10,[1]Hugst!$R$4:$W$4,0))))</f>
        <v>0</v>
      </c>
      <c r="T262">
        <f>IF($C262-T$1&lt;År1,0,S261*(1-VLOOKUP($A262,[1]Hugst!$R$5:$W$9,MATCH(ROUNDUP((T$1)/10,0)*10,[1]Hugst!$R$4:$W$4,0))))</f>
        <v>0</v>
      </c>
      <c r="U262">
        <f>IF($C262-U$1&lt;År1,0,T261*(1-VLOOKUP($A262,[1]Hugst!$R$5:$W$9,MATCH(ROUNDUP((U$1)/10,0)*10,[1]Hugst!$R$4:$W$4,0))))</f>
        <v>0</v>
      </c>
      <c r="V262">
        <f>IF($C262-V$1&lt;År1,0,U261*(1-VLOOKUP($A262,[1]Hugst!$R$5:$W$9,MATCH(ROUNDUP((V$1)/10,0)*10,[1]Hugst!$R$4:$W$4,0))))</f>
        <v>0</v>
      </c>
      <c r="W262">
        <f>IF($C262-W$1&lt;År1,0,V261*(1-VLOOKUP($A262,[1]Hugst!$R$5:$W$9,MATCH(ROUNDUP((W$1)/10,0)*10,[1]Hugst!$R$4:$W$4,0))))</f>
        <v>0</v>
      </c>
      <c r="X262">
        <f>IF($C262-X$1&lt;År1,0,W261*(1-VLOOKUP($A262,[1]Hugst!$R$5:$W$9,MATCH(ROUNDUP((X$1)/10,0)*10,[1]Hugst!$R$4:$W$4,0))))</f>
        <v>0</v>
      </c>
      <c r="Y262">
        <f>IF($C262-Y$1&lt;År1,0,X261*(1-VLOOKUP($A262,[1]Hugst!$R$5:$W$9,MATCH(ROUNDUP((Y$1)/10,0)*10,[1]Hugst!$R$4:$W$4,0))))</f>
        <v>0</v>
      </c>
      <c r="Z262">
        <f>IF($C262-Z$1&lt;År1,0,Y261*(1-VLOOKUP($A262,[1]Hugst!$R$5:$W$9,MATCH(ROUNDUP((Z$1)/10,0)*10,[1]Hugst!$R$4:$W$4,0))))</f>
        <v>0</v>
      </c>
      <c r="AA262">
        <f>IF($C262-AA$1&lt;År1,0,Z261*(1-VLOOKUP($A262,[1]Hugst!$R$5:$W$9,MATCH(ROUNDUP((AA$1)/10,0)*10,[1]Hugst!$R$4:$W$4,0))))</f>
        <v>0</v>
      </c>
      <c r="AB262">
        <f>IF($C262-AB$1&lt;År1,0,AA261*(1-VLOOKUP($A262,[1]Hugst!$R$5:$W$9,MATCH(ROUNDUP((AB$1)/10,0)*10,[1]Hugst!$R$4:$W$4,0))))</f>
        <v>0</v>
      </c>
      <c r="AC262">
        <f>IF($C262-AC$1&lt;År1,0,AB261*(1-VLOOKUP($A262,[1]Hugst!$R$5:$W$9,MATCH(ROUNDUP((AC$1)/10,0)*10,[1]Hugst!$R$4:$W$4,0))))</f>
        <v>0</v>
      </c>
      <c r="AD262">
        <f>IF($C262-AD$1&lt;År1,0,AC261*(1-VLOOKUP($A262,[1]Hugst!$R$5:$W$9,MATCH(ROUNDUP((AD$1)/10,0)*10,[1]Hugst!$R$4:$W$4,0))))</f>
        <v>0</v>
      </c>
      <c r="AE262">
        <f>IF($C262-AE$1&lt;År1,0,AD261*(1-VLOOKUP($A262,[1]Hugst!$R$5:$W$9,MATCH(ROUNDUP((AE$1)/10,0)*10,[1]Hugst!$R$4:$W$4,0))))</f>
        <v>0</v>
      </c>
      <c r="AF262">
        <f>IF($C262-AF$1&lt;År1,0,AE261*(1-VLOOKUP($A262,[1]Hugst!$R$5:$W$9,MATCH(ROUNDUP((AF$1)/10,0)*10,[1]Hugst!$R$4:$W$4,0))))</f>
        <v>0</v>
      </c>
      <c r="AG262">
        <f>IF($C262-AG$1&lt;År1,0,AF261*(1-VLOOKUP($A262,[1]Hugst!$R$5:$W$9,MATCH(ROUNDUP((AG$1)/10,0)*10,[1]Hugst!$R$4:$W$4,0))))</f>
        <v>0</v>
      </c>
      <c r="AH262">
        <f>IF($C262-AH$1&lt;År1,0,AG261*(1-VLOOKUP($A262,[1]Hugst!$R$5:$W$9,MATCH(ROUNDUP((AH$1)/10,0)*10,[1]Hugst!$R$4:$W$4,0))))</f>
        <v>0</v>
      </c>
      <c r="AI262">
        <f>IF($C262-AI$1&lt;År1,0,AH261*(1-VLOOKUP($A262,[1]Hugst!$R$5:$W$9,MATCH(ROUNDUP((AI$1)/10,0)*10,[1]Hugst!$R$4:$W$4,0))))</f>
        <v>0</v>
      </c>
      <c r="AJ262">
        <f>IF($C262-AJ$1&lt;År1,0,AI261*(1-VLOOKUP($A262,[1]Hugst!$R$5:$W$9,MATCH(ROUNDUP((AJ$1)/10,0)*10,[1]Hugst!$R$4:$W$4,0))))</f>
        <v>0</v>
      </c>
    </row>
    <row r="263" spans="1:36" x14ac:dyDescent="0.25">
      <c r="A263" t="s">
        <v>180</v>
      </c>
      <c r="B263" t="s">
        <v>23</v>
      </c>
      <c r="C263">
        <v>2033</v>
      </c>
      <c r="D263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1222.8550279781011</v>
      </c>
      <c r="E263">
        <f t="shared" ca="1" si="6"/>
        <v>0</v>
      </c>
      <c r="F263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4478.4105835336577</v>
      </c>
      <c r="G263">
        <f ca="1">IF($C263-G$1&lt;År1,0,F262*(1-VLOOKUP($A263,[1]Hugst!$R$5:$W$9,MATCH(ROUNDUP((G$1)/10,0)*10,[1]Hugst!$R$4:$W$4,0))))</f>
        <v>4484.5555836742806</v>
      </c>
      <c r="H263">
        <f ca="1">IF($C263-H$1&lt;År1,0,G262*(1-VLOOKUP($A263,[1]Hugst!$R$5:$W$9,MATCH(ROUNDUP((H$1)/10,0)*10,[1]Hugst!$R$4:$W$4,0))))</f>
        <v>4490.7314632125017</v>
      </c>
      <c r="I263">
        <f ca="1">IF($C263-I$1&lt;År1,0,H262*(1-VLOOKUP($A263,[1]Hugst!$R$5:$W$9,MATCH(ROUNDUP((I$1)/10,0)*10,[1]Hugst!$R$4:$W$4,0))))</f>
        <v>7160.5747409577725</v>
      </c>
      <c r="J263">
        <f ca="1">IF($C263-J$1&lt;År1,0,I262*(1-VLOOKUP($A263,[1]Hugst!$R$5:$W$9,MATCH(ROUNDUP((J$1)/10,0)*10,[1]Hugst!$R$4:$W$4,0))))</f>
        <v>7166.8128455897004</v>
      </c>
      <c r="K263">
        <f ca="1">IF($C263-K$1&lt;År1,0,J262*(1-VLOOKUP($A263,[1]Hugst!$R$5:$W$9,MATCH(ROUNDUP((K$1)/10,0)*10,[1]Hugst!$R$4:$W$4,0))))</f>
        <v>7173.0822974812017</v>
      </c>
      <c r="L263">
        <f ca="1">IF($C263-L$1&lt;År1,0,K262*(1-VLOOKUP($A263,[1]Hugst!$R$5:$W$9,MATCH(ROUNDUP((L$1)/10,0)*10,[1]Hugst!$R$4:$W$4,0))))</f>
        <v>7179.3832541560078</v>
      </c>
      <c r="M263">
        <f ca="1">IF($C263-M$1&lt;År1,0,L262*(1-VLOOKUP($A263,[1]Hugst!$R$5:$W$9,MATCH(ROUNDUP((M$1)/10,0)*10,[1]Hugst!$R$4:$W$4,0))))</f>
        <v>7185.7158739296856</v>
      </c>
      <c r="N263">
        <f ca="1">IF($C263-N$1&lt;År1,0,M262*(1-VLOOKUP($A263,[1]Hugst!$R$5:$W$9,MATCH(ROUNDUP((N$1)/10,0)*10,[1]Hugst!$R$4:$W$4,0))))</f>
        <v>7192.0803159132847</v>
      </c>
      <c r="O263">
        <f ca="1">IF($C263-O$1&lt;År1,0,N262*(1-VLOOKUP($A263,[1]Hugst!$R$5:$W$9,MATCH(ROUNDUP((O$1)/10,0)*10,[1]Hugst!$R$4:$W$4,0))))</f>
        <v>7198.4767400174187</v>
      </c>
      <c r="P263">
        <f ca="1">IF($C263-P$1&lt;År1,0,O262*(1-VLOOKUP($A263,[1]Hugst!$R$5:$W$9,MATCH(ROUNDUP((P$1)/10,0)*10,[1]Hugst!$R$4:$W$4,0))))</f>
        <v>7204.9053069562442</v>
      </c>
      <c r="Q263">
        <f ca="1">IF($C263-Q$1&lt;År1,0,P262*(1-VLOOKUP($A263,[1]Hugst!$R$5:$W$9,MATCH(ROUNDUP((Q$1)/10,0)*10,[1]Hugst!$R$4:$W$4,0))))</f>
        <v>7211.3661782515483</v>
      </c>
      <c r="R263">
        <f ca="1">IF($C263-R$1&lt;År1,0,Q262*(1-VLOOKUP($A263,[1]Hugst!$R$5:$W$9,MATCH(ROUNDUP((R$1)/10,0)*10,[1]Hugst!$R$4:$W$4,0))))</f>
        <v>7217.8595162367346</v>
      </c>
      <c r="S263">
        <f ca="1">IF($C263-S$1&lt;År1,0,R262*(1-VLOOKUP($A263,[1]Hugst!$R$5:$W$9,MATCH(ROUNDUP((S$1)/10,0)*10,[1]Hugst!$R$4:$W$4,0))))</f>
        <v>7224.3854840611129</v>
      </c>
      <c r="T263">
        <f>IF($C263-T$1&lt;År1,0,S262*(1-VLOOKUP($A263,[1]Hugst!$R$5:$W$9,MATCH(ROUNDUP((T$1)/10,0)*10,[1]Hugst!$R$4:$W$4,0))))</f>
        <v>0</v>
      </c>
      <c r="U263">
        <f>IF($C263-U$1&lt;År1,0,T262*(1-VLOOKUP($A263,[1]Hugst!$R$5:$W$9,MATCH(ROUNDUP((U$1)/10,0)*10,[1]Hugst!$R$4:$W$4,0))))</f>
        <v>0</v>
      </c>
      <c r="V263">
        <f>IF($C263-V$1&lt;År1,0,U262*(1-VLOOKUP($A263,[1]Hugst!$R$5:$W$9,MATCH(ROUNDUP((V$1)/10,0)*10,[1]Hugst!$R$4:$W$4,0))))</f>
        <v>0</v>
      </c>
      <c r="W263">
        <f>IF($C263-W$1&lt;År1,0,V262*(1-VLOOKUP($A263,[1]Hugst!$R$5:$W$9,MATCH(ROUNDUP((W$1)/10,0)*10,[1]Hugst!$R$4:$W$4,0))))</f>
        <v>0</v>
      </c>
      <c r="X263">
        <f>IF($C263-X$1&lt;År1,0,W262*(1-VLOOKUP($A263,[1]Hugst!$R$5:$W$9,MATCH(ROUNDUP((X$1)/10,0)*10,[1]Hugst!$R$4:$W$4,0))))</f>
        <v>0</v>
      </c>
      <c r="Y263">
        <f>IF($C263-Y$1&lt;År1,0,X262*(1-VLOOKUP($A263,[1]Hugst!$R$5:$W$9,MATCH(ROUNDUP((Y$1)/10,0)*10,[1]Hugst!$R$4:$W$4,0))))</f>
        <v>0</v>
      </c>
      <c r="Z263">
        <f>IF($C263-Z$1&lt;År1,0,Y262*(1-VLOOKUP($A263,[1]Hugst!$R$5:$W$9,MATCH(ROUNDUP((Z$1)/10,0)*10,[1]Hugst!$R$4:$W$4,0))))</f>
        <v>0</v>
      </c>
      <c r="AA263">
        <f>IF($C263-AA$1&lt;År1,0,Z262*(1-VLOOKUP($A263,[1]Hugst!$R$5:$W$9,MATCH(ROUNDUP((AA$1)/10,0)*10,[1]Hugst!$R$4:$W$4,0))))</f>
        <v>0</v>
      </c>
      <c r="AB263">
        <f>IF($C263-AB$1&lt;År1,0,AA262*(1-VLOOKUP($A263,[1]Hugst!$R$5:$W$9,MATCH(ROUNDUP((AB$1)/10,0)*10,[1]Hugst!$R$4:$W$4,0))))</f>
        <v>0</v>
      </c>
      <c r="AC263">
        <f>IF($C263-AC$1&lt;År1,0,AB262*(1-VLOOKUP($A263,[1]Hugst!$R$5:$W$9,MATCH(ROUNDUP((AC$1)/10,0)*10,[1]Hugst!$R$4:$W$4,0))))</f>
        <v>0</v>
      </c>
      <c r="AD263">
        <f>IF($C263-AD$1&lt;År1,0,AC262*(1-VLOOKUP($A263,[1]Hugst!$R$5:$W$9,MATCH(ROUNDUP((AD$1)/10,0)*10,[1]Hugst!$R$4:$W$4,0))))</f>
        <v>0</v>
      </c>
      <c r="AE263">
        <f>IF($C263-AE$1&lt;År1,0,AD262*(1-VLOOKUP($A263,[1]Hugst!$R$5:$W$9,MATCH(ROUNDUP((AE$1)/10,0)*10,[1]Hugst!$R$4:$W$4,0))))</f>
        <v>0</v>
      </c>
      <c r="AF263">
        <f>IF($C263-AF$1&lt;År1,0,AE262*(1-VLOOKUP($A263,[1]Hugst!$R$5:$W$9,MATCH(ROUNDUP((AF$1)/10,0)*10,[1]Hugst!$R$4:$W$4,0))))</f>
        <v>0</v>
      </c>
      <c r="AG263">
        <f>IF($C263-AG$1&lt;År1,0,AF262*(1-VLOOKUP($A263,[1]Hugst!$R$5:$W$9,MATCH(ROUNDUP((AG$1)/10,0)*10,[1]Hugst!$R$4:$W$4,0))))</f>
        <v>0</v>
      </c>
      <c r="AH263">
        <f>IF($C263-AH$1&lt;År1,0,AG262*(1-VLOOKUP($A263,[1]Hugst!$R$5:$W$9,MATCH(ROUNDUP((AH$1)/10,0)*10,[1]Hugst!$R$4:$W$4,0))))</f>
        <v>0</v>
      </c>
      <c r="AI263">
        <f>IF($C263-AI$1&lt;År1,0,AH262*(1-VLOOKUP($A263,[1]Hugst!$R$5:$W$9,MATCH(ROUNDUP((AI$1)/10,0)*10,[1]Hugst!$R$4:$W$4,0))))</f>
        <v>0</v>
      </c>
      <c r="AJ263">
        <f>IF($C263-AJ$1&lt;År1,0,AI262*(1-VLOOKUP($A263,[1]Hugst!$R$5:$W$9,MATCH(ROUNDUP((AJ$1)/10,0)*10,[1]Hugst!$R$4:$W$4,0))))</f>
        <v>0</v>
      </c>
    </row>
    <row r="264" spans="1:36" x14ac:dyDescent="0.25">
      <c r="A264" t="s">
        <v>180</v>
      </c>
      <c r="B264" t="s">
        <v>23</v>
      </c>
      <c r="C264">
        <v>2034</v>
      </c>
      <c r="D264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1216.7407528382137</v>
      </c>
      <c r="E264">
        <f t="shared" ca="1" si="6"/>
        <v>0</v>
      </c>
      <c r="F264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4472.2963083937702</v>
      </c>
      <c r="G264">
        <f ca="1">IF($C264-G$1&lt;År1,0,F263*(1-VLOOKUP($A264,[1]Hugst!$R$5:$W$9,MATCH(ROUNDUP((G$1)/10,0)*10,[1]Hugst!$R$4:$W$4,0))))</f>
        <v>4478.4105835336577</v>
      </c>
      <c r="H264">
        <f ca="1">IF($C264-H$1&lt;År1,0,G263*(1-VLOOKUP($A264,[1]Hugst!$R$5:$W$9,MATCH(ROUNDUP((H$1)/10,0)*10,[1]Hugst!$R$4:$W$4,0))))</f>
        <v>4484.5555836742806</v>
      </c>
      <c r="I264">
        <f ca="1">IF($C264-I$1&lt;År1,0,H263*(1-VLOOKUP($A264,[1]Hugst!$R$5:$W$9,MATCH(ROUNDUP((I$1)/10,0)*10,[1]Hugst!$R$4:$W$4,0))))</f>
        <v>4490.7314632125017</v>
      </c>
      <c r="J264">
        <f ca="1">IF($C264-J$1&lt;År1,0,I263*(1-VLOOKUP($A264,[1]Hugst!$R$5:$W$9,MATCH(ROUNDUP((J$1)/10,0)*10,[1]Hugst!$R$4:$W$4,0))))</f>
        <v>7160.5747409577725</v>
      </c>
      <c r="K264">
        <f ca="1">IF($C264-K$1&lt;År1,0,J263*(1-VLOOKUP($A264,[1]Hugst!$R$5:$W$9,MATCH(ROUNDUP((K$1)/10,0)*10,[1]Hugst!$R$4:$W$4,0))))</f>
        <v>7166.8128455897004</v>
      </c>
      <c r="L264">
        <f ca="1">IF($C264-L$1&lt;År1,0,K263*(1-VLOOKUP($A264,[1]Hugst!$R$5:$W$9,MATCH(ROUNDUP((L$1)/10,0)*10,[1]Hugst!$R$4:$W$4,0))))</f>
        <v>7173.0822974812017</v>
      </c>
      <c r="M264">
        <f ca="1">IF($C264-M$1&lt;År1,0,L263*(1-VLOOKUP($A264,[1]Hugst!$R$5:$W$9,MATCH(ROUNDUP((M$1)/10,0)*10,[1]Hugst!$R$4:$W$4,0))))</f>
        <v>7179.3832541560078</v>
      </c>
      <c r="N264">
        <f ca="1">IF($C264-N$1&lt;År1,0,M263*(1-VLOOKUP($A264,[1]Hugst!$R$5:$W$9,MATCH(ROUNDUP((N$1)/10,0)*10,[1]Hugst!$R$4:$W$4,0))))</f>
        <v>7185.7158739296856</v>
      </c>
      <c r="O264">
        <f ca="1">IF($C264-O$1&lt;År1,0,N263*(1-VLOOKUP($A264,[1]Hugst!$R$5:$W$9,MATCH(ROUNDUP((O$1)/10,0)*10,[1]Hugst!$R$4:$W$4,0))))</f>
        <v>7192.0803159132847</v>
      </c>
      <c r="P264">
        <f ca="1">IF($C264-P$1&lt;År1,0,O263*(1-VLOOKUP($A264,[1]Hugst!$R$5:$W$9,MATCH(ROUNDUP((P$1)/10,0)*10,[1]Hugst!$R$4:$W$4,0))))</f>
        <v>7198.4767400174187</v>
      </c>
      <c r="Q264">
        <f ca="1">IF($C264-Q$1&lt;År1,0,P263*(1-VLOOKUP($A264,[1]Hugst!$R$5:$W$9,MATCH(ROUNDUP((Q$1)/10,0)*10,[1]Hugst!$R$4:$W$4,0))))</f>
        <v>7204.9053069562442</v>
      </c>
      <c r="R264">
        <f ca="1">IF($C264-R$1&lt;År1,0,Q263*(1-VLOOKUP($A264,[1]Hugst!$R$5:$W$9,MATCH(ROUNDUP((R$1)/10,0)*10,[1]Hugst!$R$4:$W$4,0))))</f>
        <v>7211.3661782515483</v>
      </c>
      <c r="S264">
        <f ca="1">IF($C264-S$1&lt;År1,0,R263*(1-VLOOKUP($A264,[1]Hugst!$R$5:$W$9,MATCH(ROUNDUP((S$1)/10,0)*10,[1]Hugst!$R$4:$W$4,0))))</f>
        <v>7217.8595162367346</v>
      </c>
      <c r="T264">
        <f ca="1">IF($C264-T$1&lt;År1,0,S263*(1-VLOOKUP($A264,[1]Hugst!$R$5:$W$9,MATCH(ROUNDUP((T$1)/10,0)*10,[1]Hugst!$R$4:$W$4,0))))</f>
        <v>7224.3854840611129</v>
      </c>
      <c r="U264">
        <f>IF($C264-U$1&lt;År1,0,T263*(1-VLOOKUP($A264,[1]Hugst!$R$5:$W$9,MATCH(ROUNDUP((U$1)/10,0)*10,[1]Hugst!$R$4:$W$4,0))))</f>
        <v>0</v>
      </c>
      <c r="V264">
        <f>IF($C264-V$1&lt;År1,0,U263*(1-VLOOKUP($A264,[1]Hugst!$R$5:$W$9,MATCH(ROUNDUP((V$1)/10,0)*10,[1]Hugst!$R$4:$W$4,0))))</f>
        <v>0</v>
      </c>
      <c r="W264">
        <f>IF($C264-W$1&lt;År1,0,V263*(1-VLOOKUP($A264,[1]Hugst!$R$5:$W$9,MATCH(ROUNDUP((W$1)/10,0)*10,[1]Hugst!$R$4:$W$4,0))))</f>
        <v>0</v>
      </c>
      <c r="X264">
        <f>IF($C264-X$1&lt;År1,0,W263*(1-VLOOKUP($A264,[1]Hugst!$R$5:$W$9,MATCH(ROUNDUP((X$1)/10,0)*10,[1]Hugst!$R$4:$W$4,0))))</f>
        <v>0</v>
      </c>
      <c r="Y264">
        <f>IF($C264-Y$1&lt;År1,0,X263*(1-VLOOKUP($A264,[1]Hugst!$R$5:$W$9,MATCH(ROUNDUP((Y$1)/10,0)*10,[1]Hugst!$R$4:$W$4,0))))</f>
        <v>0</v>
      </c>
      <c r="Z264">
        <f>IF($C264-Z$1&lt;År1,0,Y263*(1-VLOOKUP($A264,[1]Hugst!$R$5:$W$9,MATCH(ROUNDUP((Z$1)/10,0)*10,[1]Hugst!$R$4:$W$4,0))))</f>
        <v>0</v>
      </c>
      <c r="AA264">
        <f>IF($C264-AA$1&lt;År1,0,Z263*(1-VLOOKUP($A264,[1]Hugst!$R$5:$W$9,MATCH(ROUNDUP((AA$1)/10,0)*10,[1]Hugst!$R$4:$W$4,0))))</f>
        <v>0</v>
      </c>
      <c r="AB264">
        <f>IF($C264-AB$1&lt;År1,0,AA263*(1-VLOOKUP($A264,[1]Hugst!$R$5:$W$9,MATCH(ROUNDUP((AB$1)/10,0)*10,[1]Hugst!$R$4:$W$4,0))))</f>
        <v>0</v>
      </c>
      <c r="AC264">
        <f>IF($C264-AC$1&lt;År1,0,AB263*(1-VLOOKUP($A264,[1]Hugst!$R$5:$W$9,MATCH(ROUNDUP((AC$1)/10,0)*10,[1]Hugst!$R$4:$W$4,0))))</f>
        <v>0</v>
      </c>
      <c r="AD264">
        <f>IF($C264-AD$1&lt;År1,0,AC263*(1-VLOOKUP($A264,[1]Hugst!$R$5:$W$9,MATCH(ROUNDUP((AD$1)/10,0)*10,[1]Hugst!$R$4:$W$4,0))))</f>
        <v>0</v>
      </c>
      <c r="AE264">
        <f>IF($C264-AE$1&lt;År1,0,AD263*(1-VLOOKUP($A264,[1]Hugst!$R$5:$W$9,MATCH(ROUNDUP((AE$1)/10,0)*10,[1]Hugst!$R$4:$W$4,0))))</f>
        <v>0</v>
      </c>
      <c r="AF264">
        <f>IF($C264-AF$1&lt;År1,0,AE263*(1-VLOOKUP($A264,[1]Hugst!$R$5:$W$9,MATCH(ROUNDUP((AF$1)/10,0)*10,[1]Hugst!$R$4:$W$4,0))))</f>
        <v>0</v>
      </c>
      <c r="AG264">
        <f>IF($C264-AG$1&lt;År1,0,AF263*(1-VLOOKUP($A264,[1]Hugst!$R$5:$W$9,MATCH(ROUNDUP((AG$1)/10,0)*10,[1]Hugst!$R$4:$W$4,0))))</f>
        <v>0</v>
      </c>
      <c r="AH264">
        <f>IF($C264-AH$1&lt;År1,0,AG263*(1-VLOOKUP($A264,[1]Hugst!$R$5:$W$9,MATCH(ROUNDUP((AH$1)/10,0)*10,[1]Hugst!$R$4:$W$4,0))))</f>
        <v>0</v>
      </c>
      <c r="AI264">
        <f>IF($C264-AI$1&lt;År1,0,AH263*(1-VLOOKUP($A264,[1]Hugst!$R$5:$W$9,MATCH(ROUNDUP((AI$1)/10,0)*10,[1]Hugst!$R$4:$W$4,0))))</f>
        <v>0</v>
      </c>
      <c r="AJ264">
        <f>IF($C264-AJ$1&lt;År1,0,AI263*(1-VLOOKUP($A264,[1]Hugst!$R$5:$W$9,MATCH(ROUNDUP((AJ$1)/10,0)*10,[1]Hugst!$R$4:$W$4,0))))</f>
        <v>0</v>
      </c>
    </row>
    <row r="265" spans="1:36" x14ac:dyDescent="0.25">
      <c r="A265" t="s">
        <v>180</v>
      </c>
      <c r="B265" t="s">
        <v>23</v>
      </c>
      <c r="C265">
        <v>2035</v>
      </c>
      <c r="D265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1210.6570490740451</v>
      </c>
      <c r="E265">
        <f t="shared" ca="1" si="6"/>
        <v>0</v>
      </c>
      <c r="F265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4466.2126046296016</v>
      </c>
      <c r="G265">
        <f ca="1">IF($C265-G$1&lt;År1,0,F264*(1-VLOOKUP($A265,[1]Hugst!$R$5:$W$9,MATCH(ROUNDUP((G$1)/10,0)*10,[1]Hugst!$R$4:$W$4,0))))</f>
        <v>4472.2963083937702</v>
      </c>
      <c r="H265">
        <f ca="1">IF($C265-H$1&lt;År1,0,G264*(1-VLOOKUP($A265,[1]Hugst!$R$5:$W$9,MATCH(ROUNDUP((H$1)/10,0)*10,[1]Hugst!$R$4:$W$4,0))))</f>
        <v>4478.4105835336577</v>
      </c>
      <c r="I265">
        <f ca="1">IF($C265-I$1&lt;År1,0,H264*(1-VLOOKUP($A265,[1]Hugst!$R$5:$W$9,MATCH(ROUNDUP((I$1)/10,0)*10,[1]Hugst!$R$4:$W$4,0))))</f>
        <v>4484.5555836742806</v>
      </c>
      <c r="J265">
        <f ca="1">IF($C265-J$1&lt;År1,0,I264*(1-VLOOKUP($A265,[1]Hugst!$R$5:$W$9,MATCH(ROUNDUP((J$1)/10,0)*10,[1]Hugst!$R$4:$W$4,0))))</f>
        <v>4490.7314632125017</v>
      </c>
      <c r="K265">
        <f ca="1">IF($C265-K$1&lt;År1,0,J264*(1-VLOOKUP($A265,[1]Hugst!$R$5:$W$9,MATCH(ROUNDUP((K$1)/10,0)*10,[1]Hugst!$R$4:$W$4,0))))</f>
        <v>7160.5747409577725</v>
      </c>
      <c r="L265">
        <f ca="1">IF($C265-L$1&lt;År1,0,K264*(1-VLOOKUP($A265,[1]Hugst!$R$5:$W$9,MATCH(ROUNDUP((L$1)/10,0)*10,[1]Hugst!$R$4:$W$4,0))))</f>
        <v>7166.8128455897004</v>
      </c>
      <c r="M265">
        <f ca="1">IF($C265-M$1&lt;År1,0,L264*(1-VLOOKUP($A265,[1]Hugst!$R$5:$W$9,MATCH(ROUNDUP((M$1)/10,0)*10,[1]Hugst!$R$4:$W$4,0))))</f>
        <v>7173.0822974812017</v>
      </c>
      <c r="N265">
        <f ca="1">IF($C265-N$1&lt;År1,0,M264*(1-VLOOKUP($A265,[1]Hugst!$R$5:$W$9,MATCH(ROUNDUP((N$1)/10,0)*10,[1]Hugst!$R$4:$W$4,0))))</f>
        <v>7179.3832541560078</v>
      </c>
      <c r="O265">
        <f ca="1">IF($C265-O$1&lt;År1,0,N264*(1-VLOOKUP($A265,[1]Hugst!$R$5:$W$9,MATCH(ROUNDUP((O$1)/10,0)*10,[1]Hugst!$R$4:$W$4,0))))</f>
        <v>7185.7158739296856</v>
      </c>
      <c r="P265">
        <f ca="1">IF($C265-P$1&lt;År1,0,O264*(1-VLOOKUP($A265,[1]Hugst!$R$5:$W$9,MATCH(ROUNDUP((P$1)/10,0)*10,[1]Hugst!$R$4:$W$4,0))))</f>
        <v>7192.0803159132847</v>
      </c>
      <c r="Q265">
        <f ca="1">IF($C265-Q$1&lt;År1,0,P264*(1-VLOOKUP($A265,[1]Hugst!$R$5:$W$9,MATCH(ROUNDUP((Q$1)/10,0)*10,[1]Hugst!$R$4:$W$4,0))))</f>
        <v>7198.4767400174187</v>
      </c>
      <c r="R265">
        <f ca="1">IF($C265-R$1&lt;År1,0,Q264*(1-VLOOKUP($A265,[1]Hugst!$R$5:$W$9,MATCH(ROUNDUP((R$1)/10,0)*10,[1]Hugst!$R$4:$W$4,0))))</f>
        <v>7204.9053069562442</v>
      </c>
      <c r="S265">
        <f ca="1">IF($C265-S$1&lt;År1,0,R264*(1-VLOOKUP($A265,[1]Hugst!$R$5:$W$9,MATCH(ROUNDUP((S$1)/10,0)*10,[1]Hugst!$R$4:$W$4,0))))</f>
        <v>7211.3661782515483</v>
      </c>
      <c r="T265">
        <f ca="1">IF($C265-T$1&lt;År1,0,S264*(1-VLOOKUP($A265,[1]Hugst!$R$5:$W$9,MATCH(ROUNDUP((T$1)/10,0)*10,[1]Hugst!$R$4:$W$4,0))))</f>
        <v>7217.8595162367346</v>
      </c>
      <c r="U265">
        <f ca="1">IF($C265-U$1&lt;År1,0,T264*(1-VLOOKUP($A265,[1]Hugst!$R$5:$W$9,MATCH(ROUNDUP((U$1)/10,0)*10,[1]Hugst!$R$4:$W$4,0))))</f>
        <v>7224.3854840611129</v>
      </c>
      <c r="V265">
        <f>IF($C265-V$1&lt;År1,0,U264*(1-VLOOKUP($A265,[1]Hugst!$R$5:$W$9,MATCH(ROUNDUP((V$1)/10,0)*10,[1]Hugst!$R$4:$W$4,0))))</f>
        <v>0</v>
      </c>
      <c r="W265">
        <f>IF($C265-W$1&lt;År1,0,V264*(1-VLOOKUP($A265,[1]Hugst!$R$5:$W$9,MATCH(ROUNDUP((W$1)/10,0)*10,[1]Hugst!$R$4:$W$4,0))))</f>
        <v>0</v>
      </c>
      <c r="X265">
        <f>IF($C265-X$1&lt;År1,0,W264*(1-VLOOKUP($A265,[1]Hugst!$R$5:$W$9,MATCH(ROUNDUP((X$1)/10,0)*10,[1]Hugst!$R$4:$W$4,0))))</f>
        <v>0</v>
      </c>
      <c r="Y265">
        <f>IF($C265-Y$1&lt;År1,0,X264*(1-VLOOKUP($A265,[1]Hugst!$R$5:$W$9,MATCH(ROUNDUP((Y$1)/10,0)*10,[1]Hugst!$R$4:$W$4,0))))</f>
        <v>0</v>
      </c>
      <c r="Z265">
        <f>IF($C265-Z$1&lt;År1,0,Y264*(1-VLOOKUP($A265,[1]Hugst!$R$5:$W$9,MATCH(ROUNDUP((Z$1)/10,0)*10,[1]Hugst!$R$4:$W$4,0))))</f>
        <v>0</v>
      </c>
      <c r="AA265">
        <f>IF($C265-AA$1&lt;År1,0,Z264*(1-VLOOKUP($A265,[1]Hugst!$R$5:$W$9,MATCH(ROUNDUP((AA$1)/10,0)*10,[1]Hugst!$R$4:$W$4,0))))</f>
        <v>0</v>
      </c>
      <c r="AB265">
        <f>IF($C265-AB$1&lt;År1,0,AA264*(1-VLOOKUP($A265,[1]Hugst!$R$5:$W$9,MATCH(ROUNDUP((AB$1)/10,0)*10,[1]Hugst!$R$4:$W$4,0))))</f>
        <v>0</v>
      </c>
      <c r="AC265">
        <f>IF($C265-AC$1&lt;År1,0,AB264*(1-VLOOKUP($A265,[1]Hugst!$R$5:$W$9,MATCH(ROUNDUP((AC$1)/10,0)*10,[1]Hugst!$R$4:$W$4,0))))</f>
        <v>0</v>
      </c>
      <c r="AD265">
        <f>IF($C265-AD$1&lt;År1,0,AC264*(1-VLOOKUP($A265,[1]Hugst!$R$5:$W$9,MATCH(ROUNDUP((AD$1)/10,0)*10,[1]Hugst!$R$4:$W$4,0))))</f>
        <v>0</v>
      </c>
      <c r="AE265">
        <f>IF($C265-AE$1&lt;År1,0,AD264*(1-VLOOKUP($A265,[1]Hugst!$R$5:$W$9,MATCH(ROUNDUP((AE$1)/10,0)*10,[1]Hugst!$R$4:$W$4,0))))</f>
        <v>0</v>
      </c>
      <c r="AF265">
        <f>IF($C265-AF$1&lt;År1,0,AE264*(1-VLOOKUP($A265,[1]Hugst!$R$5:$W$9,MATCH(ROUNDUP((AF$1)/10,0)*10,[1]Hugst!$R$4:$W$4,0))))</f>
        <v>0</v>
      </c>
      <c r="AG265">
        <f>IF($C265-AG$1&lt;År1,0,AF264*(1-VLOOKUP($A265,[1]Hugst!$R$5:$W$9,MATCH(ROUNDUP((AG$1)/10,0)*10,[1]Hugst!$R$4:$W$4,0))))</f>
        <v>0</v>
      </c>
      <c r="AH265">
        <f>IF($C265-AH$1&lt;År1,0,AG264*(1-VLOOKUP($A265,[1]Hugst!$R$5:$W$9,MATCH(ROUNDUP((AH$1)/10,0)*10,[1]Hugst!$R$4:$W$4,0))))</f>
        <v>0</v>
      </c>
      <c r="AI265">
        <f>IF($C265-AI$1&lt;År1,0,AH264*(1-VLOOKUP($A265,[1]Hugst!$R$5:$W$9,MATCH(ROUNDUP((AI$1)/10,0)*10,[1]Hugst!$R$4:$W$4,0))))</f>
        <v>0</v>
      </c>
      <c r="AJ265">
        <f>IF($C265-AJ$1&lt;År1,0,AI264*(1-VLOOKUP($A265,[1]Hugst!$R$5:$W$9,MATCH(ROUNDUP((AJ$1)/10,0)*10,[1]Hugst!$R$4:$W$4,0))))</f>
        <v>0</v>
      </c>
    </row>
    <row r="266" spans="1:36" x14ac:dyDescent="0.25">
      <c r="A266" t="s">
        <v>180</v>
      </c>
      <c r="B266" t="s">
        <v>23</v>
      </c>
      <c r="C266">
        <v>2036</v>
      </c>
      <c r="D266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1204.6037638286725</v>
      </c>
      <c r="E266">
        <f t="shared" ca="1" si="6"/>
        <v>0</v>
      </c>
      <c r="F266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4460.1593193842291</v>
      </c>
      <c r="G266">
        <f ca="1">IF($C266-G$1&lt;År1,0,F265*(1-VLOOKUP($A266,[1]Hugst!$R$5:$W$9,MATCH(ROUNDUP((G$1)/10,0)*10,[1]Hugst!$R$4:$W$4,0))))</f>
        <v>4466.2126046296016</v>
      </c>
      <c r="H266">
        <f ca="1">IF($C266-H$1&lt;År1,0,G265*(1-VLOOKUP($A266,[1]Hugst!$R$5:$W$9,MATCH(ROUNDUP((H$1)/10,0)*10,[1]Hugst!$R$4:$W$4,0))))</f>
        <v>4472.2963083937702</v>
      </c>
      <c r="I266">
        <f ca="1">IF($C266-I$1&lt;År1,0,H265*(1-VLOOKUP($A266,[1]Hugst!$R$5:$W$9,MATCH(ROUNDUP((I$1)/10,0)*10,[1]Hugst!$R$4:$W$4,0))))</f>
        <v>4478.4105835336577</v>
      </c>
      <c r="J266">
        <f ca="1">IF($C266-J$1&lt;År1,0,I265*(1-VLOOKUP($A266,[1]Hugst!$R$5:$W$9,MATCH(ROUNDUP((J$1)/10,0)*10,[1]Hugst!$R$4:$W$4,0))))</f>
        <v>4484.5555836742806</v>
      </c>
      <c r="K266">
        <f ca="1">IF($C266-K$1&lt;År1,0,J265*(1-VLOOKUP($A266,[1]Hugst!$R$5:$W$9,MATCH(ROUNDUP((K$1)/10,0)*10,[1]Hugst!$R$4:$W$4,0))))</f>
        <v>4490.7314632125017</v>
      </c>
      <c r="L266">
        <f ca="1">IF($C266-L$1&lt;År1,0,K265*(1-VLOOKUP($A266,[1]Hugst!$R$5:$W$9,MATCH(ROUNDUP((L$1)/10,0)*10,[1]Hugst!$R$4:$W$4,0))))</f>
        <v>7160.5747409577725</v>
      </c>
      <c r="M266">
        <f ca="1">IF($C266-M$1&lt;År1,0,L265*(1-VLOOKUP($A266,[1]Hugst!$R$5:$W$9,MATCH(ROUNDUP((M$1)/10,0)*10,[1]Hugst!$R$4:$W$4,0))))</f>
        <v>7166.8128455897004</v>
      </c>
      <c r="N266">
        <f ca="1">IF($C266-N$1&lt;År1,0,M265*(1-VLOOKUP($A266,[1]Hugst!$R$5:$W$9,MATCH(ROUNDUP((N$1)/10,0)*10,[1]Hugst!$R$4:$W$4,0))))</f>
        <v>7173.0822974812017</v>
      </c>
      <c r="O266">
        <f ca="1">IF($C266-O$1&lt;År1,0,N265*(1-VLOOKUP($A266,[1]Hugst!$R$5:$W$9,MATCH(ROUNDUP((O$1)/10,0)*10,[1]Hugst!$R$4:$W$4,0))))</f>
        <v>7179.3832541560078</v>
      </c>
      <c r="P266">
        <f ca="1">IF($C266-P$1&lt;År1,0,O265*(1-VLOOKUP($A266,[1]Hugst!$R$5:$W$9,MATCH(ROUNDUP((P$1)/10,0)*10,[1]Hugst!$R$4:$W$4,0))))</f>
        <v>7185.7158739296856</v>
      </c>
      <c r="Q266">
        <f ca="1">IF($C266-Q$1&lt;År1,0,P265*(1-VLOOKUP($A266,[1]Hugst!$R$5:$W$9,MATCH(ROUNDUP((Q$1)/10,0)*10,[1]Hugst!$R$4:$W$4,0))))</f>
        <v>7192.0803159132847</v>
      </c>
      <c r="R266">
        <f ca="1">IF($C266-R$1&lt;År1,0,Q265*(1-VLOOKUP($A266,[1]Hugst!$R$5:$W$9,MATCH(ROUNDUP((R$1)/10,0)*10,[1]Hugst!$R$4:$W$4,0))))</f>
        <v>7198.4767400174187</v>
      </c>
      <c r="S266">
        <f ca="1">IF($C266-S$1&lt;År1,0,R265*(1-VLOOKUP($A266,[1]Hugst!$R$5:$W$9,MATCH(ROUNDUP((S$1)/10,0)*10,[1]Hugst!$R$4:$W$4,0))))</f>
        <v>7204.9053069562442</v>
      </c>
      <c r="T266">
        <f ca="1">IF($C266-T$1&lt;År1,0,S265*(1-VLOOKUP($A266,[1]Hugst!$R$5:$W$9,MATCH(ROUNDUP((T$1)/10,0)*10,[1]Hugst!$R$4:$W$4,0))))</f>
        <v>7211.3661782515483</v>
      </c>
      <c r="U266">
        <f ca="1">IF($C266-U$1&lt;År1,0,T265*(1-VLOOKUP($A266,[1]Hugst!$R$5:$W$9,MATCH(ROUNDUP((U$1)/10,0)*10,[1]Hugst!$R$4:$W$4,0))))</f>
        <v>7217.8595162367346</v>
      </c>
      <c r="V266">
        <f ca="1">IF($C266-V$1&lt;År1,0,U265*(1-VLOOKUP($A266,[1]Hugst!$R$5:$W$9,MATCH(ROUNDUP((V$1)/10,0)*10,[1]Hugst!$R$4:$W$4,0))))</f>
        <v>7224.3854840611129</v>
      </c>
      <c r="W266">
        <f>IF($C266-W$1&lt;År1,0,V265*(1-VLOOKUP($A266,[1]Hugst!$R$5:$W$9,MATCH(ROUNDUP((W$1)/10,0)*10,[1]Hugst!$R$4:$W$4,0))))</f>
        <v>0</v>
      </c>
      <c r="X266">
        <f>IF($C266-X$1&lt;År1,0,W265*(1-VLOOKUP($A266,[1]Hugst!$R$5:$W$9,MATCH(ROUNDUP((X$1)/10,0)*10,[1]Hugst!$R$4:$W$4,0))))</f>
        <v>0</v>
      </c>
      <c r="Y266">
        <f>IF($C266-Y$1&lt;År1,0,X265*(1-VLOOKUP($A266,[1]Hugst!$R$5:$W$9,MATCH(ROUNDUP((Y$1)/10,0)*10,[1]Hugst!$R$4:$W$4,0))))</f>
        <v>0</v>
      </c>
      <c r="Z266">
        <f>IF($C266-Z$1&lt;År1,0,Y265*(1-VLOOKUP($A266,[1]Hugst!$R$5:$W$9,MATCH(ROUNDUP((Z$1)/10,0)*10,[1]Hugst!$R$4:$W$4,0))))</f>
        <v>0</v>
      </c>
      <c r="AA266">
        <f>IF($C266-AA$1&lt;År1,0,Z265*(1-VLOOKUP($A266,[1]Hugst!$R$5:$W$9,MATCH(ROUNDUP((AA$1)/10,0)*10,[1]Hugst!$R$4:$W$4,0))))</f>
        <v>0</v>
      </c>
      <c r="AB266">
        <f>IF($C266-AB$1&lt;År1,0,AA265*(1-VLOOKUP($A266,[1]Hugst!$R$5:$W$9,MATCH(ROUNDUP((AB$1)/10,0)*10,[1]Hugst!$R$4:$W$4,0))))</f>
        <v>0</v>
      </c>
      <c r="AC266">
        <f>IF($C266-AC$1&lt;År1,0,AB265*(1-VLOOKUP($A266,[1]Hugst!$R$5:$W$9,MATCH(ROUNDUP((AC$1)/10,0)*10,[1]Hugst!$R$4:$W$4,0))))</f>
        <v>0</v>
      </c>
      <c r="AD266">
        <f>IF($C266-AD$1&lt;År1,0,AC265*(1-VLOOKUP($A266,[1]Hugst!$R$5:$W$9,MATCH(ROUNDUP((AD$1)/10,0)*10,[1]Hugst!$R$4:$W$4,0))))</f>
        <v>0</v>
      </c>
      <c r="AE266">
        <f>IF($C266-AE$1&lt;År1,0,AD265*(1-VLOOKUP($A266,[1]Hugst!$R$5:$W$9,MATCH(ROUNDUP((AE$1)/10,0)*10,[1]Hugst!$R$4:$W$4,0))))</f>
        <v>0</v>
      </c>
      <c r="AF266">
        <f>IF($C266-AF$1&lt;År1,0,AE265*(1-VLOOKUP($A266,[1]Hugst!$R$5:$W$9,MATCH(ROUNDUP((AF$1)/10,0)*10,[1]Hugst!$R$4:$W$4,0))))</f>
        <v>0</v>
      </c>
      <c r="AG266">
        <f>IF($C266-AG$1&lt;År1,0,AF265*(1-VLOOKUP($A266,[1]Hugst!$R$5:$W$9,MATCH(ROUNDUP((AG$1)/10,0)*10,[1]Hugst!$R$4:$W$4,0))))</f>
        <v>0</v>
      </c>
      <c r="AH266">
        <f>IF($C266-AH$1&lt;År1,0,AG265*(1-VLOOKUP($A266,[1]Hugst!$R$5:$W$9,MATCH(ROUNDUP((AH$1)/10,0)*10,[1]Hugst!$R$4:$W$4,0))))</f>
        <v>0</v>
      </c>
      <c r="AI266">
        <f>IF($C266-AI$1&lt;År1,0,AH265*(1-VLOOKUP($A266,[1]Hugst!$R$5:$W$9,MATCH(ROUNDUP((AI$1)/10,0)*10,[1]Hugst!$R$4:$W$4,0))))</f>
        <v>0</v>
      </c>
      <c r="AJ266">
        <f>IF($C266-AJ$1&lt;År1,0,AI265*(1-VLOOKUP($A266,[1]Hugst!$R$5:$W$9,MATCH(ROUNDUP((AJ$1)/10,0)*10,[1]Hugst!$R$4:$W$4,0))))</f>
        <v>0</v>
      </c>
    </row>
    <row r="267" spans="1:36" x14ac:dyDescent="0.25">
      <c r="A267" t="s">
        <v>180</v>
      </c>
      <c r="B267" t="s">
        <v>23</v>
      </c>
      <c r="C267">
        <v>2037</v>
      </c>
      <c r="D267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1198.5807450095199</v>
      </c>
      <c r="E267">
        <f t="shared" ca="1" si="6"/>
        <v>0</v>
      </c>
      <c r="F267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4454.1363005650765</v>
      </c>
      <c r="G267">
        <f ca="1">IF($C267-G$1&lt;År1,0,F266*(1-VLOOKUP($A267,[1]Hugst!$R$5:$W$9,MATCH(ROUNDUP((G$1)/10,0)*10,[1]Hugst!$R$4:$W$4,0))))</f>
        <v>4460.1593193842291</v>
      </c>
      <c r="H267">
        <f ca="1">IF($C267-H$1&lt;År1,0,G266*(1-VLOOKUP($A267,[1]Hugst!$R$5:$W$9,MATCH(ROUNDUP((H$1)/10,0)*10,[1]Hugst!$R$4:$W$4,0))))</f>
        <v>4466.2126046296016</v>
      </c>
      <c r="I267">
        <f ca="1">IF($C267-I$1&lt;År1,0,H266*(1-VLOOKUP($A267,[1]Hugst!$R$5:$W$9,MATCH(ROUNDUP((I$1)/10,0)*10,[1]Hugst!$R$4:$W$4,0))))</f>
        <v>4472.2963083937702</v>
      </c>
      <c r="J267">
        <f ca="1">IF($C267-J$1&lt;År1,0,I266*(1-VLOOKUP($A267,[1]Hugst!$R$5:$W$9,MATCH(ROUNDUP((J$1)/10,0)*10,[1]Hugst!$R$4:$W$4,0))))</f>
        <v>4478.4105835336577</v>
      </c>
      <c r="K267">
        <f ca="1">IF($C267-K$1&lt;År1,0,J266*(1-VLOOKUP($A267,[1]Hugst!$R$5:$W$9,MATCH(ROUNDUP((K$1)/10,0)*10,[1]Hugst!$R$4:$W$4,0))))</f>
        <v>4484.5555836742806</v>
      </c>
      <c r="L267">
        <f ca="1">IF($C267-L$1&lt;År1,0,K266*(1-VLOOKUP($A267,[1]Hugst!$R$5:$W$9,MATCH(ROUNDUP((L$1)/10,0)*10,[1]Hugst!$R$4:$W$4,0))))</f>
        <v>4490.7314632125017</v>
      </c>
      <c r="M267">
        <f ca="1">IF($C267-M$1&lt;År1,0,L266*(1-VLOOKUP($A267,[1]Hugst!$R$5:$W$9,MATCH(ROUNDUP((M$1)/10,0)*10,[1]Hugst!$R$4:$W$4,0))))</f>
        <v>7160.5747409577725</v>
      </c>
      <c r="N267">
        <f ca="1">IF($C267-N$1&lt;År1,0,M266*(1-VLOOKUP($A267,[1]Hugst!$R$5:$W$9,MATCH(ROUNDUP((N$1)/10,0)*10,[1]Hugst!$R$4:$W$4,0))))</f>
        <v>7166.8128455897004</v>
      </c>
      <c r="O267">
        <f ca="1">IF($C267-O$1&lt;År1,0,N266*(1-VLOOKUP($A267,[1]Hugst!$R$5:$W$9,MATCH(ROUNDUP((O$1)/10,0)*10,[1]Hugst!$R$4:$W$4,0))))</f>
        <v>7173.0822974812017</v>
      </c>
      <c r="P267">
        <f ca="1">IF($C267-P$1&lt;År1,0,O266*(1-VLOOKUP($A267,[1]Hugst!$R$5:$W$9,MATCH(ROUNDUP((P$1)/10,0)*10,[1]Hugst!$R$4:$W$4,0))))</f>
        <v>7179.3832541560078</v>
      </c>
      <c r="Q267">
        <f ca="1">IF($C267-Q$1&lt;År1,0,P266*(1-VLOOKUP($A267,[1]Hugst!$R$5:$W$9,MATCH(ROUNDUP((Q$1)/10,0)*10,[1]Hugst!$R$4:$W$4,0))))</f>
        <v>7185.7158739296856</v>
      </c>
      <c r="R267">
        <f ca="1">IF($C267-R$1&lt;År1,0,Q266*(1-VLOOKUP($A267,[1]Hugst!$R$5:$W$9,MATCH(ROUNDUP((R$1)/10,0)*10,[1]Hugst!$R$4:$W$4,0))))</f>
        <v>7192.0803159132847</v>
      </c>
      <c r="S267">
        <f ca="1">IF($C267-S$1&lt;År1,0,R266*(1-VLOOKUP($A267,[1]Hugst!$R$5:$W$9,MATCH(ROUNDUP((S$1)/10,0)*10,[1]Hugst!$R$4:$W$4,0))))</f>
        <v>7198.4767400174187</v>
      </c>
      <c r="T267">
        <f ca="1">IF($C267-T$1&lt;År1,0,S266*(1-VLOOKUP($A267,[1]Hugst!$R$5:$W$9,MATCH(ROUNDUP((T$1)/10,0)*10,[1]Hugst!$R$4:$W$4,0))))</f>
        <v>7204.9053069562442</v>
      </c>
      <c r="U267">
        <f ca="1">IF($C267-U$1&lt;År1,0,T266*(1-VLOOKUP($A267,[1]Hugst!$R$5:$W$9,MATCH(ROUNDUP((U$1)/10,0)*10,[1]Hugst!$R$4:$W$4,0))))</f>
        <v>7211.3661782515483</v>
      </c>
      <c r="V267">
        <f ca="1">IF($C267-V$1&lt;År1,0,U266*(1-VLOOKUP($A267,[1]Hugst!$R$5:$W$9,MATCH(ROUNDUP((V$1)/10,0)*10,[1]Hugst!$R$4:$W$4,0))))</f>
        <v>7217.8595162367346</v>
      </c>
      <c r="W267">
        <f ca="1">IF($C267-W$1&lt;År1,0,V266*(1-VLOOKUP($A267,[1]Hugst!$R$5:$W$9,MATCH(ROUNDUP((W$1)/10,0)*10,[1]Hugst!$R$4:$W$4,0))))</f>
        <v>7224.3854840611129</v>
      </c>
      <c r="X267">
        <f>IF($C267-X$1&lt;År1,0,W266*(1-VLOOKUP($A267,[1]Hugst!$R$5:$W$9,MATCH(ROUNDUP((X$1)/10,0)*10,[1]Hugst!$R$4:$W$4,0))))</f>
        <v>0</v>
      </c>
      <c r="Y267">
        <f>IF($C267-Y$1&lt;År1,0,X266*(1-VLOOKUP($A267,[1]Hugst!$R$5:$W$9,MATCH(ROUNDUP((Y$1)/10,0)*10,[1]Hugst!$R$4:$W$4,0))))</f>
        <v>0</v>
      </c>
      <c r="Z267">
        <f>IF($C267-Z$1&lt;År1,0,Y266*(1-VLOOKUP($A267,[1]Hugst!$R$5:$W$9,MATCH(ROUNDUP((Z$1)/10,0)*10,[1]Hugst!$R$4:$W$4,0))))</f>
        <v>0</v>
      </c>
      <c r="AA267">
        <f>IF($C267-AA$1&lt;År1,0,Z266*(1-VLOOKUP($A267,[1]Hugst!$R$5:$W$9,MATCH(ROUNDUP((AA$1)/10,0)*10,[1]Hugst!$R$4:$W$4,0))))</f>
        <v>0</v>
      </c>
      <c r="AB267">
        <f>IF($C267-AB$1&lt;År1,0,AA266*(1-VLOOKUP($A267,[1]Hugst!$R$5:$W$9,MATCH(ROUNDUP((AB$1)/10,0)*10,[1]Hugst!$R$4:$W$4,0))))</f>
        <v>0</v>
      </c>
      <c r="AC267">
        <f>IF($C267-AC$1&lt;År1,0,AB266*(1-VLOOKUP($A267,[1]Hugst!$R$5:$W$9,MATCH(ROUNDUP((AC$1)/10,0)*10,[1]Hugst!$R$4:$W$4,0))))</f>
        <v>0</v>
      </c>
      <c r="AD267">
        <f>IF($C267-AD$1&lt;År1,0,AC266*(1-VLOOKUP($A267,[1]Hugst!$R$5:$W$9,MATCH(ROUNDUP((AD$1)/10,0)*10,[1]Hugst!$R$4:$W$4,0))))</f>
        <v>0</v>
      </c>
      <c r="AE267">
        <f>IF($C267-AE$1&lt;År1,0,AD266*(1-VLOOKUP($A267,[1]Hugst!$R$5:$W$9,MATCH(ROUNDUP((AE$1)/10,0)*10,[1]Hugst!$R$4:$W$4,0))))</f>
        <v>0</v>
      </c>
      <c r="AF267">
        <f>IF($C267-AF$1&lt;År1,0,AE266*(1-VLOOKUP($A267,[1]Hugst!$R$5:$W$9,MATCH(ROUNDUP((AF$1)/10,0)*10,[1]Hugst!$R$4:$W$4,0))))</f>
        <v>0</v>
      </c>
      <c r="AG267">
        <f>IF($C267-AG$1&lt;År1,0,AF266*(1-VLOOKUP($A267,[1]Hugst!$R$5:$W$9,MATCH(ROUNDUP((AG$1)/10,0)*10,[1]Hugst!$R$4:$W$4,0))))</f>
        <v>0</v>
      </c>
      <c r="AH267">
        <f>IF($C267-AH$1&lt;År1,0,AG266*(1-VLOOKUP($A267,[1]Hugst!$R$5:$W$9,MATCH(ROUNDUP((AH$1)/10,0)*10,[1]Hugst!$R$4:$W$4,0))))</f>
        <v>0</v>
      </c>
      <c r="AI267">
        <f>IF($C267-AI$1&lt;År1,0,AH266*(1-VLOOKUP($A267,[1]Hugst!$R$5:$W$9,MATCH(ROUNDUP((AI$1)/10,0)*10,[1]Hugst!$R$4:$W$4,0))))</f>
        <v>0</v>
      </c>
      <c r="AJ267">
        <f>IF($C267-AJ$1&lt;År1,0,AI266*(1-VLOOKUP($A267,[1]Hugst!$R$5:$W$9,MATCH(ROUNDUP((AJ$1)/10,0)*10,[1]Hugst!$R$4:$W$4,0))))</f>
        <v>0</v>
      </c>
    </row>
    <row r="268" spans="1:36" x14ac:dyDescent="0.25">
      <c r="A268" t="s">
        <v>180</v>
      </c>
      <c r="B268" t="s">
        <v>23</v>
      </c>
      <c r="C268">
        <v>2038</v>
      </c>
      <c r="D2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1192.5878412845086</v>
      </c>
      <c r="E268">
        <f t="shared" ca="1" si="6"/>
        <v>0</v>
      </c>
      <c r="F2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4448.1433968400652</v>
      </c>
      <c r="G268">
        <f ca="1">IF($C268-G$1&lt;År1,0,F267*(1-VLOOKUP($A268,[1]Hugst!$R$5:$W$9,MATCH(ROUNDUP((G$1)/10,0)*10,[1]Hugst!$R$4:$W$4,0))))</f>
        <v>4454.1363005650765</v>
      </c>
      <c r="H268">
        <f ca="1">IF($C268-H$1&lt;År1,0,G267*(1-VLOOKUP($A268,[1]Hugst!$R$5:$W$9,MATCH(ROUNDUP((H$1)/10,0)*10,[1]Hugst!$R$4:$W$4,0))))</f>
        <v>4460.1593193842291</v>
      </c>
      <c r="I268">
        <f ca="1">IF($C268-I$1&lt;År1,0,H267*(1-VLOOKUP($A268,[1]Hugst!$R$5:$W$9,MATCH(ROUNDUP((I$1)/10,0)*10,[1]Hugst!$R$4:$W$4,0))))</f>
        <v>4466.2126046296016</v>
      </c>
      <c r="J268">
        <f ca="1">IF($C268-J$1&lt;År1,0,I267*(1-VLOOKUP($A268,[1]Hugst!$R$5:$W$9,MATCH(ROUNDUP((J$1)/10,0)*10,[1]Hugst!$R$4:$W$4,0))))</f>
        <v>4472.2963083937702</v>
      </c>
      <c r="K268">
        <f ca="1">IF($C268-K$1&lt;År1,0,J267*(1-VLOOKUP($A268,[1]Hugst!$R$5:$W$9,MATCH(ROUNDUP((K$1)/10,0)*10,[1]Hugst!$R$4:$W$4,0))))</f>
        <v>4478.4105835336577</v>
      </c>
      <c r="L268">
        <f ca="1">IF($C268-L$1&lt;År1,0,K267*(1-VLOOKUP($A268,[1]Hugst!$R$5:$W$9,MATCH(ROUNDUP((L$1)/10,0)*10,[1]Hugst!$R$4:$W$4,0))))</f>
        <v>4484.5555836742806</v>
      </c>
      <c r="M268">
        <f ca="1">IF($C268-M$1&lt;År1,0,L267*(1-VLOOKUP($A268,[1]Hugst!$R$5:$W$9,MATCH(ROUNDUP((M$1)/10,0)*10,[1]Hugst!$R$4:$W$4,0))))</f>
        <v>4490.7314632125017</v>
      </c>
      <c r="N268">
        <f ca="1">IF($C268-N$1&lt;År1,0,M267*(1-VLOOKUP($A268,[1]Hugst!$R$5:$W$9,MATCH(ROUNDUP((N$1)/10,0)*10,[1]Hugst!$R$4:$W$4,0))))</f>
        <v>7160.5747409577725</v>
      </c>
      <c r="O268">
        <f ca="1">IF($C268-O$1&lt;År1,0,N267*(1-VLOOKUP($A268,[1]Hugst!$R$5:$W$9,MATCH(ROUNDUP((O$1)/10,0)*10,[1]Hugst!$R$4:$W$4,0))))</f>
        <v>7166.8128455897004</v>
      </c>
      <c r="P268">
        <f ca="1">IF($C268-P$1&lt;År1,0,O267*(1-VLOOKUP($A268,[1]Hugst!$R$5:$W$9,MATCH(ROUNDUP((P$1)/10,0)*10,[1]Hugst!$R$4:$W$4,0))))</f>
        <v>7173.0822974812017</v>
      </c>
      <c r="Q268">
        <f ca="1">IF($C268-Q$1&lt;År1,0,P267*(1-VLOOKUP($A268,[1]Hugst!$R$5:$W$9,MATCH(ROUNDUP((Q$1)/10,0)*10,[1]Hugst!$R$4:$W$4,0))))</f>
        <v>7179.3832541560078</v>
      </c>
      <c r="R268">
        <f ca="1">IF($C268-R$1&lt;År1,0,Q267*(1-VLOOKUP($A268,[1]Hugst!$R$5:$W$9,MATCH(ROUNDUP((R$1)/10,0)*10,[1]Hugst!$R$4:$W$4,0))))</f>
        <v>7185.7158739296856</v>
      </c>
      <c r="S268">
        <f ca="1">IF($C268-S$1&lt;År1,0,R267*(1-VLOOKUP($A268,[1]Hugst!$R$5:$W$9,MATCH(ROUNDUP((S$1)/10,0)*10,[1]Hugst!$R$4:$W$4,0))))</f>
        <v>7192.0803159132847</v>
      </c>
      <c r="T268">
        <f ca="1">IF($C268-T$1&lt;År1,0,S267*(1-VLOOKUP($A268,[1]Hugst!$R$5:$W$9,MATCH(ROUNDUP((T$1)/10,0)*10,[1]Hugst!$R$4:$W$4,0))))</f>
        <v>7198.4767400174187</v>
      </c>
      <c r="U268">
        <f ca="1">IF($C268-U$1&lt;År1,0,T267*(1-VLOOKUP($A268,[1]Hugst!$R$5:$W$9,MATCH(ROUNDUP((U$1)/10,0)*10,[1]Hugst!$R$4:$W$4,0))))</f>
        <v>7204.9053069562442</v>
      </c>
      <c r="V268">
        <f ca="1">IF($C268-V$1&lt;År1,0,U267*(1-VLOOKUP($A268,[1]Hugst!$R$5:$W$9,MATCH(ROUNDUP((V$1)/10,0)*10,[1]Hugst!$R$4:$W$4,0))))</f>
        <v>7211.3661782515483</v>
      </c>
      <c r="W268">
        <f ca="1">IF($C268-W$1&lt;År1,0,V267*(1-VLOOKUP($A268,[1]Hugst!$R$5:$W$9,MATCH(ROUNDUP((W$1)/10,0)*10,[1]Hugst!$R$4:$W$4,0))))</f>
        <v>7217.8595162367346</v>
      </c>
      <c r="X268">
        <f ca="1">IF($C268-X$1&lt;År1,0,W267*(1-VLOOKUP($A268,[1]Hugst!$R$5:$W$9,MATCH(ROUNDUP((X$1)/10,0)*10,[1]Hugst!$R$4:$W$4,0))))</f>
        <v>7224.3854840611129</v>
      </c>
      <c r="Y268">
        <f>IF($C268-Y$1&lt;År1,0,X267*(1-VLOOKUP($A268,[1]Hugst!$R$5:$W$9,MATCH(ROUNDUP((Y$1)/10,0)*10,[1]Hugst!$R$4:$W$4,0))))</f>
        <v>0</v>
      </c>
      <c r="Z268">
        <f>IF($C268-Z$1&lt;År1,0,Y267*(1-VLOOKUP($A268,[1]Hugst!$R$5:$W$9,MATCH(ROUNDUP((Z$1)/10,0)*10,[1]Hugst!$R$4:$W$4,0))))</f>
        <v>0</v>
      </c>
      <c r="AA268">
        <f>IF($C268-AA$1&lt;År1,0,Z267*(1-VLOOKUP($A268,[1]Hugst!$R$5:$W$9,MATCH(ROUNDUP((AA$1)/10,0)*10,[1]Hugst!$R$4:$W$4,0))))</f>
        <v>0</v>
      </c>
      <c r="AB268">
        <f>IF($C268-AB$1&lt;År1,0,AA267*(1-VLOOKUP($A268,[1]Hugst!$R$5:$W$9,MATCH(ROUNDUP((AB$1)/10,0)*10,[1]Hugst!$R$4:$W$4,0))))</f>
        <v>0</v>
      </c>
      <c r="AC268">
        <f>IF($C268-AC$1&lt;År1,0,AB267*(1-VLOOKUP($A268,[1]Hugst!$R$5:$W$9,MATCH(ROUNDUP((AC$1)/10,0)*10,[1]Hugst!$R$4:$W$4,0))))</f>
        <v>0</v>
      </c>
      <c r="AD268">
        <f>IF($C268-AD$1&lt;År1,0,AC267*(1-VLOOKUP($A268,[1]Hugst!$R$5:$W$9,MATCH(ROUNDUP((AD$1)/10,0)*10,[1]Hugst!$R$4:$W$4,0))))</f>
        <v>0</v>
      </c>
      <c r="AE268">
        <f>IF($C268-AE$1&lt;År1,0,AD267*(1-VLOOKUP($A268,[1]Hugst!$R$5:$W$9,MATCH(ROUNDUP((AE$1)/10,0)*10,[1]Hugst!$R$4:$W$4,0))))</f>
        <v>0</v>
      </c>
      <c r="AF268">
        <f>IF($C268-AF$1&lt;År1,0,AE267*(1-VLOOKUP($A268,[1]Hugst!$R$5:$W$9,MATCH(ROUNDUP((AF$1)/10,0)*10,[1]Hugst!$R$4:$W$4,0))))</f>
        <v>0</v>
      </c>
      <c r="AG268">
        <f>IF($C268-AG$1&lt;År1,0,AF267*(1-VLOOKUP($A268,[1]Hugst!$R$5:$W$9,MATCH(ROUNDUP((AG$1)/10,0)*10,[1]Hugst!$R$4:$W$4,0))))</f>
        <v>0</v>
      </c>
      <c r="AH268">
        <f>IF($C268-AH$1&lt;År1,0,AG267*(1-VLOOKUP($A268,[1]Hugst!$R$5:$W$9,MATCH(ROUNDUP((AH$1)/10,0)*10,[1]Hugst!$R$4:$W$4,0))))</f>
        <v>0</v>
      </c>
      <c r="AI268">
        <f>IF($C268-AI$1&lt;År1,0,AH267*(1-VLOOKUP($A268,[1]Hugst!$R$5:$W$9,MATCH(ROUNDUP((AI$1)/10,0)*10,[1]Hugst!$R$4:$W$4,0))))</f>
        <v>0</v>
      </c>
      <c r="AJ268">
        <f>IF($C268-AJ$1&lt;År1,0,AI267*(1-VLOOKUP($A268,[1]Hugst!$R$5:$W$9,MATCH(ROUNDUP((AJ$1)/10,0)*10,[1]Hugst!$R$4:$W$4,0))))</f>
        <v>0</v>
      </c>
    </row>
    <row r="269" spans="1:36" x14ac:dyDescent="0.25">
      <c r="A269" t="s">
        <v>180</v>
      </c>
      <c r="B269" t="s">
        <v>23</v>
      </c>
      <c r="C269">
        <v>2039</v>
      </c>
      <c r="D269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1186.6249020780197</v>
      </c>
      <c r="E269">
        <f t="shared" ca="1" si="6"/>
        <v>0</v>
      </c>
      <c r="F2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4442.1804576335762</v>
      </c>
      <c r="G269">
        <f ca="1">IF($C269-G$1&lt;År1,0,F268*(1-VLOOKUP($A269,[1]Hugst!$R$5:$W$9,MATCH(ROUNDUP((G$1)/10,0)*10,[1]Hugst!$R$4:$W$4,0))))</f>
        <v>4448.1433968400652</v>
      </c>
      <c r="H269">
        <f ca="1">IF($C269-H$1&lt;År1,0,G268*(1-VLOOKUP($A269,[1]Hugst!$R$5:$W$9,MATCH(ROUNDUP((H$1)/10,0)*10,[1]Hugst!$R$4:$W$4,0))))</f>
        <v>4454.1363005650765</v>
      </c>
      <c r="I269">
        <f ca="1">IF($C269-I$1&lt;År1,0,H268*(1-VLOOKUP($A269,[1]Hugst!$R$5:$W$9,MATCH(ROUNDUP((I$1)/10,0)*10,[1]Hugst!$R$4:$W$4,0))))</f>
        <v>4460.1593193842291</v>
      </c>
      <c r="J269">
        <f ca="1">IF($C269-J$1&lt;År1,0,I268*(1-VLOOKUP($A269,[1]Hugst!$R$5:$W$9,MATCH(ROUNDUP((J$1)/10,0)*10,[1]Hugst!$R$4:$W$4,0))))</f>
        <v>4466.2126046296016</v>
      </c>
      <c r="K269">
        <f ca="1">IF($C269-K$1&lt;År1,0,J268*(1-VLOOKUP($A269,[1]Hugst!$R$5:$W$9,MATCH(ROUNDUP((K$1)/10,0)*10,[1]Hugst!$R$4:$W$4,0))))</f>
        <v>4472.2963083937702</v>
      </c>
      <c r="L269">
        <f ca="1">IF($C269-L$1&lt;År1,0,K268*(1-VLOOKUP($A269,[1]Hugst!$R$5:$W$9,MATCH(ROUNDUP((L$1)/10,0)*10,[1]Hugst!$R$4:$W$4,0))))</f>
        <v>4478.4105835336577</v>
      </c>
      <c r="M269">
        <f ca="1">IF($C269-M$1&lt;År1,0,L268*(1-VLOOKUP($A269,[1]Hugst!$R$5:$W$9,MATCH(ROUNDUP((M$1)/10,0)*10,[1]Hugst!$R$4:$W$4,0))))</f>
        <v>4484.5555836742806</v>
      </c>
      <c r="N269">
        <f ca="1">IF($C269-N$1&lt;År1,0,M268*(1-VLOOKUP($A269,[1]Hugst!$R$5:$W$9,MATCH(ROUNDUP((N$1)/10,0)*10,[1]Hugst!$R$4:$W$4,0))))</f>
        <v>4490.7314632125017</v>
      </c>
      <c r="O269">
        <f ca="1">IF($C269-O$1&lt;År1,0,N268*(1-VLOOKUP($A269,[1]Hugst!$R$5:$W$9,MATCH(ROUNDUP((O$1)/10,0)*10,[1]Hugst!$R$4:$W$4,0))))</f>
        <v>7160.5747409577725</v>
      </c>
      <c r="P269">
        <f ca="1">IF($C269-P$1&lt;År1,0,O268*(1-VLOOKUP($A269,[1]Hugst!$R$5:$W$9,MATCH(ROUNDUP((P$1)/10,0)*10,[1]Hugst!$R$4:$W$4,0))))</f>
        <v>7166.8128455897004</v>
      </c>
      <c r="Q269">
        <f ca="1">IF($C269-Q$1&lt;År1,0,P268*(1-VLOOKUP($A269,[1]Hugst!$R$5:$W$9,MATCH(ROUNDUP((Q$1)/10,0)*10,[1]Hugst!$R$4:$W$4,0))))</f>
        <v>7173.0822974812017</v>
      </c>
      <c r="R269">
        <f ca="1">IF($C269-R$1&lt;År1,0,Q268*(1-VLOOKUP($A269,[1]Hugst!$R$5:$W$9,MATCH(ROUNDUP((R$1)/10,0)*10,[1]Hugst!$R$4:$W$4,0))))</f>
        <v>7179.3832541560078</v>
      </c>
      <c r="S269">
        <f ca="1">IF($C269-S$1&lt;År1,0,R268*(1-VLOOKUP($A269,[1]Hugst!$R$5:$W$9,MATCH(ROUNDUP((S$1)/10,0)*10,[1]Hugst!$R$4:$W$4,0))))</f>
        <v>7185.7158739296856</v>
      </c>
      <c r="T269">
        <f ca="1">IF($C269-T$1&lt;År1,0,S268*(1-VLOOKUP($A269,[1]Hugst!$R$5:$W$9,MATCH(ROUNDUP((T$1)/10,0)*10,[1]Hugst!$R$4:$W$4,0))))</f>
        <v>7192.0803159132847</v>
      </c>
      <c r="U269">
        <f ca="1">IF($C269-U$1&lt;År1,0,T268*(1-VLOOKUP($A269,[1]Hugst!$R$5:$W$9,MATCH(ROUNDUP((U$1)/10,0)*10,[1]Hugst!$R$4:$W$4,0))))</f>
        <v>7198.4767400174187</v>
      </c>
      <c r="V269">
        <f ca="1">IF($C269-V$1&lt;År1,0,U268*(1-VLOOKUP($A269,[1]Hugst!$R$5:$W$9,MATCH(ROUNDUP((V$1)/10,0)*10,[1]Hugst!$R$4:$W$4,0))))</f>
        <v>7204.9053069562442</v>
      </c>
      <c r="W269">
        <f ca="1">IF($C269-W$1&lt;År1,0,V268*(1-VLOOKUP($A269,[1]Hugst!$R$5:$W$9,MATCH(ROUNDUP((W$1)/10,0)*10,[1]Hugst!$R$4:$W$4,0))))</f>
        <v>7211.3661782515483</v>
      </c>
      <c r="X269">
        <f ca="1">IF($C269-X$1&lt;År1,0,W268*(1-VLOOKUP($A269,[1]Hugst!$R$5:$W$9,MATCH(ROUNDUP((X$1)/10,0)*10,[1]Hugst!$R$4:$W$4,0))))</f>
        <v>7217.8595162367346</v>
      </c>
      <c r="Y269">
        <f ca="1">IF($C269-Y$1&lt;År1,0,X268*(1-VLOOKUP($A269,[1]Hugst!$R$5:$W$9,MATCH(ROUNDUP((Y$1)/10,0)*10,[1]Hugst!$R$4:$W$4,0))))</f>
        <v>7224.3854840611129</v>
      </c>
      <c r="Z269">
        <f>IF($C269-Z$1&lt;År1,0,Y268*(1-VLOOKUP($A269,[1]Hugst!$R$5:$W$9,MATCH(ROUNDUP((Z$1)/10,0)*10,[1]Hugst!$R$4:$W$4,0))))</f>
        <v>0</v>
      </c>
      <c r="AA269">
        <f>IF($C269-AA$1&lt;År1,0,Z268*(1-VLOOKUP($A269,[1]Hugst!$R$5:$W$9,MATCH(ROUNDUP((AA$1)/10,0)*10,[1]Hugst!$R$4:$W$4,0))))</f>
        <v>0</v>
      </c>
      <c r="AB269">
        <f>IF($C269-AB$1&lt;År1,0,AA268*(1-VLOOKUP($A269,[1]Hugst!$R$5:$W$9,MATCH(ROUNDUP((AB$1)/10,0)*10,[1]Hugst!$R$4:$W$4,0))))</f>
        <v>0</v>
      </c>
      <c r="AC269">
        <f>IF($C269-AC$1&lt;År1,0,AB268*(1-VLOOKUP($A269,[1]Hugst!$R$5:$W$9,MATCH(ROUNDUP((AC$1)/10,0)*10,[1]Hugst!$R$4:$W$4,0))))</f>
        <v>0</v>
      </c>
      <c r="AD269">
        <f>IF($C269-AD$1&lt;År1,0,AC268*(1-VLOOKUP($A269,[1]Hugst!$R$5:$W$9,MATCH(ROUNDUP((AD$1)/10,0)*10,[1]Hugst!$R$4:$W$4,0))))</f>
        <v>0</v>
      </c>
      <c r="AE269">
        <f>IF($C269-AE$1&lt;År1,0,AD268*(1-VLOOKUP($A269,[1]Hugst!$R$5:$W$9,MATCH(ROUNDUP((AE$1)/10,0)*10,[1]Hugst!$R$4:$W$4,0))))</f>
        <v>0</v>
      </c>
      <c r="AF269">
        <f>IF($C269-AF$1&lt;År1,0,AE268*(1-VLOOKUP($A269,[1]Hugst!$R$5:$W$9,MATCH(ROUNDUP((AF$1)/10,0)*10,[1]Hugst!$R$4:$W$4,0))))</f>
        <v>0</v>
      </c>
      <c r="AG269">
        <f>IF($C269-AG$1&lt;År1,0,AF268*(1-VLOOKUP($A269,[1]Hugst!$R$5:$W$9,MATCH(ROUNDUP((AG$1)/10,0)*10,[1]Hugst!$R$4:$W$4,0))))</f>
        <v>0</v>
      </c>
      <c r="AH269">
        <f>IF($C269-AH$1&lt;År1,0,AG268*(1-VLOOKUP($A269,[1]Hugst!$R$5:$W$9,MATCH(ROUNDUP((AH$1)/10,0)*10,[1]Hugst!$R$4:$W$4,0))))</f>
        <v>0</v>
      </c>
      <c r="AI269">
        <f>IF($C269-AI$1&lt;År1,0,AH268*(1-VLOOKUP($A269,[1]Hugst!$R$5:$W$9,MATCH(ROUNDUP((AI$1)/10,0)*10,[1]Hugst!$R$4:$W$4,0))))</f>
        <v>0</v>
      </c>
      <c r="AJ269">
        <f>IF($C269-AJ$1&lt;År1,0,AI268*(1-VLOOKUP($A269,[1]Hugst!$R$5:$W$9,MATCH(ROUNDUP((AJ$1)/10,0)*10,[1]Hugst!$R$4:$W$4,0))))</f>
        <v>0</v>
      </c>
    </row>
    <row r="270" spans="1:36" x14ac:dyDescent="0.25">
      <c r="A270" t="s">
        <v>180</v>
      </c>
      <c r="B270" t="s">
        <v>23</v>
      </c>
      <c r="C270">
        <v>2040</v>
      </c>
      <c r="D270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1180.6917775676593</v>
      </c>
      <c r="E270">
        <f t="shared" ca="1" si="6"/>
        <v>0</v>
      </c>
      <c r="F270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4436.2473331232159</v>
      </c>
      <c r="G270">
        <f ca="1">IF($C270-G$1&lt;År1,0,F269*(1-VLOOKUP($A270,[1]Hugst!$R$5:$W$9,MATCH(ROUNDUP((G$1)/10,0)*10,[1]Hugst!$R$4:$W$4,0))))</f>
        <v>4442.1804576335762</v>
      </c>
      <c r="H270">
        <f ca="1">IF($C270-H$1&lt;År1,0,G269*(1-VLOOKUP($A270,[1]Hugst!$R$5:$W$9,MATCH(ROUNDUP((H$1)/10,0)*10,[1]Hugst!$R$4:$W$4,0))))</f>
        <v>4448.1433968400652</v>
      </c>
      <c r="I270">
        <f ca="1">IF($C270-I$1&lt;År1,0,H269*(1-VLOOKUP($A270,[1]Hugst!$R$5:$W$9,MATCH(ROUNDUP((I$1)/10,0)*10,[1]Hugst!$R$4:$W$4,0))))</f>
        <v>4454.1363005650765</v>
      </c>
      <c r="J270">
        <f ca="1">IF($C270-J$1&lt;År1,0,I269*(1-VLOOKUP($A270,[1]Hugst!$R$5:$W$9,MATCH(ROUNDUP((J$1)/10,0)*10,[1]Hugst!$R$4:$W$4,0))))</f>
        <v>4460.1593193842291</v>
      </c>
      <c r="K270">
        <f ca="1">IF($C270-K$1&lt;År1,0,J269*(1-VLOOKUP($A270,[1]Hugst!$R$5:$W$9,MATCH(ROUNDUP((K$1)/10,0)*10,[1]Hugst!$R$4:$W$4,0))))</f>
        <v>4466.2126046296016</v>
      </c>
      <c r="L270">
        <f ca="1">IF($C270-L$1&lt;År1,0,K269*(1-VLOOKUP($A270,[1]Hugst!$R$5:$W$9,MATCH(ROUNDUP((L$1)/10,0)*10,[1]Hugst!$R$4:$W$4,0))))</f>
        <v>4472.2963083937702</v>
      </c>
      <c r="M270">
        <f ca="1">IF($C270-M$1&lt;År1,0,L269*(1-VLOOKUP($A270,[1]Hugst!$R$5:$W$9,MATCH(ROUNDUP((M$1)/10,0)*10,[1]Hugst!$R$4:$W$4,0))))</f>
        <v>4478.4105835336577</v>
      </c>
      <c r="N270">
        <f ca="1">IF($C270-N$1&lt;År1,0,M269*(1-VLOOKUP($A270,[1]Hugst!$R$5:$W$9,MATCH(ROUNDUP((N$1)/10,0)*10,[1]Hugst!$R$4:$W$4,0))))</f>
        <v>4484.5555836742806</v>
      </c>
      <c r="O270">
        <f ca="1">IF($C270-O$1&lt;År1,0,N269*(1-VLOOKUP($A270,[1]Hugst!$R$5:$W$9,MATCH(ROUNDUP((O$1)/10,0)*10,[1]Hugst!$R$4:$W$4,0))))</f>
        <v>4490.7314632125017</v>
      </c>
      <c r="P270">
        <f ca="1">IF($C270-P$1&lt;År1,0,O269*(1-VLOOKUP($A270,[1]Hugst!$R$5:$W$9,MATCH(ROUNDUP((P$1)/10,0)*10,[1]Hugst!$R$4:$W$4,0))))</f>
        <v>7160.5747409577725</v>
      </c>
      <c r="Q270">
        <f ca="1">IF($C270-Q$1&lt;År1,0,P269*(1-VLOOKUP($A270,[1]Hugst!$R$5:$W$9,MATCH(ROUNDUP((Q$1)/10,0)*10,[1]Hugst!$R$4:$W$4,0))))</f>
        <v>7166.8128455897004</v>
      </c>
      <c r="R270">
        <f ca="1">IF($C270-R$1&lt;År1,0,Q269*(1-VLOOKUP($A270,[1]Hugst!$R$5:$W$9,MATCH(ROUNDUP((R$1)/10,0)*10,[1]Hugst!$R$4:$W$4,0))))</f>
        <v>7173.0822974812017</v>
      </c>
      <c r="S270">
        <f ca="1">IF($C270-S$1&lt;År1,0,R269*(1-VLOOKUP($A270,[1]Hugst!$R$5:$W$9,MATCH(ROUNDUP((S$1)/10,0)*10,[1]Hugst!$R$4:$W$4,0))))</f>
        <v>7179.3832541560078</v>
      </c>
      <c r="T270">
        <f ca="1">IF($C270-T$1&lt;År1,0,S269*(1-VLOOKUP($A270,[1]Hugst!$R$5:$W$9,MATCH(ROUNDUP((T$1)/10,0)*10,[1]Hugst!$R$4:$W$4,0))))</f>
        <v>7185.7158739296856</v>
      </c>
      <c r="U270">
        <f ca="1">IF($C270-U$1&lt;År1,0,T269*(1-VLOOKUP($A270,[1]Hugst!$R$5:$W$9,MATCH(ROUNDUP((U$1)/10,0)*10,[1]Hugst!$R$4:$W$4,0))))</f>
        <v>7192.0803159132847</v>
      </c>
      <c r="V270">
        <f ca="1">IF($C270-V$1&lt;År1,0,U269*(1-VLOOKUP($A270,[1]Hugst!$R$5:$W$9,MATCH(ROUNDUP((V$1)/10,0)*10,[1]Hugst!$R$4:$W$4,0))))</f>
        <v>7198.4767400174187</v>
      </c>
      <c r="W270">
        <f ca="1">IF($C270-W$1&lt;År1,0,V269*(1-VLOOKUP($A270,[1]Hugst!$R$5:$W$9,MATCH(ROUNDUP((W$1)/10,0)*10,[1]Hugst!$R$4:$W$4,0))))</f>
        <v>7204.9053069562442</v>
      </c>
      <c r="X270">
        <f ca="1">IF($C270-X$1&lt;År1,0,W269*(1-VLOOKUP($A270,[1]Hugst!$R$5:$W$9,MATCH(ROUNDUP((X$1)/10,0)*10,[1]Hugst!$R$4:$W$4,0))))</f>
        <v>7211.3661782515483</v>
      </c>
      <c r="Y270">
        <f ca="1">IF($C270-Y$1&lt;År1,0,X269*(1-VLOOKUP($A270,[1]Hugst!$R$5:$W$9,MATCH(ROUNDUP((Y$1)/10,0)*10,[1]Hugst!$R$4:$W$4,0))))</f>
        <v>7217.8595162367346</v>
      </c>
      <c r="Z270">
        <f ca="1">IF($C270-Z$1&lt;År1,0,Y269*(1-VLOOKUP($A270,[1]Hugst!$R$5:$W$9,MATCH(ROUNDUP((Z$1)/10,0)*10,[1]Hugst!$R$4:$W$4,0))))</f>
        <v>7224.3854840611129</v>
      </c>
      <c r="AA270">
        <f>IF($C270-AA$1&lt;År1,0,Z269*(1-VLOOKUP($A270,[1]Hugst!$R$5:$W$9,MATCH(ROUNDUP((AA$1)/10,0)*10,[1]Hugst!$R$4:$W$4,0))))</f>
        <v>0</v>
      </c>
      <c r="AB270">
        <f>IF($C270-AB$1&lt;År1,0,AA269*(1-VLOOKUP($A270,[1]Hugst!$R$5:$W$9,MATCH(ROUNDUP((AB$1)/10,0)*10,[1]Hugst!$R$4:$W$4,0))))</f>
        <v>0</v>
      </c>
      <c r="AC270">
        <f>IF($C270-AC$1&lt;År1,0,AB269*(1-VLOOKUP($A270,[1]Hugst!$R$5:$W$9,MATCH(ROUNDUP((AC$1)/10,0)*10,[1]Hugst!$R$4:$W$4,0))))</f>
        <v>0</v>
      </c>
      <c r="AD270">
        <f>IF($C270-AD$1&lt;År1,0,AC269*(1-VLOOKUP($A270,[1]Hugst!$R$5:$W$9,MATCH(ROUNDUP((AD$1)/10,0)*10,[1]Hugst!$R$4:$W$4,0))))</f>
        <v>0</v>
      </c>
      <c r="AE270">
        <f>IF($C270-AE$1&lt;År1,0,AD269*(1-VLOOKUP($A270,[1]Hugst!$R$5:$W$9,MATCH(ROUNDUP((AE$1)/10,0)*10,[1]Hugst!$R$4:$W$4,0))))</f>
        <v>0</v>
      </c>
      <c r="AF270">
        <f>IF($C270-AF$1&lt;År1,0,AE269*(1-VLOOKUP($A270,[1]Hugst!$R$5:$W$9,MATCH(ROUNDUP((AF$1)/10,0)*10,[1]Hugst!$R$4:$W$4,0))))</f>
        <v>0</v>
      </c>
      <c r="AG270">
        <f>IF($C270-AG$1&lt;År1,0,AF269*(1-VLOOKUP($A270,[1]Hugst!$R$5:$W$9,MATCH(ROUNDUP((AG$1)/10,0)*10,[1]Hugst!$R$4:$W$4,0))))</f>
        <v>0</v>
      </c>
      <c r="AH270">
        <f>IF($C270-AH$1&lt;År1,0,AG269*(1-VLOOKUP($A270,[1]Hugst!$R$5:$W$9,MATCH(ROUNDUP((AH$1)/10,0)*10,[1]Hugst!$R$4:$W$4,0))))</f>
        <v>0</v>
      </c>
      <c r="AI270">
        <f>IF($C270-AI$1&lt;År1,0,AH269*(1-VLOOKUP($A270,[1]Hugst!$R$5:$W$9,MATCH(ROUNDUP((AI$1)/10,0)*10,[1]Hugst!$R$4:$W$4,0))))</f>
        <v>0</v>
      </c>
      <c r="AJ270">
        <f>IF($C270-AJ$1&lt;År1,0,AI269*(1-VLOOKUP($A270,[1]Hugst!$R$5:$W$9,MATCH(ROUNDUP((AJ$1)/10,0)*10,[1]Hugst!$R$4:$W$4,0))))</f>
        <v>0</v>
      </c>
    </row>
    <row r="271" spans="1:36" x14ac:dyDescent="0.25">
      <c r="A271" t="s">
        <v>180</v>
      </c>
      <c r="B271" t="s">
        <v>23</v>
      </c>
      <c r="C271">
        <v>2041</v>
      </c>
      <c r="D271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1174.7883186798426</v>
      </c>
      <c r="E271">
        <f t="shared" ca="1" si="6"/>
        <v>0</v>
      </c>
      <c r="F271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4430.3438742353992</v>
      </c>
      <c r="G271">
        <f ca="1">IF($C271-G$1&lt;År1,0,F270*(1-VLOOKUP($A271,[1]Hugst!$R$5:$W$9,MATCH(ROUNDUP((G$1)/10,0)*10,[1]Hugst!$R$4:$W$4,0))))</f>
        <v>4436.2473331232159</v>
      </c>
      <c r="H271">
        <f ca="1">IF($C271-H$1&lt;År1,0,G270*(1-VLOOKUP($A271,[1]Hugst!$R$5:$W$9,MATCH(ROUNDUP((H$1)/10,0)*10,[1]Hugst!$R$4:$W$4,0))))</f>
        <v>4442.1804576335762</v>
      </c>
      <c r="I271">
        <f ca="1">IF($C271-I$1&lt;År1,0,H270*(1-VLOOKUP($A271,[1]Hugst!$R$5:$W$9,MATCH(ROUNDUP((I$1)/10,0)*10,[1]Hugst!$R$4:$W$4,0))))</f>
        <v>4448.1433968400652</v>
      </c>
      <c r="J271">
        <f ca="1">IF($C271-J$1&lt;År1,0,I270*(1-VLOOKUP($A271,[1]Hugst!$R$5:$W$9,MATCH(ROUNDUP((J$1)/10,0)*10,[1]Hugst!$R$4:$W$4,0))))</f>
        <v>4454.1363005650765</v>
      </c>
      <c r="K271">
        <f ca="1">IF($C271-K$1&lt;År1,0,J270*(1-VLOOKUP($A271,[1]Hugst!$R$5:$W$9,MATCH(ROUNDUP((K$1)/10,0)*10,[1]Hugst!$R$4:$W$4,0))))</f>
        <v>4460.1593193842291</v>
      </c>
      <c r="L271">
        <f ca="1">IF($C271-L$1&lt;År1,0,K270*(1-VLOOKUP($A271,[1]Hugst!$R$5:$W$9,MATCH(ROUNDUP((L$1)/10,0)*10,[1]Hugst!$R$4:$W$4,0))))</f>
        <v>4466.2126046296016</v>
      </c>
      <c r="M271">
        <f ca="1">IF($C271-M$1&lt;År1,0,L270*(1-VLOOKUP($A271,[1]Hugst!$R$5:$W$9,MATCH(ROUNDUP((M$1)/10,0)*10,[1]Hugst!$R$4:$W$4,0))))</f>
        <v>4472.2963083937702</v>
      </c>
      <c r="N271">
        <f ca="1">IF($C271-N$1&lt;År1,0,M270*(1-VLOOKUP($A271,[1]Hugst!$R$5:$W$9,MATCH(ROUNDUP((N$1)/10,0)*10,[1]Hugst!$R$4:$W$4,0))))</f>
        <v>4478.4105835336577</v>
      </c>
      <c r="O271">
        <f ca="1">IF($C271-O$1&lt;År1,0,N270*(1-VLOOKUP($A271,[1]Hugst!$R$5:$W$9,MATCH(ROUNDUP((O$1)/10,0)*10,[1]Hugst!$R$4:$W$4,0))))</f>
        <v>4484.5555836742806</v>
      </c>
      <c r="P271">
        <f ca="1">IF($C271-P$1&lt;År1,0,O270*(1-VLOOKUP($A271,[1]Hugst!$R$5:$W$9,MATCH(ROUNDUP((P$1)/10,0)*10,[1]Hugst!$R$4:$W$4,0))))</f>
        <v>4490.7314632125017</v>
      </c>
      <c r="Q271">
        <f ca="1">IF($C271-Q$1&lt;År1,0,P270*(1-VLOOKUP($A271,[1]Hugst!$R$5:$W$9,MATCH(ROUNDUP((Q$1)/10,0)*10,[1]Hugst!$R$4:$W$4,0))))</f>
        <v>7160.5747409577725</v>
      </c>
      <c r="R271">
        <f ca="1">IF($C271-R$1&lt;År1,0,Q270*(1-VLOOKUP($A271,[1]Hugst!$R$5:$W$9,MATCH(ROUNDUP((R$1)/10,0)*10,[1]Hugst!$R$4:$W$4,0))))</f>
        <v>7166.8128455897004</v>
      </c>
      <c r="S271">
        <f ca="1">IF($C271-S$1&lt;År1,0,R270*(1-VLOOKUP($A271,[1]Hugst!$R$5:$W$9,MATCH(ROUNDUP((S$1)/10,0)*10,[1]Hugst!$R$4:$W$4,0))))</f>
        <v>7173.0822974812017</v>
      </c>
      <c r="T271">
        <f ca="1">IF($C271-T$1&lt;År1,0,S270*(1-VLOOKUP($A271,[1]Hugst!$R$5:$W$9,MATCH(ROUNDUP((T$1)/10,0)*10,[1]Hugst!$R$4:$W$4,0))))</f>
        <v>7179.3832541560078</v>
      </c>
      <c r="U271">
        <f ca="1">IF($C271-U$1&lt;År1,0,T270*(1-VLOOKUP($A271,[1]Hugst!$R$5:$W$9,MATCH(ROUNDUP((U$1)/10,0)*10,[1]Hugst!$R$4:$W$4,0))))</f>
        <v>7185.7158739296856</v>
      </c>
      <c r="V271">
        <f ca="1">IF($C271-V$1&lt;År1,0,U270*(1-VLOOKUP($A271,[1]Hugst!$R$5:$W$9,MATCH(ROUNDUP((V$1)/10,0)*10,[1]Hugst!$R$4:$W$4,0))))</f>
        <v>7192.0803159132847</v>
      </c>
      <c r="W271">
        <f ca="1">IF($C271-W$1&lt;År1,0,V270*(1-VLOOKUP($A271,[1]Hugst!$R$5:$W$9,MATCH(ROUNDUP((W$1)/10,0)*10,[1]Hugst!$R$4:$W$4,0))))</f>
        <v>7198.4767400174187</v>
      </c>
      <c r="X271">
        <f ca="1">IF($C271-X$1&lt;År1,0,W270*(1-VLOOKUP($A271,[1]Hugst!$R$5:$W$9,MATCH(ROUNDUP((X$1)/10,0)*10,[1]Hugst!$R$4:$W$4,0))))</f>
        <v>7204.9053069562442</v>
      </c>
      <c r="Y271">
        <f ca="1">IF($C271-Y$1&lt;År1,0,X270*(1-VLOOKUP($A271,[1]Hugst!$R$5:$W$9,MATCH(ROUNDUP((Y$1)/10,0)*10,[1]Hugst!$R$4:$W$4,0))))</f>
        <v>7211.3661782515483</v>
      </c>
      <c r="Z271">
        <f ca="1">IF($C271-Z$1&lt;År1,0,Y270*(1-VLOOKUP($A271,[1]Hugst!$R$5:$W$9,MATCH(ROUNDUP((Z$1)/10,0)*10,[1]Hugst!$R$4:$W$4,0))))</f>
        <v>7217.8595162367346</v>
      </c>
      <c r="AA271">
        <f ca="1">IF($C271-AA$1&lt;År1,0,Z270*(1-VLOOKUP($A271,[1]Hugst!$R$5:$W$9,MATCH(ROUNDUP((AA$1)/10,0)*10,[1]Hugst!$R$4:$W$4,0))))</f>
        <v>7224.3854840611129</v>
      </c>
      <c r="AB271">
        <f>IF($C271-AB$1&lt;År1,0,AA270*(1-VLOOKUP($A271,[1]Hugst!$R$5:$W$9,MATCH(ROUNDUP((AB$1)/10,0)*10,[1]Hugst!$R$4:$W$4,0))))</f>
        <v>0</v>
      </c>
      <c r="AC271">
        <f>IF($C271-AC$1&lt;År1,0,AB270*(1-VLOOKUP($A271,[1]Hugst!$R$5:$W$9,MATCH(ROUNDUP((AC$1)/10,0)*10,[1]Hugst!$R$4:$W$4,0))))</f>
        <v>0</v>
      </c>
      <c r="AD271">
        <f>IF($C271-AD$1&lt;År1,0,AC270*(1-VLOOKUP($A271,[1]Hugst!$R$5:$W$9,MATCH(ROUNDUP((AD$1)/10,0)*10,[1]Hugst!$R$4:$W$4,0))))</f>
        <v>0</v>
      </c>
      <c r="AE271">
        <f>IF($C271-AE$1&lt;År1,0,AD270*(1-VLOOKUP($A271,[1]Hugst!$R$5:$W$9,MATCH(ROUNDUP((AE$1)/10,0)*10,[1]Hugst!$R$4:$W$4,0))))</f>
        <v>0</v>
      </c>
      <c r="AF271">
        <f>IF($C271-AF$1&lt;År1,0,AE270*(1-VLOOKUP($A271,[1]Hugst!$R$5:$W$9,MATCH(ROUNDUP((AF$1)/10,0)*10,[1]Hugst!$R$4:$W$4,0))))</f>
        <v>0</v>
      </c>
      <c r="AG271">
        <f>IF($C271-AG$1&lt;År1,0,AF270*(1-VLOOKUP($A271,[1]Hugst!$R$5:$W$9,MATCH(ROUNDUP((AG$1)/10,0)*10,[1]Hugst!$R$4:$W$4,0))))</f>
        <v>0</v>
      </c>
      <c r="AH271">
        <f>IF($C271-AH$1&lt;År1,0,AG270*(1-VLOOKUP($A271,[1]Hugst!$R$5:$W$9,MATCH(ROUNDUP((AH$1)/10,0)*10,[1]Hugst!$R$4:$W$4,0))))</f>
        <v>0</v>
      </c>
      <c r="AI271">
        <f>IF($C271-AI$1&lt;År1,0,AH270*(1-VLOOKUP($A271,[1]Hugst!$R$5:$W$9,MATCH(ROUNDUP((AI$1)/10,0)*10,[1]Hugst!$R$4:$W$4,0))))</f>
        <v>0</v>
      </c>
      <c r="AJ271">
        <f>IF($C271-AJ$1&lt;År1,0,AI270*(1-VLOOKUP($A271,[1]Hugst!$R$5:$W$9,MATCH(ROUNDUP((AJ$1)/10,0)*10,[1]Hugst!$R$4:$W$4,0))))</f>
        <v>0</v>
      </c>
    </row>
    <row r="272" spans="1:36" x14ac:dyDescent="0.25">
      <c r="A272" t="s">
        <v>180</v>
      </c>
      <c r="B272" t="s">
        <v>23</v>
      </c>
      <c r="C272">
        <v>2042</v>
      </c>
      <c r="D272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1168.9143770864212</v>
      </c>
      <c r="E272">
        <f t="shared" ca="1" si="6"/>
        <v>0</v>
      </c>
      <c r="F272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4424.4699326419777</v>
      </c>
      <c r="G272">
        <f ca="1">IF($C272-G$1&lt;År1,0,F271*(1-VLOOKUP($A272,[1]Hugst!$R$5:$W$9,MATCH(ROUNDUP((G$1)/10,0)*10,[1]Hugst!$R$4:$W$4,0))))</f>
        <v>4430.3438742353992</v>
      </c>
      <c r="H272">
        <f ca="1">IF($C272-H$1&lt;År1,0,G271*(1-VLOOKUP($A272,[1]Hugst!$R$5:$W$9,MATCH(ROUNDUP((H$1)/10,0)*10,[1]Hugst!$R$4:$W$4,0))))</f>
        <v>4436.2473331232159</v>
      </c>
      <c r="I272">
        <f ca="1">IF($C272-I$1&lt;År1,0,H271*(1-VLOOKUP($A272,[1]Hugst!$R$5:$W$9,MATCH(ROUNDUP((I$1)/10,0)*10,[1]Hugst!$R$4:$W$4,0))))</f>
        <v>4442.1804576335762</v>
      </c>
      <c r="J272">
        <f ca="1">IF($C272-J$1&lt;År1,0,I271*(1-VLOOKUP($A272,[1]Hugst!$R$5:$W$9,MATCH(ROUNDUP((J$1)/10,0)*10,[1]Hugst!$R$4:$W$4,0))))</f>
        <v>4448.1433968400652</v>
      </c>
      <c r="K272">
        <f ca="1">IF($C272-K$1&lt;År1,0,J271*(1-VLOOKUP($A272,[1]Hugst!$R$5:$W$9,MATCH(ROUNDUP((K$1)/10,0)*10,[1]Hugst!$R$4:$W$4,0))))</f>
        <v>4454.1363005650765</v>
      </c>
      <c r="L272">
        <f ca="1">IF($C272-L$1&lt;År1,0,K271*(1-VLOOKUP($A272,[1]Hugst!$R$5:$W$9,MATCH(ROUNDUP((L$1)/10,0)*10,[1]Hugst!$R$4:$W$4,0))))</f>
        <v>4460.1593193842291</v>
      </c>
      <c r="M272">
        <f ca="1">IF($C272-M$1&lt;År1,0,L271*(1-VLOOKUP($A272,[1]Hugst!$R$5:$W$9,MATCH(ROUNDUP((M$1)/10,0)*10,[1]Hugst!$R$4:$W$4,0))))</f>
        <v>4466.2126046296016</v>
      </c>
      <c r="N272">
        <f ca="1">IF($C272-N$1&lt;År1,0,M271*(1-VLOOKUP($A272,[1]Hugst!$R$5:$W$9,MATCH(ROUNDUP((N$1)/10,0)*10,[1]Hugst!$R$4:$W$4,0))))</f>
        <v>4472.2963083937702</v>
      </c>
      <c r="O272">
        <f ca="1">IF($C272-O$1&lt;År1,0,N271*(1-VLOOKUP($A272,[1]Hugst!$R$5:$W$9,MATCH(ROUNDUP((O$1)/10,0)*10,[1]Hugst!$R$4:$W$4,0))))</f>
        <v>4478.4105835336577</v>
      </c>
      <c r="P272">
        <f ca="1">IF($C272-P$1&lt;År1,0,O271*(1-VLOOKUP($A272,[1]Hugst!$R$5:$W$9,MATCH(ROUNDUP((P$1)/10,0)*10,[1]Hugst!$R$4:$W$4,0))))</f>
        <v>4484.5555836742806</v>
      </c>
      <c r="Q272">
        <f ca="1">IF($C272-Q$1&lt;År1,0,P271*(1-VLOOKUP($A272,[1]Hugst!$R$5:$W$9,MATCH(ROUNDUP((Q$1)/10,0)*10,[1]Hugst!$R$4:$W$4,0))))</f>
        <v>4490.7314632125017</v>
      </c>
      <c r="R272">
        <f ca="1">IF($C272-R$1&lt;År1,0,Q271*(1-VLOOKUP($A272,[1]Hugst!$R$5:$W$9,MATCH(ROUNDUP((R$1)/10,0)*10,[1]Hugst!$R$4:$W$4,0))))</f>
        <v>7160.5747409577725</v>
      </c>
      <c r="S272">
        <f ca="1">IF($C272-S$1&lt;År1,0,R271*(1-VLOOKUP($A272,[1]Hugst!$R$5:$W$9,MATCH(ROUNDUP((S$1)/10,0)*10,[1]Hugst!$R$4:$W$4,0))))</f>
        <v>7166.8128455897004</v>
      </c>
      <c r="T272">
        <f ca="1">IF($C272-T$1&lt;År1,0,S271*(1-VLOOKUP($A272,[1]Hugst!$R$5:$W$9,MATCH(ROUNDUP((T$1)/10,0)*10,[1]Hugst!$R$4:$W$4,0))))</f>
        <v>7173.0822974812017</v>
      </c>
      <c r="U272">
        <f ca="1">IF($C272-U$1&lt;År1,0,T271*(1-VLOOKUP($A272,[1]Hugst!$R$5:$W$9,MATCH(ROUNDUP((U$1)/10,0)*10,[1]Hugst!$R$4:$W$4,0))))</f>
        <v>7179.3832541560078</v>
      </c>
      <c r="V272">
        <f ca="1">IF($C272-V$1&lt;År1,0,U271*(1-VLOOKUP($A272,[1]Hugst!$R$5:$W$9,MATCH(ROUNDUP((V$1)/10,0)*10,[1]Hugst!$R$4:$W$4,0))))</f>
        <v>7185.7158739296856</v>
      </c>
      <c r="W272">
        <f ca="1">IF($C272-W$1&lt;År1,0,V271*(1-VLOOKUP($A272,[1]Hugst!$R$5:$W$9,MATCH(ROUNDUP((W$1)/10,0)*10,[1]Hugst!$R$4:$W$4,0))))</f>
        <v>7192.0803159132847</v>
      </c>
      <c r="X272">
        <f ca="1">IF($C272-X$1&lt;År1,0,W271*(1-VLOOKUP($A272,[1]Hugst!$R$5:$W$9,MATCH(ROUNDUP((X$1)/10,0)*10,[1]Hugst!$R$4:$W$4,0))))</f>
        <v>7198.4767400174187</v>
      </c>
      <c r="Y272">
        <f ca="1">IF($C272-Y$1&lt;År1,0,X271*(1-VLOOKUP($A272,[1]Hugst!$R$5:$W$9,MATCH(ROUNDUP((Y$1)/10,0)*10,[1]Hugst!$R$4:$W$4,0))))</f>
        <v>7204.9053069562442</v>
      </c>
      <c r="Z272">
        <f ca="1">IF($C272-Z$1&lt;År1,0,Y271*(1-VLOOKUP($A272,[1]Hugst!$R$5:$W$9,MATCH(ROUNDUP((Z$1)/10,0)*10,[1]Hugst!$R$4:$W$4,0))))</f>
        <v>7211.3661782515483</v>
      </c>
      <c r="AA272">
        <f ca="1">IF($C272-AA$1&lt;År1,0,Z271*(1-VLOOKUP($A272,[1]Hugst!$R$5:$W$9,MATCH(ROUNDUP((AA$1)/10,0)*10,[1]Hugst!$R$4:$W$4,0))))</f>
        <v>7217.8595162367346</v>
      </c>
      <c r="AB272">
        <f ca="1">IF($C272-AB$1&lt;År1,0,AA271*(1-VLOOKUP($A272,[1]Hugst!$R$5:$W$9,MATCH(ROUNDUP((AB$1)/10,0)*10,[1]Hugst!$R$4:$W$4,0))))</f>
        <v>7224.3854840611129</v>
      </c>
      <c r="AC272">
        <f>IF($C272-AC$1&lt;År1,0,AB271*(1-VLOOKUP($A272,[1]Hugst!$R$5:$W$9,MATCH(ROUNDUP((AC$1)/10,0)*10,[1]Hugst!$R$4:$W$4,0))))</f>
        <v>0</v>
      </c>
      <c r="AD272">
        <f>IF($C272-AD$1&lt;År1,0,AC271*(1-VLOOKUP($A272,[1]Hugst!$R$5:$W$9,MATCH(ROUNDUP((AD$1)/10,0)*10,[1]Hugst!$R$4:$W$4,0))))</f>
        <v>0</v>
      </c>
      <c r="AE272">
        <f>IF($C272-AE$1&lt;År1,0,AD271*(1-VLOOKUP($A272,[1]Hugst!$R$5:$W$9,MATCH(ROUNDUP((AE$1)/10,0)*10,[1]Hugst!$R$4:$W$4,0))))</f>
        <v>0</v>
      </c>
      <c r="AF272">
        <f>IF($C272-AF$1&lt;År1,0,AE271*(1-VLOOKUP($A272,[1]Hugst!$R$5:$W$9,MATCH(ROUNDUP((AF$1)/10,0)*10,[1]Hugst!$R$4:$W$4,0))))</f>
        <v>0</v>
      </c>
      <c r="AG272">
        <f>IF($C272-AG$1&lt;År1,0,AF271*(1-VLOOKUP($A272,[1]Hugst!$R$5:$W$9,MATCH(ROUNDUP((AG$1)/10,0)*10,[1]Hugst!$R$4:$W$4,0))))</f>
        <v>0</v>
      </c>
      <c r="AH272">
        <f>IF($C272-AH$1&lt;År1,0,AG271*(1-VLOOKUP($A272,[1]Hugst!$R$5:$W$9,MATCH(ROUNDUP((AH$1)/10,0)*10,[1]Hugst!$R$4:$W$4,0))))</f>
        <v>0</v>
      </c>
      <c r="AI272">
        <f>IF($C272-AI$1&lt;År1,0,AH271*(1-VLOOKUP($A272,[1]Hugst!$R$5:$W$9,MATCH(ROUNDUP((AI$1)/10,0)*10,[1]Hugst!$R$4:$W$4,0))))</f>
        <v>0</v>
      </c>
      <c r="AJ272">
        <f>IF($C272-AJ$1&lt;År1,0,AI271*(1-VLOOKUP($A272,[1]Hugst!$R$5:$W$9,MATCH(ROUNDUP((AJ$1)/10,0)*10,[1]Hugst!$R$4:$W$4,0))))</f>
        <v>0</v>
      </c>
    </row>
    <row r="273" spans="1:36" x14ac:dyDescent="0.25">
      <c r="A273" t="s">
        <v>180</v>
      </c>
      <c r="B273" t="s">
        <v>23</v>
      </c>
      <c r="C273">
        <v>2043</v>
      </c>
      <c r="D273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1163.0698052009793</v>
      </c>
      <c r="E273">
        <f t="shared" ca="1" si="6"/>
        <v>0</v>
      </c>
      <c r="F273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4418.6253607565359</v>
      </c>
      <c r="G273">
        <f ca="1">IF($C273-G$1&lt;År1,0,F272*(1-VLOOKUP($A273,[1]Hugst!$R$5:$W$9,MATCH(ROUNDUP((G$1)/10,0)*10,[1]Hugst!$R$4:$W$4,0))))</f>
        <v>4424.4699326419777</v>
      </c>
      <c r="H273">
        <f ca="1">IF($C273-H$1&lt;År1,0,G272*(1-VLOOKUP($A273,[1]Hugst!$R$5:$W$9,MATCH(ROUNDUP((H$1)/10,0)*10,[1]Hugst!$R$4:$W$4,0))))</f>
        <v>4430.3438742353992</v>
      </c>
      <c r="I273">
        <f ca="1">IF($C273-I$1&lt;År1,0,H272*(1-VLOOKUP($A273,[1]Hugst!$R$5:$W$9,MATCH(ROUNDUP((I$1)/10,0)*10,[1]Hugst!$R$4:$W$4,0))))</f>
        <v>4436.2473331232159</v>
      </c>
      <c r="J273">
        <f ca="1">IF($C273-J$1&lt;År1,0,I272*(1-VLOOKUP($A273,[1]Hugst!$R$5:$W$9,MATCH(ROUNDUP((J$1)/10,0)*10,[1]Hugst!$R$4:$W$4,0))))</f>
        <v>4442.1804576335762</v>
      </c>
      <c r="K273">
        <f ca="1">IF($C273-K$1&lt;År1,0,J272*(1-VLOOKUP($A273,[1]Hugst!$R$5:$W$9,MATCH(ROUNDUP((K$1)/10,0)*10,[1]Hugst!$R$4:$W$4,0))))</f>
        <v>4448.1433968400652</v>
      </c>
      <c r="L273">
        <f ca="1">IF($C273-L$1&lt;År1,0,K272*(1-VLOOKUP($A273,[1]Hugst!$R$5:$W$9,MATCH(ROUNDUP((L$1)/10,0)*10,[1]Hugst!$R$4:$W$4,0))))</f>
        <v>4454.1363005650765</v>
      </c>
      <c r="M273">
        <f ca="1">IF($C273-M$1&lt;År1,0,L272*(1-VLOOKUP($A273,[1]Hugst!$R$5:$W$9,MATCH(ROUNDUP((M$1)/10,0)*10,[1]Hugst!$R$4:$W$4,0))))</f>
        <v>4460.1593193842291</v>
      </c>
      <c r="N273">
        <f ca="1">IF($C273-N$1&lt;År1,0,M272*(1-VLOOKUP($A273,[1]Hugst!$R$5:$W$9,MATCH(ROUNDUP((N$1)/10,0)*10,[1]Hugst!$R$4:$W$4,0))))</f>
        <v>4466.2126046296016</v>
      </c>
      <c r="O273">
        <f ca="1">IF($C273-O$1&lt;År1,0,N272*(1-VLOOKUP($A273,[1]Hugst!$R$5:$W$9,MATCH(ROUNDUP((O$1)/10,0)*10,[1]Hugst!$R$4:$W$4,0))))</f>
        <v>4472.2963083937702</v>
      </c>
      <c r="P273">
        <f ca="1">IF($C273-P$1&lt;År1,0,O272*(1-VLOOKUP($A273,[1]Hugst!$R$5:$W$9,MATCH(ROUNDUP((P$1)/10,0)*10,[1]Hugst!$R$4:$W$4,0))))</f>
        <v>4478.4105835336577</v>
      </c>
      <c r="Q273">
        <f ca="1">IF($C273-Q$1&lt;År1,0,P272*(1-VLOOKUP($A273,[1]Hugst!$R$5:$W$9,MATCH(ROUNDUP((Q$1)/10,0)*10,[1]Hugst!$R$4:$W$4,0))))</f>
        <v>4484.5555836742806</v>
      </c>
      <c r="R273">
        <f ca="1">IF($C273-R$1&lt;År1,0,Q272*(1-VLOOKUP($A273,[1]Hugst!$R$5:$W$9,MATCH(ROUNDUP((R$1)/10,0)*10,[1]Hugst!$R$4:$W$4,0))))</f>
        <v>4490.7314632125017</v>
      </c>
      <c r="S273">
        <f ca="1">IF($C273-S$1&lt;År1,0,R272*(1-VLOOKUP($A273,[1]Hugst!$R$5:$W$9,MATCH(ROUNDUP((S$1)/10,0)*10,[1]Hugst!$R$4:$W$4,0))))</f>
        <v>7160.5747409577725</v>
      </c>
      <c r="T273">
        <f ca="1">IF($C273-T$1&lt;År1,0,S272*(1-VLOOKUP($A273,[1]Hugst!$R$5:$W$9,MATCH(ROUNDUP((T$1)/10,0)*10,[1]Hugst!$R$4:$W$4,0))))</f>
        <v>7166.8128455897004</v>
      </c>
      <c r="U273">
        <f ca="1">IF($C273-U$1&lt;År1,0,T272*(1-VLOOKUP($A273,[1]Hugst!$R$5:$W$9,MATCH(ROUNDUP((U$1)/10,0)*10,[1]Hugst!$R$4:$W$4,0))))</f>
        <v>7173.0822974812017</v>
      </c>
      <c r="V273">
        <f ca="1">IF($C273-V$1&lt;År1,0,U272*(1-VLOOKUP($A273,[1]Hugst!$R$5:$W$9,MATCH(ROUNDUP((V$1)/10,0)*10,[1]Hugst!$R$4:$W$4,0))))</f>
        <v>7179.3832541560078</v>
      </c>
      <c r="W273">
        <f ca="1">IF($C273-W$1&lt;År1,0,V272*(1-VLOOKUP($A273,[1]Hugst!$R$5:$W$9,MATCH(ROUNDUP((W$1)/10,0)*10,[1]Hugst!$R$4:$W$4,0))))</f>
        <v>7185.7158739296856</v>
      </c>
      <c r="X273">
        <f ca="1">IF($C273-X$1&lt;År1,0,W272*(1-VLOOKUP($A273,[1]Hugst!$R$5:$W$9,MATCH(ROUNDUP((X$1)/10,0)*10,[1]Hugst!$R$4:$W$4,0))))</f>
        <v>7192.0803159132847</v>
      </c>
      <c r="Y273">
        <f ca="1">IF($C273-Y$1&lt;År1,0,X272*(1-VLOOKUP($A273,[1]Hugst!$R$5:$W$9,MATCH(ROUNDUP((Y$1)/10,0)*10,[1]Hugst!$R$4:$W$4,0))))</f>
        <v>7198.4767400174187</v>
      </c>
      <c r="Z273">
        <f ca="1">IF($C273-Z$1&lt;År1,0,Y272*(1-VLOOKUP($A273,[1]Hugst!$R$5:$W$9,MATCH(ROUNDUP((Z$1)/10,0)*10,[1]Hugst!$R$4:$W$4,0))))</f>
        <v>7204.9053069562442</v>
      </c>
      <c r="AA273">
        <f ca="1">IF($C273-AA$1&lt;År1,0,Z272*(1-VLOOKUP($A273,[1]Hugst!$R$5:$W$9,MATCH(ROUNDUP((AA$1)/10,0)*10,[1]Hugst!$R$4:$W$4,0))))</f>
        <v>7211.3661782515483</v>
      </c>
      <c r="AB273">
        <f ca="1">IF($C273-AB$1&lt;År1,0,AA272*(1-VLOOKUP($A273,[1]Hugst!$R$5:$W$9,MATCH(ROUNDUP((AB$1)/10,0)*10,[1]Hugst!$R$4:$W$4,0))))</f>
        <v>7217.8595162367346</v>
      </c>
      <c r="AC273">
        <f ca="1">IF($C273-AC$1&lt;År1,0,AB272*(1-VLOOKUP($A273,[1]Hugst!$R$5:$W$9,MATCH(ROUNDUP((AC$1)/10,0)*10,[1]Hugst!$R$4:$W$4,0))))</f>
        <v>7224.3854840611129</v>
      </c>
      <c r="AD273">
        <f>IF($C273-AD$1&lt;År1,0,AC272*(1-VLOOKUP($A273,[1]Hugst!$R$5:$W$9,MATCH(ROUNDUP((AD$1)/10,0)*10,[1]Hugst!$R$4:$W$4,0))))</f>
        <v>0</v>
      </c>
      <c r="AE273">
        <f>IF($C273-AE$1&lt;År1,0,AD272*(1-VLOOKUP($A273,[1]Hugst!$R$5:$W$9,MATCH(ROUNDUP((AE$1)/10,0)*10,[1]Hugst!$R$4:$W$4,0))))</f>
        <v>0</v>
      </c>
      <c r="AF273">
        <f>IF($C273-AF$1&lt;År1,0,AE272*(1-VLOOKUP($A273,[1]Hugst!$R$5:$W$9,MATCH(ROUNDUP((AF$1)/10,0)*10,[1]Hugst!$R$4:$W$4,0))))</f>
        <v>0</v>
      </c>
      <c r="AG273">
        <f>IF($C273-AG$1&lt;År1,0,AF272*(1-VLOOKUP($A273,[1]Hugst!$R$5:$W$9,MATCH(ROUNDUP((AG$1)/10,0)*10,[1]Hugst!$R$4:$W$4,0))))</f>
        <v>0</v>
      </c>
      <c r="AH273">
        <f>IF($C273-AH$1&lt;År1,0,AG272*(1-VLOOKUP($A273,[1]Hugst!$R$5:$W$9,MATCH(ROUNDUP((AH$1)/10,0)*10,[1]Hugst!$R$4:$W$4,0))))</f>
        <v>0</v>
      </c>
      <c r="AI273">
        <f>IF($C273-AI$1&lt;År1,0,AH272*(1-VLOOKUP($A273,[1]Hugst!$R$5:$W$9,MATCH(ROUNDUP((AI$1)/10,0)*10,[1]Hugst!$R$4:$W$4,0))))</f>
        <v>0</v>
      </c>
      <c r="AJ273">
        <f>IF($C273-AJ$1&lt;År1,0,AI272*(1-VLOOKUP($A273,[1]Hugst!$R$5:$W$9,MATCH(ROUNDUP((AJ$1)/10,0)*10,[1]Hugst!$R$4:$W$4,0))))</f>
        <v>0</v>
      </c>
    </row>
    <row r="274" spans="1:36" x14ac:dyDescent="0.25">
      <c r="A274" t="s">
        <v>180</v>
      </c>
      <c r="B274" t="s">
        <v>23</v>
      </c>
      <c r="C274">
        <v>2044</v>
      </c>
      <c r="D274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1157.2544561749783</v>
      </c>
      <c r="E274">
        <f t="shared" ca="1" si="6"/>
        <v>0</v>
      </c>
      <c r="F274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4412.8100117305348</v>
      </c>
      <c r="G274">
        <f ca="1">IF($C274-G$1&lt;År1,0,F273*(1-VLOOKUP($A274,[1]Hugst!$R$5:$W$9,MATCH(ROUNDUP((G$1)/10,0)*10,[1]Hugst!$R$4:$W$4,0))))</f>
        <v>4418.6253607565359</v>
      </c>
      <c r="H274">
        <f ca="1">IF($C274-H$1&lt;År1,0,G273*(1-VLOOKUP($A274,[1]Hugst!$R$5:$W$9,MATCH(ROUNDUP((H$1)/10,0)*10,[1]Hugst!$R$4:$W$4,0))))</f>
        <v>4424.4699326419777</v>
      </c>
      <c r="I274">
        <f ca="1">IF($C274-I$1&lt;År1,0,H273*(1-VLOOKUP($A274,[1]Hugst!$R$5:$W$9,MATCH(ROUNDUP((I$1)/10,0)*10,[1]Hugst!$R$4:$W$4,0))))</f>
        <v>4430.3438742353992</v>
      </c>
      <c r="J274">
        <f ca="1">IF($C274-J$1&lt;År1,0,I273*(1-VLOOKUP($A274,[1]Hugst!$R$5:$W$9,MATCH(ROUNDUP((J$1)/10,0)*10,[1]Hugst!$R$4:$W$4,0))))</f>
        <v>4436.2473331232159</v>
      </c>
      <c r="K274">
        <f ca="1">IF($C274-K$1&lt;År1,0,J273*(1-VLOOKUP($A274,[1]Hugst!$R$5:$W$9,MATCH(ROUNDUP((K$1)/10,0)*10,[1]Hugst!$R$4:$W$4,0))))</f>
        <v>4442.1804576335762</v>
      </c>
      <c r="L274">
        <f ca="1">IF($C274-L$1&lt;År1,0,K273*(1-VLOOKUP($A274,[1]Hugst!$R$5:$W$9,MATCH(ROUNDUP((L$1)/10,0)*10,[1]Hugst!$R$4:$W$4,0))))</f>
        <v>4448.1433968400652</v>
      </c>
      <c r="M274">
        <f ca="1">IF($C274-M$1&lt;År1,0,L273*(1-VLOOKUP($A274,[1]Hugst!$R$5:$W$9,MATCH(ROUNDUP((M$1)/10,0)*10,[1]Hugst!$R$4:$W$4,0))))</f>
        <v>4454.1363005650765</v>
      </c>
      <c r="N274">
        <f ca="1">IF($C274-N$1&lt;År1,0,M273*(1-VLOOKUP($A274,[1]Hugst!$R$5:$W$9,MATCH(ROUNDUP((N$1)/10,0)*10,[1]Hugst!$R$4:$W$4,0))))</f>
        <v>4460.1593193842291</v>
      </c>
      <c r="O274">
        <f ca="1">IF($C274-O$1&lt;År1,0,N273*(1-VLOOKUP($A274,[1]Hugst!$R$5:$W$9,MATCH(ROUNDUP((O$1)/10,0)*10,[1]Hugst!$R$4:$W$4,0))))</f>
        <v>4466.2126046296016</v>
      </c>
      <c r="P274">
        <f ca="1">IF($C274-P$1&lt;År1,0,O273*(1-VLOOKUP($A274,[1]Hugst!$R$5:$W$9,MATCH(ROUNDUP((P$1)/10,0)*10,[1]Hugst!$R$4:$W$4,0))))</f>
        <v>4472.2963083937702</v>
      </c>
      <c r="Q274">
        <f ca="1">IF($C274-Q$1&lt;År1,0,P273*(1-VLOOKUP($A274,[1]Hugst!$R$5:$W$9,MATCH(ROUNDUP((Q$1)/10,0)*10,[1]Hugst!$R$4:$W$4,0))))</f>
        <v>4478.4105835336577</v>
      </c>
      <c r="R274">
        <f ca="1">IF($C274-R$1&lt;År1,0,Q273*(1-VLOOKUP($A274,[1]Hugst!$R$5:$W$9,MATCH(ROUNDUP((R$1)/10,0)*10,[1]Hugst!$R$4:$W$4,0))))</f>
        <v>4484.5555836742806</v>
      </c>
      <c r="S274">
        <f ca="1">IF($C274-S$1&lt;År1,0,R273*(1-VLOOKUP($A274,[1]Hugst!$R$5:$W$9,MATCH(ROUNDUP((S$1)/10,0)*10,[1]Hugst!$R$4:$W$4,0))))</f>
        <v>4490.7314632125017</v>
      </c>
      <c r="T274">
        <f ca="1">IF($C274-T$1&lt;År1,0,S273*(1-VLOOKUP($A274,[1]Hugst!$R$5:$W$9,MATCH(ROUNDUP((T$1)/10,0)*10,[1]Hugst!$R$4:$W$4,0))))</f>
        <v>7160.5747409577725</v>
      </c>
      <c r="U274">
        <f ca="1">IF($C274-U$1&lt;År1,0,T273*(1-VLOOKUP($A274,[1]Hugst!$R$5:$W$9,MATCH(ROUNDUP((U$1)/10,0)*10,[1]Hugst!$R$4:$W$4,0))))</f>
        <v>7166.8128455897004</v>
      </c>
      <c r="V274">
        <f ca="1">IF($C274-V$1&lt;År1,0,U273*(1-VLOOKUP($A274,[1]Hugst!$R$5:$W$9,MATCH(ROUNDUP((V$1)/10,0)*10,[1]Hugst!$R$4:$W$4,0))))</f>
        <v>7173.0822974812017</v>
      </c>
      <c r="W274">
        <f ca="1">IF($C274-W$1&lt;År1,0,V273*(1-VLOOKUP($A274,[1]Hugst!$R$5:$W$9,MATCH(ROUNDUP((W$1)/10,0)*10,[1]Hugst!$R$4:$W$4,0))))</f>
        <v>7179.3832541560078</v>
      </c>
      <c r="X274">
        <f ca="1">IF($C274-X$1&lt;År1,0,W273*(1-VLOOKUP($A274,[1]Hugst!$R$5:$W$9,MATCH(ROUNDUP((X$1)/10,0)*10,[1]Hugst!$R$4:$W$4,0))))</f>
        <v>7185.7158739296856</v>
      </c>
      <c r="Y274">
        <f ca="1">IF($C274-Y$1&lt;År1,0,X273*(1-VLOOKUP($A274,[1]Hugst!$R$5:$W$9,MATCH(ROUNDUP((Y$1)/10,0)*10,[1]Hugst!$R$4:$W$4,0))))</f>
        <v>7192.0803159132847</v>
      </c>
      <c r="Z274">
        <f ca="1">IF($C274-Z$1&lt;År1,0,Y273*(1-VLOOKUP($A274,[1]Hugst!$R$5:$W$9,MATCH(ROUNDUP((Z$1)/10,0)*10,[1]Hugst!$R$4:$W$4,0))))</f>
        <v>7198.4767400174187</v>
      </c>
      <c r="AA274">
        <f ca="1">IF($C274-AA$1&lt;År1,0,Z273*(1-VLOOKUP($A274,[1]Hugst!$R$5:$W$9,MATCH(ROUNDUP((AA$1)/10,0)*10,[1]Hugst!$R$4:$W$4,0))))</f>
        <v>7204.9053069562442</v>
      </c>
      <c r="AB274">
        <f ca="1">IF($C274-AB$1&lt;År1,0,AA273*(1-VLOOKUP($A274,[1]Hugst!$R$5:$W$9,MATCH(ROUNDUP((AB$1)/10,0)*10,[1]Hugst!$R$4:$W$4,0))))</f>
        <v>7211.3661782515483</v>
      </c>
      <c r="AC274">
        <f ca="1">IF($C274-AC$1&lt;År1,0,AB273*(1-VLOOKUP($A274,[1]Hugst!$R$5:$W$9,MATCH(ROUNDUP((AC$1)/10,0)*10,[1]Hugst!$R$4:$W$4,0))))</f>
        <v>7217.8595162367346</v>
      </c>
      <c r="AD274">
        <f ca="1">IF($C274-AD$1&lt;År1,0,AC273*(1-VLOOKUP($A274,[1]Hugst!$R$5:$W$9,MATCH(ROUNDUP((AD$1)/10,0)*10,[1]Hugst!$R$4:$W$4,0))))</f>
        <v>7224.3854840611129</v>
      </c>
      <c r="AE274">
        <f>IF($C274-AE$1&lt;År1,0,AD273*(1-VLOOKUP($A274,[1]Hugst!$R$5:$W$9,MATCH(ROUNDUP((AE$1)/10,0)*10,[1]Hugst!$R$4:$W$4,0))))</f>
        <v>0</v>
      </c>
      <c r="AF274">
        <f>IF($C274-AF$1&lt;År1,0,AE273*(1-VLOOKUP($A274,[1]Hugst!$R$5:$W$9,MATCH(ROUNDUP((AF$1)/10,0)*10,[1]Hugst!$R$4:$W$4,0))))</f>
        <v>0</v>
      </c>
      <c r="AG274">
        <f>IF($C274-AG$1&lt;År1,0,AF273*(1-VLOOKUP($A274,[1]Hugst!$R$5:$W$9,MATCH(ROUNDUP((AG$1)/10,0)*10,[1]Hugst!$R$4:$W$4,0))))</f>
        <v>0</v>
      </c>
      <c r="AH274">
        <f>IF($C274-AH$1&lt;År1,0,AG273*(1-VLOOKUP($A274,[1]Hugst!$R$5:$W$9,MATCH(ROUNDUP((AH$1)/10,0)*10,[1]Hugst!$R$4:$W$4,0))))</f>
        <v>0</v>
      </c>
      <c r="AI274">
        <f>IF($C274-AI$1&lt;År1,0,AH273*(1-VLOOKUP($A274,[1]Hugst!$R$5:$W$9,MATCH(ROUNDUP((AI$1)/10,0)*10,[1]Hugst!$R$4:$W$4,0))))</f>
        <v>0</v>
      </c>
      <c r="AJ274">
        <f>IF($C274-AJ$1&lt;År1,0,AI273*(1-VLOOKUP($A274,[1]Hugst!$R$5:$W$9,MATCH(ROUNDUP((AJ$1)/10,0)*10,[1]Hugst!$R$4:$W$4,0))))</f>
        <v>0</v>
      </c>
    </row>
    <row r="275" spans="1:36" x14ac:dyDescent="0.25">
      <c r="A275" t="s">
        <v>180</v>
      </c>
      <c r="B275" t="s">
        <v>23</v>
      </c>
      <c r="C275">
        <v>2045</v>
      </c>
      <c r="D275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1151.4681838941069</v>
      </c>
      <c r="E275">
        <f t="shared" ca="1" si="6"/>
        <v>0</v>
      </c>
      <c r="F275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4407.0237394496635</v>
      </c>
      <c r="G275">
        <f ca="1">IF($C275-G$1&lt;År1,0,F274*(1-VLOOKUP($A275,[1]Hugst!$R$5:$W$9,MATCH(ROUNDUP((G$1)/10,0)*10,[1]Hugst!$R$4:$W$4,0))))</f>
        <v>4412.8100117305348</v>
      </c>
      <c r="H275">
        <f ca="1">IF($C275-H$1&lt;År1,0,G274*(1-VLOOKUP($A275,[1]Hugst!$R$5:$W$9,MATCH(ROUNDUP((H$1)/10,0)*10,[1]Hugst!$R$4:$W$4,0))))</f>
        <v>4418.6253607565359</v>
      </c>
      <c r="I275">
        <f ca="1">IF($C275-I$1&lt;År1,0,H274*(1-VLOOKUP($A275,[1]Hugst!$R$5:$W$9,MATCH(ROUNDUP((I$1)/10,0)*10,[1]Hugst!$R$4:$W$4,0))))</f>
        <v>4424.4699326419777</v>
      </c>
      <c r="J275">
        <f ca="1">IF($C275-J$1&lt;År1,0,I274*(1-VLOOKUP($A275,[1]Hugst!$R$5:$W$9,MATCH(ROUNDUP((J$1)/10,0)*10,[1]Hugst!$R$4:$W$4,0))))</f>
        <v>4430.3438742353992</v>
      </c>
      <c r="K275">
        <f ca="1">IF($C275-K$1&lt;År1,0,J274*(1-VLOOKUP($A275,[1]Hugst!$R$5:$W$9,MATCH(ROUNDUP((K$1)/10,0)*10,[1]Hugst!$R$4:$W$4,0))))</f>
        <v>4436.2473331232159</v>
      </c>
      <c r="L275">
        <f ca="1">IF($C275-L$1&lt;År1,0,K274*(1-VLOOKUP($A275,[1]Hugst!$R$5:$W$9,MATCH(ROUNDUP((L$1)/10,0)*10,[1]Hugst!$R$4:$W$4,0))))</f>
        <v>4442.1804576335762</v>
      </c>
      <c r="M275">
        <f ca="1">IF($C275-M$1&lt;År1,0,L274*(1-VLOOKUP($A275,[1]Hugst!$R$5:$W$9,MATCH(ROUNDUP((M$1)/10,0)*10,[1]Hugst!$R$4:$W$4,0))))</f>
        <v>4448.1433968400652</v>
      </c>
      <c r="N275">
        <f ca="1">IF($C275-N$1&lt;År1,0,M274*(1-VLOOKUP($A275,[1]Hugst!$R$5:$W$9,MATCH(ROUNDUP((N$1)/10,0)*10,[1]Hugst!$R$4:$W$4,0))))</f>
        <v>4454.1363005650765</v>
      </c>
      <c r="O275">
        <f ca="1">IF($C275-O$1&lt;År1,0,N274*(1-VLOOKUP($A275,[1]Hugst!$R$5:$W$9,MATCH(ROUNDUP((O$1)/10,0)*10,[1]Hugst!$R$4:$W$4,0))))</f>
        <v>4460.1593193842291</v>
      </c>
      <c r="P275">
        <f ca="1">IF($C275-P$1&lt;År1,0,O274*(1-VLOOKUP($A275,[1]Hugst!$R$5:$W$9,MATCH(ROUNDUP((P$1)/10,0)*10,[1]Hugst!$R$4:$W$4,0))))</f>
        <v>4466.2126046296016</v>
      </c>
      <c r="Q275">
        <f ca="1">IF($C275-Q$1&lt;År1,0,P274*(1-VLOOKUP($A275,[1]Hugst!$R$5:$W$9,MATCH(ROUNDUP((Q$1)/10,0)*10,[1]Hugst!$R$4:$W$4,0))))</f>
        <v>4472.2963083937702</v>
      </c>
      <c r="R275">
        <f ca="1">IF($C275-R$1&lt;År1,0,Q274*(1-VLOOKUP($A275,[1]Hugst!$R$5:$W$9,MATCH(ROUNDUP((R$1)/10,0)*10,[1]Hugst!$R$4:$W$4,0))))</f>
        <v>4478.4105835336577</v>
      </c>
      <c r="S275">
        <f ca="1">IF($C275-S$1&lt;År1,0,R274*(1-VLOOKUP($A275,[1]Hugst!$R$5:$W$9,MATCH(ROUNDUP((S$1)/10,0)*10,[1]Hugst!$R$4:$W$4,0))))</f>
        <v>4484.5555836742806</v>
      </c>
      <c r="T275">
        <f ca="1">IF($C275-T$1&lt;År1,0,S274*(1-VLOOKUP($A275,[1]Hugst!$R$5:$W$9,MATCH(ROUNDUP((T$1)/10,0)*10,[1]Hugst!$R$4:$W$4,0))))</f>
        <v>4490.7314632125017</v>
      </c>
      <c r="U275">
        <f ca="1">IF($C275-U$1&lt;År1,0,T274*(1-VLOOKUP($A275,[1]Hugst!$R$5:$W$9,MATCH(ROUNDUP((U$1)/10,0)*10,[1]Hugst!$R$4:$W$4,0))))</f>
        <v>7160.5747409577725</v>
      </c>
      <c r="V275">
        <f ca="1">IF($C275-V$1&lt;År1,0,U274*(1-VLOOKUP($A275,[1]Hugst!$R$5:$W$9,MATCH(ROUNDUP((V$1)/10,0)*10,[1]Hugst!$R$4:$W$4,0))))</f>
        <v>7166.8128455897004</v>
      </c>
      <c r="W275">
        <f ca="1">IF($C275-W$1&lt;År1,0,V274*(1-VLOOKUP($A275,[1]Hugst!$R$5:$W$9,MATCH(ROUNDUP((W$1)/10,0)*10,[1]Hugst!$R$4:$W$4,0))))</f>
        <v>7173.0822974812017</v>
      </c>
      <c r="X275">
        <f ca="1">IF($C275-X$1&lt;År1,0,W274*(1-VLOOKUP($A275,[1]Hugst!$R$5:$W$9,MATCH(ROUNDUP((X$1)/10,0)*10,[1]Hugst!$R$4:$W$4,0))))</f>
        <v>7179.3832541560078</v>
      </c>
      <c r="Y275">
        <f ca="1">IF($C275-Y$1&lt;År1,0,X274*(1-VLOOKUP($A275,[1]Hugst!$R$5:$W$9,MATCH(ROUNDUP((Y$1)/10,0)*10,[1]Hugst!$R$4:$W$4,0))))</f>
        <v>7185.7158739296856</v>
      </c>
      <c r="Z275">
        <f ca="1">IF($C275-Z$1&lt;År1,0,Y274*(1-VLOOKUP($A275,[1]Hugst!$R$5:$W$9,MATCH(ROUNDUP((Z$1)/10,0)*10,[1]Hugst!$R$4:$W$4,0))))</f>
        <v>7192.0803159132847</v>
      </c>
      <c r="AA275">
        <f ca="1">IF($C275-AA$1&lt;År1,0,Z274*(1-VLOOKUP($A275,[1]Hugst!$R$5:$W$9,MATCH(ROUNDUP((AA$1)/10,0)*10,[1]Hugst!$R$4:$W$4,0))))</f>
        <v>7198.4767400174187</v>
      </c>
      <c r="AB275">
        <f ca="1">IF($C275-AB$1&lt;År1,0,AA274*(1-VLOOKUP($A275,[1]Hugst!$R$5:$W$9,MATCH(ROUNDUP((AB$1)/10,0)*10,[1]Hugst!$R$4:$W$4,0))))</f>
        <v>7204.9053069562442</v>
      </c>
      <c r="AC275">
        <f ca="1">IF($C275-AC$1&lt;År1,0,AB274*(1-VLOOKUP($A275,[1]Hugst!$R$5:$W$9,MATCH(ROUNDUP((AC$1)/10,0)*10,[1]Hugst!$R$4:$W$4,0))))</f>
        <v>7211.3661782515483</v>
      </c>
      <c r="AD275">
        <f ca="1">IF($C275-AD$1&lt;År1,0,AC274*(1-VLOOKUP($A275,[1]Hugst!$R$5:$W$9,MATCH(ROUNDUP((AD$1)/10,0)*10,[1]Hugst!$R$4:$W$4,0))))</f>
        <v>7217.8595162367346</v>
      </c>
      <c r="AE275">
        <f ca="1">IF($C275-AE$1&lt;År1,0,AD274*(1-VLOOKUP($A275,[1]Hugst!$R$5:$W$9,MATCH(ROUNDUP((AE$1)/10,0)*10,[1]Hugst!$R$4:$W$4,0))))</f>
        <v>7224.3854840611129</v>
      </c>
      <c r="AF275">
        <f>IF($C275-AF$1&lt;År1,0,AE274*(1-VLOOKUP($A275,[1]Hugst!$R$5:$W$9,MATCH(ROUNDUP((AF$1)/10,0)*10,[1]Hugst!$R$4:$W$4,0))))</f>
        <v>0</v>
      </c>
      <c r="AG275">
        <f>IF($C275-AG$1&lt;År1,0,AF274*(1-VLOOKUP($A275,[1]Hugst!$R$5:$W$9,MATCH(ROUNDUP((AG$1)/10,0)*10,[1]Hugst!$R$4:$W$4,0))))</f>
        <v>0</v>
      </c>
      <c r="AH275">
        <f>IF($C275-AH$1&lt;År1,0,AG274*(1-VLOOKUP($A275,[1]Hugst!$R$5:$W$9,MATCH(ROUNDUP((AH$1)/10,0)*10,[1]Hugst!$R$4:$W$4,0))))</f>
        <v>0</v>
      </c>
      <c r="AI275">
        <f>IF($C275-AI$1&lt;År1,0,AH274*(1-VLOOKUP($A275,[1]Hugst!$R$5:$W$9,MATCH(ROUNDUP((AI$1)/10,0)*10,[1]Hugst!$R$4:$W$4,0))))</f>
        <v>0</v>
      </c>
      <c r="AJ275">
        <f>IF($C275-AJ$1&lt;År1,0,AI274*(1-VLOOKUP($A275,[1]Hugst!$R$5:$W$9,MATCH(ROUNDUP((AJ$1)/10,0)*10,[1]Hugst!$R$4:$W$4,0))))</f>
        <v>0</v>
      </c>
    </row>
    <row r="276" spans="1:36" x14ac:dyDescent="0.25">
      <c r="A276" t="s">
        <v>180</v>
      </c>
      <c r="B276" t="s">
        <v>23</v>
      </c>
      <c r="C276">
        <v>2046</v>
      </c>
      <c r="D276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1145.7108429746695</v>
      </c>
      <c r="E276">
        <f t="shared" ca="1" si="6"/>
        <v>0</v>
      </c>
      <c r="F276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4401.2663985302261</v>
      </c>
      <c r="G276">
        <f ca="1">IF($C276-G$1&lt;År1,0,F275*(1-VLOOKUP($A276,[1]Hugst!$R$5:$W$9,MATCH(ROUNDUP((G$1)/10,0)*10,[1]Hugst!$R$4:$W$4,0))))</f>
        <v>4407.0237394496635</v>
      </c>
      <c r="H276">
        <f ca="1">IF($C276-H$1&lt;År1,0,G275*(1-VLOOKUP($A276,[1]Hugst!$R$5:$W$9,MATCH(ROUNDUP((H$1)/10,0)*10,[1]Hugst!$R$4:$W$4,0))))</f>
        <v>4412.8100117305348</v>
      </c>
      <c r="I276">
        <f ca="1">IF($C276-I$1&lt;År1,0,H275*(1-VLOOKUP($A276,[1]Hugst!$R$5:$W$9,MATCH(ROUNDUP((I$1)/10,0)*10,[1]Hugst!$R$4:$W$4,0))))</f>
        <v>4418.6253607565359</v>
      </c>
      <c r="J276">
        <f ca="1">IF($C276-J$1&lt;År1,0,I275*(1-VLOOKUP($A276,[1]Hugst!$R$5:$W$9,MATCH(ROUNDUP((J$1)/10,0)*10,[1]Hugst!$R$4:$W$4,0))))</f>
        <v>4424.4699326419777</v>
      </c>
      <c r="K276">
        <f ca="1">IF($C276-K$1&lt;År1,0,J275*(1-VLOOKUP($A276,[1]Hugst!$R$5:$W$9,MATCH(ROUNDUP((K$1)/10,0)*10,[1]Hugst!$R$4:$W$4,0))))</f>
        <v>4430.3438742353992</v>
      </c>
      <c r="L276">
        <f ca="1">IF($C276-L$1&lt;År1,0,K275*(1-VLOOKUP($A276,[1]Hugst!$R$5:$W$9,MATCH(ROUNDUP((L$1)/10,0)*10,[1]Hugst!$R$4:$W$4,0))))</f>
        <v>4436.2473331232159</v>
      </c>
      <c r="M276">
        <f ca="1">IF($C276-M$1&lt;År1,0,L275*(1-VLOOKUP($A276,[1]Hugst!$R$5:$W$9,MATCH(ROUNDUP((M$1)/10,0)*10,[1]Hugst!$R$4:$W$4,0))))</f>
        <v>4442.1804576335762</v>
      </c>
      <c r="N276">
        <f ca="1">IF($C276-N$1&lt;År1,0,M275*(1-VLOOKUP($A276,[1]Hugst!$R$5:$W$9,MATCH(ROUNDUP((N$1)/10,0)*10,[1]Hugst!$R$4:$W$4,0))))</f>
        <v>4448.1433968400652</v>
      </c>
      <c r="O276">
        <f ca="1">IF($C276-O$1&lt;År1,0,N275*(1-VLOOKUP($A276,[1]Hugst!$R$5:$W$9,MATCH(ROUNDUP((O$1)/10,0)*10,[1]Hugst!$R$4:$W$4,0))))</f>
        <v>4454.1363005650765</v>
      </c>
      <c r="P276">
        <f ca="1">IF($C276-P$1&lt;År1,0,O275*(1-VLOOKUP($A276,[1]Hugst!$R$5:$W$9,MATCH(ROUNDUP((P$1)/10,0)*10,[1]Hugst!$R$4:$W$4,0))))</f>
        <v>4460.1593193842291</v>
      </c>
      <c r="Q276">
        <f ca="1">IF($C276-Q$1&lt;År1,0,P275*(1-VLOOKUP($A276,[1]Hugst!$R$5:$W$9,MATCH(ROUNDUP((Q$1)/10,0)*10,[1]Hugst!$R$4:$W$4,0))))</f>
        <v>4466.2126046296016</v>
      </c>
      <c r="R276">
        <f ca="1">IF($C276-R$1&lt;År1,0,Q275*(1-VLOOKUP($A276,[1]Hugst!$R$5:$W$9,MATCH(ROUNDUP((R$1)/10,0)*10,[1]Hugst!$R$4:$W$4,0))))</f>
        <v>4472.2963083937702</v>
      </c>
      <c r="S276">
        <f ca="1">IF($C276-S$1&lt;År1,0,R275*(1-VLOOKUP($A276,[1]Hugst!$R$5:$W$9,MATCH(ROUNDUP((S$1)/10,0)*10,[1]Hugst!$R$4:$W$4,0))))</f>
        <v>4478.4105835336577</v>
      </c>
      <c r="T276">
        <f ca="1">IF($C276-T$1&lt;År1,0,S275*(1-VLOOKUP($A276,[1]Hugst!$R$5:$W$9,MATCH(ROUNDUP((T$1)/10,0)*10,[1]Hugst!$R$4:$W$4,0))))</f>
        <v>4484.5555836742806</v>
      </c>
      <c r="U276">
        <f ca="1">IF($C276-U$1&lt;År1,0,T275*(1-VLOOKUP($A276,[1]Hugst!$R$5:$W$9,MATCH(ROUNDUP((U$1)/10,0)*10,[1]Hugst!$R$4:$W$4,0))))</f>
        <v>4490.7314632125017</v>
      </c>
      <c r="V276">
        <f ca="1">IF($C276-V$1&lt;År1,0,U275*(1-VLOOKUP($A276,[1]Hugst!$R$5:$W$9,MATCH(ROUNDUP((V$1)/10,0)*10,[1]Hugst!$R$4:$W$4,0))))</f>
        <v>7160.5747409577725</v>
      </c>
      <c r="W276">
        <f ca="1">IF($C276-W$1&lt;År1,0,V275*(1-VLOOKUP($A276,[1]Hugst!$R$5:$W$9,MATCH(ROUNDUP((W$1)/10,0)*10,[1]Hugst!$R$4:$W$4,0))))</f>
        <v>7166.8128455897004</v>
      </c>
      <c r="X276">
        <f ca="1">IF($C276-X$1&lt;År1,0,W275*(1-VLOOKUP($A276,[1]Hugst!$R$5:$W$9,MATCH(ROUNDUP((X$1)/10,0)*10,[1]Hugst!$R$4:$W$4,0))))</f>
        <v>7173.0822974812017</v>
      </c>
      <c r="Y276">
        <f ca="1">IF($C276-Y$1&lt;År1,0,X275*(1-VLOOKUP($A276,[1]Hugst!$R$5:$W$9,MATCH(ROUNDUP((Y$1)/10,0)*10,[1]Hugst!$R$4:$W$4,0))))</f>
        <v>7179.3832541560078</v>
      </c>
      <c r="Z276">
        <f ca="1">IF($C276-Z$1&lt;År1,0,Y275*(1-VLOOKUP($A276,[1]Hugst!$R$5:$W$9,MATCH(ROUNDUP((Z$1)/10,0)*10,[1]Hugst!$R$4:$W$4,0))))</f>
        <v>7185.7158739296856</v>
      </c>
      <c r="AA276">
        <f ca="1">IF($C276-AA$1&lt;År1,0,Z275*(1-VLOOKUP($A276,[1]Hugst!$R$5:$W$9,MATCH(ROUNDUP((AA$1)/10,0)*10,[1]Hugst!$R$4:$W$4,0))))</f>
        <v>7192.0803159132847</v>
      </c>
      <c r="AB276">
        <f ca="1">IF($C276-AB$1&lt;År1,0,AA275*(1-VLOOKUP($A276,[1]Hugst!$R$5:$W$9,MATCH(ROUNDUP((AB$1)/10,0)*10,[1]Hugst!$R$4:$W$4,0))))</f>
        <v>7198.4767400174187</v>
      </c>
      <c r="AC276">
        <f ca="1">IF($C276-AC$1&lt;År1,0,AB275*(1-VLOOKUP($A276,[1]Hugst!$R$5:$W$9,MATCH(ROUNDUP((AC$1)/10,0)*10,[1]Hugst!$R$4:$W$4,0))))</f>
        <v>7204.9053069562442</v>
      </c>
      <c r="AD276">
        <f ca="1">IF($C276-AD$1&lt;År1,0,AC275*(1-VLOOKUP($A276,[1]Hugst!$R$5:$W$9,MATCH(ROUNDUP((AD$1)/10,0)*10,[1]Hugst!$R$4:$W$4,0))))</f>
        <v>7211.3661782515483</v>
      </c>
      <c r="AE276">
        <f ca="1">IF($C276-AE$1&lt;År1,0,AD275*(1-VLOOKUP($A276,[1]Hugst!$R$5:$W$9,MATCH(ROUNDUP((AE$1)/10,0)*10,[1]Hugst!$R$4:$W$4,0))))</f>
        <v>7217.8595162367346</v>
      </c>
      <c r="AF276">
        <f ca="1">IF($C276-AF$1&lt;År1,0,AE275*(1-VLOOKUP($A276,[1]Hugst!$R$5:$W$9,MATCH(ROUNDUP((AF$1)/10,0)*10,[1]Hugst!$R$4:$W$4,0))))</f>
        <v>7224.3854840611129</v>
      </c>
      <c r="AG276">
        <f>IF($C276-AG$1&lt;År1,0,AF275*(1-VLOOKUP($A276,[1]Hugst!$R$5:$W$9,MATCH(ROUNDUP((AG$1)/10,0)*10,[1]Hugst!$R$4:$W$4,0))))</f>
        <v>0</v>
      </c>
      <c r="AH276">
        <f>IF($C276-AH$1&lt;År1,0,AG275*(1-VLOOKUP($A276,[1]Hugst!$R$5:$W$9,MATCH(ROUNDUP((AH$1)/10,0)*10,[1]Hugst!$R$4:$W$4,0))))</f>
        <v>0</v>
      </c>
      <c r="AI276">
        <f>IF($C276-AI$1&lt;År1,0,AH275*(1-VLOOKUP($A276,[1]Hugst!$R$5:$W$9,MATCH(ROUNDUP((AI$1)/10,0)*10,[1]Hugst!$R$4:$W$4,0))))</f>
        <v>0</v>
      </c>
      <c r="AJ276">
        <f>IF($C276-AJ$1&lt;År1,0,AI275*(1-VLOOKUP($A276,[1]Hugst!$R$5:$W$9,MATCH(ROUNDUP((AJ$1)/10,0)*10,[1]Hugst!$R$4:$W$4,0))))</f>
        <v>0</v>
      </c>
    </row>
    <row r="277" spans="1:36" x14ac:dyDescent="0.25">
      <c r="A277" t="s">
        <v>180</v>
      </c>
      <c r="B277" t="s">
        <v>23</v>
      </c>
      <c r="C277">
        <v>2047</v>
      </c>
      <c r="D277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1139.9822887597256</v>
      </c>
      <c r="E277">
        <f t="shared" ca="1" si="6"/>
        <v>0</v>
      </c>
      <c r="F277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4395.5378443152822</v>
      </c>
      <c r="G277">
        <f ca="1">IF($C277-G$1&lt;År1,0,F276*(1-VLOOKUP($A277,[1]Hugst!$R$5:$W$9,MATCH(ROUNDUP((G$1)/10,0)*10,[1]Hugst!$R$4:$W$4,0))))</f>
        <v>4401.2663985302261</v>
      </c>
      <c r="H277">
        <f ca="1">IF($C277-H$1&lt;År1,0,G276*(1-VLOOKUP($A277,[1]Hugst!$R$5:$W$9,MATCH(ROUNDUP((H$1)/10,0)*10,[1]Hugst!$R$4:$W$4,0))))</f>
        <v>4407.0237394496635</v>
      </c>
      <c r="I277">
        <f ca="1">IF($C277-I$1&lt;År1,0,H276*(1-VLOOKUP($A277,[1]Hugst!$R$5:$W$9,MATCH(ROUNDUP((I$1)/10,0)*10,[1]Hugst!$R$4:$W$4,0))))</f>
        <v>4412.8100117305348</v>
      </c>
      <c r="J277">
        <f ca="1">IF($C277-J$1&lt;År1,0,I276*(1-VLOOKUP($A277,[1]Hugst!$R$5:$W$9,MATCH(ROUNDUP((J$1)/10,0)*10,[1]Hugst!$R$4:$W$4,0))))</f>
        <v>4418.6253607565359</v>
      </c>
      <c r="K277">
        <f ca="1">IF($C277-K$1&lt;År1,0,J276*(1-VLOOKUP($A277,[1]Hugst!$R$5:$W$9,MATCH(ROUNDUP((K$1)/10,0)*10,[1]Hugst!$R$4:$W$4,0))))</f>
        <v>4424.4699326419777</v>
      </c>
      <c r="L277">
        <f ca="1">IF($C277-L$1&lt;År1,0,K276*(1-VLOOKUP($A277,[1]Hugst!$R$5:$W$9,MATCH(ROUNDUP((L$1)/10,0)*10,[1]Hugst!$R$4:$W$4,0))))</f>
        <v>4430.3438742353992</v>
      </c>
      <c r="M277">
        <f ca="1">IF($C277-M$1&lt;År1,0,L276*(1-VLOOKUP($A277,[1]Hugst!$R$5:$W$9,MATCH(ROUNDUP((M$1)/10,0)*10,[1]Hugst!$R$4:$W$4,0))))</f>
        <v>4436.2473331232159</v>
      </c>
      <c r="N277">
        <f ca="1">IF($C277-N$1&lt;År1,0,M276*(1-VLOOKUP($A277,[1]Hugst!$R$5:$W$9,MATCH(ROUNDUP((N$1)/10,0)*10,[1]Hugst!$R$4:$W$4,0))))</f>
        <v>4442.1804576335762</v>
      </c>
      <c r="O277">
        <f ca="1">IF($C277-O$1&lt;År1,0,N276*(1-VLOOKUP($A277,[1]Hugst!$R$5:$W$9,MATCH(ROUNDUP((O$1)/10,0)*10,[1]Hugst!$R$4:$W$4,0))))</f>
        <v>4448.1433968400652</v>
      </c>
      <c r="P277">
        <f ca="1">IF($C277-P$1&lt;År1,0,O276*(1-VLOOKUP($A277,[1]Hugst!$R$5:$W$9,MATCH(ROUNDUP((P$1)/10,0)*10,[1]Hugst!$R$4:$W$4,0))))</f>
        <v>4454.1363005650765</v>
      </c>
      <c r="Q277">
        <f ca="1">IF($C277-Q$1&lt;År1,0,P276*(1-VLOOKUP($A277,[1]Hugst!$R$5:$W$9,MATCH(ROUNDUP((Q$1)/10,0)*10,[1]Hugst!$R$4:$W$4,0))))</f>
        <v>4460.1593193842291</v>
      </c>
      <c r="R277">
        <f ca="1">IF($C277-R$1&lt;År1,0,Q276*(1-VLOOKUP($A277,[1]Hugst!$R$5:$W$9,MATCH(ROUNDUP((R$1)/10,0)*10,[1]Hugst!$R$4:$W$4,0))))</f>
        <v>4466.2126046296016</v>
      </c>
      <c r="S277">
        <f ca="1">IF($C277-S$1&lt;År1,0,R276*(1-VLOOKUP($A277,[1]Hugst!$R$5:$W$9,MATCH(ROUNDUP((S$1)/10,0)*10,[1]Hugst!$R$4:$W$4,0))))</f>
        <v>4472.2963083937702</v>
      </c>
      <c r="T277">
        <f ca="1">IF($C277-T$1&lt;År1,0,S276*(1-VLOOKUP($A277,[1]Hugst!$R$5:$W$9,MATCH(ROUNDUP((T$1)/10,0)*10,[1]Hugst!$R$4:$W$4,0))))</f>
        <v>4478.4105835336577</v>
      </c>
      <c r="U277">
        <f ca="1">IF($C277-U$1&lt;År1,0,T276*(1-VLOOKUP($A277,[1]Hugst!$R$5:$W$9,MATCH(ROUNDUP((U$1)/10,0)*10,[1]Hugst!$R$4:$W$4,0))))</f>
        <v>4484.5555836742806</v>
      </c>
      <c r="V277">
        <f ca="1">IF($C277-V$1&lt;År1,0,U276*(1-VLOOKUP($A277,[1]Hugst!$R$5:$W$9,MATCH(ROUNDUP((V$1)/10,0)*10,[1]Hugst!$R$4:$W$4,0))))</f>
        <v>4490.7314632125017</v>
      </c>
      <c r="W277">
        <f ca="1">IF($C277-W$1&lt;År1,0,V276*(1-VLOOKUP($A277,[1]Hugst!$R$5:$W$9,MATCH(ROUNDUP((W$1)/10,0)*10,[1]Hugst!$R$4:$W$4,0))))</f>
        <v>7160.5747409577725</v>
      </c>
      <c r="X277">
        <f ca="1">IF($C277-X$1&lt;År1,0,W276*(1-VLOOKUP($A277,[1]Hugst!$R$5:$W$9,MATCH(ROUNDUP((X$1)/10,0)*10,[1]Hugst!$R$4:$W$4,0))))</f>
        <v>7166.8128455897004</v>
      </c>
      <c r="Y277">
        <f ca="1">IF($C277-Y$1&lt;År1,0,X276*(1-VLOOKUP($A277,[1]Hugst!$R$5:$W$9,MATCH(ROUNDUP((Y$1)/10,0)*10,[1]Hugst!$R$4:$W$4,0))))</f>
        <v>7173.0822974812017</v>
      </c>
      <c r="Z277">
        <f ca="1">IF($C277-Z$1&lt;År1,0,Y276*(1-VLOOKUP($A277,[1]Hugst!$R$5:$W$9,MATCH(ROUNDUP((Z$1)/10,0)*10,[1]Hugst!$R$4:$W$4,0))))</f>
        <v>7179.3832541560078</v>
      </c>
      <c r="AA277">
        <f ca="1">IF($C277-AA$1&lt;År1,0,Z276*(1-VLOOKUP($A277,[1]Hugst!$R$5:$W$9,MATCH(ROUNDUP((AA$1)/10,0)*10,[1]Hugst!$R$4:$W$4,0))))</f>
        <v>7185.7158739296856</v>
      </c>
      <c r="AB277">
        <f ca="1">IF($C277-AB$1&lt;År1,0,AA276*(1-VLOOKUP($A277,[1]Hugst!$R$5:$W$9,MATCH(ROUNDUP((AB$1)/10,0)*10,[1]Hugst!$R$4:$W$4,0))))</f>
        <v>7192.0803159132847</v>
      </c>
      <c r="AC277">
        <f ca="1">IF($C277-AC$1&lt;År1,0,AB276*(1-VLOOKUP($A277,[1]Hugst!$R$5:$W$9,MATCH(ROUNDUP((AC$1)/10,0)*10,[1]Hugst!$R$4:$W$4,0))))</f>
        <v>7198.4767400174187</v>
      </c>
      <c r="AD277">
        <f ca="1">IF($C277-AD$1&lt;År1,0,AC276*(1-VLOOKUP($A277,[1]Hugst!$R$5:$W$9,MATCH(ROUNDUP((AD$1)/10,0)*10,[1]Hugst!$R$4:$W$4,0))))</f>
        <v>7204.9053069562442</v>
      </c>
      <c r="AE277">
        <f ca="1">IF($C277-AE$1&lt;År1,0,AD276*(1-VLOOKUP($A277,[1]Hugst!$R$5:$W$9,MATCH(ROUNDUP((AE$1)/10,0)*10,[1]Hugst!$R$4:$W$4,0))))</f>
        <v>7211.3661782515483</v>
      </c>
      <c r="AF277">
        <f ca="1">IF($C277-AF$1&lt;År1,0,AE276*(1-VLOOKUP($A277,[1]Hugst!$R$5:$W$9,MATCH(ROUNDUP((AF$1)/10,0)*10,[1]Hugst!$R$4:$W$4,0))))</f>
        <v>7217.8595162367346</v>
      </c>
      <c r="AG277">
        <f ca="1">IF($C277-AG$1&lt;År1,0,AF276*(1-VLOOKUP($A277,[1]Hugst!$R$5:$W$9,MATCH(ROUNDUP((AG$1)/10,0)*10,[1]Hugst!$R$4:$W$4,0))))</f>
        <v>7224.3854840611129</v>
      </c>
      <c r="AH277">
        <f>IF($C277-AH$1&lt;År1,0,AG276*(1-VLOOKUP($A277,[1]Hugst!$R$5:$W$9,MATCH(ROUNDUP((AH$1)/10,0)*10,[1]Hugst!$R$4:$W$4,0))))</f>
        <v>0</v>
      </c>
      <c r="AI277">
        <f>IF($C277-AI$1&lt;År1,0,AH276*(1-VLOOKUP($A277,[1]Hugst!$R$5:$W$9,MATCH(ROUNDUP((AI$1)/10,0)*10,[1]Hugst!$R$4:$W$4,0))))</f>
        <v>0</v>
      </c>
      <c r="AJ277">
        <f>IF($C277-AJ$1&lt;År1,0,AI276*(1-VLOOKUP($A277,[1]Hugst!$R$5:$W$9,MATCH(ROUNDUP((AJ$1)/10,0)*10,[1]Hugst!$R$4:$W$4,0))))</f>
        <v>0</v>
      </c>
    </row>
    <row r="278" spans="1:36" x14ac:dyDescent="0.25">
      <c r="A278" t="s">
        <v>180</v>
      </c>
      <c r="B278" t="s">
        <v>23</v>
      </c>
      <c r="C278">
        <v>2048</v>
      </c>
      <c r="D27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1134.2823773159689</v>
      </c>
      <c r="E278">
        <f t="shared" ca="1" si="6"/>
        <v>0</v>
      </c>
      <c r="F27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4389.8379328715255</v>
      </c>
      <c r="G278">
        <f ca="1">IF($C278-G$1&lt;År1,0,F277*(1-VLOOKUP($A278,[1]Hugst!$R$5:$W$9,MATCH(ROUNDUP((G$1)/10,0)*10,[1]Hugst!$R$4:$W$4,0))))</f>
        <v>4395.5378443152822</v>
      </c>
      <c r="H278">
        <f ca="1">IF($C278-H$1&lt;År1,0,G277*(1-VLOOKUP($A278,[1]Hugst!$R$5:$W$9,MATCH(ROUNDUP((H$1)/10,0)*10,[1]Hugst!$R$4:$W$4,0))))</f>
        <v>4401.2663985302261</v>
      </c>
      <c r="I278">
        <f ca="1">IF($C278-I$1&lt;År1,0,H277*(1-VLOOKUP($A278,[1]Hugst!$R$5:$W$9,MATCH(ROUNDUP((I$1)/10,0)*10,[1]Hugst!$R$4:$W$4,0))))</f>
        <v>4407.0237394496635</v>
      </c>
      <c r="J278">
        <f ca="1">IF($C278-J$1&lt;År1,0,I277*(1-VLOOKUP($A278,[1]Hugst!$R$5:$W$9,MATCH(ROUNDUP((J$1)/10,0)*10,[1]Hugst!$R$4:$W$4,0))))</f>
        <v>4412.8100117305348</v>
      </c>
      <c r="K278">
        <f ca="1">IF($C278-K$1&lt;År1,0,J277*(1-VLOOKUP($A278,[1]Hugst!$R$5:$W$9,MATCH(ROUNDUP((K$1)/10,0)*10,[1]Hugst!$R$4:$W$4,0))))</f>
        <v>4418.6253607565359</v>
      </c>
      <c r="L278">
        <f ca="1">IF($C278-L$1&lt;År1,0,K277*(1-VLOOKUP($A278,[1]Hugst!$R$5:$W$9,MATCH(ROUNDUP((L$1)/10,0)*10,[1]Hugst!$R$4:$W$4,0))))</f>
        <v>4424.4699326419777</v>
      </c>
      <c r="M278">
        <f ca="1">IF($C278-M$1&lt;År1,0,L277*(1-VLOOKUP($A278,[1]Hugst!$R$5:$W$9,MATCH(ROUNDUP((M$1)/10,0)*10,[1]Hugst!$R$4:$W$4,0))))</f>
        <v>4430.3438742353992</v>
      </c>
      <c r="N278">
        <f ca="1">IF($C278-N$1&lt;År1,0,M277*(1-VLOOKUP($A278,[1]Hugst!$R$5:$W$9,MATCH(ROUNDUP((N$1)/10,0)*10,[1]Hugst!$R$4:$W$4,0))))</f>
        <v>4436.2473331232159</v>
      </c>
      <c r="O278">
        <f ca="1">IF($C278-O$1&lt;År1,0,N277*(1-VLOOKUP($A278,[1]Hugst!$R$5:$W$9,MATCH(ROUNDUP((O$1)/10,0)*10,[1]Hugst!$R$4:$W$4,0))))</f>
        <v>4442.1804576335762</v>
      </c>
      <c r="P278">
        <f ca="1">IF($C278-P$1&lt;År1,0,O277*(1-VLOOKUP($A278,[1]Hugst!$R$5:$W$9,MATCH(ROUNDUP((P$1)/10,0)*10,[1]Hugst!$R$4:$W$4,0))))</f>
        <v>4448.1433968400652</v>
      </c>
      <c r="Q278">
        <f ca="1">IF($C278-Q$1&lt;År1,0,P277*(1-VLOOKUP($A278,[1]Hugst!$R$5:$W$9,MATCH(ROUNDUP((Q$1)/10,0)*10,[1]Hugst!$R$4:$W$4,0))))</f>
        <v>4454.1363005650765</v>
      </c>
      <c r="R278">
        <f ca="1">IF($C278-R$1&lt;År1,0,Q277*(1-VLOOKUP($A278,[1]Hugst!$R$5:$W$9,MATCH(ROUNDUP((R$1)/10,0)*10,[1]Hugst!$R$4:$W$4,0))))</f>
        <v>4460.1593193842291</v>
      </c>
      <c r="S278">
        <f ca="1">IF($C278-S$1&lt;År1,0,R277*(1-VLOOKUP($A278,[1]Hugst!$R$5:$W$9,MATCH(ROUNDUP((S$1)/10,0)*10,[1]Hugst!$R$4:$W$4,0))))</f>
        <v>4466.2126046296016</v>
      </c>
      <c r="T278">
        <f ca="1">IF($C278-T$1&lt;År1,0,S277*(1-VLOOKUP($A278,[1]Hugst!$R$5:$W$9,MATCH(ROUNDUP((T$1)/10,0)*10,[1]Hugst!$R$4:$W$4,0))))</f>
        <v>4472.2963083937702</v>
      </c>
      <c r="U278">
        <f ca="1">IF($C278-U$1&lt;År1,0,T277*(1-VLOOKUP($A278,[1]Hugst!$R$5:$W$9,MATCH(ROUNDUP((U$1)/10,0)*10,[1]Hugst!$R$4:$W$4,0))))</f>
        <v>4478.4105835336577</v>
      </c>
      <c r="V278">
        <f ca="1">IF($C278-V$1&lt;År1,0,U277*(1-VLOOKUP($A278,[1]Hugst!$R$5:$W$9,MATCH(ROUNDUP((V$1)/10,0)*10,[1]Hugst!$R$4:$W$4,0))))</f>
        <v>4484.5555836742806</v>
      </c>
      <c r="W278">
        <f ca="1">IF($C278-W$1&lt;År1,0,V277*(1-VLOOKUP($A278,[1]Hugst!$R$5:$W$9,MATCH(ROUNDUP((W$1)/10,0)*10,[1]Hugst!$R$4:$W$4,0))))</f>
        <v>4490.7314632125017</v>
      </c>
      <c r="X278">
        <f ca="1">IF($C278-X$1&lt;År1,0,W277*(1-VLOOKUP($A278,[1]Hugst!$R$5:$W$9,MATCH(ROUNDUP((X$1)/10,0)*10,[1]Hugst!$R$4:$W$4,0))))</f>
        <v>7160.5747409577725</v>
      </c>
      <c r="Y278">
        <f ca="1">IF($C278-Y$1&lt;År1,0,X277*(1-VLOOKUP($A278,[1]Hugst!$R$5:$W$9,MATCH(ROUNDUP((Y$1)/10,0)*10,[1]Hugst!$R$4:$W$4,0))))</f>
        <v>7166.8128455897004</v>
      </c>
      <c r="Z278">
        <f ca="1">IF($C278-Z$1&lt;År1,0,Y277*(1-VLOOKUP($A278,[1]Hugst!$R$5:$W$9,MATCH(ROUNDUP((Z$1)/10,0)*10,[1]Hugst!$R$4:$W$4,0))))</f>
        <v>7173.0822974812017</v>
      </c>
      <c r="AA278">
        <f ca="1">IF($C278-AA$1&lt;År1,0,Z277*(1-VLOOKUP($A278,[1]Hugst!$R$5:$W$9,MATCH(ROUNDUP((AA$1)/10,0)*10,[1]Hugst!$R$4:$W$4,0))))</f>
        <v>7179.3832541560078</v>
      </c>
      <c r="AB278">
        <f ca="1">IF($C278-AB$1&lt;År1,0,AA277*(1-VLOOKUP($A278,[1]Hugst!$R$5:$W$9,MATCH(ROUNDUP((AB$1)/10,0)*10,[1]Hugst!$R$4:$W$4,0))))</f>
        <v>7185.7158739296856</v>
      </c>
      <c r="AC278">
        <f ca="1">IF($C278-AC$1&lt;År1,0,AB277*(1-VLOOKUP($A278,[1]Hugst!$R$5:$W$9,MATCH(ROUNDUP((AC$1)/10,0)*10,[1]Hugst!$R$4:$W$4,0))))</f>
        <v>7192.0803159132847</v>
      </c>
      <c r="AD278">
        <f ca="1">IF($C278-AD$1&lt;År1,0,AC277*(1-VLOOKUP($A278,[1]Hugst!$R$5:$W$9,MATCH(ROUNDUP((AD$1)/10,0)*10,[1]Hugst!$R$4:$W$4,0))))</f>
        <v>7198.4767400174187</v>
      </c>
      <c r="AE278">
        <f ca="1">IF($C278-AE$1&lt;År1,0,AD277*(1-VLOOKUP($A278,[1]Hugst!$R$5:$W$9,MATCH(ROUNDUP((AE$1)/10,0)*10,[1]Hugst!$R$4:$W$4,0))))</f>
        <v>7204.9053069562442</v>
      </c>
      <c r="AF278">
        <f ca="1">IF($C278-AF$1&lt;År1,0,AE277*(1-VLOOKUP($A278,[1]Hugst!$R$5:$W$9,MATCH(ROUNDUP((AF$1)/10,0)*10,[1]Hugst!$R$4:$W$4,0))))</f>
        <v>7211.3661782515483</v>
      </c>
      <c r="AG278">
        <f ca="1">IF($C278-AG$1&lt;År1,0,AF277*(1-VLOOKUP($A278,[1]Hugst!$R$5:$W$9,MATCH(ROUNDUP((AG$1)/10,0)*10,[1]Hugst!$R$4:$W$4,0))))</f>
        <v>7217.8595162367346</v>
      </c>
      <c r="AH278">
        <f ca="1">IF($C278-AH$1&lt;År1,0,AG277*(1-VLOOKUP($A278,[1]Hugst!$R$5:$W$9,MATCH(ROUNDUP((AH$1)/10,0)*10,[1]Hugst!$R$4:$W$4,0))))</f>
        <v>7224.3854840611129</v>
      </c>
      <c r="AI278">
        <f>IF($C278-AI$1&lt;År1,0,AH277*(1-VLOOKUP($A278,[1]Hugst!$R$5:$W$9,MATCH(ROUNDUP((AI$1)/10,0)*10,[1]Hugst!$R$4:$W$4,0))))</f>
        <v>0</v>
      </c>
      <c r="AJ278">
        <f>IF($C278-AJ$1&lt;År1,0,AI277*(1-VLOOKUP($A278,[1]Hugst!$R$5:$W$9,MATCH(ROUNDUP((AJ$1)/10,0)*10,[1]Hugst!$R$4:$W$4,0))))</f>
        <v>0</v>
      </c>
    </row>
    <row r="279" spans="1:36" x14ac:dyDescent="0.25">
      <c r="A279" t="s">
        <v>180</v>
      </c>
      <c r="B279" t="s">
        <v>23</v>
      </c>
      <c r="C279">
        <v>2049</v>
      </c>
      <c r="D279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1128.6109654293832</v>
      </c>
      <c r="E279">
        <f t="shared" ca="1" si="6"/>
        <v>0</v>
      </c>
      <c r="F27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4384.1665209849398</v>
      </c>
      <c r="G279">
        <f ca="1">IF($C279-G$1&lt;År1,0,F278*(1-VLOOKUP($A279,[1]Hugst!$R$5:$W$9,MATCH(ROUNDUP((G$1)/10,0)*10,[1]Hugst!$R$4:$W$4,0))))</f>
        <v>4389.8379328715255</v>
      </c>
      <c r="H279">
        <f ca="1">IF($C279-H$1&lt;År1,0,G278*(1-VLOOKUP($A279,[1]Hugst!$R$5:$W$9,MATCH(ROUNDUP((H$1)/10,0)*10,[1]Hugst!$R$4:$W$4,0))))</f>
        <v>4395.5378443152822</v>
      </c>
      <c r="I279">
        <f ca="1">IF($C279-I$1&lt;År1,0,H278*(1-VLOOKUP($A279,[1]Hugst!$R$5:$W$9,MATCH(ROUNDUP((I$1)/10,0)*10,[1]Hugst!$R$4:$W$4,0))))</f>
        <v>4401.2663985302261</v>
      </c>
      <c r="J279">
        <f ca="1">IF($C279-J$1&lt;År1,0,I278*(1-VLOOKUP($A279,[1]Hugst!$R$5:$W$9,MATCH(ROUNDUP((J$1)/10,0)*10,[1]Hugst!$R$4:$W$4,0))))</f>
        <v>4407.0237394496635</v>
      </c>
      <c r="K279">
        <f ca="1">IF($C279-K$1&lt;År1,0,J278*(1-VLOOKUP($A279,[1]Hugst!$R$5:$W$9,MATCH(ROUNDUP((K$1)/10,0)*10,[1]Hugst!$R$4:$W$4,0))))</f>
        <v>4412.8100117305348</v>
      </c>
      <c r="L279">
        <f ca="1">IF($C279-L$1&lt;År1,0,K278*(1-VLOOKUP($A279,[1]Hugst!$R$5:$W$9,MATCH(ROUNDUP((L$1)/10,0)*10,[1]Hugst!$R$4:$W$4,0))))</f>
        <v>4418.6253607565359</v>
      </c>
      <c r="M279">
        <f ca="1">IF($C279-M$1&lt;År1,0,L278*(1-VLOOKUP($A279,[1]Hugst!$R$5:$W$9,MATCH(ROUNDUP((M$1)/10,0)*10,[1]Hugst!$R$4:$W$4,0))))</f>
        <v>4424.4699326419777</v>
      </c>
      <c r="N279">
        <f ca="1">IF($C279-N$1&lt;År1,0,M278*(1-VLOOKUP($A279,[1]Hugst!$R$5:$W$9,MATCH(ROUNDUP((N$1)/10,0)*10,[1]Hugst!$R$4:$W$4,0))))</f>
        <v>4430.3438742353992</v>
      </c>
      <c r="O279">
        <f ca="1">IF($C279-O$1&lt;År1,0,N278*(1-VLOOKUP($A279,[1]Hugst!$R$5:$W$9,MATCH(ROUNDUP((O$1)/10,0)*10,[1]Hugst!$R$4:$W$4,0))))</f>
        <v>4436.2473331232159</v>
      </c>
      <c r="P279">
        <f ca="1">IF($C279-P$1&lt;År1,0,O278*(1-VLOOKUP($A279,[1]Hugst!$R$5:$W$9,MATCH(ROUNDUP((P$1)/10,0)*10,[1]Hugst!$R$4:$W$4,0))))</f>
        <v>4442.1804576335762</v>
      </c>
      <c r="Q279">
        <f ca="1">IF($C279-Q$1&lt;År1,0,P278*(1-VLOOKUP($A279,[1]Hugst!$R$5:$W$9,MATCH(ROUNDUP((Q$1)/10,0)*10,[1]Hugst!$R$4:$W$4,0))))</f>
        <v>4448.1433968400652</v>
      </c>
      <c r="R279">
        <f ca="1">IF($C279-R$1&lt;År1,0,Q278*(1-VLOOKUP($A279,[1]Hugst!$R$5:$W$9,MATCH(ROUNDUP((R$1)/10,0)*10,[1]Hugst!$R$4:$W$4,0))))</f>
        <v>4454.1363005650765</v>
      </c>
      <c r="S279">
        <f ca="1">IF($C279-S$1&lt;År1,0,R278*(1-VLOOKUP($A279,[1]Hugst!$R$5:$W$9,MATCH(ROUNDUP((S$1)/10,0)*10,[1]Hugst!$R$4:$W$4,0))))</f>
        <v>4460.1593193842291</v>
      </c>
      <c r="T279">
        <f ca="1">IF($C279-T$1&lt;År1,0,S278*(1-VLOOKUP($A279,[1]Hugst!$R$5:$W$9,MATCH(ROUNDUP((T$1)/10,0)*10,[1]Hugst!$R$4:$W$4,0))))</f>
        <v>4466.2126046296016</v>
      </c>
      <c r="U279">
        <f ca="1">IF($C279-U$1&lt;År1,0,T278*(1-VLOOKUP($A279,[1]Hugst!$R$5:$W$9,MATCH(ROUNDUP((U$1)/10,0)*10,[1]Hugst!$R$4:$W$4,0))))</f>
        <v>4472.2963083937702</v>
      </c>
      <c r="V279">
        <f ca="1">IF($C279-V$1&lt;År1,0,U278*(1-VLOOKUP($A279,[1]Hugst!$R$5:$W$9,MATCH(ROUNDUP((V$1)/10,0)*10,[1]Hugst!$R$4:$W$4,0))))</f>
        <v>4478.4105835336577</v>
      </c>
      <c r="W279">
        <f ca="1">IF($C279-W$1&lt;År1,0,V278*(1-VLOOKUP($A279,[1]Hugst!$R$5:$W$9,MATCH(ROUNDUP((W$1)/10,0)*10,[1]Hugst!$R$4:$W$4,0))))</f>
        <v>4484.5555836742806</v>
      </c>
      <c r="X279">
        <f ca="1">IF($C279-X$1&lt;År1,0,W278*(1-VLOOKUP($A279,[1]Hugst!$R$5:$W$9,MATCH(ROUNDUP((X$1)/10,0)*10,[1]Hugst!$R$4:$W$4,0))))</f>
        <v>4490.7314632125017</v>
      </c>
      <c r="Y279">
        <f ca="1">IF($C279-Y$1&lt;År1,0,X278*(1-VLOOKUP($A279,[1]Hugst!$R$5:$W$9,MATCH(ROUNDUP((Y$1)/10,0)*10,[1]Hugst!$R$4:$W$4,0))))</f>
        <v>7160.5747409577725</v>
      </c>
      <c r="Z279">
        <f ca="1">IF($C279-Z$1&lt;År1,0,Y278*(1-VLOOKUP($A279,[1]Hugst!$R$5:$W$9,MATCH(ROUNDUP((Z$1)/10,0)*10,[1]Hugst!$R$4:$W$4,0))))</f>
        <v>7166.8128455897004</v>
      </c>
      <c r="AA279">
        <f ca="1">IF($C279-AA$1&lt;År1,0,Z278*(1-VLOOKUP($A279,[1]Hugst!$R$5:$W$9,MATCH(ROUNDUP((AA$1)/10,0)*10,[1]Hugst!$R$4:$W$4,0))))</f>
        <v>7173.0822974812017</v>
      </c>
      <c r="AB279">
        <f ca="1">IF($C279-AB$1&lt;År1,0,AA278*(1-VLOOKUP($A279,[1]Hugst!$R$5:$W$9,MATCH(ROUNDUP((AB$1)/10,0)*10,[1]Hugst!$R$4:$W$4,0))))</f>
        <v>7179.3832541560078</v>
      </c>
      <c r="AC279">
        <f ca="1">IF($C279-AC$1&lt;År1,0,AB278*(1-VLOOKUP($A279,[1]Hugst!$R$5:$W$9,MATCH(ROUNDUP((AC$1)/10,0)*10,[1]Hugst!$R$4:$W$4,0))))</f>
        <v>7185.7158739296856</v>
      </c>
      <c r="AD279">
        <f ca="1">IF($C279-AD$1&lt;År1,0,AC278*(1-VLOOKUP($A279,[1]Hugst!$R$5:$W$9,MATCH(ROUNDUP((AD$1)/10,0)*10,[1]Hugst!$R$4:$W$4,0))))</f>
        <v>7192.0803159132847</v>
      </c>
      <c r="AE279">
        <f ca="1">IF($C279-AE$1&lt;År1,0,AD278*(1-VLOOKUP($A279,[1]Hugst!$R$5:$W$9,MATCH(ROUNDUP((AE$1)/10,0)*10,[1]Hugst!$R$4:$W$4,0))))</f>
        <v>7198.4767400174187</v>
      </c>
      <c r="AF279">
        <f ca="1">IF($C279-AF$1&lt;År1,0,AE278*(1-VLOOKUP($A279,[1]Hugst!$R$5:$W$9,MATCH(ROUNDUP((AF$1)/10,0)*10,[1]Hugst!$R$4:$W$4,0))))</f>
        <v>7204.9053069562442</v>
      </c>
      <c r="AG279">
        <f ca="1">IF($C279-AG$1&lt;År1,0,AF278*(1-VLOOKUP($A279,[1]Hugst!$R$5:$W$9,MATCH(ROUNDUP((AG$1)/10,0)*10,[1]Hugst!$R$4:$W$4,0))))</f>
        <v>7211.3661782515483</v>
      </c>
      <c r="AH279">
        <f ca="1">IF($C279-AH$1&lt;År1,0,AG278*(1-VLOOKUP($A279,[1]Hugst!$R$5:$W$9,MATCH(ROUNDUP((AH$1)/10,0)*10,[1]Hugst!$R$4:$W$4,0))))</f>
        <v>7217.8595162367346</v>
      </c>
      <c r="AI279">
        <f ca="1">IF($C279-AI$1&lt;År1,0,AH278*(1-VLOOKUP($A279,[1]Hugst!$R$5:$W$9,MATCH(ROUNDUP((AI$1)/10,0)*10,[1]Hugst!$R$4:$W$4,0))))</f>
        <v>7224.3854840611129</v>
      </c>
      <c r="AJ279">
        <f>IF($C279-AJ$1&lt;År1,0,AI278*(1-VLOOKUP($A279,[1]Hugst!$R$5:$W$9,MATCH(ROUNDUP((AJ$1)/10,0)*10,[1]Hugst!$R$4:$W$4,0))))</f>
        <v>0</v>
      </c>
    </row>
    <row r="280" spans="1:36" x14ac:dyDescent="0.25">
      <c r="A280" t="s">
        <v>180</v>
      </c>
      <c r="B280" t="s">
        <v>23</v>
      </c>
      <c r="C280">
        <v>2050</v>
      </c>
      <c r="D280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1122.9679106022595</v>
      </c>
      <c r="E280">
        <f t="shared" ca="1" si="6"/>
        <v>0</v>
      </c>
      <c r="F280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4378.5234661578161</v>
      </c>
      <c r="G280">
        <f ca="1">IF($C280-G$1&lt;År1,0,F279*(1-VLOOKUP($A280,[1]Hugst!$R$5:$W$9,MATCH(ROUNDUP((G$1)/10,0)*10,[1]Hugst!$R$4:$W$4,0))))</f>
        <v>4384.1665209849398</v>
      </c>
      <c r="H280">
        <f ca="1">IF($C280-H$1&lt;År1,0,G279*(1-VLOOKUP($A280,[1]Hugst!$R$5:$W$9,MATCH(ROUNDUP((H$1)/10,0)*10,[1]Hugst!$R$4:$W$4,0))))</f>
        <v>4389.8379328715255</v>
      </c>
      <c r="I280">
        <f ca="1">IF($C280-I$1&lt;År1,0,H279*(1-VLOOKUP($A280,[1]Hugst!$R$5:$W$9,MATCH(ROUNDUP((I$1)/10,0)*10,[1]Hugst!$R$4:$W$4,0))))</f>
        <v>4395.5378443152822</v>
      </c>
      <c r="J280">
        <f ca="1">IF($C280-J$1&lt;År1,0,I279*(1-VLOOKUP($A280,[1]Hugst!$R$5:$W$9,MATCH(ROUNDUP((J$1)/10,0)*10,[1]Hugst!$R$4:$W$4,0))))</f>
        <v>4401.2663985302261</v>
      </c>
      <c r="K280">
        <f ca="1">IF($C280-K$1&lt;År1,0,J279*(1-VLOOKUP($A280,[1]Hugst!$R$5:$W$9,MATCH(ROUNDUP((K$1)/10,0)*10,[1]Hugst!$R$4:$W$4,0))))</f>
        <v>4407.0237394496635</v>
      </c>
      <c r="L280">
        <f ca="1">IF($C280-L$1&lt;År1,0,K279*(1-VLOOKUP($A280,[1]Hugst!$R$5:$W$9,MATCH(ROUNDUP((L$1)/10,0)*10,[1]Hugst!$R$4:$W$4,0))))</f>
        <v>4412.8100117305348</v>
      </c>
      <c r="M280">
        <f ca="1">IF($C280-M$1&lt;År1,0,L279*(1-VLOOKUP($A280,[1]Hugst!$R$5:$W$9,MATCH(ROUNDUP((M$1)/10,0)*10,[1]Hugst!$R$4:$W$4,0))))</f>
        <v>4418.6253607565359</v>
      </c>
      <c r="N280">
        <f ca="1">IF($C280-N$1&lt;År1,0,M279*(1-VLOOKUP($A280,[1]Hugst!$R$5:$W$9,MATCH(ROUNDUP((N$1)/10,0)*10,[1]Hugst!$R$4:$W$4,0))))</f>
        <v>4424.4699326419777</v>
      </c>
      <c r="O280">
        <f ca="1">IF($C280-O$1&lt;År1,0,N279*(1-VLOOKUP($A280,[1]Hugst!$R$5:$W$9,MATCH(ROUNDUP((O$1)/10,0)*10,[1]Hugst!$R$4:$W$4,0))))</f>
        <v>4430.3438742353992</v>
      </c>
      <c r="P280">
        <f ca="1">IF($C280-P$1&lt;År1,0,O279*(1-VLOOKUP($A280,[1]Hugst!$R$5:$W$9,MATCH(ROUNDUP((P$1)/10,0)*10,[1]Hugst!$R$4:$W$4,0))))</f>
        <v>4436.2473331232159</v>
      </c>
      <c r="Q280">
        <f ca="1">IF($C280-Q$1&lt;År1,0,P279*(1-VLOOKUP($A280,[1]Hugst!$R$5:$W$9,MATCH(ROUNDUP((Q$1)/10,0)*10,[1]Hugst!$R$4:$W$4,0))))</f>
        <v>4442.1804576335762</v>
      </c>
      <c r="R280">
        <f ca="1">IF($C280-R$1&lt;År1,0,Q279*(1-VLOOKUP($A280,[1]Hugst!$R$5:$W$9,MATCH(ROUNDUP((R$1)/10,0)*10,[1]Hugst!$R$4:$W$4,0))))</f>
        <v>4448.1433968400652</v>
      </c>
      <c r="S280">
        <f ca="1">IF($C280-S$1&lt;År1,0,R279*(1-VLOOKUP($A280,[1]Hugst!$R$5:$W$9,MATCH(ROUNDUP((S$1)/10,0)*10,[1]Hugst!$R$4:$W$4,0))))</f>
        <v>4454.1363005650765</v>
      </c>
      <c r="T280">
        <f ca="1">IF($C280-T$1&lt;År1,0,S279*(1-VLOOKUP($A280,[1]Hugst!$R$5:$W$9,MATCH(ROUNDUP((T$1)/10,0)*10,[1]Hugst!$R$4:$W$4,0))))</f>
        <v>4460.1593193842291</v>
      </c>
      <c r="U280">
        <f ca="1">IF($C280-U$1&lt;År1,0,T279*(1-VLOOKUP($A280,[1]Hugst!$R$5:$W$9,MATCH(ROUNDUP((U$1)/10,0)*10,[1]Hugst!$R$4:$W$4,0))))</f>
        <v>4466.2126046296016</v>
      </c>
      <c r="V280">
        <f ca="1">IF($C280-V$1&lt;År1,0,U279*(1-VLOOKUP($A280,[1]Hugst!$R$5:$W$9,MATCH(ROUNDUP((V$1)/10,0)*10,[1]Hugst!$R$4:$W$4,0))))</f>
        <v>4472.2963083937702</v>
      </c>
      <c r="W280">
        <f ca="1">IF($C280-W$1&lt;År1,0,V279*(1-VLOOKUP($A280,[1]Hugst!$R$5:$W$9,MATCH(ROUNDUP((W$1)/10,0)*10,[1]Hugst!$R$4:$W$4,0))))</f>
        <v>4478.4105835336577</v>
      </c>
      <c r="X280">
        <f ca="1">IF($C280-X$1&lt;År1,0,W279*(1-VLOOKUP($A280,[1]Hugst!$R$5:$W$9,MATCH(ROUNDUP((X$1)/10,0)*10,[1]Hugst!$R$4:$W$4,0))))</f>
        <v>4484.5555836742806</v>
      </c>
      <c r="Y280">
        <f ca="1">IF($C280-Y$1&lt;År1,0,X279*(1-VLOOKUP($A280,[1]Hugst!$R$5:$W$9,MATCH(ROUNDUP((Y$1)/10,0)*10,[1]Hugst!$R$4:$W$4,0))))</f>
        <v>4490.7314632125017</v>
      </c>
      <c r="Z280">
        <f ca="1">IF($C280-Z$1&lt;År1,0,Y279*(1-VLOOKUP($A280,[1]Hugst!$R$5:$W$9,MATCH(ROUNDUP((Z$1)/10,0)*10,[1]Hugst!$R$4:$W$4,0))))</f>
        <v>7160.5747409577725</v>
      </c>
      <c r="AA280">
        <f ca="1">IF($C280-AA$1&lt;År1,0,Z279*(1-VLOOKUP($A280,[1]Hugst!$R$5:$W$9,MATCH(ROUNDUP((AA$1)/10,0)*10,[1]Hugst!$R$4:$W$4,0))))</f>
        <v>7166.8128455897004</v>
      </c>
      <c r="AB280">
        <f ca="1">IF($C280-AB$1&lt;År1,0,AA279*(1-VLOOKUP($A280,[1]Hugst!$R$5:$W$9,MATCH(ROUNDUP((AB$1)/10,0)*10,[1]Hugst!$R$4:$W$4,0))))</f>
        <v>7173.0822974812017</v>
      </c>
      <c r="AC280">
        <f ca="1">IF($C280-AC$1&lt;År1,0,AB279*(1-VLOOKUP($A280,[1]Hugst!$R$5:$W$9,MATCH(ROUNDUP((AC$1)/10,0)*10,[1]Hugst!$R$4:$W$4,0))))</f>
        <v>7179.3832541560078</v>
      </c>
      <c r="AD280">
        <f ca="1">IF($C280-AD$1&lt;År1,0,AC279*(1-VLOOKUP($A280,[1]Hugst!$R$5:$W$9,MATCH(ROUNDUP((AD$1)/10,0)*10,[1]Hugst!$R$4:$W$4,0))))</f>
        <v>7185.7158739296856</v>
      </c>
      <c r="AE280">
        <f ca="1">IF($C280-AE$1&lt;År1,0,AD279*(1-VLOOKUP($A280,[1]Hugst!$R$5:$W$9,MATCH(ROUNDUP((AE$1)/10,0)*10,[1]Hugst!$R$4:$W$4,0))))</f>
        <v>7192.0803159132847</v>
      </c>
      <c r="AF280">
        <f ca="1">IF($C280-AF$1&lt;År1,0,AE279*(1-VLOOKUP($A280,[1]Hugst!$R$5:$W$9,MATCH(ROUNDUP((AF$1)/10,0)*10,[1]Hugst!$R$4:$W$4,0))))</f>
        <v>7198.4767400174187</v>
      </c>
      <c r="AG280">
        <f ca="1">IF($C280-AG$1&lt;År1,0,AF279*(1-VLOOKUP($A280,[1]Hugst!$R$5:$W$9,MATCH(ROUNDUP((AG$1)/10,0)*10,[1]Hugst!$R$4:$W$4,0))))</f>
        <v>7204.9053069562442</v>
      </c>
      <c r="AH280">
        <f ca="1">IF($C280-AH$1&lt;År1,0,AG279*(1-VLOOKUP($A280,[1]Hugst!$R$5:$W$9,MATCH(ROUNDUP((AH$1)/10,0)*10,[1]Hugst!$R$4:$W$4,0))))</f>
        <v>7211.3661782515483</v>
      </c>
      <c r="AI280">
        <f ca="1">IF($C280-AI$1&lt;År1,0,AH279*(1-VLOOKUP($A280,[1]Hugst!$R$5:$W$9,MATCH(ROUNDUP((AI$1)/10,0)*10,[1]Hugst!$R$4:$W$4,0))))</f>
        <v>7217.8595162367346</v>
      </c>
      <c r="AJ280">
        <f ca="1">IF($C280-AJ$1&lt;År1,0,AI279*(1-VLOOKUP($A280,[1]Hugst!$R$5:$W$9,MATCH(ROUNDUP((AJ$1)/10,0)*10,[1]Hugst!$R$4:$W$4,0))))</f>
        <v>7224.3854840611129</v>
      </c>
    </row>
    <row r="281" spans="1:36" x14ac:dyDescent="0.25">
      <c r="A281" t="s">
        <v>180</v>
      </c>
      <c r="B281" t="s">
        <v>24</v>
      </c>
      <c r="C281">
        <v>2020</v>
      </c>
      <c r="D281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382.03643513080607</v>
      </c>
      <c r="E281">
        <f>IF(C281=2020,SUM(G281:AJ281),SUM(F280:AJ280)-SUM(G281:AJ281))</f>
        <v>0</v>
      </c>
      <c r="F28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1281.0263341207046</v>
      </c>
      <c r="G281">
        <f>IF($C281-G$1&lt;År1,0,F280*(1-VLOOKUP($A281,[1]Hugst!$R$5:$W$9,MATCH(ROUNDUP((G$1)/10,0)*10,[1]Hugst!$R$4:$W$4,0))))</f>
        <v>0</v>
      </c>
      <c r="H281">
        <f>IF($C281-H$1&lt;År1,0,G280*(1-VLOOKUP($A281,[1]Hugst!$R$5:$W$9,MATCH(ROUNDUP((H$1)/10,0)*10,[1]Hugst!$R$4:$W$4,0))))</f>
        <v>0</v>
      </c>
      <c r="I281">
        <f>IF($C281-I$1&lt;År1,0,H280*(1-VLOOKUP($A281,[1]Hugst!$R$5:$W$9,MATCH(ROUNDUP((I$1)/10,0)*10,[1]Hugst!$R$4:$W$4,0))))</f>
        <v>0</v>
      </c>
      <c r="J281">
        <f>IF($C281-J$1&lt;År1,0,I280*(1-VLOOKUP($A281,[1]Hugst!$R$5:$W$9,MATCH(ROUNDUP((J$1)/10,0)*10,[1]Hugst!$R$4:$W$4,0))))</f>
        <v>0</v>
      </c>
      <c r="K281">
        <f>IF($C281-K$1&lt;År1,0,J280*(1-VLOOKUP($A281,[1]Hugst!$R$5:$W$9,MATCH(ROUNDUP((K$1)/10,0)*10,[1]Hugst!$R$4:$W$4,0))))</f>
        <v>0</v>
      </c>
      <c r="L281">
        <f>IF($C281-L$1&lt;År1,0,K280*(1-VLOOKUP($A281,[1]Hugst!$R$5:$W$9,MATCH(ROUNDUP((L$1)/10,0)*10,[1]Hugst!$R$4:$W$4,0))))</f>
        <v>0</v>
      </c>
      <c r="M281">
        <f>IF($C281-M$1&lt;År1,0,L280*(1-VLOOKUP($A281,[1]Hugst!$R$5:$W$9,MATCH(ROUNDUP((M$1)/10,0)*10,[1]Hugst!$R$4:$W$4,0))))</f>
        <v>0</v>
      </c>
      <c r="N281">
        <f>IF($C281-N$1&lt;År1,0,M280*(1-VLOOKUP($A281,[1]Hugst!$R$5:$W$9,MATCH(ROUNDUP((N$1)/10,0)*10,[1]Hugst!$R$4:$W$4,0))))</f>
        <v>0</v>
      </c>
      <c r="O281">
        <f>IF($C281-O$1&lt;År1,0,N280*(1-VLOOKUP($A281,[1]Hugst!$R$5:$W$9,MATCH(ROUNDUP((O$1)/10,0)*10,[1]Hugst!$R$4:$W$4,0))))</f>
        <v>0</v>
      </c>
      <c r="P281">
        <f>IF($C281-P$1&lt;År1,0,O280*(1-VLOOKUP($A281,[1]Hugst!$R$5:$W$9,MATCH(ROUNDUP((P$1)/10,0)*10,[1]Hugst!$R$4:$W$4,0))))</f>
        <v>0</v>
      </c>
      <c r="Q281">
        <f>IF($C281-Q$1&lt;År1,0,P280*(1-VLOOKUP($A281,[1]Hugst!$R$5:$W$9,MATCH(ROUNDUP((Q$1)/10,0)*10,[1]Hugst!$R$4:$W$4,0))))</f>
        <v>0</v>
      </c>
      <c r="R281">
        <f>IF($C281-R$1&lt;År1,0,Q280*(1-VLOOKUP($A281,[1]Hugst!$R$5:$W$9,MATCH(ROUNDUP((R$1)/10,0)*10,[1]Hugst!$R$4:$W$4,0))))</f>
        <v>0</v>
      </c>
      <c r="S281">
        <f>IF($C281-S$1&lt;År1,0,R280*(1-VLOOKUP($A281,[1]Hugst!$R$5:$W$9,MATCH(ROUNDUP((S$1)/10,0)*10,[1]Hugst!$R$4:$W$4,0))))</f>
        <v>0</v>
      </c>
      <c r="T281">
        <f>IF($C281-T$1&lt;År1,0,S280*(1-VLOOKUP($A281,[1]Hugst!$R$5:$W$9,MATCH(ROUNDUP((T$1)/10,0)*10,[1]Hugst!$R$4:$W$4,0))))</f>
        <v>0</v>
      </c>
      <c r="U281">
        <f>IF($C281-U$1&lt;År1,0,T280*(1-VLOOKUP($A281,[1]Hugst!$R$5:$W$9,MATCH(ROUNDUP((U$1)/10,0)*10,[1]Hugst!$R$4:$W$4,0))))</f>
        <v>0</v>
      </c>
      <c r="V281">
        <f>IF($C281-V$1&lt;År1,0,U280*(1-VLOOKUP($A281,[1]Hugst!$R$5:$W$9,MATCH(ROUNDUP((V$1)/10,0)*10,[1]Hugst!$R$4:$W$4,0))))</f>
        <v>0</v>
      </c>
      <c r="W281">
        <f>IF($C281-W$1&lt;År1,0,V280*(1-VLOOKUP($A281,[1]Hugst!$R$5:$W$9,MATCH(ROUNDUP((W$1)/10,0)*10,[1]Hugst!$R$4:$W$4,0))))</f>
        <v>0</v>
      </c>
      <c r="X281">
        <f>IF($C281-X$1&lt;År1,0,W280*(1-VLOOKUP($A281,[1]Hugst!$R$5:$W$9,MATCH(ROUNDUP((X$1)/10,0)*10,[1]Hugst!$R$4:$W$4,0))))</f>
        <v>0</v>
      </c>
      <c r="Y281">
        <f>IF($C281-Y$1&lt;År1,0,X280*(1-VLOOKUP($A281,[1]Hugst!$R$5:$W$9,MATCH(ROUNDUP((Y$1)/10,0)*10,[1]Hugst!$R$4:$W$4,0))))</f>
        <v>0</v>
      </c>
      <c r="Z281">
        <f>IF($C281-Z$1&lt;År1,0,Y280*(1-VLOOKUP($A281,[1]Hugst!$R$5:$W$9,MATCH(ROUNDUP((Z$1)/10,0)*10,[1]Hugst!$R$4:$W$4,0))))</f>
        <v>0</v>
      </c>
      <c r="AA281">
        <f>IF($C281-AA$1&lt;År1,0,Z280*(1-VLOOKUP($A281,[1]Hugst!$R$5:$W$9,MATCH(ROUNDUP((AA$1)/10,0)*10,[1]Hugst!$R$4:$W$4,0))))</f>
        <v>0</v>
      </c>
      <c r="AB281">
        <f>IF($C281-AB$1&lt;År1,0,AA280*(1-VLOOKUP($A281,[1]Hugst!$R$5:$W$9,MATCH(ROUNDUP((AB$1)/10,0)*10,[1]Hugst!$R$4:$W$4,0))))</f>
        <v>0</v>
      </c>
      <c r="AC281">
        <f>IF($C281-AC$1&lt;År1,0,AB280*(1-VLOOKUP($A281,[1]Hugst!$R$5:$W$9,MATCH(ROUNDUP((AC$1)/10,0)*10,[1]Hugst!$R$4:$W$4,0))))</f>
        <v>0</v>
      </c>
      <c r="AD281">
        <f>IF($C281-AD$1&lt;År1,0,AC280*(1-VLOOKUP($A281,[1]Hugst!$R$5:$W$9,MATCH(ROUNDUP((AD$1)/10,0)*10,[1]Hugst!$R$4:$W$4,0))))</f>
        <v>0</v>
      </c>
      <c r="AE281">
        <f>IF($C281-AE$1&lt;År1,0,AD280*(1-VLOOKUP($A281,[1]Hugst!$R$5:$W$9,MATCH(ROUNDUP((AE$1)/10,0)*10,[1]Hugst!$R$4:$W$4,0))))</f>
        <v>0</v>
      </c>
      <c r="AF281">
        <f>IF($C281-AF$1&lt;År1,0,AE280*(1-VLOOKUP($A281,[1]Hugst!$R$5:$W$9,MATCH(ROUNDUP((AF$1)/10,0)*10,[1]Hugst!$R$4:$W$4,0))))</f>
        <v>0</v>
      </c>
      <c r="AG281">
        <f>IF($C281-AG$1&lt;År1,0,AF280*(1-VLOOKUP($A281,[1]Hugst!$R$5:$W$9,MATCH(ROUNDUP((AG$1)/10,0)*10,[1]Hugst!$R$4:$W$4,0))))</f>
        <v>0</v>
      </c>
      <c r="AH281">
        <f>IF($C281-AH$1&lt;År1,0,AG280*(1-VLOOKUP($A281,[1]Hugst!$R$5:$W$9,MATCH(ROUNDUP((AH$1)/10,0)*10,[1]Hugst!$R$4:$W$4,0))))</f>
        <v>0</v>
      </c>
      <c r="AI281">
        <f>IF($C281-AI$1&lt;År1,0,AH280*(1-VLOOKUP($A281,[1]Hugst!$R$5:$W$9,MATCH(ROUNDUP((AI$1)/10,0)*10,[1]Hugst!$R$4:$W$4,0))))</f>
        <v>0</v>
      </c>
      <c r="AJ281">
        <f>IF($C281-AJ$1&lt;År1,0,AI280*(1-VLOOKUP($A281,[1]Hugst!$R$5:$W$9,MATCH(ROUNDUP((AJ$1)/10,0)*10,[1]Hugst!$R$4:$W$4,0))))</f>
        <v>0</v>
      </c>
    </row>
    <row r="282" spans="1:36" x14ac:dyDescent="0.25">
      <c r="A282" t="s">
        <v>180</v>
      </c>
      <c r="B282" t="s">
        <v>24</v>
      </c>
      <c r="C282">
        <v>2021</v>
      </c>
      <c r="D282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380.12625295515164</v>
      </c>
      <c r="E282">
        <f t="shared" ref="E282:E310" ca="1" si="7">IF(C282=2020,SUM(G282:AJ282),SUM(F281:AJ281)-SUM(G282:AJ282))</f>
        <v>0</v>
      </c>
      <c r="F282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1279.1161519450502</v>
      </c>
      <c r="G282">
        <f ca="1">IF($C282-G$1&lt;År1,0,F281*(1-VLOOKUP($A282,[1]Hugst!$R$5:$W$9,MATCH(ROUNDUP((G$1)/10,0)*10,[1]Hugst!$R$4:$W$4,0))))</f>
        <v>1281.0263341207046</v>
      </c>
      <c r="H282">
        <f>IF($C282-H$1&lt;År1,0,G281*(1-VLOOKUP($A282,[1]Hugst!$R$5:$W$9,MATCH(ROUNDUP((H$1)/10,0)*10,[1]Hugst!$R$4:$W$4,0))))</f>
        <v>0</v>
      </c>
      <c r="I282">
        <f>IF($C282-I$1&lt;År1,0,H281*(1-VLOOKUP($A282,[1]Hugst!$R$5:$W$9,MATCH(ROUNDUP((I$1)/10,0)*10,[1]Hugst!$R$4:$W$4,0))))</f>
        <v>0</v>
      </c>
      <c r="J282">
        <f>IF($C282-J$1&lt;År1,0,I281*(1-VLOOKUP($A282,[1]Hugst!$R$5:$W$9,MATCH(ROUNDUP((J$1)/10,0)*10,[1]Hugst!$R$4:$W$4,0))))</f>
        <v>0</v>
      </c>
      <c r="K282">
        <f>IF($C282-K$1&lt;År1,0,J281*(1-VLOOKUP($A282,[1]Hugst!$R$5:$W$9,MATCH(ROUNDUP((K$1)/10,0)*10,[1]Hugst!$R$4:$W$4,0))))</f>
        <v>0</v>
      </c>
      <c r="L282">
        <f>IF($C282-L$1&lt;År1,0,K281*(1-VLOOKUP($A282,[1]Hugst!$R$5:$W$9,MATCH(ROUNDUP((L$1)/10,0)*10,[1]Hugst!$R$4:$W$4,0))))</f>
        <v>0</v>
      </c>
      <c r="M282">
        <f>IF($C282-M$1&lt;År1,0,L281*(1-VLOOKUP($A282,[1]Hugst!$R$5:$W$9,MATCH(ROUNDUP((M$1)/10,0)*10,[1]Hugst!$R$4:$W$4,0))))</f>
        <v>0</v>
      </c>
      <c r="N282">
        <f>IF($C282-N$1&lt;År1,0,M281*(1-VLOOKUP($A282,[1]Hugst!$R$5:$W$9,MATCH(ROUNDUP((N$1)/10,0)*10,[1]Hugst!$R$4:$W$4,0))))</f>
        <v>0</v>
      </c>
      <c r="O282">
        <f>IF($C282-O$1&lt;År1,0,N281*(1-VLOOKUP($A282,[1]Hugst!$R$5:$W$9,MATCH(ROUNDUP((O$1)/10,0)*10,[1]Hugst!$R$4:$W$4,0))))</f>
        <v>0</v>
      </c>
      <c r="P282">
        <f>IF($C282-P$1&lt;År1,0,O281*(1-VLOOKUP($A282,[1]Hugst!$R$5:$W$9,MATCH(ROUNDUP((P$1)/10,0)*10,[1]Hugst!$R$4:$W$4,0))))</f>
        <v>0</v>
      </c>
      <c r="Q282">
        <f>IF($C282-Q$1&lt;År1,0,P281*(1-VLOOKUP($A282,[1]Hugst!$R$5:$W$9,MATCH(ROUNDUP((Q$1)/10,0)*10,[1]Hugst!$R$4:$W$4,0))))</f>
        <v>0</v>
      </c>
      <c r="R282">
        <f>IF($C282-R$1&lt;År1,0,Q281*(1-VLOOKUP($A282,[1]Hugst!$R$5:$W$9,MATCH(ROUNDUP((R$1)/10,0)*10,[1]Hugst!$R$4:$W$4,0))))</f>
        <v>0</v>
      </c>
      <c r="S282">
        <f>IF($C282-S$1&lt;År1,0,R281*(1-VLOOKUP($A282,[1]Hugst!$R$5:$W$9,MATCH(ROUNDUP((S$1)/10,0)*10,[1]Hugst!$R$4:$W$4,0))))</f>
        <v>0</v>
      </c>
      <c r="T282">
        <f>IF($C282-T$1&lt;År1,0,S281*(1-VLOOKUP($A282,[1]Hugst!$R$5:$W$9,MATCH(ROUNDUP((T$1)/10,0)*10,[1]Hugst!$R$4:$W$4,0))))</f>
        <v>0</v>
      </c>
      <c r="U282">
        <f>IF($C282-U$1&lt;År1,0,T281*(1-VLOOKUP($A282,[1]Hugst!$R$5:$W$9,MATCH(ROUNDUP((U$1)/10,0)*10,[1]Hugst!$R$4:$W$4,0))))</f>
        <v>0</v>
      </c>
      <c r="V282">
        <f>IF($C282-V$1&lt;År1,0,U281*(1-VLOOKUP($A282,[1]Hugst!$R$5:$W$9,MATCH(ROUNDUP((V$1)/10,0)*10,[1]Hugst!$R$4:$W$4,0))))</f>
        <v>0</v>
      </c>
      <c r="W282">
        <f>IF($C282-W$1&lt;År1,0,V281*(1-VLOOKUP($A282,[1]Hugst!$R$5:$W$9,MATCH(ROUNDUP((W$1)/10,0)*10,[1]Hugst!$R$4:$W$4,0))))</f>
        <v>0</v>
      </c>
      <c r="X282">
        <f>IF($C282-X$1&lt;År1,0,W281*(1-VLOOKUP($A282,[1]Hugst!$R$5:$W$9,MATCH(ROUNDUP((X$1)/10,0)*10,[1]Hugst!$R$4:$W$4,0))))</f>
        <v>0</v>
      </c>
      <c r="Y282">
        <f>IF($C282-Y$1&lt;År1,0,X281*(1-VLOOKUP($A282,[1]Hugst!$R$5:$W$9,MATCH(ROUNDUP((Y$1)/10,0)*10,[1]Hugst!$R$4:$W$4,0))))</f>
        <v>0</v>
      </c>
      <c r="Z282">
        <f>IF($C282-Z$1&lt;År1,0,Y281*(1-VLOOKUP($A282,[1]Hugst!$R$5:$W$9,MATCH(ROUNDUP((Z$1)/10,0)*10,[1]Hugst!$R$4:$W$4,0))))</f>
        <v>0</v>
      </c>
      <c r="AA282">
        <f>IF($C282-AA$1&lt;År1,0,Z281*(1-VLOOKUP($A282,[1]Hugst!$R$5:$W$9,MATCH(ROUNDUP((AA$1)/10,0)*10,[1]Hugst!$R$4:$W$4,0))))</f>
        <v>0</v>
      </c>
      <c r="AB282">
        <f>IF($C282-AB$1&lt;År1,0,AA281*(1-VLOOKUP($A282,[1]Hugst!$R$5:$W$9,MATCH(ROUNDUP((AB$1)/10,0)*10,[1]Hugst!$R$4:$W$4,0))))</f>
        <v>0</v>
      </c>
      <c r="AC282">
        <f>IF($C282-AC$1&lt;År1,0,AB281*(1-VLOOKUP($A282,[1]Hugst!$R$5:$W$9,MATCH(ROUNDUP((AC$1)/10,0)*10,[1]Hugst!$R$4:$W$4,0))))</f>
        <v>0</v>
      </c>
      <c r="AD282">
        <f>IF($C282-AD$1&lt;År1,0,AC281*(1-VLOOKUP($A282,[1]Hugst!$R$5:$W$9,MATCH(ROUNDUP((AD$1)/10,0)*10,[1]Hugst!$R$4:$W$4,0))))</f>
        <v>0</v>
      </c>
      <c r="AE282">
        <f>IF($C282-AE$1&lt;År1,0,AD281*(1-VLOOKUP($A282,[1]Hugst!$R$5:$W$9,MATCH(ROUNDUP((AE$1)/10,0)*10,[1]Hugst!$R$4:$W$4,0))))</f>
        <v>0</v>
      </c>
      <c r="AF282">
        <f>IF($C282-AF$1&lt;År1,0,AE281*(1-VLOOKUP($A282,[1]Hugst!$R$5:$W$9,MATCH(ROUNDUP((AF$1)/10,0)*10,[1]Hugst!$R$4:$W$4,0))))</f>
        <v>0</v>
      </c>
      <c r="AG282">
        <f>IF($C282-AG$1&lt;År1,0,AF281*(1-VLOOKUP($A282,[1]Hugst!$R$5:$W$9,MATCH(ROUNDUP((AG$1)/10,0)*10,[1]Hugst!$R$4:$W$4,0))))</f>
        <v>0</v>
      </c>
      <c r="AH282">
        <f>IF($C282-AH$1&lt;År1,0,AG281*(1-VLOOKUP($A282,[1]Hugst!$R$5:$W$9,MATCH(ROUNDUP((AH$1)/10,0)*10,[1]Hugst!$R$4:$W$4,0))))</f>
        <v>0</v>
      </c>
      <c r="AI282">
        <f>IF($C282-AI$1&lt;År1,0,AH281*(1-VLOOKUP($A282,[1]Hugst!$R$5:$W$9,MATCH(ROUNDUP((AI$1)/10,0)*10,[1]Hugst!$R$4:$W$4,0))))</f>
        <v>0</v>
      </c>
      <c r="AJ282">
        <f>IF($C282-AJ$1&lt;År1,0,AI281*(1-VLOOKUP($A282,[1]Hugst!$R$5:$W$9,MATCH(ROUNDUP((AJ$1)/10,0)*10,[1]Hugst!$R$4:$W$4,0))))</f>
        <v>0</v>
      </c>
    </row>
    <row r="283" spans="1:36" x14ac:dyDescent="0.25">
      <c r="A283" t="s">
        <v>180</v>
      </c>
      <c r="B283" t="s">
        <v>24</v>
      </c>
      <c r="C283">
        <v>2022</v>
      </c>
      <c r="D283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378.22562169037712</v>
      </c>
      <c r="E283">
        <f t="shared" ca="1" si="7"/>
        <v>0</v>
      </c>
      <c r="F283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1277.2155206802759</v>
      </c>
      <c r="G283">
        <f ca="1">IF($C283-G$1&lt;År1,0,F282*(1-VLOOKUP($A283,[1]Hugst!$R$5:$W$9,MATCH(ROUNDUP((G$1)/10,0)*10,[1]Hugst!$R$4:$W$4,0))))</f>
        <v>1279.1161519450502</v>
      </c>
      <c r="H283">
        <f ca="1">IF($C283-H$1&lt;År1,0,G282*(1-VLOOKUP($A283,[1]Hugst!$R$5:$W$9,MATCH(ROUNDUP((H$1)/10,0)*10,[1]Hugst!$R$4:$W$4,0))))</f>
        <v>1281.0263341207046</v>
      </c>
      <c r="I283">
        <f>IF($C283-I$1&lt;År1,0,H282*(1-VLOOKUP($A283,[1]Hugst!$R$5:$W$9,MATCH(ROUNDUP((I$1)/10,0)*10,[1]Hugst!$R$4:$W$4,0))))</f>
        <v>0</v>
      </c>
      <c r="J283">
        <f>IF($C283-J$1&lt;År1,0,I282*(1-VLOOKUP($A283,[1]Hugst!$R$5:$W$9,MATCH(ROUNDUP((J$1)/10,0)*10,[1]Hugst!$R$4:$W$4,0))))</f>
        <v>0</v>
      </c>
      <c r="K283">
        <f>IF($C283-K$1&lt;År1,0,J282*(1-VLOOKUP($A283,[1]Hugst!$R$5:$W$9,MATCH(ROUNDUP((K$1)/10,0)*10,[1]Hugst!$R$4:$W$4,0))))</f>
        <v>0</v>
      </c>
      <c r="L283">
        <f>IF($C283-L$1&lt;År1,0,K282*(1-VLOOKUP($A283,[1]Hugst!$R$5:$W$9,MATCH(ROUNDUP((L$1)/10,0)*10,[1]Hugst!$R$4:$W$4,0))))</f>
        <v>0</v>
      </c>
      <c r="M283">
        <f>IF($C283-M$1&lt;År1,0,L282*(1-VLOOKUP($A283,[1]Hugst!$R$5:$W$9,MATCH(ROUNDUP((M$1)/10,0)*10,[1]Hugst!$R$4:$W$4,0))))</f>
        <v>0</v>
      </c>
      <c r="N283">
        <f>IF($C283-N$1&lt;År1,0,M282*(1-VLOOKUP($A283,[1]Hugst!$R$5:$W$9,MATCH(ROUNDUP((N$1)/10,0)*10,[1]Hugst!$R$4:$W$4,0))))</f>
        <v>0</v>
      </c>
      <c r="O283">
        <f>IF($C283-O$1&lt;År1,0,N282*(1-VLOOKUP($A283,[1]Hugst!$R$5:$W$9,MATCH(ROUNDUP((O$1)/10,0)*10,[1]Hugst!$R$4:$W$4,0))))</f>
        <v>0</v>
      </c>
      <c r="P283">
        <f>IF($C283-P$1&lt;År1,0,O282*(1-VLOOKUP($A283,[1]Hugst!$R$5:$W$9,MATCH(ROUNDUP((P$1)/10,0)*10,[1]Hugst!$R$4:$W$4,0))))</f>
        <v>0</v>
      </c>
      <c r="Q283">
        <f>IF($C283-Q$1&lt;År1,0,P282*(1-VLOOKUP($A283,[1]Hugst!$R$5:$W$9,MATCH(ROUNDUP((Q$1)/10,0)*10,[1]Hugst!$R$4:$W$4,0))))</f>
        <v>0</v>
      </c>
      <c r="R283">
        <f>IF($C283-R$1&lt;År1,0,Q282*(1-VLOOKUP($A283,[1]Hugst!$R$5:$W$9,MATCH(ROUNDUP((R$1)/10,0)*10,[1]Hugst!$R$4:$W$4,0))))</f>
        <v>0</v>
      </c>
      <c r="S283">
        <f>IF($C283-S$1&lt;År1,0,R282*(1-VLOOKUP($A283,[1]Hugst!$R$5:$W$9,MATCH(ROUNDUP((S$1)/10,0)*10,[1]Hugst!$R$4:$W$4,0))))</f>
        <v>0</v>
      </c>
      <c r="T283">
        <f>IF($C283-T$1&lt;År1,0,S282*(1-VLOOKUP($A283,[1]Hugst!$R$5:$W$9,MATCH(ROUNDUP((T$1)/10,0)*10,[1]Hugst!$R$4:$W$4,0))))</f>
        <v>0</v>
      </c>
      <c r="U283">
        <f>IF($C283-U$1&lt;År1,0,T282*(1-VLOOKUP($A283,[1]Hugst!$R$5:$W$9,MATCH(ROUNDUP((U$1)/10,0)*10,[1]Hugst!$R$4:$W$4,0))))</f>
        <v>0</v>
      </c>
      <c r="V283">
        <f>IF($C283-V$1&lt;År1,0,U282*(1-VLOOKUP($A283,[1]Hugst!$R$5:$W$9,MATCH(ROUNDUP((V$1)/10,0)*10,[1]Hugst!$R$4:$W$4,0))))</f>
        <v>0</v>
      </c>
      <c r="W283">
        <f>IF($C283-W$1&lt;År1,0,V282*(1-VLOOKUP($A283,[1]Hugst!$R$5:$W$9,MATCH(ROUNDUP((W$1)/10,0)*10,[1]Hugst!$R$4:$W$4,0))))</f>
        <v>0</v>
      </c>
      <c r="X283">
        <f>IF($C283-X$1&lt;År1,0,W282*(1-VLOOKUP($A283,[1]Hugst!$R$5:$W$9,MATCH(ROUNDUP((X$1)/10,0)*10,[1]Hugst!$R$4:$W$4,0))))</f>
        <v>0</v>
      </c>
      <c r="Y283">
        <f>IF($C283-Y$1&lt;År1,0,X282*(1-VLOOKUP($A283,[1]Hugst!$R$5:$W$9,MATCH(ROUNDUP((Y$1)/10,0)*10,[1]Hugst!$R$4:$W$4,0))))</f>
        <v>0</v>
      </c>
      <c r="Z283">
        <f>IF($C283-Z$1&lt;År1,0,Y282*(1-VLOOKUP($A283,[1]Hugst!$R$5:$W$9,MATCH(ROUNDUP((Z$1)/10,0)*10,[1]Hugst!$R$4:$W$4,0))))</f>
        <v>0</v>
      </c>
      <c r="AA283">
        <f>IF($C283-AA$1&lt;År1,0,Z282*(1-VLOOKUP($A283,[1]Hugst!$R$5:$W$9,MATCH(ROUNDUP((AA$1)/10,0)*10,[1]Hugst!$R$4:$W$4,0))))</f>
        <v>0</v>
      </c>
      <c r="AB283">
        <f>IF($C283-AB$1&lt;År1,0,AA282*(1-VLOOKUP($A283,[1]Hugst!$R$5:$W$9,MATCH(ROUNDUP((AB$1)/10,0)*10,[1]Hugst!$R$4:$W$4,0))))</f>
        <v>0</v>
      </c>
      <c r="AC283">
        <f>IF($C283-AC$1&lt;År1,0,AB282*(1-VLOOKUP($A283,[1]Hugst!$R$5:$W$9,MATCH(ROUNDUP((AC$1)/10,0)*10,[1]Hugst!$R$4:$W$4,0))))</f>
        <v>0</v>
      </c>
      <c r="AD283">
        <f>IF($C283-AD$1&lt;År1,0,AC282*(1-VLOOKUP($A283,[1]Hugst!$R$5:$W$9,MATCH(ROUNDUP((AD$1)/10,0)*10,[1]Hugst!$R$4:$W$4,0))))</f>
        <v>0</v>
      </c>
      <c r="AE283">
        <f>IF($C283-AE$1&lt;År1,0,AD282*(1-VLOOKUP($A283,[1]Hugst!$R$5:$W$9,MATCH(ROUNDUP((AE$1)/10,0)*10,[1]Hugst!$R$4:$W$4,0))))</f>
        <v>0</v>
      </c>
      <c r="AF283">
        <f>IF($C283-AF$1&lt;År1,0,AE282*(1-VLOOKUP($A283,[1]Hugst!$R$5:$W$9,MATCH(ROUNDUP((AF$1)/10,0)*10,[1]Hugst!$R$4:$W$4,0))))</f>
        <v>0</v>
      </c>
      <c r="AG283">
        <f>IF($C283-AG$1&lt;År1,0,AF282*(1-VLOOKUP($A283,[1]Hugst!$R$5:$W$9,MATCH(ROUNDUP((AG$1)/10,0)*10,[1]Hugst!$R$4:$W$4,0))))</f>
        <v>0</v>
      </c>
      <c r="AH283">
        <f>IF($C283-AH$1&lt;År1,0,AG282*(1-VLOOKUP($A283,[1]Hugst!$R$5:$W$9,MATCH(ROUNDUP((AH$1)/10,0)*10,[1]Hugst!$R$4:$W$4,0))))</f>
        <v>0</v>
      </c>
      <c r="AI283">
        <f>IF($C283-AI$1&lt;År1,0,AH282*(1-VLOOKUP($A283,[1]Hugst!$R$5:$W$9,MATCH(ROUNDUP((AI$1)/10,0)*10,[1]Hugst!$R$4:$W$4,0))))</f>
        <v>0</v>
      </c>
      <c r="AJ283">
        <f>IF($C283-AJ$1&lt;År1,0,AI282*(1-VLOOKUP($A283,[1]Hugst!$R$5:$W$9,MATCH(ROUNDUP((AJ$1)/10,0)*10,[1]Hugst!$R$4:$W$4,0))))</f>
        <v>0</v>
      </c>
    </row>
    <row r="284" spans="1:36" x14ac:dyDescent="0.25">
      <c r="A284" t="s">
        <v>180</v>
      </c>
      <c r="B284" t="s">
        <v>24</v>
      </c>
      <c r="C284">
        <v>2023</v>
      </c>
      <c r="D284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376.33449358191569</v>
      </c>
      <c r="E284">
        <f t="shared" ca="1" si="7"/>
        <v>0</v>
      </c>
      <c r="F284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1275.3243925718143</v>
      </c>
      <c r="G284">
        <f ca="1">IF($C284-G$1&lt;År1,0,F283*(1-VLOOKUP($A284,[1]Hugst!$R$5:$W$9,MATCH(ROUNDUP((G$1)/10,0)*10,[1]Hugst!$R$4:$W$4,0))))</f>
        <v>1277.2155206802759</v>
      </c>
      <c r="H284">
        <f ca="1">IF($C284-H$1&lt;År1,0,G283*(1-VLOOKUP($A284,[1]Hugst!$R$5:$W$9,MATCH(ROUNDUP((H$1)/10,0)*10,[1]Hugst!$R$4:$W$4,0))))</f>
        <v>1279.1161519450502</v>
      </c>
      <c r="I284">
        <f ca="1">IF($C284-I$1&lt;År1,0,H283*(1-VLOOKUP($A284,[1]Hugst!$R$5:$W$9,MATCH(ROUNDUP((I$1)/10,0)*10,[1]Hugst!$R$4:$W$4,0))))</f>
        <v>1281.0263341207046</v>
      </c>
      <c r="J284">
        <f>IF($C284-J$1&lt;År1,0,I283*(1-VLOOKUP($A284,[1]Hugst!$R$5:$W$9,MATCH(ROUNDUP((J$1)/10,0)*10,[1]Hugst!$R$4:$W$4,0))))</f>
        <v>0</v>
      </c>
      <c r="K284">
        <f>IF($C284-K$1&lt;År1,0,J283*(1-VLOOKUP($A284,[1]Hugst!$R$5:$W$9,MATCH(ROUNDUP((K$1)/10,0)*10,[1]Hugst!$R$4:$W$4,0))))</f>
        <v>0</v>
      </c>
      <c r="L284">
        <f>IF($C284-L$1&lt;År1,0,K283*(1-VLOOKUP($A284,[1]Hugst!$R$5:$W$9,MATCH(ROUNDUP((L$1)/10,0)*10,[1]Hugst!$R$4:$W$4,0))))</f>
        <v>0</v>
      </c>
      <c r="M284">
        <f>IF($C284-M$1&lt;År1,0,L283*(1-VLOOKUP($A284,[1]Hugst!$R$5:$W$9,MATCH(ROUNDUP((M$1)/10,0)*10,[1]Hugst!$R$4:$W$4,0))))</f>
        <v>0</v>
      </c>
      <c r="N284">
        <f>IF($C284-N$1&lt;År1,0,M283*(1-VLOOKUP($A284,[1]Hugst!$R$5:$W$9,MATCH(ROUNDUP((N$1)/10,0)*10,[1]Hugst!$R$4:$W$4,0))))</f>
        <v>0</v>
      </c>
      <c r="O284">
        <f>IF($C284-O$1&lt;År1,0,N283*(1-VLOOKUP($A284,[1]Hugst!$R$5:$W$9,MATCH(ROUNDUP((O$1)/10,0)*10,[1]Hugst!$R$4:$W$4,0))))</f>
        <v>0</v>
      </c>
      <c r="P284">
        <f>IF($C284-P$1&lt;År1,0,O283*(1-VLOOKUP($A284,[1]Hugst!$R$5:$W$9,MATCH(ROUNDUP((P$1)/10,0)*10,[1]Hugst!$R$4:$W$4,0))))</f>
        <v>0</v>
      </c>
      <c r="Q284">
        <f>IF($C284-Q$1&lt;År1,0,P283*(1-VLOOKUP($A284,[1]Hugst!$R$5:$W$9,MATCH(ROUNDUP((Q$1)/10,0)*10,[1]Hugst!$R$4:$W$4,0))))</f>
        <v>0</v>
      </c>
      <c r="R284">
        <f>IF($C284-R$1&lt;År1,0,Q283*(1-VLOOKUP($A284,[1]Hugst!$R$5:$W$9,MATCH(ROUNDUP((R$1)/10,0)*10,[1]Hugst!$R$4:$W$4,0))))</f>
        <v>0</v>
      </c>
      <c r="S284">
        <f>IF($C284-S$1&lt;År1,0,R283*(1-VLOOKUP($A284,[1]Hugst!$R$5:$W$9,MATCH(ROUNDUP((S$1)/10,0)*10,[1]Hugst!$R$4:$W$4,0))))</f>
        <v>0</v>
      </c>
      <c r="T284">
        <f>IF($C284-T$1&lt;År1,0,S283*(1-VLOOKUP($A284,[1]Hugst!$R$5:$W$9,MATCH(ROUNDUP((T$1)/10,0)*10,[1]Hugst!$R$4:$W$4,0))))</f>
        <v>0</v>
      </c>
      <c r="U284">
        <f>IF($C284-U$1&lt;År1,0,T283*(1-VLOOKUP($A284,[1]Hugst!$R$5:$W$9,MATCH(ROUNDUP((U$1)/10,0)*10,[1]Hugst!$R$4:$W$4,0))))</f>
        <v>0</v>
      </c>
      <c r="V284">
        <f>IF($C284-V$1&lt;År1,0,U283*(1-VLOOKUP($A284,[1]Hugst!$R$5:$W$9,MATCH(ROUNDUP((V$1)/10,0)*10,[1]Hugst!$R$4:$W$4,0))))</f>
        <v>0</v>
      </c>
      <c r="W284">
        <f>IF($C284-W$1&lt;År1,0,V283*(1-VLOOKUP($A284,[1]Hugst!$R$5:$W$9,MATCH(ROUNDUP((W$1)/10,0)*10,[1]Hugst!$R$4:$W$4,0))))</f>
        <v>0</v>
      </c>
      <c r="X284">
        <f>IF($C284-X$1&lt;År1,0,W283*(1-VLOOKUP($A284,[1]Hugst!$R$5:$W$9,MATCH(ROUNDUP((X$1)/10,0)*10,[1]Hugst!$R$4:$W$4,0))))</f>
        <v>0</v>
      </c>
      <c r="Y284">
        <f>IF($C284-Y$1&lt;År1,0,X283*(1-VLOOKUP($A284,[1]Hugst!$R$5:$W$9,MATCH(ROUNDUP((Y$1)/10,0)*10,[1]Hugst!$R$4:$W$4,0))))</f>
        <v>0</v>
      </c>
      <c r="Z284">
        <f>IF($C284-Z$1&lt;År1,0,Y283*(1-VLOOKUP($A284,[1]Hugst!$R$5:$W$9,MATCH(ROUNDUP((Z$1)/10,0)*10,[1]Hugst!$R$4:$W$4,0))))</f>
        <v>0</v>
      </c>
      <c r="AA284">
        <f>IF($C284-AA$1&lt;År1,0,Z283*(1-VLOOKUP($A284,[1]Hugst!$R$5:$W$9,MATCH(ROUNDUP((AA$1)/10,0)*10,[1]Hugst!$R$4:$W$4,0))))</f>
        <v>0</v>
      </c>
      <c r="AB284">
        <f>IF($C284-AB$1&lt;År1,0,AA283*(1-VLOOKUP($A284,[1]Hugst!$R$5:$W$9,MATCH(ROUNDUP((AB$1)/10,0)*10,[1]Hugst!$R$4:$W$4,0))))</f>
        <v>0</v>
      </c>
      <c r="AC284">
        <f>IF($C284-AC$1&lt;År1,0,AB283*(1-VLOOKUP($A284,[1]Hugst!$R$5:$W$9,MATCH(ROUNDUP((AC$1)/10,0)*10,[1]Hugst!$R$4:$W$4,0))))</f>
        <v>0</v>
      </c>
      <c r="AD284">
        <f>IF($C284-AD$1&lt;År1,0,AC283*(1-VLOOKUP($A284,[1]Hugst!$R$5:$W$9,MATCH(ROUNDUP((AD$1)/10,0)*10,[1]Hugst!$R$4:$W$4,0))))</f>
        <v>0</v>
      </c>
      <c r="AE284">
        <f>IF($C284-AE$1&lt;År1,0,AD283*(1-VLOOKUP($A284,[1]Hugst!$R$5:$W$9,MATCH(ROUNDUP((AE$1)/10,0)*10,[1]Hugst!$R$4:$W$4,0))))</f>
        <v>0</v>
      </c>
      <c r="AF284">
        <f>IF($C284-AF$1&lt;År1,0,AE283*(1-VLOOKUP($A284,[1]Hugst!$R$5:$W$9,MATCH(ROUNDUP((AF$1)/10,0)*10,[1]Hugst!$R$4:$W$4,0))))</f>
        <v>0</v>
      </c>
      <c r="AG284">
        <f>IF($C284-AG$1&lt;År1,0,AF283*(1-VLOOKUP($A284,[1]Hugst!$R$5:$W$9,MATCH(ROUNDUP((AG$1)/10,0)*10,[1]Hugst!$R$4:$W$4,0))))</f>
        <v>0</v>
      </c>
      <c r="AH284">
        <f>IF($C284-AH$1&lt;År1,0,AG283*(1-VLOOKUP($A284,[1]Hugst!$R$5:$W$9,MATCH(ROUNDUP((AH$1)/10,0)*10,[1]Hugst!$R$4:$W$4,0))))</f>
        <v>0</v>
      </c>
      <c r="AI284">
        <f>IF($C284-AI$1&lt;År1,0,AH283*(1-VLOOKUP($A284,[1]Hugst!$R$5:$W$9,MATCH(ROUNDUP((AI$1)/10,0)*10,[1]Hugst!$R$4:$W$4,0))))</f>
        <v>0</v>
      </c>
      <c r="AJ284">
        <f>IF($C284-AJ$1&lt;År1,0,AI283*(1-VLOOKUP($A284,[1]Hugst!$R$5:$W$9,MATCH(ROUNDUP((AJ$1)/10,0)*10,[1]Hugst!$R$4:$W$4,0))))</f>
        <v>0</v>
      </c>
    </row>
    <row r="285" spans="1:36" x14ac:dyDescent="0.25">
      <c r="A285" t="s">
        <v>180</v>
      </c>
      <c r="B285" t="s">
        <v>24</v>
      </c>
      <c r="C285">
        <v>2024</v>
      </c>
      <c r="D285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374.45282111401593</v>
      </c>
      <c r="E285">
        <f t="shared" ca="1" si="7"/>
        <v>0</v>
      </c>
      <c r="F285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1273.4427201039146</v>
      </c>
      <c r="G285">
        <f ca="1">IF($C285-G$1&lt;År1,0,F284*(1-VLOOKUP($A285,[1]Hugst!$R$5:$W$9,MATCH(ROUNDUP((G$1)/10,0)*10,[1]Hugst!$R$4:$W$4,0))))</f>
        <v>1275.3243925718143</v>
      </c>
      <c r="H285">
        <f ca="1">IF($C285-H$1&lt;År1,0,G284*(1-VLOOKUP($A285,[1]Hugst!$R$5:$W$9,MATCH(ROUNDUP((H$1)/10,0)*10,[1]Hugst!$R$4:$W$4,0))))</f>
        <v>1277.2155206802759</v>
      </c>
      <c r="I285">
        <f ca="1">IF($C285-I$1&lt;År1,0,H284*(1-VLOOKUP($A285,[1]Hugst!$R$5:$W$9,MATCH(ROUNDUP((I$1)/10,0)*10,[1]Hugst!$R$4:$W$4,0))))</f>
        <v>1279.1161519450502</v>
      </c>
      <c r="J285">
        <f ca="1">IF($C285-J$1&lt;År1,0,I284*(1-VLOOKUP($A285,[1]Hugst!$R$5:$W$9,MATCH(ROUNDUP((J$1)/10,0)*10,[1]Hugst!$R$4:$W$4,0))))</f>
        <v>1281.0263341207046</v>
      </c>
      <c r="K285">
        <f>IF($C285-K$1&lt;År1,0,J284*(1-VLOOKUP($A285,[1]Hugst!$R$5:$W$9,MATCH(ROUNDUP((K$1)/10,0)*10,[1]Hugst!$R$4:$W$4,0))))</f>
        <v>0</v>
      </c>
      <c r="L285">
        <f>IF($C285-L$1&lt;År1,0,K284*(1-VLOOKUP($A285,[1]Hugst!$R$5:$W$9,MATCH(ROUNDUP((L$1)/10,0)*10,[1]Hugst!$R$4:$W$4,0))))</f>
        <v>0</v>
      </c>
      <c r="M285">
        <f>IF($C285-M$1&lt;År1,0,L284*(1-VLOOKUP($A285,[1]Hugst!$R$5:$W$9,MATCH(ROUNDUP((M$1)/10,0)*10,[1]Hugst!$R$4:$W$4,0))))</f>
        <v>0</v>
      </c>
      <c r="N285">
        <f>IF($C285-N$1&lt;År1,0,M284*(1-VLOOKUP($A285,[1]Hugst!$R$5:$W$9,MATCH(ROUNDUP((N$1)/10,0)*10,[1]Hugst!$R$4:$W$4,0))))</f>
        <v>0</v>
      </c>
      <c r="O285">
        <f>IF($C285-O$1&lt;År1,0,N284*(1-VLOOKUP($A285,[1]Hugst!$R$5:$W$9,MATCH(ROUNDUP((O$1)/10,0)*10,[1]Hugst!$R$4:$W$4,0))))</f>
        <v>0</v>
      </c>
      <c r="P285">
        <f>IF($C285-P$1&lt;År1,0,O284*(1-VLOOKUP($A285,[1]Hugst!$R$5:$W$9,MATCH(ROUNDUP((P$1)/10,0)*10,[1]Hugst!$R$4:$W$4,0))))</f>
        <v>0</v>
      </c>
      <c r="Q285">
        <f>IF($C285-Q$1&lt;År1,0,P284*(1-VLOOKUP($A285,[1]Hugst!$R$5:$W$9,MATCH(ROUNDUP((Q$1)/10,0)*10,[1]Hugst!$R$4:$W$4,0))))</f>
        <v>0</v>
      </c>
      <c r="R285">
        <f>IF($C285-R$1&lt;År1,0,Q284*(1-VLOOKUP($A285,[1]Hugst!$R$5:$W$9,MATCH(ROUNDUP((R$1)/10,0)*10,[1]Hugst!$R$4:$W$4,0))))</f>
        <v>0</v>
      </c>
      <c r="S285">
        <f>IF($C285-S$1&lt;År1,0,R284*(1-VLOOKUP($A285,[1]Hugst!$R$5:$W$9,MATCH(ROUNDUP((S$1)/10,0)*10,[1]Hugst!$R$4:$W$4,0))))</f>
        <v>0</v>
      </c>
      <c r="T285">
        <f>IF($C285-T$1&lt;År1,0,S284*(1-VLOOKUP($A285,[1]Hugst!$R$5:$W$9,MATCH(ROUNDUP((T$1)/10,0)*10,[1]Hugst!$R$4:$W$4,0))))</f>
        <v>0</v>
      </c>
      <c r="U285">
        <f>IF($C285-U$1&lt;År1,0,T284*(1-VLOOKUP($A285,[1]Hugst!$R$5:$W$9,MATCH(ROUNDUP((U$1)/10,0)*10,[1]Hugst!$R$4:$W$4,0))))</f>
        <v>0</v>
      </c>
      <c r="V285">
        <f>IF($C285-V$1&lt;År1,0,U284*(1-VLOOKUP($A285,[1]Hugst!$R$5:$W$9,MATCH(ROUNDUP((V$1)/10,0)*10,[1]Hugst!$R$4:$W$4,0))))</f>
        <v>0</v>
      </c>
      <c r="W285">
        <f>IF($C285-W$1&lt;År1,0,V284*(1-VLOOKUP($A285,[1]Hugst!$R$5:$W$9,MATCH(ROUNDUP((W$1)/10,0)*10,[1]Hugst!$R$4:$W$4,0))))</f>
        <v>0</v>
      </c>
      <c r="X285">
        <f>IF($C285-X$1&lt;År1,0,W284*(1-VLOOKUP($A285,[1]Hugst!$R$5:$W$9,MATCH(ROUNDUP((X$1)/10,0)*10,[1]Hugst!$R$4:$W$4,0))))</f>
        <v>0</v>
      </c>
      <c r="Y285">
        <f>IF($C285-Y$1&lt;År1,0,X284*(1-VLOOKUP($A285,[1]Hugst!$R$5:$W$9,MATCH(ROUNDUP((Y$1)/10,0)*10,[1]Hugst!$R$4:$W$4,0))))</f>
        <v>0</v>
      </c>
      <c r="Z285">
        <f>IF($C285-Z$1&lt;År1,0,Y284*(1-VLOOKUP($A285,[1]Hugst!$R$5:$W$9,MATCH(ROUNDUP((Z$1)/10,0)*10,[1]Hugst!$R$4:$W$4,0))))</f>
        <v>0</v>
      </c>
      <c r="AA285">
        <f>IF($C285-AA$1&lt;År1,0,Z284*(1-VLOOKUP($A285,[1]Hugst!$R$5:$W$9,MATCH(ROUNDUP((AA$1)/10,0)*10,[1]Hugst!$R$4:$W$4,0))))</f>
        <v>0</v>
      </c>
      <c r="AB285">
        <f>IF($C285-AB$1&lt;År1,0,AA284*(1-VLOOKUP($A285,[1]Hugst!$R$5:$W$9,MATCH(ROUNDUP((AB$1)/10,0)*10,[1]Hugst!$R$4:$W$4,0))))</f>
        <v>0</v>
      </c>
      <c r="AC285">
        <f>IF($C285-AC$1&lt;År1,0,AB284*(1-VLOOKUP($A285,[1]Hugst!$R$5:$W$9,MATCH(ROUNDUP((AC$1)/10,0)*10,[1]Hugst!$R$4:$W$4,0))))</f>
        <v>0</v>
      </c>
      <c r="AD285">
        <f>IF($C285-AD$1&lt;År1,0,AC284*(1-VLOOKUP($A285,[1]Hugst!$R$5:$W$9,MATCH(ROUNDUP((AD$1)/10,0)*10,[1]Hugst!$R$4:$W$4,0))))</f>
        <v>0</v>
      </c>
      <c r="AE285">
        <f>IF($C285-AE$1&lt;År1,0,AD284*(1-VLOOKUP($A285,[1]Hugst!$R$5:$W$9,MATCH(ROUNDUP((AE$1)/10,0)*10,[1]Hugst!$R$4:$W$4,0))))</f>
        <v>0</v>
      </c>
      <c r="AF285">
        <f>IF($C285-AF$1&lt;År1,0,AE284*(1-VLOOKUP($A285,[1]Hugst!$R$5:$W$9,MATCH(ROUNDUP((AF$1)/10,0)*10,[1]Hugst!$R$4:$W$4,0))))</f>
        <v>0</v>
      </c>
      <c r="AG285">
        <f>IF($C285-AG$1&lt;År1,0,AF284*(1-VLOOKUP($A285,[1]Hugst!$R$5:$W$9,MATCH(ROUNDUP((AG$1)/10,0)*10,[1]Hugst!$R$4:$W$4,0))))</f>
        <v>0</v>
      </c>
      <c r="AH285">
        <f>IF($C285-AH$1&lt;År1,0,AG284*(1-VLOOKUP($A285,[1]Hugst!$R$5:$W$9,MATCH(ROUNDUP((AH$1)/10,0)*10,[1]Hugst!$R$4:$W$4,0))))</f>
        <v>0</v>
      </c>
      <c r="AI285">
        <f>IF($C285-AI$1&lt;År1,0,AH284*(1-VLOOKUP($A285,[1]Hugst!$R$5:$W$9,MATCH(ROUNDUP((AI$1)/10,0)*10,[1]Hugst!$R$4:$W$4,0))))</f>
        <v>0</v>
      </c>
      <c r="AJ285">
        <f>IF($C285-AJ$1&lt;År1,0,AI284*(1-VLOOKUP($A285,[1]Hugst!$R$5:$W$9,MATCH(ROUNDUP((AJ$1)/10,0)*10,[1]Hugst!$R$4:$W$4,0))))</f>
        <v>0</v>
      </c>
    </row>
    <row r="286" spans="1:36" x14ac:dyDescent="0.25">
      <c r="A286" t="s">
        <v>180</v>
      </c>
      <c r="B286" t="s">
        <v>24</v>
      </c>
      <c r="C286">
        <v>2025</v>
      </c>
      <c r="D286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372.58055700843988</v>
      </c>
      <c r="E286">
        <f t="shared" ca="1" si="7"/>
        <v>0</v>
      </c>
      <c r="F286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1271.5704559983385</v>
      </c>
      <c r="G286">
        <f ca="1">IF($C286-G$1&lt;År1,0,F285*(1-VLOOKUP($A286,[1]Hugst!$R$5:$W$9,MATCH(ROUNDUP((G$1)/10,0)*10,[1]Hugst!$R$4:$W$4,0))))</f>
        <v>1273.4427201039146</v>
      </c>
      <c r="H286">
        <f ca="1">IF($C286-H$1&lt;År1,0,G285*(1-VLOOKUP($A286,[1]Hugst!$R$5:$W$9,MATCH(ROUNDUP((H$1)/10,0)*10,[1]Hugst!$R$4:$W$4,0))))</f>
        <v>1275.3243925718143</v>
      </c>
      <c r="I286">
        <f ca="1">IF($C286-I$1&lt;År1,0,H285*(1-VLOOKUP($A286,[1]Hugst!$R$5:$W$9,MATCH(ROUNDUP((I$1)/10,0)*10,[1]Hugst!$R$4:$W$4,0))))</f>
        <v>1277.2155206802759</v>
      </c>
      <c r="J286">
        <f ca="1">IF($C286-J$1&lt;År1,0,I285*(1-VLOOKUP($A286,[1]Hugst!$R$5:$W$9,MATCH(ROUNDUP((J$1)/10,0)*10,[1]Hugst!$R$4:$W$4,0))))</f>
        <v>1279.1161519450502</v>
      </c>
      <c r="K286">
        <f ca="1">IF($C286-K$1&lt;År1,0,J285*(1-VLOOKUP($A286,[1]Hugst!$R$5:$W$9,MATCH(ROUNDUP((K$1)/10,0)*10,[1]Hugst!$R$4:$W$4,0))))</f>
        <v>1281.0263341207046</v>
      </c>
      <c r="L286">
        <f>IF($C286-L$1&lt;År1,0,K285*(1-VLOOKUP($A286,[1]Hugst!$R$5:$W$9,MATCH(ROUNDUP((L$1)/10,0)*10,[1]Hugst!$R$4:$W$4,0))))</f>
        <v>0</v>
      </c>
      <c r="M286">
        <f>IF($C286-M$1&lt;År1,0,L285*(1-VLOOKUP($A286,[1]Hugst!$R$5:$W$9,MATCH(ROUNDUP((M$1)/10,0)*10,[1]Hugst!$R$4:$W$4,0))))</f>
        <v>0</v>
      </c>
      <c r="N286">
        <f>IF($C286-N$1&lt;År1,0,M285*(1-VLOOKUP($A286,[1]Hugst!$R$5:$W$9,MATCH(ROUNDUP((N$1)/10,0)*10,[1]Hugst!$R$4:$W$4,0))))</f>
        <v>0</v>
      </c>
      <c r="O286">
        <f>IF($C286-O$1&lt;År1,0,N285*(1-VLOOKUP($A286,[1]Hugst!$R$5:$W$9,MATCH(ROUNDUP((O$1)/10,0)*10,[1]Hugst!$R$4:$W$4,0))))</f>
        <v>0</v>
      </c>
      <c r="P286">
        <f>IF($C286-P$1&lt;År1,0,O285*(1-VLOOKUP($A286,[1]Hugst!$R$5:$W$9,MATCH(ROUNDUP((P$1)/10,0)*10,[1]Hugst!$R$4:$W$4,0))))</f>
        <v>0</v>
      </c>
      <c r="Q286">
        <f>IF($C286-Q$1&lt;År1,0,P285*(1-VLOOKUP($A286,[1]Hugst!$R$5:$W$9,MATCH(ROUNDUP((Q$1)/10,0)*10,[1]Hugst!$R$4:$W$4,0))))</f>
        <v>0</v>
      </c>
      <c r="R286">
        <f>IF($C286-R$1&lt;År1,0,Q285*(1-VLOOKUP($A286,[1]Hugst!$R$5:$W$9,MATCH(ROUNDUP((R$1)/10,0)*10,[1]Hugst!$R$4:$W$4,0))))</f>
        <v>0</v>
      </c>
      <c r="S286">
        <f>IF($C286-S$1&lt;År1,0,R285*(1-VLOOKUP($A286,[1]Hugst!$R$5:$W$9,MATCH(ROUNDUP((S$1)/10,0)*10,[1]Hugst!$R$4:$W$4,0))))</f>
        <v>0</v>
      </c>
      <c r="T286">
        <f>IF($C286-T$1&lt;År1,0,S285*(1-VLOOKUP($A286,[1]Hugst!$R$5:$W$9,MATCH(ROUNDUP((T$1)/10,0)*10,[1]Hugst!$R$4:$W$4,0))))</f>
        <v>0</v>
      </c>
      <c r="U286">
        <f>IF($C286-U$1&lt;År1,0,T285*(1-VLOOKUP($A286,[1]Hugst!$R$5:$W$9,MATCH(ROUNDUP((U$1)/10,0)*10,[1]Hugst!$R$4:$W$4,0))))</f>
        <v>0</v>
      </c>
      <c r="V286">
        <f>IF($C286-V$1&lt;År1,0,U285*(1-VLOOKUP($A286,[1]Hugst!$R$5:$W$9,MATCH(ROUNDUP((V$1)/10,0)*10,[1]Hugst!$R$4:$W$4,0))))</f>
        <v>0</v>
      </c>
      <c r="W286">
        <f>IF($C286-W$1&lt;År1,0,V285*(1-VLOOKUP($A286,[1]Hugst!$R$5:$W$9,MATCH(ROUNDUP((W$1)/10,0)*10,[1]Hugst!$R$4:$W$4,0))))</f>
        <v>0</v>
      </c>
      <c r="X286">
        <f>IF($C286-X$1&lt;År1,0,W285*(1-VLOOKUP($A286,[1]Hugst!$R$5:$W$9,MATCH(ROUNDUP((X$1)/10,0)*10,[1]Hugst!$R$4:$W$4,0))))</f>
        <v>0</v>
      </c>
      <c r="Y286">
        <f>IF($C286-Y$1&lt;År1,0,X285*(1-VLOOKUP($A286,[1]Hugst!$R$5:$W$9,MATCH(ROUNDUP((Y$1)/10,0)*10,[1]Hugst!$R$4:$W$4,0))))</f>
        <v>0</v>
      </c>
      <c r="Z286">
        <f>IF($C286-Z$1&lt;År1,0,Y285*(1-VLOOKUP($A286,[1]Hugst!$R$5:$W$9,MATCH(ROUNDUP((Z$1)/10,0)*10,[1]Hugst!$R$4:$W$4,0))))</f>
        <v>0</v>
      </c>
      <c r="AA286">
        <f>IF($C286-AA$1&lt;År1,0,Z285*(1-VLOOKUP($A286,[1]Hugst!$R$5:$W$9,MATCH(ROUNDUP((AA$1)/10,0)*10,[1]Hugst!$R$4:$W$4,0))))</f>
        <v>0</v>
      </c>
      <c r="AB286">
        <f>IF($C286-AB$1&lt;År1,0,AA285*(1-VLOOKUP($A286,[1]Hugst!$R$5:$W$9,MATCH(ROUNDUP((AB$1)/10,0)*10,[1]Hugst!$R$4:$W$4,0))))</f>
        <v>0</v>
      </c>
      <c r="AC286">
        <f>IF($C286-AC$1&lt;År1,0,AB285*(1-VLOOKUP($A286,[1]Hugst!$R$5:$W$9,MATCH(ROUNDUP((AC$1)/10,0)*10,[1]Hugst!$R$4:$W$4,0))))</f>
        <v>0</v>
      </c>
      <c r="AD286">
        <f>IF($C286-AD$1&lt;År1,0,AC285*(1-VLOOKUP($A286,[1]Hugst!$R$5:$W$9,MATCH(ROUNDUP((AD$1)/10,0)*10,[1]Hugst!$R$4:$W$4,0))))</f>
        <v>0</v>
      </c>
      <c r="AE286">
        <f>IF($C286-AE$1&lt;År1,0,AD285*(1-VLOOKUP($A286,[1]Hugst!$R$5:$W$9,MATCH(ROUNDUP((AE$1)/10,0)*10,[1]Hugst!$R$4:$W$4,0))))</f>
        <v>0</v>
      </c>
      <c r="AF286">
        <f>IF($C286-AF$1&lt;År1,0,AE285*(1-VLOOKUP($A286,[1]Hugst!$R$5:$W$9,MATCH(ROUNDUP((AF$1)/10,0)*10,[1]Hugst!$R$4:$W$4,0))))</f>
        <v>0</v>
      </c>
      <c r="AG286">
        <f>IF($C286-AG$1&lt;År1,0,AF285*(1-VLOOKUP($A286,[1]Hugst!$R$5:$W$9,MATCH(ROUNDUP((AG$1)/10,0)*10,[1]Hugst!$R$4:$W$4,0))))</f>
        <v>0</v>
      </c>
      <c r="AH286">
        <f>IF($C286-AH$1&lt;År1,0,AG285*(1-VLOOKUP($A286,[1]Hugst!$R$5:$W$9,MATCH(ROUNDUP((AH$1)/10,0)*10,[1]Hugst!$R$4:$W$4,0))))</f>
        <v>0</v>
      </c>
      <c r="AI286">
        <f>IF($C286-AI$1&lt;År1,0,AH285*(1-VLOOKUP($A286,[1]Hugst!$R$5:$W$9,MATCH(ROUNDUP((AI$1)/10,0)*10,[1]Hugst!$R$4:$W$4,0))))</f>
        <v>0</v>
      </c>
      <c r="AJ286">
        <f>IF($C286-AJ$1&lt;År1,0,AI285*(1-VLOOKUP($A286,[1]Hugst!$R$5:$W$9,MATCH(ROUNDUP((AJ$1)/10,0)*10,[1]Hugst!$R$4:$W$4,0))))</f>
        <v>0</v>
      </c>
    </row>
    <row r="287" spans="1:36" x14ac:dyDescent="0.25">
      <c r="A287" t="s">
        <v>180</v>
      </c>
      <c r="B287" t="s">
        <v>24</v>
      </c>
      <c r="C287">
        <v>2026</v>
      </c>
      <c r="D287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370.71765422341423</v>
      </c>
      <c r="E287">
        <f t="shared" ca="1" si="7"/>
        <v>0</v>
      </c>
      <c r="F287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1269.7075532133128</v>
      </c>
      <c r="G287">
        <f ca="1">IF($C287-G$1&lt;År1,0,F286*(1-VLOOKUP($A287,[1]Hugst!$R$5:$W$9,MATCH(ROUNDUP((G$1)/10,0)*10,[1]Hugst!$R$4:$W$4,0))))</f>
        <v>1271.5704559983385</v>
      </c>
      <c r="H287">
        <f ca="1">IF($C287-H$1&lt;År1,0,G286*(1-VLOOKUP($A287,[1]Hugst!$R$5:$W$9,MATCH(ROUNDUP((H$1)/10,0)*10,[1]Hugst!$R$4:$W$4,0))))</f>
        <v>1273.4427201039146</v>
      </c>
      <c r="I287">
        <f ca="1">IF($C287-I$1&lt;År1,0,H286*(1-VLOOKUP($A287,[1]Hugst!$R$5:$W$9,MATCH(ROUNDUP((I$1)/10,0)*10,[1]Hugst!$R$4:$W$4,0))))</f>
        <v>1275.3243925718143</v>
      </c>
      <c r="J287">
        <f ca="1">IF($C287-J$1&lt;År1,0,I286*(1-VLOOKUP($A287,[1]Hugst!$R$5:$W$9,MATCH(ROUNDUP((J$1)/10,0)*10,[1]Hugst!$R$4:$W$4,0))))</f>
        <v>1277.2155206802759</v>
      </c>
      <c r="K287">
        <f ca="1">IF($C287-K$1&lt;År1,0,J286*(1-VLOOKUP($A287,[1]Hugst!$R$5:$W$9,MATCH(ROUNDUP((K$1)/10,0)*10,[1]Hugst!$R$4:$W$4,0))))</f>
        <v>1279.1161519450502</v>
      </c>
      <c r="L287">
        <f ca="1">IF($C287-L$1&lt;År1,0,K286*(1-VLOOKUP($A287,[1]Hugst!$R$5:$W$9,MATCH(ROUNDUP((L$1)/10,0)*10,[1]Hugst!$R$4:$W$4,0))))</f>
        <v>1281.0263341207046</v>
      </c>
      <c r="M287">
        <f>IF($C287-M$1&lt;År1,0,L286*(1-VLOOKUP($A287,[1]Hugst!$R$5:$W$9,MATCH(ROUNDUP((M$1)/10,0)*10,[1]Hugst!$R$4:$W$4,0))))</f>
        <v>0</v>
      </c>
      <c r="N287">
        <f>IF($C287-N$1&lt;År1,0,M286*(1-VLOOKUP($A287,[1]Hugst!$R$5:$W$9,MATCH(ROUNDUP((N$1)/10,0)*10,[1]Hugst!$R$4:$W$4,0))))</f>
        <v>0</v>
      </c>
      <c r="O287">
        <f>IF($C287-O$1&lt;År1,0,N286*(1-VLOOKUP($A287,[1]Hugst!$R$5:$W$9,MATCH(ROUNDUP((O$1)/10,0)*10,[1]Hugst!$R$4:$W$4,0))))</f>
        <v>0</v>
      </c>
      <c r="P287">
        <f>IF($C287-P$1&lt;År1,0,O286*(1-VLOOKUP($A287,[1]Hugst!$R$5:$W$9,MATCH(ROUNDUP((P$1)/10,0)*10,[1]Hugst!$R$4:$W$4,0))))</f>
        <v>0</v>
      </c>
      <c r="Q287">
        <f>IF($C287-Q$1&lt;År1,0,P286*(1-VLOOKUP($A287,[1]Hugst!$R$5:$W$9,MATCH(ROUNDUP((Q$1)/10,0)*10,[1]Hugst!$R$4:$W$4,0))))</f>
        <v>0</v>
      </c>
      <c r="R287">
        <f>IF($C287-R$1&lt;År1,0,Q286*(1-VLOOKUP($A287,[1]Hugst!$R$5:$W$9,MATCH(ROUNDUP((R$1)/10,0)*10,[1]Hugst!$R$4:$W$4,0))))</f>
        <v>0</v>
      </c>
      <c r="S287">
        <f>IF($C287-S$1&lt;År1,0,R286*(1-VLOOKUP($A287,[1]Hugst!$R$5:$W$9,MATCH(ROUNDUP((S$1)/10,0)*10,[1]Hugst!$R$4:$W$4,0))))</f>
        <v>0</v>
      </c>
      <c r="T287">
        <f>IF($C287-T$1&lt;År1,0,S286*(1-VLOOKUP($A287,[1]Hugst!$R$5:$W$9,MATCH(ROUNDUP((T$1)/10,0)*10,[1]Hugst!$R$4:$W$4,0))))</f>
        <v>0</v>
      </c>
      <c r="U287">
        <f>IF($C287-U$1&lt;År1,0,T286*(1-VLOOKUP($A287,[1]Hugst!$R$5:$W$9,MATCH(ROUNDUP((U$1)/10,0)*10,[1]Hugst!$R$4:$W$4,0))))</f>
        <v>0</v>
      </c>
      <c r="V287">
        <f>IF($C287-V$1&lt;År1,0,U286*(1-VLOOKUP($A287,[1]Hugst!$R$5:$W$9,MATCH(ROUNDUP((V$1)/10,0)*10,[1]Hugst!$R$4:$W$4,0))))</f>
        <v>0</v>
      </c>
      <c r="W287">
        <f>IF($C287-W$1&lt;År1,0,V286*(1-VLOOKUP($A287,[1]Hugst!$R$5:$W$9,MATCH(ROUNDUP((W$1)/10,0)*10,[1]Hugst!$R$4:$W$4,0))))</f>
        <v>0</v>
      </c>
      <c r="X287">
        <f>IF($C287-X$1&lt;År1,0,W286*(1-VLOOKUP($A287,[1]Hugst!$R$5:$W$9,MATCH(ROUNDUP((X$1)/10,0)*10,[1]Hugst!$R$4:$W$4,0))))</f>
        <v>0</v>
      </c>
      <c r="Y287">
        <f>IF($C287-Y$1&lt;År1,0,X286*(1-VLOOKUP($A287,[1]Hugst!$R$5:$W$9,MATCH(ROUNDUP((Y$1)/10,0)*10,[1]Hugst!$R$4:$W$4,0))))</f>
        <v>0</v>
      </c>
      <c r="Z287">
        <f>IF($C287-Z$1&lt;År1,0,Y286*(1-VLOOKUP($A287,[1]Hugst!$R$5:$W$9,MATCH(ROUNDUP((Z$1)/10,0)*10,[1]Hugst!$R$4:$W$4,0))))</f>
        <v>0</v>
      </c>
      <c r="AA287">
        <f>IF($C287-AA$1&lt;År1,0,Z286*(1-VLOOKUP($A287,[1]Hugst!$R$5:$W$9,MATCH(ROUNDUP((AA$1)/10,0)*10,[1]Hugst!$R$4:$W$4,0))))</f>
        <v>0</v>
      </c>
      <c r="AB287">
        <f>IF($C287-AB$1&lt;År1,0,AA286*(1-VLOOKUP($A287,[1]Hugst!$R$5:$W$9,MATCH(ROUNDUP((AB$1)/10,0)*10,[1]Hugst!$R$4:$W$4,0))))</f>
        <v>0</v>
      </c>
      <c r="AC287">
        <f>IF($C287-AC$1&lt;År1,0,AB286*(1-VLOOKUP($A287,[1]Hugst!$R$5:$W$9,MATCH(ROUNDUP((AC$1)/10,0)*10,[1]Hugst!$R$4:$W$4,0))))</f>
        <v>0</v>
      </c>
      <c r="AD287">
        <f>IF($C287-AD$1&lt;År1,0,AC286*(1-VLOOKUP($A287,[1]Hugst!$R$5:$W$9,MATCH(ROUNDUP((AD$1)/10,0)*10,[1]Hugst!$R$4:$W$4,0))))</f>
        <v>0</v>
      </c>
      <c r="AE287">
        <f>IF($C287-AE$1&lt;År1,0,AD286*(1-VLOOKUP($A287,[1]Hugst!$R$5:$W$9,MATCH(ROUNDUP((AE$1)/10,0)*10,[1]Hugst!$R$4:$W$4,0))))</f>
        <v>0</v>
      </c>
      <c r="AF287">
        <f>IF($C287-AF$1&lt;År1,0,AE286*(1-VLOOKUP($A287,[1]Hugst!$R$5:$W$9,MATCH(ROUNDUP((AF$1)/10,0)*10,[1]Hugst!$R$4:$W$4,0))))</f>
        <v>0</v>
      </c>
      <c r="AG287">
        <f>IF($C287-AG$1&lt;År1,0,AF286*(1-VLOOKUP($A287,[1]Hugst!$R$5:$W$9,MATCH(ROUNDUP((AG$1)/10,0)*10,[1]Hugst!$R$4:$W$4,0))))</f>
        <v>0</v>
      </c>
      <c r="AH287">
        <f>IF($C287-AH$1&lt;År1,0,AG286*(1-VLOOKUP($A287,[1]Hugst!$R$5:$W$9,MATCH(ROUNDUP((AH$1)/10,0)*10,[1]Hugst!$R$4:$W$4,0))))</f>
        <v>0</v>
      </c>
      <c r="AI287">
        <f>IF($C287-AI$1&lt;År1,0,AH286*(1-VLOOKUP($A287,[1]Hugst!$R$5:$W$9,MATCH(ROUNDUP((AI$1)/10,0)*10,[1]Hugst!$R$4:$W$4,0))))</f>
        <v>0</v>
      </c>
      <c r="AJ287">
        <f>IF($C287-AJ$1&lt;År1,0,AI286*(1-VLOOKUP($A287,[1]Hugst!$R$5:$W$9,MATCH(ROUNDUP((AJ$1)/10,0)*10,[1]Hugst!$R$4:$W$4,0))))</f>
        <v>0</v>
      </c>
    </row>
    <row r="288" spans="1:36" x14ac:dyDescent="0.25">
      <c r="A288" t="s">
        <v>180</v>
      </c>
      <c r="B288" t="s">
        <v>24</v>
      </c>
      <c r="C288">
        <v>2027</v>
      </c>
      <c r="D28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368.86406595227891</v>
      </c>
      <c r="E288">
        <f t="shared" ca="1" si="7"/>
        <v>0</v>
      </c>
      <c r="F28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1267.8539649421775</v>
      </c>
      <c r="G288">
        <f ca="1">IF($C288-G$1&lt;År1,0,F287*(1-VLOOKUP($A288,[1]Hugst!$R$5:$W$9,MATCH(ROUNDUP((G$1)/10,0)*10,[1]Hugst!$R$4:$W$4,0))))</f>
        <v>1269.7075532133128</v>
      </c>
      <c r="H288">
        <f ca="1">IF($C288-H$1&lt;År1,0,G287*(1-VLOOKUP($A288,[1]Hugst!$R$5:$W$9,MATCH(ROUNDUP((H$1)/10,0)*10,[1]Hugst!$R$4:$W$4,0))))</f>
        <v>1271.5704559983385</v>
      </c>
      <c r="I288">
        <f ca="1">IF($C288-I$1&lt;År1,0,H287*(1-VLOOKUP($A288,[1]Hugst!$R$5:$W$9,MATCH(ROUNDUP((I$1)/10,0)*10,[1]Hugst!$R$4:$W$4,0))))</f>
        <v>1273.4427201039146</v>
      </c>
      <c r="J288">
        <f ca="1">IF($C288-J$1&lt;År1,0,I287*(1-VLOOKUP($A288,[1]Hugst!$R$5:$W$9,MATCH(ROUNDUP((J$1)/10,0)*10,[1]Hugst!$R$4:$W$4,0))))</f>
        <v>1275.3243925718143</v>
      </c>
      <c r="K288">
        <f ca="1">IF($C288-K$1&lt;År1,0,J287*(1-VLOOKUP($A288,[1]Hugst!$R$5:$W$9,MATCH(ROUNDUP((K$1)/10,0)*10,[1]Hugst!$R$4:$W$4,0))))</f>
        <v>1277.2155206802759</v>
      </c>
      <c r="L288">
        <f ca="1">IF($C288-L$1&lt;År1,0,K287*(1-VLOOKUP($A288,[1]Hugst!$R$5:$W$9,MATCH(ROUNDUP((L$1)/10,0)*10,[1]Hugst!$R$4:$W$4,0))))</f>
        <v>1279.1161519450502</v>
      </c>
      <c r="M288">
        <f ca="1">IF($C288-M$1&lt;År1,0,L287*(1-VLOOKUP($A288,[1]Hugst!$R$5:$W$9,MATCH(ROUNDUP((M$1)/10,0)*10,[1]Hugst!$R$4:$W$4,0))))</f>
        <v>1281.0263341207046</v>
      </c>
      <c r="N288">
        <f>IF($C288-N$1&lt;År1,0,M287*(1-VLOOKUP($A288,[1]Hugst!$R$5:$W$9,MATCH(ROUNDUP((N$1)/10,0)*10,[1]Hugst!$R$4:$W$4,0))))</f>
        <v>0</v>
      </c>
      <c r="O288">
        <f>IF($C288-O$1&lt;År1,0,N287*(1-VLOOKUP($A288,[1]Hugst!$R$5:$W$9,MATCH(ROUNDUP((O$1)/10,0)*10,[1]Hugst!$R$4:$W$4,0))))</f>
        <v>0</v>
      </c>
      <c r="P288">
        <f>IF($C288-P$1&lt;År1,0,O287*(1-VLOOKUP($A288,[1]Hugst!$R$5:$W$9,MATCH(ROUNDUP((P$1)/10,0)*10,[1]Hugst!$R$4:$W$4,0))))</f>
        <v>0</v>
      </c>
      <c r="Q288">
        <f>IF($C288-Q$1&lt;År1,0,P287*(1-VLOOKUP($A288,[1]Hugst!$R$5:$W$9,MATCH(ROUNDUP((Q$1)/10,0)*10,[1]Hugst!$R$4:$W$4,0))))</f>
        <v>0</v>
      </c>
      <c r="R288">
        <f>IF($C288-R$1&lt;År1,0,Q287*(1-VLOOKUP($A288,[1]Hugst!$R$5:$W$9,MATCH(ROUNDUP((R$1)/10,0)*10,[1]Hugst!$R$4:$W$4,0))))</f>
        <v>0</v>
      </c>
      <c r="S288">
        <f>IF($C288-S$1&lt;År1,0,R287*(1-VLOOKUP($A288,[1]Hugst!$R$5:$W$9,MATCH(ROUNDUP((S$1)/10,0)*10,[1]Hugst!$R$4:$W$4,0))))</f>
        <v>0</v>
      </c>
      <c r="T288">
        <f>IF($C288-T$1&lt;År1,0,S287*(1-VLOOKUP($A288,[1]Hugst!$R$5:$W$9,MATCH(ROUNDUP((T$1)/10,0)*10,[1]Hugst!$R$4:$W$4,0))))</f>
        <v>0</v>
      </c>
      <c r="U288">
        <f>IF($C288-U$1&lt;År1,0,T287*(1-VLOOKUP($A288,[1]Hugst!$R$5:$W$9,MATCH(ROUNDUP((U$1)/10,0)*10,[1]Hugst!$R$4:$W$4,0))))</f>
        <v>0</v>
      </c>
      <c r="V288">
        <f>IF($C288-V$1&lt;År1,0,U287*(1-VLOOKUP($A288,[1]Hugst!$R$5:$W$9,MATCH(ROUNDUP((V$1)/10,0)*10,[1]Hugst!$R$4:$W$4,0))))</f>
        <v>0</v>
      </c>
      <c r="W288">
        <f>IF($C288-W$1&lt;År1,0,V287*(1-VLOOKUP($A288,[1]Hugst!$R$5:$W$9,MATCH(ROUNDUP((W$1)/10,0)*10,[1]Hugst!$R$4:$W$4,0))))</f>
        <v>0</v>
      </c>
      <c r="X288">
        <f>IF($C288-X$1&lt;År1,0,W287*(1-VLOOKUP($A288,[1]Hugst!$R$5:$W$9,MATCH(ROUNDUP((X$1)/10,0)*10,[1]Hugst!$R$4:$W$4,0))))</f>
        <v>0</v>
      </c>
      <c r="Y288">
        <f>IF($C288-Y$1&lt;År1,0,X287*(1-VLOOKUP($A288,[1]Hugst!$R$5:$W$9,MATCH(ROUNDUP((Y$1)/10,0)*10,[1]Hugst!$R$4:$W$4,0))))</f>
        <v>0</v>
      </c>
      <c r="Z288">
        <f>IF($C288-Z$1&lt;År1,0,Y287*(1-VLOOKUP($A288,[1]Hugst!$R$5:$W$9,MATCH(ROUNDUP((Z$1)/10,0)*10,[1]Hugst!$R$4:$W$4,0))))</f>
        <v>0</v>
      </c>
      <c r="AA288">
        <f>IF($C288-AA$1&lt;År1,0,Z287*(1-VLOOKUP($A288,[1]Hugst!$R$5:$W$9,MATCH(ROUNDUP((AA$1)/10,0)*10,[1]Hugst!$R$4:$W$4,0))))</f>
        <v>0</v>
      </c>
      <c r="AB288">
        <f>IF($C288-AB$1&lt;År1,0,AA287*(1-VLOOKUP($A288,[1]Hugst!$R$5:$W$9,MATCH(ROUNDUP((AB$1)/10,0)*10,[1]Hugst!$R$4:$W$4,0))))</f>
        <v>0</v>
      </c>
      <c r="AC288">
        <f>IF($C288-AC$1&lt;År1,0,AB287*(1-VLOOKUP($A288,[1]Hugst!$R$5:$W$9,MATCH(ROUNDUP((AC$1)/10,0)*10,[1]Hugst!$R$4:$W$4,0))))</f>
        <v>0</v>
      </c>
      <c r="AD288">
        <f>IF($C288-AD$1&lt;År1,0,AC287*(1-VLOOKUP($A288,[1]Hugst!$R$5:$W$9,MATCH(ROUNDUP((AD$1)/10,0)*10,[1]Hugst!$R$4:$W$4,0))))</f>
        <v>0</v>
      </c>
      <c r="AE288">
        <f>IF($C288-AE$1&lt;År1,0,AD287*(1-VLOOKUP($A288,[1]Hugst!$R$5:$W$9,MATCH(ROUNDUP((AE$1)/10,0)*10,[1]Hugst!$R$4:$W$4,0))))</f>
        <v>0</v>
      </c>
      <c r="AF288">
        <f>IF($C288-AF$1&lt;År1,0,AE287*(1-VLOOKUP($A288,[1]Hugst!$R$5:$W$9,MATCH(ROUNDUP((AF$1)/10,0)*10,[1]Hugst!$R$4:$W$4,0))))</f>
        <v>0</v>
      </c>
      <c r="AG288">
        <f>IF($C288-AG$1&lt;År1,0,AF287*(1-VLOOKUP($A288,[1]Hugst!$R$5:$W$9,MATCH(ROUNDUP((AG$1)/10,0)*10,[1]Hugst!$R$4:$W$4,0))))</f>
        <v>0</v>
      </c>
      <c r="AH288">
        <f>IF($C288-AH$1&lt;År1,0,AG287*(1-VLOOKUP($A288,[1]Hugst!$R$5:$W$9,MATCH(ROUNDUP((AH$1)/10,0)*10,[1]Hugst!$R$4:$W$4,0))))</f>
        <v>0</v>
      </c>
      <c r="AI288">
        <f>IF($C288-AI$1&lt;År1,0,AH287*(1-VLOOKUP($A288,[1]Hugst!$R$5:$W$9,MATCH(ROUNDUP((AI$1)/10,0)*10,[1]Hugst!$R$4:$W$4,0))))</f>
        <v>0</v>
      </c>
      <c r="AJ288">
        <f>IF($C288-AJ$1&lt;År1,0,AI287*(1-VLOOKUP($A288,[1]Hugst!$R$5:$W$9,MATCH(ROUNDUP((AJ$1)/10,0)*10,[1]Hugst!$R$4:$W$4,0))))</f>
        <v>0</v>
      </c>
    </row>
    <row r="289" spans="1:36" x14ac:dyDescent="0.25">
      <c r="A289" t="s">
        <v>180</v>
      </c>
      <c r="B289" t="s">
        <v>24</v>
      </c>
      <c r="C289">
        <v>2028</v>
      </c>
      <c r="D289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367.01974562252553</v>
      </c>
      <c r="E289">
        <f t="shared" ca="1" si="7"/>
        <v>0</v>
      </c>
      <c r="F28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1266.0096446124242</v>
      </c>
      <c r="G289">
        <f ca="1">IF($C289-G$1&lt;År1,0,F288*(1-VLOOKUP($A289,[1]Hugst!$R$5:$W$9,MATCH(ROUNDUP((G$1)/10,0)*10,[1]Hugst!$R$4:$W$4,0))))</f>
        <v>1267.8539649421775</v>
      </c>
      <c r="H289">
        <f ca="1">IF($C289-H$1&lt;År1,0,G288*(1-VLOOKUP($A289,[1]Hugst!$R$5:$W$9,MATCH(ROUNDUP((H$1)/10,0)*10,[1]Hugst!$R$4:$W$4,0))))</f>
        <v>1269.7075532133128</v>
      </c>
      <c r="I289">
        <f ca="1">IF($C289-I$1&lt;År1,0,H288*(1-VLOOKUP($A289,[1]Hugst!$R$5:$W$9,MATCH(ROUNDUP((I$1)/10,0)*10,[1]Hugst!$R$4:$W$4,0))))</f>
        <v>1271.5704559983385</v>
      </c>
      <c r="J289">
        <f ca="1">IF($C289-J$1&lt;År1,0,I288*(1-VLOOKUP($A289,[1]Hugst!$R$5:$W$9,MATCH(ROUNDUP((J$1)/10,0)*10,[1]Hugst!$R$4:$W$4,0))))</f>
        <v>1273.4427201039146</v>
      </c>
      <c r="K289">
        <f ca="1">IF($C289-K$1&lt;År1,0,J288*(1-VLOOKUP($A289,[1]Hugst!$R$5:$W$9,MATCH(ROUNDUP((K$1)/10,0)*10,[1]Hugst!$R$4:$W$4,0))))</f>
        <v>1275.3243925718143</v>
      </c>
      <c r="L289">
        <f ca="1">IF($C289-L$1&lt;År1,0,K288*(1-VLOOKUP($A289,[1]Hugst!$R$5:$W$9,MATCH(ROUNDUP((L$1)/10,0)*10,[1]Hugst!$R$4:$W$4,0))))</f>
        <v>1277.2155206802759</v>
      </c>
      <c r="M289">
        <f ca="1">IF($C289-M$1&lt;År1,0,L288*(1-VLOOKUP($A289,[1]Hugst!$R$5:$W$9,MATCH(ROUNDUP((M$1)/10,0)*10,[1]Hugst!$R$4:$W$4,0))))</f>
        <v>1279.1161519450502</v>
      </c>
      <c r="N289">
        <f ca="1">IF($C289-N$1&lt;År1,0,M288*(1-VLOOKUP($A289,[1]Hugst!$R$5:$W$9,MATCH(ROUNDUP((N$1)/10,0)*10,[1]Hugst!$R$4:$W$4,0))))</f>
        <v>1281.0263341207046</v>
      </c>
      <c r="O289">
        <f>IF($C289-O$1&lt;År1,0,N288*(1-VLOOKUP($A289,[1]Hugst!$R$5:$W$9,MATCH(ROUNDUP((O$1)/10,0)*10,[1]Hugst!$R$4:$W$4,0))))</f>
        <v>0</v>
      </c>
      <c r="P289">
        <f>IF($C289-P$1&lt;År1,0,O288*(1-VLOOKUP($A289,[1]Hugst!$R$5:$W$9,MATCH(ROUNDUP((P$1)/10,0)*10,[1]Hugst!$R$4:$W$4,0))))</f>
        <v>0</v>
      </c>
      <c r="Q289">
        <f>IF($C289-Q$1&lt;År1,0,P288*(1-VLOOKUP($A289,[1]Hugst!$R$5:$W$9,MATCH(ROUNDUP((Q$1)/10,0)*10,[1]Hugst!$R$4:$W$4,0))))</f>
        <v>0</v>
      </c>
      <c r="R289">
        <f>IF($C289-R$1&lt;År1,0,Q288*(1-VLOOKUP($A289,[1]Hugst!$R$5:$W$9,MATCH(ROUNDUP((R$1)/10,0)*10,[1]Hugst!$R$4:$W$4,0))))</f>
        <v>0</v>
      </c>
      <c r="S289">
        <f>IF($C289-S$1&lt;År1,0,R288*(1-VLOOKUP($A289,[1]Hugst!$R$5:$W$9,MATCH(ROUNDUP((S$1)/10,0)*10,[1]Hugst!$R$4:$W$4,0))))</f>
        <v>0</v>
      </c>
      <c r="T289">
        <f>IF($C289-T$1&lt;År1,0,S288*(1-VLOOKUP($A289,[1]Hugst!$R$5:$W$9,MATCH(ROUNDUP((T$1)/10,0)*10,[1]Hugst!$R$4:$W$4,0))))</f>
        <v>0</v>
      </c>
      <c r="U289">
        <f>IF($C289-U$1&lt;År1,0,T288*(1-VLOOKUP($A289,[1]Hugst!$R$5:$W$9,MATCH(ROUNDUP((U$1)/10,0)*10,[1]Hugst!$R$4:$W$4,0))))</f>
        <v>0</v>
      </c>
      <c r="V289">
        <f>IF($C289-V$1&lt;År1,0,U288*(1-VLOOKUP($A289,[1]Hugst!$R$5:$W$9,MATCH(ROUNDUP((V$1)/10,0)*10,[1]Hugst!$R$4:$W$4,0))))</f>
        <v>0</v>
      </c>
      <c r="W289">
        <f>IF($C289-W$1&lt;År1,0,V288*(1-VLOOKUP($A289,[1]Hugst!$R$5:$W$9,MATCH(ROUNDUP((W$1)/10,0)*10,[1]Hugst!$R$4:$W$4,0))))</f>
        <v>0</v>
      </c>
      <c r="X289">
        <f>IF($C289-X$1&lt;År1,0,W288*(1-VLOOKUP($A289,[1]Hugst!$R$5:$W$9,MATCH(ROUNDUP((X$1)/10,0)*10,[1]Hugst!$R$4:$W$4,0))))</f>
        <v>0</v>
      </c>
      <c r="Y289">
        <f>IF($C289-Y$1&lt;År1,0,X288*(1-VLOOKUP($A289,[1]Hugst!$R$5:$W$9,MATCH(ROUNDUP((Y$1)/10,0)*10,[1]Hugst!$R$4:$W$4,0))))</f>
        <v>0</v>
      </c>
      <c r="Z289">
        <f>IF($C289-Z$1&lt;År1,0,Y288*(1-VLOOKUP($A289,[1]Hugst!$R$5:$W$9,MATCH(ROUNDUP((Z$1)/10,0)*10,[1]Hugst!$R$4:$W$4,0))))</f>
        <v>0</v>
      </c>
      <c r="AA289">
        <f>IF($C289-AA$1&lt;År1,0,Z288*(1-VLOOKUP($A289,[1]Hugst!$R$5:$W$9,MATCH(ROUNDUP((AA$1)/10,0)*10,[1]Hugst!$R$4:$W$4,0))))</f>
        <v>0</v>
      </c>
      <c r="AB289">
        <f>IF($C289-AB$1&lt;År1,0,AA288*(1-VLOOKUP($A289,[1]Hugst!$R$5:$W$9,MATCH(ROUNDUP((AB$1)/10,0)*10,[1]Hugst!$R$4:$W$4,0))))</f>
        <v>0</v>
      </c>
      <c r="AC289">
        <f>IF($C289-AC$1&lt;År1,0,AB288*(1-VLOOKUP($A289,[1]Hugst!$R$5:$W$9,MATCH(ROUNDUP((AC$1)/10,0)*10,[1]Hugst!$R$4:$W$4,0))))</f>
        <v>0</v>
      </c>
      <c r="AD289">
        <f>IF($C289-AD$1&lt;År1,0,AC288*(1-VLOOKUP($A289,[1]Hugst!$R$5:$W$9,MATCH(ROUNDUP((AD$1)/10,0)*10,[1]Hugst!$R$4:$W$4,0))))</f>
        <v>0</v>
      </c>
      <c r="AE289">
        <f>IF($C289-AE$1&lt;År1,0,AD288*(1-VLOOKUP($A289,[1]Hugst!$R$5:$W$9,MATCH(ROUNDUP((AE$1)/10,0)*10,[1]Hugst!$R$4:$W$4,0))))</f>
        <v>0</v>
      </c>
      <c r="AF289">
        <f>IF($C289-AF$1&lt;År1,0,AE288*(1-VLOOKUP($A289,[1]Hugst!$R$5:$W$9,MATCH(ROUNDUP((AF$1)/10,0)*10,[1]Hugst!$R$4:$W$4,0))))</f>
        <v>0</v>
      </c>
      <c r="AG289">
        <f>IF($C289-AG$1&lt;År1,0,AF288*(1-VLOOKUP($A289,[1]Hugst!$R$5:$W$9,MATCH(ROUNDUP((AG$1)/10,0)*10,[1]Hugst!$R$4:$W$4,0))))</f>
        <v>0</v>
      </c>
      <c r="AH289">
        <f>IF($C289-AH$1&lt;År1,0,AG288*(1-VLOOKUP($A289,[1]Hugst!$R$5:$W$9,MATCH(ROUNDUP((AH$1)/10,0)*10,[1]Hugst!$R$4:$W$4,0))))</f>
        <v>0</v>
      </c>
      <c r="AI289">
        <f>IF($C289-AI$1&lt;År1,0,AH288*(1-VLOOKUP($A289,[1]Hugst!$R$5:$W$9,MATCH(ROUNDUP((AI$1)/10,0)*10,[1]Hugst!$R$4:$W$4,0))))</f>
        <v>0</v>
      </c>
      <c r="AJ289">
        <f>IF($C289-AJ$1&lt;År1,0,AI288*(1-VLOOKUP($A289,[1]Hugst!$R$5:$W$9,MATCH(ROUNDUP((AJ$1)/10,0)*10,[1]Hugst!$R$4:$W$4,0))))</f>
        <v>0</v>
      </c>
    </row>
    <row r="290" spans="1:36" x14ac:dyDescent="0.25">
      <c r="A290" t="s">
        <v>180</v>
      </c>
      <c r="B290" t="s">
        <v>24</v>
      </c>
      <c r="C290">
        <v>2029</v>
      </c>
      <c r="D290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365.18464689441043</v>
      </c>
      <c r="E290">
        <f t="shared" ca="1" si="7"/>
        <v>0</v>
      </c>
      <c r="F290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1264.1745458843091</v>
      </c>
      <c r="G290">
        <f ca="1">IF($C290-G$1&lt;År1,0,F289*(1-VLOOKUP($A290,[1]Hugst!$R$5:$W$9,MATCH(ROUNDUP((G$1)/10,0)*10,[1]Hugst!$R$4:$W$4,0))))</f>
        <v>1266.0096446124242</v>
      </c>
      <c r="H290">
        <f ca="1">IF($C290-H$1&lt;År1,0,G289*(1-VLOOKUP($A290,[1]Hugst!$R$5:$W$9,MATCH(ROUNDUP((H$1)/10,0)*10,[1]Hugst!$R$4:$W$4,0))))</f>
        <v>1267.8539649421775</v>
      </c>
      <c r="I290">
        <f ca="1">IF($C290-I$1&lt;År1,0,H289*(1-VLOOKUP($A290,[1]Hugst!$R$5:$W$9,MATCH(ROUNDUP((I$1)/10,0)*10,[1]Hugst!$R$4:$W$4,0))))</f>
        <v>1269.7075532133128</v>
      </c>
      <c r="J290">
        <f ca="1">IF($C290-J$1&lt;År1,0,I289*(1-VLOOKUP($A290,[1]Hugst!$R$5:$W$9,MATCH(ROUNDUP((J$1)/10,0)*10,[1]Hugst!$R$4:$W$4,0))))</f>
        <v>1271.5704559983385</v>
      </c>
      <c r="K290">
        <f ca="1">IF($C290-K$1&lt;År1,0,J289*(1-VLOOKUP($A290,[1]Hugst!$R$5:$W$9,MATCH(ROUNDUP((K$1)/10,0)*10,[1]Hugst!$R$4:$W$4,0))))</f>
        <v>1273.4427201039146</v>
      </c>
      <c r="L290">
        <f ca="1">IF($C290-L$1&lt;År1,0,K289*(1-VLOOKUP($A290,[1]Hugst!$R$5:$W$9,MATCH(ROUNDUP((L$1)/10,0)*10,[1]Hugst!$R$4:$W$4,0))))</f>
        <v>1275.3243925718143</v>
      </c>
      <c r="M290">
        <f ca="1">IF($C290-M$1&lt;År1,0,L289*(1-VLOOKUP($A290,[1]Hugst!$R$5:$W$9,MATCH(ROUNDUP((M$1)/10,0)*10,[1]Hugst!$R$4:$W$4,0))))</f>
        <v>1277.2155206802759</v>
      </c>
      <c r="N290">
        <f ca="1">IF($C290-N$1&lt;År1,0,M289*(1-VLOOKUP($A290,[1]Hugst!$R$5:$W$9,MATCH(ROUNDUP((N$1)/10,0)*10,[1]Hugst!$R$4:$W$4,0))))</f>
        <v>1279.1161519450502</v>
      </c>
      <c r="O290">
        <f ca="1">IF($C290-O$1&lt;År1,0,N289*(1-VLOOKUP($A290,[1]Hugst!$R$5:$W$9,MATCH(ROUNDUP((O$1)/10,0)*10,[1]Hugst!$R$4:$W$4,0))))</f>
        <v>1281.0263341207046</v>
      </c>
      <c r="P290">
        <f>IF($C290-P$1&lt;År1,0,O289*(1-VLOOKUP($A290,[1]Hugst!$R$5:$W$9,MATCH(ROUNDUP((P$1)/10,0)*10,[1]Hugst!$R$4:$W$4,0))))</f>
        <v>0</v>
      </c>
      <c r="Q290">
        <f>IF($C290-Q$1&lt;År1,0,P289*(1-VLOOKUP($A290,[1]Hugst!$R$5:$W$9,MATCH(ROUNDUP((Q$1)/10,0)*10,[1]Hugst!$R$4:$W$4,0))))</f>
        <v>0</v>
      </c>
      <c r="R290">
        <f>IF($C290-R$1&lt;År1,0,Q289*(1-VLOOKUP($A290,[1]Hugst!$R$5:$W$9,MATCH(ROUNDUP((R$1)/10,0)*10,[1]Hugst!$R$4:$W$4,0))))</f>
        <v>0</v>
      </c>
      <c r="S290">
        <f>IF($C290-S$1&lt;År1,0,R289*(1-VLOOKUP($A290,[1]Hugst!$R$5:$W$9,MATCH(ROUNDUP((S$1)/10,0)*10,[1]Hugst!$R$4:$W$4,0))))</f>
        <v>0</v>
      </c>
      <c r="T290">
        <f>IF($C290-T$1&lt;År1,0,S289*(1-VLOOKUP($A290,[1]Hugst!$R$5:$W$9,MATCH(ROUNDUP((T$1)/10,0)*10,[1]Hugst!$R$4:$W$4,0))))</f>
        <v>0</v>
      </c>
      <c r="U290">
        <f>IF($C290-U$1&lt;År1,0,T289*(1-VLOOKUP($A290,[1]Hugst!$R$5:$W$9,MATCH(ROUNDUP((U$1)/10,0)*10,[1]Hugst!$R$4:$W$4,0))))</f>
        <v>0</v>
      </c>
      <c r="V290">
        <f>IF($C290-V$1&lt;År1,0,U289*(1-VLOOKUP($A290,[1]Hugst!$R$5:$W$9,MATCH(ROUNDUP((V$1)/10,0)*10,[1]Hugst!$R$4:$W$4,0))))</f>
        <v>0</v>
      </c>
      <c r="W290">
        <f>IF($C290-W$1&lt;År1,0,V289*(1-VLOOKUP($A290,[1]Hugst!$R$5:$W$9,MATCH(ROUNDUP((W$1)/10,0)*10,[1]Hugst!$R$4:$W$4,0))))</f>
        <v>0</v>
      </c>
      <c r="X290">
        <f>IF($C290-X$1&lt;År1,0,W289*(1-VLOOKUP($A290,[1]Hugst!$R$5:$W$9,MATCH(ROUNDUP((X$1)/10,0)*10,[1]Hugst!$R$4:$W$4,0))))</f>
        <v>0</v>
      </c>
      <c r="Y290">
        <f>IF($C290-Y$1&lt;År1,0,X289*(1-VLOOKUP($A290,[1]Hugst!$R$5:$W$9,MATCH(ROUNDUP((Y$1)/10,0)*10,[1]Hugst!$R$4:$W$4,0))))</f>
        <v>0</v>
      </c>
      <c r="Z290">
        <f>IF($C290-Z$1&lt;År1,0,Y289*(1-VLOOKUP($A290,[1]Hugst!$R$5:$W$9,MATCH(ROUNDUP((Z$1)/10,0)*10,[1]Hugst!$R$4:$W$4,0))))</f>
        <v>0</v>
      </c>
      <c r="AA290">
        <f>IF($C290-AA$1&lt;År1,0,Z289*(1-VLOOKUP($A290,[1]Hugst!$R$5:$W$9,MATCH(ROUNDUP((AA$1)/10,0)*10,[1]Hugst!$R$4:$W$4,0))))</f>
        <v>0</v>
      </c>
      <c r="AB290">
        <f>IF($C290-AB$1&lt;År1,0,AA289*(1-VLOOKUP($A290,[1]Hugst!$R$5:$W$9,MATCH(ROUNDUP((AB$1)/10,0)*10,[1]Hugst!$R$4:$W$4,0))))</f>
        <v>0</v>
      </c>
      <c r="AC290">
        <f>IF($C290-AC$1&lt;År1,0,AB289*(1-VLOOKUP($A290,[1]Hugst!$R$5:$W$9,MATCH(ROUNDUP((AC$1)/10,0)*10,[1]Hugst!$R$4:$W$4,0))))</f>
        <v>0</v>
      </c>
      <c r="AD290">
        <f>IF($C290-AD$1&lt;År1,0,AC289*(1-VLOOKUP($A290,[1]Hugst!$R$5:$W$9,MATCH(ROUNDUP((AD$1)/10,0)*10,[1]Hugst!$R$4:$W$4,0))))</f>
        <v>0</v>
      </c>
      <c r="AE290">
        <f>IF($C290-AE$1&lt;År1,0,AD289*(1-VLOOKUP($A290,[1]Hugst!$R$5:$W$9,MATCH(ROUNDUP((AE$1)/10,0)*10,[1]Hugst!$R$4:$W$4,0))))</f>
        <v>0</v>
      </c>
      <c r="AF290">
        <f>IF($C290-AF$1&lt;År1,0,AE289*(1-VLOOKUP($A290,[1]Hugst!$R$5:$W$9,MATCH(ROUNDUP((AF$1)/10,0)*10,[1]Hugst!$R$4:$W$4,0))))</f>
        <v>0</v>
      </c>
      <c r="AG290">
        <f>IF($C290-AG$1&lt;År1,0,AF289*(1-VLOOKUP($A290,[1]Hugst!$R$5:$W$9,MATCH(ROUNDUP((AG$1)/10,0)*10,[1]Hugst!$R$4:$W$4,0))))</f>
        <v>0</v>
      </c>
      <c r="AH290">
        <f>IF($C290-AH$1&lt;År1,0,AG289*(1-VLOOKUP($A290,[1]Hugst!$R$5:$W$9,MATCH(ROUNDUP((AH$1)/10,0)*10,[1]Hugst!$R$4:$W$4,0))))</f>
        <v>0</v>
      </c>
      <c r="AI290">
        <f>IF($C290-AI$1&lt;År1,0,AH289*(1-VLOOKUP($A290,[1]Hugst!$R$5:$W$9,MATCH(ROUNDUP((AI$1)/10,0)*10,[1]Hugst!$R$4:$W$4,0))))</f>
        <v>0</v>
      </c>
      <c r="AJ290">
        <f>IF($C290-AJ$1&lt;År1,0,AI289*(1-VLOOKUP($A290,[1]Hugst!$R$5:$W$9,MATCH(ROUNDUP((AJ$1)/10,0)*10,[1]Hugst!$R$4:$W$4,0))))</f>
        <v>0</v>
      </c>
    </row>
    <row r="291" spans="1:36" x14ac:dyDescent="0.25">
      <c r="A291" t="s">
        <v>180</v>
      </c>
      <c r="B291" t="s">
        <v>24</v>
      </c>
      <c r="C291">
        <v>2030</v>
      </c>
      <c r="D291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363.35872365994737</v>
      </c>
      <c r="E291">
        <f t="shared" ca="1" si="7"/>
        <v>0</v>
      </c>
      <c r="F291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1262.348622649846</v>
      </c>
      <c r="G291">
        <f ca="1">IF($C291-G$1&lt;År1,0,F290*(1-VLOOKUP($A291,[1]Hugst!$R$5:$W$9,MATCH(ROUNDUP((G$1)/10,0)*10,[1]Hugst!$R$4:$W$4,0))))</f>
        <v>1264.1745458843091</v>
      </c>
      <c r="H291">
        <f ca="1">IF($C291-H$1&lt;År1,0,G290*(1-VLOOKUP($A291,[1]Hugst!$R$5:$W$9,MATCH(ROUNDUP((H$1)/10,0)*10,[1]Hugst!$R$4:$W$4,0))))</f>
        <v>1266.0096446124242</v>
      </c>
      <c r="I291">
        <f ca="1">IF($C291-I$1&lt;År1,0,H290*(1-VLOOKUP($A291,[1]Hugst!$R$5:$W$9,MATCH(ROUNDUP((I$1)/10,0)*10,[1]Hugst!$R$4:$W$4,0))))</f>
        <v>1267.8539649421775</v>
      </c>
      <c r="J291">
        <f ca="1">IF($C291-J$1&lt;År1,0,I290*(1-VLOOKUP($A291,[1]Hugst!$R$5:$W$9,MATCH(ROUNDUP((J$1)/10,0)*10,[1]Hugst!$R$4:$W$4,0))))</f>
        <v>1269.7075532133128</v>
      </c>
      <c r="K291">
        <f ca="1">IF($C291-K$1&lt;År1,0,J290*(1-VLOOKUP($A291,[1]Hugst!$R$5:$W$9,MATCH(ROUNDUP((K$1)/10,0)*10,[1]Hugst!$R$4:$W$4,0))))</f>
        <v>1271.5704559983385</v>
      </c>
      <c r="L291">
        <f ca="1">IF($C291-L$1&lt;År1,0,K290*(1-VLOOKUP($A291,[1]Hugst!$R$5:$W$9,MATCH(ROUNDUP((L$1)/10,0)*10,[1]Hugst!$R$4:$W$4,0))))</f>
        <v>1273.4427201039146</v>
      </c>
      <c r="M291">
        <f ca="1">IF($C291-M$1&lt;År1,0,L290*(1-VLOOKUP($A291,[1]Hugst!$R$5:$W$9,MATCH(ROUNDUP((M$1)/10,0)*10,[1]Hugst!$R$4:$W$4,0))))</f>
        <v>1275.3243925718143</v>
      </c>
      <c r="N291">
        <f ca="1">IF($C291-N$1&lt;År1,0,M290*(1-VLOOKUP($A291,[1]Hugst!$R$5:$W$9,MATCH(ROUNDUP((N$1)/10,0)*10,[1]Hugst!$R$4:$W$4,0))))</f>
        <v>1277.2155206802759</v>
      </c>
      <c r="O291">
        <f ca="1">IF($C291-O$1&lt;År1,0,N290*(1-VLOOKUP($A291,[1]Hugst!$R$5:$W$9,MATCH(ROUNDUP((O$1)/10,0)*10,[1]Hugst!$R$4:$W$4,0))))</f>
        <v>1279.1161519450502</v>
      </c>
      <c r="P291">
        <f ca="1">IF($C291-P$1&lt;År1,0,O290*(1-VLOOKUP($A291,[1]Hugst!$R$5:$W$9,MATCH(ROUNDUP((P$1)/10,0)*10,[1]Hugst!$R$4:$W$4,0))))</f>
        <v>1281.0263341207046</v>
      </c>
      <c r="Q291">
        <f>IF($C291-Q$1&lt;År1,0,P290*(1-VLOOKUP($A291,[1]Hugst!$R$5:$W$9,MATCH(ROUNDUP((Q$1)/10,0)*10,[1]Hugst!$R$4:$W$4,0))))</f>
        <v>0</v>
      </c>
      <c r="R291">
        <f>IF($C291-R$1&lt;År1,0,Q290*(1-VLOOKUP($A291,[1]Hugst!$R$5:$W$9,MATCH(ROUNDUP((R$1)/10,0)*10,[1]Hugst!$R$4:$W$4,0))))</f>
        <v>0</v>
      </c>
      <c r="S291">
        <f>IF($C291-S$1&lt;År1,0,R290*(1-VLOOKUP($A291,[1]Hugst!$R$5:$W$9,MATCH(ROUNDUP((S$1)/10,0)*10,[1]Hugst!$R$4:$W$4,0))))</f>
        <v>0</v>
      </c>
      <c r="T291">
        <f>IF($C291-T$1&lt;År1,0,S290*(1-VLOOKUP($A291,[1]Hugst!$R$5:$W$9,MATCH(ROUNDUP((T$1)/10,0)*10,[1]Hugst!$R$4:$W$4,0))))</f>
        <v>0</v>
      </c>
      <c r="U291">
        <f>IF($C291-U$1&lt;År1,0,T290*(1-VLOOKUP($A291,[1]Hugst!$R$5:$W$9,MATCH(ROUNDUP((U$1)/10,0)*10,[1]Hugst!$R$4:$W$4,0))))</f>
        <v>0</v>
      </c>
      <c r="V291">
        <f>IF($C291-V$1&lt;År1,0,U290*(1-VLOOKUP($A291,[1]Hugst!$R$5:$W$9,MATCH(ROUNDUP((V$1)/10,0)*10,[1]Hugst!$R$4:$W$4,0))))</f>
        <v>0</v>
      </c>
      <c r="W291">
        <f>IF($C291-W$1&lt;År1,0,V290*(1-VLOOKUP($A291,[1]Hugst!$R$5:$W$9,MATCH(ROUNDUP((W$1)/10,0)*10,[1]Hugst!$R$4:$W$4,0))))</f>
        <v>0</v>
      </c>
      <c r="X291">
        <f>IF($C291-X$1&lt;År1,0,W290*(1-VLOOKUP($A291,[1]Hugst!$R$5:$W$9,MATCH(ROUNDUP((X$1)/10,0)*10,[1]Hugst!$R$4:$W$4,0))))</f>
        <v>0</v>
      </c>
      <c r="Y291">
        <f>IF($C291-Y$1&lt;År1,0,X290*(1-VLOOKUP($A291,[1]Hugst!$R$5:$W$9,MATCH(ROUNDUP((Y$1)/10,0)*10,[1]Hugst!$R$4:$W$4,0))))</f>
        <v>0</v>
      </c>
      <c r="Z291">
        <f>IF($C291-Z$1&lt;År1,0,Y290*(1-VLOOKUP($A291,[1]Hugst!$R$5:$W$9,MATCH(ROUNDUP((Z$1)/10,0)*10,[1]Hugst!$R$4:$W$4,0))))</f>
        <v>0</v>
      </c>
      <c r="AA291">
        <f>IF($C291-AA$1&lt;År1,0,Z290*(1-VLOOKUP($A291,[1]Hugst!$R$5:$W$9,MATCH(ROUNDUP((AA$1)/10,0)*10,[1]Hugst!$R$4:$W$4,0))))</f>
        <v>0</v>
      </c>
      <c r="AB291">
        <f>IF($C291-AB$1&lt;År1,0,AA290*(1-VLOOKUP($A291,[1]Hugst!$R$5:$W$9,MATCH(ROUNDUP((AB$1)/10,0)*10,[1]Hugst!$R$4:$W$4,0))))</f>
        <v>0</v>
      </c>
      <c r="AC291">
        <f>IF($C291-AC$1&lt;År1,0,AB290*(1-VLOOKUP($A291,[1]Hugst!$R$5:$W$9,MATCH(ROUNDUP((AC$1)/10,0)*10,[1]Hugst!$R$4:$W$4,0))))</f>
        <v>0</v>
      </c>
      <c r="AD291">
        <f>IF($C291-AD$1&lt;År1,0,AC290*(1-VLOOKUP($A291,[1]Hugst!$R$5:$W$9,MATCH(ROUNDUP((AD$1)/10,0)*10,[1]Hugst!$R$4:$W$4,0))))</f>
        <v>0</v>
      </c>
      <c r="AE291">
        <f>IF($C291-AE$1&lt;År1,0,AD290*(1-VLOOKUP($A291,[1]Hugst!$R$5:$W$9,MATCH(ROUNDUP((AE$1)/10,0)*10,[1]Hugst!$R$4:$W$4,0))))</f>
        <v>0</v>
      </c>
      <c r="AF291">
        <f>IF($C291-AF$1&lt;År1,0,AE290*(1-VLOOKUP($A291,[1]Hugst!$R$5:$W$9,MATCH(ROUNDUP((AF$1)/10,0)*10,[1]Hugst!$R$4:$W$4,0))))</f>
        <v>0</v>
      </c>
      <c r="AG291">
        <f>IF($C291-AG$1&lt;År1,0,AF290*(1-VLOOKUP($A291,[1]Hugst!$R$5:$W$9,MATCH(ROUNDUP((AG$1)/10,0)*10,[1]Hugst!$R$4:$W$4,0))))</f>
        <v>0</v>
      </c>
      <c r="AH291">
        <f>IF($C291-AH$1&lt;År1,0,AG290*(1-VLOOKUP($A291,[1]Hugst!$R$5:$W$9,MATCH(ROUNDUP((AH$1)/10,0)*10,[1]Hugst!$R$4:$W$4,0))))</f>
        <v>0</v>
      </c>
      <c r="AI291">
        <f>IF($C291-AI$1&lt;År1,0,AH290*(1-VLOOKUP($A291,[1]Hugst!$R$5:$W$9,MATCH(ROUNDUP((AI$1)/10,0)*10,[1]Hugst!$R$4:$W$4,0))))</f>
        <v>0</v>
      </c>
      <c r="AJ291">
        <f>IF($C291-AJ$1&lt;År1,0,AI290*(1-VLOOKUP($A291,[1]Hugst!$R$5:$W$9,MATCH(ROUNDUP((AJ$1)/10,0)*10,[1]Hugst!$R$4:$W$4,0))))</f>
        <v>0</v>
      </c>
    </row>
    <row r="292" spans="1:36" x14ac:dyDescent="0.25">
      <c r="A292" t="s">
        <v>180</v>
      </c>
      <c r="B292" t="s">
        <v>24</v>
      </c>
      <c r="C292">
        <v>2031</v>
      </c>
      <c r="D292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361.54193004162789</v>
      </c>
      <c r="E292">
        <f t="shared" ca="1" si="7"/>
        <v>0</v>
      </c>
      <c r="F292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855.98637448607258</v>
      </c>
      <c r="G292">
        <f ca="1">IF($C292-G$1&lt;År1,0,F291*(1-VLOOKUP($A292,[1]Hugst!$R$5:$W$9,MATCH(ROUNDUP((G$1)/10,0)*10,[1]Hugst!$R$4:$W$4,0))))</f>
        <v>1262.348622649846</v>
      </c>
      <c r="H292">
        <f ca="1">IF($C292-H$1&lt;År1,0,G291*(1-VLOOKUP($A292,[1]Hugst!$R$5:$W$9,MATCH(ROUNDUP((H$1)/10,0)*10,[1]Hugst!$R$4:$W$4,0))))</f>
        <v>1264.1745458843091</v>
      </c>
      <c r="I292">
        <f ca="1">IF($C292-I$1&lt;År1,0,H291*(1-VLOOKUP($A292,[1]Hugst!$R$5:$W$9,MATCH(ROUNDUP((I$1)/10,0)*10,[1]Hugst!$R$4:$W$4,0))))</f>
        <v>1266.0096446124242</v>
      </c>
      <c r="J292">
        <f ca="1">IF($C292-J$1&lt;År1,0,I291*(1-VLOOKUP($A292,[1]Hugst!$R$5:$W$9,MATCH(ROUNDUP((J$1)/10,0)*10,[1]Hugst!$R$4:$W$4,0))))</f>
        <v>1267.8539649421775</v>
      </c>
      <c r="K292">
        <f ca="1">IF($C292-K$1&lt;År1,0,J291*(1-VLOOKUP($A292,[1]Hugst!$R$5:$W$9,MATCH(ROUNDUP((K$1)/10,0)*10,[1]Hugst!$R$4:$W$4,0))))</f>
        <v>1269.7075532133128</v>
      </c>
      <c r="L292">
        <f ca="1">IF($C292-L$1&lt;År1,0,K291*(1-VLOOKUP($A292,[1]Hugst!$R$5:$W$9,MATCH(ROUNDUP((L$1)/10,0)*10,[1]Hugst!$R$4:$W$4,0))))</f>
        <v>1271.5704559983385</v>
      </c>
      <c r="M292">
        <f ca="1">IF($C292-M$1&lt;År1,0,L291*(1-VLOOKUP($A292,[1]Hugst!$R$5:$W$9,MATCH(ROUNDUP((M$1)/10,0)*10,[1]Hugst!$R$4:$W$4,0))))</f>
        <v>1273.4427201039146</v>
      </c>
      <c r="N292">
        <f ca="1">IF($C292-N$1&lt;År1,0,M291*(1-VLOOKUP($A292,[1]Hugst!$R$5:$W$9,MATCH(ROUNDUP((N$1)/10,0)*10,[1]Hugst!$R$4:$W$4,0))))</f>
        <v>1275.3243925718143</v>
      </c>
      <c r="O292">
        <f ca="1">IF($C292-O$1&lt;År1,0,N291*(1-VLOOKUP($A292,[1]Hugst!$R$5:$W$9,MATCH(ROUNDUP((O$1)/10,0)*10,[1]Hugst!$R$4:$W$4,0))))</f>
        <v>1277.2155206802759</v>
      </c>
      <c r="P292">
        <f ca="1">IF($C292-P$1&lt;År1,0,O291*(1-VLOOKUP($A292,[1]Hugst!$R$5:$W$9,MATCH(ROUNDUP((P$1)/10,0)*10,[1]Hugst!$R$4:$W$4,0))))</f>
        <v>1279.1161519450502</v>
      </c>
      <c r="Q292">
        <f ca="1">IF($C292-Q$1&lt;År1,0,P291*(1-VLOOKUP($A292,[1]Hugst!$R$5:$W$9,MATCH(ROUNDUP((Q$1)/10,0)*10,[1]Hugst!$R$4:$W$4,0))))</f>
        <v>1281.0263341207046</v>
      </c>
      <c r="R292">
        <f>IF($C292-R$1&lt;År1,0,Q291*(1-VLOOKUP($A292,[1]Hugst!$R$5:$W$9,MATCH(ROUNDUP((R$1)/10,0)*10,[1]Hugst!$R$4:$W$4,0))))</f>
        <v>0</v>
      </c>
      <c r="S292">
        <f>IF($C292-S$1&lt;År1,0,R291*(1-VLOOKUP($A292,[1]Hugst!$R$5:$W$9,MATCH(ROUNDUP((S$1)/10,0)*10,[1]Hugst!$R$4:$W$4,0))))</f>
        <v>0</v>
      </c>
      <c r="T292">
        <f>IF($C292-T$1&lt;År1,0,S291*(1-VLOOKUP($A292,[1]Hugst!$R$5:$W$9,MATCH(ROUNDUP((T$1)/10,0)*10,[1]Hugst!$R$4:$W$4,0))))</f>
        <v>0</v>
      </c>
      <c r="U292">
        <f>IF($C292-U$1&lt;År1,0,T291*(1-VLOOKUP($A292,[1]Hugst!$R$5:$W$9,MATCH(ROUNDUP((U$1)/10,0)*10,[1]Hugst!$R$4:$W$4,0))))</f>
        <v>0</v>
      </c>
      <c r="V292">
        <f>IF($C292-V$1&lt;År1,0,U291*(1-VLOOKUP($A292,[1]Hugst!$R$5:$W$9,MATCH(ROUNDUP((V$1)/10,0)*10,[1]Hugst!$R$4:$W$4,0))))</f>
        <v>0</v>
      </c>
      <c r="W292">
        <f>IF($C292-W$1&lt;År1,0,V291*(1-VLOOKUP($A292,[1]Hugst!$R$5:$W$9,MATCH(ROUNDUP((W$1)/10,0)*10,[1]Hugst!$R$4:$W$4,0))))</f>
        <v>0</v>
      </c>
      <c r="X292">
        <f>IF($C292-X$1&lt;År1,0,W291*(1-VLOOKUP($A292,[1]Hugst!$R$5:$W$9,MATCH(ROUNDUP((X$1)/10,0)*10,[1]Hugst!$R$4:$W$4,0))))</f>
        <v>0</v>
      </c>
      <c r="Y292">
        <f>IF($C292-Y$1&lt;År1,0,X291*(1-VLOOKUP($A292,[1]Hugst!$R$5:$W$9,MATCH(ROUNDUP((Y$1)/10,0)*10,[1]Hugst!$R$4:$W$4,0))))</f>
        <v>0</v>
      </c>
      <c r="Z292">
        <f>IF($C292-Z$1&lt;År1,0,Y291*(1-VLOOKUP($A292,[1]Hugst!$R$5:$W$9,MATCH(ROUNDUP((Z$1)/10,0)*10,[1]Hugst!$R$4:$W$4,0))))</f>
        <v>0</v>
      </c>
      <c r="AA292">
        <f>IF($C292-AA$1&lt;År1,0,Z291*(1-VLOOKUP($A292,[1]Hugst!$R$5:$W$9,MATCH(ROUNDUP((AA$1)/10,0)*10,[1]Hugst!$R$4:$W$4,0))))</f>
        <v>0</v>
      </c>
      <c r="AB292">
        <f>IF($C292-AB$1&lt;År1,0,AA291*(1-VLOOKUP($A292,[1]Hugst!$R$5:$W$9,MATCH(ROUNDUP((AB$1)/10,0)*10,[1]Hugst!$R$4:$W$4,0))))</f>
        <v>0</v>
      </c>
      <c r="AC292">
        <f>IF($C292-AC$1&lt;År1,0,AB291*(1-VLOOKUP($A292,[1]Hugst!$R$5:$W$9,MATCH(ROUNDUP((AC$1)/10,0)*10,[1]Hugst!$R$4:$W$4,0))))</f>
        <v>0</v>
      </c>
      <c r="AD292">
        <f>IF($C292-AD$1&lt;År1,0,AC291*(1-VLOOKUP($A292,[1]Hugst!$R$5:$W$9,MATCH(ROUNDUP((AD$1)/10,0)*10,[1]Hugst!$R$4:$W$4,0))))</f>
        <v>0</v>
      </c>
      <c r="AE292">
        <f>IF($C292-AE$1&lt;År1,0,AD291*(1-VLOOKUP($A292,[1]Hugst!$R$5:$W$9,MATCH(ROUNDUP((AE$1)/10,0)*10,[1]Hugst!$R$4:$W$4,0))))</f>
        <v>0</v>
      </c>
      <c r="AF292">
        <f>IF($C292-AF$1&lt;År1,0,AE291*(1-VLOOKUP($A292,[1]Hugst!$R$5:$W$9,MATCH(ROUNDUP((AF$1)/10,0)*10,[1]Hugst!$R$4:$W$4,0))))</f>
        <v>0</v>
      </c>
      <c r="AG292">
        <f>IF($C292-AG$1&lt;År1,0,AF291*(1-VLOOKUP($A292,[1]Hugst!$R$5:$W$9,MATCH(ROUNDUP((AG$1)/10,0)*10,[1]Hugst!$R$4:$W$4,0))))</f>
        <v>0</v>
      </c>
      <c r="AH292">
        <f>IF($C292-AH$1&lt;År1,0,AG291*(1-VLOOKUP($A292,[1]Hugst!$R$5:$W$9,MATCH(ROUNDUP((AH$1)/10,0)*10,[1]Hugst!$R$4:$W$4,0))))</f>
        <v>0</v>
      </c>
      <c r="AI292">
        <f>IF($C292-AI$1&lt;År1,0,AH291*(1-VLOOKUP($A292,[1]Hugst!$R$5:$W$9,MATCH(ROUNDUP((AI$1)/10,0)*10,[1]Hugst!$R$4:$W$4,0))))</f>
        <v>0</v>
      </c>
      <c r="AJ292">
        <f>IF($C292-AJ$1&lt;År1,0,AI291*(1-VLOOKUP($A292,[1]Hugst!$R$5:$W$9,MATCH(ROUNDUP((AJ$1)/10,0)*10,[1]Hugst!$R$4:$W$4,0))))</f>
        <v>0</v>
      </c>
    </row>
    <row r="293" spans="1:36" x14ac:dyDescent="0.25">
      <c r="A293" t="s">
        <v>180</v>
      </c>
      <c r="B293" t="s">
        <v>24</v>
      </c>
      <c r="C293">
        <v>2032</v>
      </c>
      <c r="D293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359.73422039143315</v>
      </c>
      <c r="E293">
        <f t="shared" ca="1" si="7"/>
        <v>0</v>
      </c>
      <c r="F293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854.17866483587784</v>
      </c>
      <c r="G293">
        <f ca="1">IF($C293-G$1&lt;År1,0,F292*(1-VLOOKUP($A293,[1]Hugst!$R$5:$W$9,MATCH(ROUNDUP((G$1)/10,0)*10,[1]Hugst!$R$4:$W$4,0))))</f>
        <v>855.98637448607258</v>
      </c>
      <c r="H293">
        <f ca="1">IF($C293-H$1&lt;År1,0,G292*(1-VLOOKUP($A293,[1]Hugst!$R$5:$W$9,MATCH(ROUNDUP((H$1)/10,0)*10,[1]Hugst!$R$4:$W$4,0))))</f>
        <v>1262.348622649846</v>
      </c>
      <c r="I293">
        <f ca="1">IF($C293-I$1&lt;År1,0,H292*(1-VLOOKUP($A293,[1]Hugst!$R$5:$W$9,MATCH(ROUNDUP((I$1)/10,0)*10,[1]Hugst!$R$4:$W$4,0))))</f>
        <v>1264.1745458843091</v>
      </c>
      <c r="J293">
        <f ca="1">IF($C293-J$1&lt;År1,0,I292*(1-VLOOKUP($A293,[1]Hugst!$R$5:$W$9,MATCH(ROUNDUP((J$1)/10,0)*10,[1]Hugst!$R$4:$W$4,0))))</f>
        <v>1266.0096446124242</v>
      </c>
      <c r="K293">
        <f ca="1">IF($C293-K$1&lt;År1,0,J292*(1-VLOOKUP($A293,[1]Hugst!$R$5:$W$9,MATCH(ROUNDUP((K$1)/10,0)*10,[1]Hugst!$R$4:$W$4,0))))</f>
        <v>1267.8539649421775</v>
      </c>
      <c r="L293">
        <f ca="1">IF($C293-L$1&lt;År1,0,K292*(1-VLOOKUP($A293,[1]Hugst!$R$5:$W$9,MATCH(ROUNDUP((L$1)/10,0)*10,[1]Hugst!$R$4:$W$4,0))))</f>
        <v>1269.7075532133128</v>
      </c>
      <c r="M293">
        <f ca="1">IF($C293-M$1&lt;År1,0,L292*(1-VLOOKUP($A293,[1]Hugst!$R$5:$W$9,MATCH(ROUNDUP((M$1)/10,0)*10,[1]Hugst!$R$4:$W$4,0))))</f>
        <v>1271.5704559983385</v>
      </c>
      <c r="N293">
        <f ca="1">IF($C293-N$1&lt;År1,0,M292*(1-VLOOKUP($A293,[1]Hugst!$R$5:$W$9,MATCH(ROUNDUP((N$1)/10,0)*10,[1]Hugst!$R$4:$W$4,0))))</f>
        <v>1273.4427201039146</v>
      </c>
      <c r="O293">
        <f ca="1">IF($C293-O$1&lt;År1,0,N292*(1-VLOOKUP($A293,[1]Hugst!$R$5:$W$9,MATCH(ROUNDUP((O$1)/10,0)*10,[1]Hugst!$R$4:$W$4,0))))</f>
        <v>1275.3243925718143</v>
      </c>
      <c r="P293">
        <f ca="1">IF($C293-P$1&lt;År1,0,O292*(1-VLOOKUP($A293,[1]Hugst!$R$5:$W$9,MATCH(ROUNDUP((P$1)/10,0)*10,[1]Hugst!$R$4:$W$4,0))))</f>
        <v>1277.2155206802759</v>
      </c>
      <c r="Q293">
        <f ca="1">IF($C293-Q$1&lt;År1,0,P292*(1-VLOOKUP($A293,[1]Hugst!$R$5:$W$9,MATCH(ROUNDUP((Q$1)/10,0)*10,[1]Hugst!$R$4:$W$4,0))))</f>
        <v>1279.1161519450502</v>
      </c>
      <c r="R293">
        <f ca="1">IF($C293-R$1&lt;År1,0,Q292*(1-VLOOKUP($A293,[1]Hugst!$R$5:$W$9,MATCH(ROUNDUP((R$1)/10,0)*10,[1]Hugst!$R$4:$W$4,0))))</f>
        <v>1281.0263341207046</v>
      </c>
      <c r="S293">
        <f>IF($C293-S$1&lt;År1,0,R292*(1-VLOOKUP($A293,[1]Hugst!$R$5:$W$9,MATCH(ROUNDUP((S$1)/10,0)*10,[1]Hugst!$R$4:$W$4,0))))</f>
        <v>0</v>
      </c>
      <c r="T293">
        <f>IF($C293-T$1&lt;År1,0,S292*(1-VLOOKUP($A293,[1]Hugst!$R$5:$W$9,MATCH(ROUNDUP((T$1)/10,0)*10,[1]Hugst!$R$4:$W$4,0))))</f>
        <v>0</v>
      </c>
      <c r="U293">
        <f>IF($C293-U$1&lt;År1,0,T292*(1-VLOOKUP($A293,[1]Hugst!$R$5:$W$9,MATCH(ROUNDUP((U$1)/10,0)*10,[1]Hugst!$R$4:$W$4,0))))</f>
        <v>0</v>
      </c>
      <c r="V293">
        <f>IF($C293-V$1&lt;År1,0,U292*(1-VLOOKUP($A293,[1]Hugst!$R$5:$W$9,MATCH(ROUNDUP((V$1)/10,0)*10,[1]Hugst!$R$4:$W$4,0))))</f>
        <v>0</v>
      </c>
      <c r="W293">
        <f>IF($C293-W$1&lt;År1,0,V292*(1-VLOOKUP($A293,[1]Hugst!$R$5:$W$9,MATCH(ROUNDUP((W$1)/10,0)*10,[1]Hugst!$R$4:$W$4,0))))</f>
        <v>0</v>
      </c>
      <c r="X293">
        <f>IF($C293-X$1&lt;År1,0,W292*(1-VLOOKUP($A293,[1]Hugst!$R$5:$W$9,MATCH(ROUNDUP((X$1)/10,0)*10,[1]Hugst!$R$4:$W$4,0))))</f>
        <v>0</v>
      </c>
      <c r="Y293">
        <f>IF($C293-Y$1&lt;År1,0,X292*(1-VLOOKUP($A293,[1]Hugst!$R$5:$W$9,MATCH(ROUNDUP((Y$1)/10,0)*10,[1]Hugst!$R$4:$W$4,0))))</f>
        <v>0</v>
      </c>
      <c r="Z293">
        <f>IF($C293-Z$1&lt;År1,0,Y292*(1-VLOOKUP($A293,[1]Hugst!$R$5:$W$9,MATCH(ROUNDUP((Z$1)/10,0)*10,[1]Hugst!$R$4:$W$4,0))))</f>
        <v>0</v>
      </c>
      <c r="AA293">
        <f>IF($C293-AA$1&lt;År1,0,Z292*(1-VLOOKUP($A293,[1]Hugst!$R$5:$W$9,MATCH(ROUNDUP((AA$1)/10,0)*10,[1]Hugst!$R$4:$W$4,0))))</f>
        <v>0</v>
      </c>
      <c r="AB293">
        <f>IF($C293-AB$1&lt;År1,0,AA292*(1-VLOOKUP($A293,[1]Hugst!$R$5:$W$9,MATCH(ROUNDUP((AB$1)/10,0)*10,[1]Hugst!$R$4:$W$4,0))))</f>
        <v>0</v>
      </c>
      <c r="AC293">
        <f>IF($C293-AC$1&lt;År1,0,AB292*(1-VLOOKUP($A293,[1]Hugst!$R$5:$W$9,MATCH(ROUNDUP((AC$1)/10,0)*10,[1]Hugst!$R$4:$W$4,0))))</f>
        <v>0</v>
      </c>
      <c r="AD293">
        <f>IF($C293-AD$1&lt;År1,0,AC292*(1-VLOOKUP($A293,[1]Hugst!$R$5:$W$9,MATCH(ROUNDUP((AD$1)/10,0)*10,[1]Hugst!$R$4:$W$4,0))))</f>
        <v>0</v>
      </c>
      <c r="AE293">
        <f>IF($C293-AE$1&lt;År1,0,AD292*(1-VLOOKUP($A293,[1]Hugst!$R$5:$W$9,MATCH(ROUNDUP((AE$1)/10,0)*10,[1]Hugst!$R$4:$W$4,0))))</f>
        <v>0</v>
      </c>
      <c r="AF293">
        <f>IF($C293-AF$1&lt;År1,0,AE292*(1-VLOOKUP($A293,[1]Hugst!$R$5:$W$9,MATCH(ROUNDUP((AF$1)/10,0)*10,[1]Hugst!$R$4:$W$4,0))))</f>
        <v>0</v>
      </c>
      <c r="AG293">
        <f>IF($C293-AG$1&lt;År1,0,AF292*(1-VLOOKUP($A293,[1]Hugst!$R$5:$W$9,MATCH(ROUNDUP((AG$1)/10,0)*10,[1]Hugst!$R$4:$W$4,0))))</f>
        <v>0</v>
      </c>
      <c r="AH293">
        <f>IF($C293-AH$1&lt;År1,0,AG292*(1-VLOOKUP($A293,[1]Hugst!$R$5:$W$9,MATCH(ROUNDUP((AH$1)/10,0)*10,[1]Hugst!$R$4:$W$4,0))))</f>
        <v>0</v>
      </c>
      <c r="AI293">
        <f>IF($C293-AI$1&lt;År1,0,AH292*(1-VLOOKUP($A293,[1]Hugst!$R$5:$W$9,MATCH(ROUNDUP((AI$1)/10,0)*10,[1]Hugst!$R$4:$W$4,0))))</f>
        <v>0</v>
      </c>
      <c r="AJ293">
        <f>IF($C293-AJ$1&lt;År1,0,AI292*(1-VLOOKUP($A293,[1]Hugst!$R$5:$W$9,MATCH(ROUNDUP((AJ$1)/10,0)*10,[1]Hugst!$R$4:$W$4,0))))</f>
        <v>0</v>
      </c>
    </row>
    <row r="294" spans="1:36" x14ac:dyDescent="0.25">
      <c r="A294" t="s">
        <v>180</v>
      </c>
      <c r="B294" t="s">
        <v>24</v>
      </c>
      <c r="C294">
        <v>2033</v>
      </c>
      <c r="D294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357.93554928947106</v>
      </c>
      <c r="E294">
        <f t="shared" ca="1" si="7"/>
        <v>0</v>
      </c>
      <c r="F294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852.37999373391574</v>
      </c>
      <c r="G294">
        <f ca="1">IF($C294-G$1&lt;År1,0,F293*(1-VLOOKUP($A294,[1]Hugst!$R$5:$W$9,MATCH(ROUNDUP((G$1)/10,0)*10,[1]Hugst!$R$4:$W$4,0))))</f>
        <v>854.17866483587784</v>
      </c>
      <c r="H294">
        <f ca="1">IF($C294-H$1&lt;År1,0,G293*(1-VLOOKUP($A294,[1]Hugst!$R$5:$W$9,MATCH(ROUNDUP((H$1)/10,0)*10,[1]Hugst!$R$4:$W$4,0))))</f>
        <v>855.98637448607258</v>
      </c>
      <c r="I294">
        <f ca="1">IF($C294-I$1&lt;År1,0,H293*(1-VLOOKUP($A294,[1]Hugst!$R$5:$W$9,MATCH(ROUNDUP((I$1)/10,0)*10,[1]Hugst!$R$4:$W$4,0))))</f>
        <v>1262.348622649846</v>
      </c>
      <c r="J294">
        <f ca="1">IF($C294-J$1&lt;År1,0,I293*(1-VLOOKUP($A294,[1]Hugst!$R$5:$W$9,MATCH(ROUNDUP((J$1)/10,0)*10,[1]Hugst!$R$4:$W$4,0))))</f>
        <v>1264.1745458843091</v>
      </c>
      <c r="K294">
        <f ca="1">IF($C294-K$1&lt;År1,0,J293*(1-VLOOKUP($A294,[1]Hugst!$R$5:$W$9,MATCH(ROUNDUP((K$1)/10,0)*10,[1]Hugst!$R$4:$W$4,0))))</f>
        <v>1266.0096446124242</v>
      </c>
      <c r="L294">
        <f ca="1">IF($C294-L$1&lt;År1,0,K293*(1-VLOOKUP($A294,[1]Hugst!$R$5:$W$9,MATCH(ROUNDUP((L$1)/10,0)*10,[1]Hugst!$R$4:$W$4,0))))</f>
        <v>1267.8539649421775</v>
      </c>
      <c r="M294">
        <f ca="1">IF($C294-M$1&lt;År1,0,L293*(1-VLOOKUP($A294,[1]Hugst!$R$5:$W$9,MATCH(ROUNDUP((M$1)/10,0)*10,[1]Hugst!$R$4:$W$4,0))))</f>
        <v>1269.7075532133128</v>
      </c>
      <c r="N294">
        <f ca="1">IF($C294-N$1&lt;År1,0,M293*(1-VLOOKUP($A294,[1]Hugst!$R$5:$W$9,MATCH(ROUNDUP((N$1)/10,0)*10,[1]Hugst!$R$4:$W$4,0))))</f>
        <v>1271.5704559983385</v>
      </c>
      <c r="O294">
        <f ca="1">IF($C294-O$1&lt;År1,0,N293*(1-VLOOKUP($A294,[1]Hugst!$R$5:$W$9,MATCH(ROUNDUP((O$1)/10,0)*10,[1]Hugst!$R$4:$W$4,0))))</f>
        <v>1273.4427201039146</v>
      </c>
      <c r="P294">
        <f ca="1">IF($C294-P$1&lt;År1,0,O293*(1-VLOOKUP($A294,[1]Hugst!$R$5:$W$9,MATCH(ROUNDUP((P$1)/10,0)*10,[1]Hugst!$R$4:$W$4,0))))</f>
        <v>1275.3243925718143</v>
      </c>
      <c r="Q294">
        <f ca="1">IF($C294-Q$1&lt;År1,0,P293*(1-VLOOKUP($A294,[1]Hugst!$R$5:$W$9,MATCH(ROUNDUP((Q$1)/10,0)*10,[1]Hugst!$R$4:$W$4,0))))</f>
        <v>1277.2155206802759</v>
      </c>
      <c r="R294">
        <f ca="1">IF($C294-R$1&lt;År1,0,Q293*(1-VLOOKUP($A294,[1]Hugst!$R$5:$W$9,MATCH(ROUNDUP((R$1)/10,0)*10,[1]Hugst!$R$4:$W$4,0))))</f>
        <v>1279.1161519450502</v>
      </c>
      <c r="S294">
        <f ca="1">IF($C294-S$1&lt;År1,0,R293*(1-VLOOKUP($A294,[1]Hugst!$R$5:$W$9,MATCH(ROUNDUP((S$1)/10,0)*10,[1]Hugst!$R$4:$W$4,0))))</f>
        <v>1281.0263341207046</v>
      </c>
      <c r="T294">
        <f>IF($C294-T$1&lt;År1,0,S293*(1-VLOOKUP($A294,[1]Hugst!$R$5:$W$9,MATCH(ROUNDUP((T$1)/10,0)*10,[1]Hugst!$R$4:$W$4,0))))</f>
        <v>0</v>
      </c>
      <c r="U294">
        <f>IF($C294-U$1&lt;År1,0,T293*(1-VLOOKUP($A294,[1]Hugst!$R$5:$W$9,MATCH(ROUNDUP((U$1)/10,0)*10,[1]Hugst!$R$4:$W$4,0))))</f>
        <v>0</v>
      </c>
      <c r="V294">
        <f>IF($C294-V$1&lt;År1,0,U293*(1-VLOOKUP($A294,[1]Hugst!$R$5:$W$9,MATCH(ROUNDUP((V$1)/10,0)*10,[1]Hugst!$R$4:$W$4,0))))</f>
        <v>0</v>
      </c>
      <c r="W294">
        <f>IF($C294-W$1&lt;År1,0,V293*(1-VLOOKUP($A294,[1]Hugst!$R$5:$W$9,MATCH(ROUNDUP((W$1)/10,0)*10,[1]Hugst!$R$4:$W$4,0))))</f>
        <v>0</v>
      </c>
      <c r="X294">
        <f>IF($C294-X$1&lt;År1,0,W293*(1-VLOOKUP($A294,[1]Hugst!$R$5:$W$9,MATCH(ROUNDUP((X$1)/10,0)*10,[1]Hugst!$R$4:$W$4,0))))</f>
        <v>0</v>
      </c>
      <c r="Y294">
        <f>IF($C294-Y$1&lt;År1,0,X293*(1-VLOOKUP($A294,[1]Hugst!$R$5:$W$9,MATCH(ROUNDUP((Y$1)/10,0)*10,[1]Hugst!$R$4:$W$4,0))))</f>
        <v>0</v>
      </c>
      <c r="Z294">
        <f>IF($C294-Z$1&lt;År1,0,Y293*(1-VLOOKUP($A294,[1]Hugst!$R$5:$W$9,MATCH(ROUNDUP((Z$1)/10,0)*10,[1]Hugst!$R$4:$W$4,0))))</f>
        <v>0</v>
      </c>
      <c r="AA294">
        <f>IF($C294-AA$1&lt;År1,0,Z293*(1-VLOOKUP($A294,[1]Hugst!$R$5:$W$9,MATCH(ROUNDUP((AA$1)/10,0)*10,[1]Hugst!$R$4:$W$4,0))))</f>
        <v>0</v>
      </c>
      <c r="AB294">
        <f>IF($C294-AB$1&lt;År1,0,AA293*(1-VLOOKUP($A294,[1]Hugst!$R$5:$W$9,MATCH(ROUNDUP((AB$1)/10,0)*10,[1]Hugst!$R$4:$W$4,0))))</f>
        <v>0</v>
      </c>
      <c r="AC294">
        <f>IF($C294-AC$1&lt;År1,0,AB293*(1-VLOOKUP($A294,[1]Hugst!$R$5:$W$9,MATCH(ROUNDUP((AC$1)/10,0)*10,[1]Hugst!$R$4:$W$4,0))))</f>
        <v>0</v>
      </c>
      <c r="AD294">
        <f>IF($C294-AD$1&lt;År1,0,AC293*(1-VLOOKUP($A294,[1]Hugst!$R$5:$W$9,MATCH(ROUNDUP((AD$1)/10,0)*10,[1]Hugst!$R$4:$W$4,0))))</f>
        <v>0</v>
      </c>
      <c r="AE294">
        <f>IF($C294-AE$1&lt;År1,0,AD293*(1-VLOOKUP($A294,[1]Hugst!$R$5:$W$9,MATCH(ROUNDUP((AE$1)/10,0)*10,[1]Hugst!$R$4:$W$4,0))))</f>
        <v>0</v>
      </c>
      <c r="AF294">
        <f>IF($C294-AF$1&lt;År1,0,AE293*(1-VLOOKUP($A294,[1]Hugst!$R$5:$W$9,MATCH(ROUNDUP((AF$1)/10,0)*10,[1]Hugst!$R$4:$W$4,0))))</f>
        <v>0</v>
      </c>
      <c r="AG294">
        <f>IF($C294-AG$1&lt;År1,0,AF293*(1-VLOOKUP($A294,[1]Hugst!$R$5:$W$9,MATCH(ROUNDUP((AG$1)/10,0)*10,[1]Hugst!$R$4:$W$4,0))))</f>
        <v>0</v>
      </c>
      <c r="AH294">
        <f>IF($C294-AH$1&lt;År1,0,AG293*(1-VLOOKUP($A294,[1]Hugst!$R$5:$W$9,MATCH(ROUNDUP((AH$1)/10,0)*10,[1]Hugst!$R$4:$W$4,0))))</f>
        <v>0</v>
      </c>
      <c r="AI294">
        <f>IF($C294-AI$1&lt;År1,0,AH293*(1-VLOOKUP($A294,[1]Hugst!$R$5:$W$9,MATCH(ROUNDUP((AI$1)/10,0)*10,[1]Hugst!$R$4:$W$4,0))))</f>
        <v>0</v>
      </c>
      <c r="AJ294">
        <f>IF($C294-AJ$1&lt;År1,0,AI293*(1-VLOOKUP($A294,[1]Hugst!$R$5:$W$9,MATCH(ROUNDUP((AJ$1)/10,0)*10,[1]Hugst!$R$4:$W$4,0))))</f>
        <v>0</v>
      </c>
    </row>
    <row r="295" spans="1:36" x14ac:dyDescent="0.25">
      <c r="A295" t="s">
        <v>180</v>
      </c>
      <c r="B295" t="s">
        <v>24</v>
      </c>
      <c r="C295">
        <v>2034</v>
      </c>
      <c r="D295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356.14587154302626</v>
      </c>
      <c r="E295">
        <f t="shared" ca="1" si="7"/>
        <v>0</v>
      </c>
      <c r="F295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850.59031598747094</v>
      </c>
      <c r="G295">
        <f ca="1">IF($C295-G$1&lt;År1,0,F294*(1-VLOOKUP($A295,[1]Hugst!$R$5:$W$9,MATCH(ROUNDUP((G$1)/10,0)*10,[1]Hugst!$R$4:$W$4,0))))</f>
        <v>852.37999373391574</v>
      </c>
      <c r="H295">
        <f ca="1">IF($C295-H$1&lt;År1,0,G294*(1-VLOOKUP($A295,[1]Hugst!$R$5:$W$9,MATCH(ROUNDUP((H$1)/10,0)*10,[1]Hugst!$R$4:$W$4,0))))</f>
        <v>854.17866483587784</v>
      </c>
      <c r="I295">
        <f ca="1">IF($C295-I$1&lt;År1,0,H294*(1-VLOOKUP($A295,[1]Hugst!$R$5:$W$9,MATCH(ROUNDUP((I$1)/10,0)*10,[1]Hugst!$R$4:$W$4,0))))</f>
        <v>855.98637448607258</v>
      </c>
      <c r="J295">
        <f ca="1">IF($C295-J$1&lt;År1,0,I294*(1-VLOOKUP($A295,[1]Hugst!$R$5:$W$9,MATCH(ROUNDUP((J$1)/10,0)*10,[1]Hugst!$R$4:$W$4,0))))</f>
        <v>1262.348622649846</v>
      </c>
      <c r="K295">
        <f ca="1">IF($C295-K$1&lt;År1,0,J294*(1-VLOOKUP($A295,[1]Hugst!$R$5:$W$9,MATCH(ROUNDUP((K$1)/10,0)*10,[1]Hugst!$R$4:$W$4,0))))</f>
        <v>1264.1745458843091</v>
      </c>
      <c r="L295">
        <f ca="1">IF($C295-L$1&lt;År1,0,K294*(1-VLOOKUP($A295,[1]Hugst!$R$5:$W$9,MATCH(ROUNDUP((L$1)/10,0)*10,[1]Hugst!$R$4:$W$4,0))))</f>
        <v>1266.0096446124242</v>
      </c>
      <c r="M295">
        <f ca="1">IF($C295-M$1&lt;År1,0,L294*(1-VLOOKUP($A295,[1]Hugst!$R$5:$W$9,MATCH(ROUNDUP((M$1)/10,0)*10,[1]Hugst!$R$4:$W$4,0))))</f>
        <v>1267.8539649421775</v>
      </c>
      <c r="N295">
        <f ca="1">IF($C295-N$1&lt;År1,0,M294*(1-VLOOKUP($A295,[1]Hugst!$R$5:$W$9,MATCH(ROUNDUP((N$1)/10,0)*10,[1]Hugst!$R$4:$W$4,0))))</f>
        <v>1269.7075532133128</v>
      </c>
      <c r="O295">
        <f ca="1">IF($C295-O$1&lt;År1,0,N294*(1-VLOOKUP($A295,[1]Hugst!$R$5:$W$9,MATCH(ROUNDUP((O$1)/10,0)*10,[1]Hugst!$R$4:$W$4,0))))</f>
        <v>1271.5704559983385</v>
      </c>
      <c r="P295">
        <f ca="1">IF($C295-P$1&lt;År1,0,O294*(1-VLOOKUP($A295,[1]Hugst!$R$5:$W$9,MATCH(ROUNDUP((P$1)/10,0)*10,[1]Hugst!$R$4:$W$4,0))))</f>
        <v>1273.4427201039146</v>
      </c>
      <c r="Q295">
        <f ca="1">IF($C295-Q$1&lt;År1,0,P294*(1-VLOOKUP($A295,[1]Hugst!$R$5:$W$9,MATCH(ROUNDUP((Q$1)/10,0)*10,[1]Hugst!$R$4:$W$4,0))))</f>
        <v>1275.3243925718143</v>
      </c>
      <c r="R295">
        <f ca="1">IF($C295-R$1&lt;År1,0,Q294*(1-VLOOKUP($A295,[1]Hugst!$R$5:$W$9,MATCH(ROUNDUP((R$1)/10,0)*10,[1]Hugst!$R$4:$W$4,0))))</f>
        <v>1277.2155206802759</v>
      </c>
      <c r="S295">
        <f ca="1">IF($C295-S$1&lt;År1,0,R294*(1-VLOOKUP($A295,[1]Hugst!$R$5:$W$9,MATCH(ROUNDUP((S$1)/10,0)*10,[1]Hugst!$R$4:$W$4,0))))</f>
        <v>1279.1161519450502</v>
      </c>
      <c r="T295">
        <f ca="1">IF($C295-T$1&lt;År1,0,S294*(1-VLOOKUP($A295,[1]Hugst!$R$5:$W$9,MATCH(ROUNDUP((T$1)/10,0)*10,[1]Hugst!$R$4:$W$4,0))))</f>
        <v>1281.0263341207046</v>
      </c>
      <c r="U295">
        <f>IF($C295-U$1&lt;År1,0,T294*(1-VLOOKUP($A295,[1]Hugst!$R$5:$W$9,MATCH(ROUNDUP((U$1)/10,0)*10,[1]Hugst!$R$4:$W$4,0))))</f>
        <v>0</v>
      </c>
      <c r="V295">
        <f>IF($C295-V$1&lt;År1,0,U294*(1-VLOOKUP($A295,[1]Hugst!$R$5:$W$9,MATCH(ROUNDUP((V$1)/10,0)*10,[1]Hugst!$R$4:$W$4,0))))</f>
        <v>0</v>
      </c>
      <c r="W295">
        <f>IF($C295-W$1&lt;År1,0,V294*(1-VLOOKUP($A295,[1]Hugst!$R$5:$W$9,MATCH(ROUNDUP((W$1)/10,0)*10,[1]Hugst!$R$4:$W$4,0))))</f>
        <v>0</v>
      </c>
      <c r="X295">
        <f>IF($C295-X$1&lt;År1,0,W294*(1-VLOOKUP($A295,[1]Hugst!$R$5:$W$9,MATCH(ROUNDUP((X$1)/10,0)*10,[1]Hugst!$R$4:$W$4,0))))</f>
        <v>0</v>
      </c>
      <c r="Y295">
        <f>IF($C295-Y$1&lt;År1,0,X294*(1-VLOOKUP($A295,[1]Hugst!$R$5:$W$9,MATCH(ROUNDUP((Y$1)/10,0)*10,[1]Hugst!$R$4:$W$4,0))))</f>
        <v>0</v>
      </c>
      <c r="Z295">
        <f>IF($C295-Z$1&lt;År1,0,Y294*(1-VLOOKUP($A295,[1]Hugst!$R$5:$W$9,MATCH(ROUNDUP((Z$1)/10,0)*10,[1]Hugst!$R$4:$W$4,0))))</f>
        <v>0</v>
      </c>
      <c r="AA295">
        <f>IF($C295-AA$1&lt;År1,0,Z294*(1-VLOOKUP($A295,[1]Hugst!$R$5:$W$9,MATCH(ROUNDUP((AA$1)/10,0)*10,[1]Hugst!$R$4:$W$4,0))))</f>
        <v>0</v>
      </c>
      <c r="AB295">
        <f>IF($C295-AB$1&lt;År1,0,AA294*(1-VLOOKUP($A295,[1]Hugst!$R$5:$W$9,MATCH(ROUNDUP((AB$1)/10,0)*10,[1]Hugst!$R$4:$W$4,0))))</f>
        <v>0</v>
      </c>
      <c r="AC295">
        <f>IF($C295-AC$1&lt;År1,0,AB294*(1-VLOOKUP($A295,[1]Hugst!$R$5:$W$9,MATCH(ROUNDUP((AC$1)/10,0)*10,[1]Hugst!$R$4:$W$4,0))))</f>
        <v>0</v>
      </c>
      <c r="AD295">
        <f>IF($C295-AD$1&lt;År1,0,AC294*(1-VLOOKUP($A295,[1]Hugst!$R$5:$W$9,MATCH(ROUNDUP((AD$1)/10,0)*10,[1]Hugst!$R$4:$W$4,0))))</f>
        <v>0</v>
      </c>
      <c r="AE295">
        <f>IF($C295-AE$1&lt;År1,0,AD294*(1-VLOOKUP($A295,[1]Hugst!$R$5:$W$9,MATCH(ROUNDUP((AE$1)/10,0)*10,[1]Hugst!$R$4:$W$4,0))))</f>
        <v>0</v>
      </c>
      <c r="AF295">
        <f>IF($C295-AF$1&lt;År1,0,AE294*(1-VLOOKUP($A295,[1]Hugst!$R$5:$W$9,MATCH(ROUNDUP((AF$1)/10,0)*10,[1]Hugst!$R$4:$W$4,0))))</f>
        <v>0</v>
      </c>
      <c r="AG295">
        <f>IF($C295-AG$1&lt;År1,0,AF294*(1-VLOOKUP($A295,[1]Hugst!$R$5:$W$9,MATCH(ROUNDUP((AG$1)/10,0)*10,[1]Hugst!$R$4:$W$4,0))))</f>
        <v>0</v>
      </c>
      <c r="AH295">
        <f>IF($C295-AH$1&lt;År1,0,AG294*(1-VLOOKUP($A295,[1]Hugst!$R$5:$W$9,MATCH(ROUNDUP((AH$1)/10,0)*10,[1]Hugst!$R$4:$W$4,0))))</f>
        <v>0</v>
      </c>
      <c r="AI295">
        <f>IF($C295-AI$1&lt;År1,0,AH294*(1-VLOOKUP($A295,[1]Hugst!$R$5:$W$9,MATCH(ROUNDUP((AI$1)/10,0)*10,[1]Hugst!$R$4:$W$4,0))))</f>
        <v>0</v>
      </c>
      <c r="AJ295">
        <f>IF($C295-AJ$1&lt;År1,0,AI294*(1-VLOOKUP($A295,[1]Hugst!$R$5:$W$9,MATCH(ROUNDUP((AJ$1)/10,0)*10,[1]Hugst!$R$4:$W$4,0))))</f>
        <v>0</v>
      </c>
    </row>
    <row r="296" spans="1:36" x14ac:dyDescent="0.25">
      <c r="A296" t="s">
        <v>180</v>
      </c>
      <c r="B296" t="s">
        <v>24</v>
      </c>
      <c r="C296">
        <v>2035</v>
      </c>
      <c r="D296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354.36514218531647</v>
      </c>
      <c r="E296">
        <f t="shared" ca="1" si="7"/>
        <v>0</v>
      </c>
      <c r="F296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848.80958662976116</v>
      </c>
      <c r="G296">
        <f ca="1">IF($C296-G$1&lt;År1,0,F295*(1-VLOOKUP($A296,[1]Hugst!$R$5:$W$9,MATCH(ROUNDUP((G$1)/10,0)*10,[1]Hugst!$R$4:$W$4,0))))</f>
        <v>850.59031598747094</v>
      </c>
      <c r="H296">
        <f ca="1">IF($C296-H$1&lt;År1,0,G295*(1-VLOOKUP($A296,[1]Hugst!$R$5:$W$9,MATCH(ROUNDUP((H$1)/10,0)*10,[1]Hugst!$R$4:$W$4,0))))</f>
        <v>852.37999373391574</v>
      </c>
      <c r="I296">
        <f ca="1">IF($C296-I$1&lt;År1,0,H295*(1-VLOOKUP($A296,[1]Hugst!$R$5:$W$9,MATCH(ROUNDUP((I$1)/10,0)*10,[1]Hugst!$R$4:$W$4,0))))</f>
        <v>854.17866483587784</v>
      </c>
      <c r="J296">
        <f ca="1">IF($C296-J$1&lt;År1,0,I295*(1-VLOOKUP($A296,[1]Hugst!$R$5:$W$9,MATCH(ROUNDUP((J$1)/10,0)*10,[1]Hugst!$R$4:$W$4,0))))</f>
        <v>855.98637448607258</v>
      </c>
      <c r="K296">
        <f ca="1">IF($C296-K$1&lt;År1,0,J295*(1-VLOOKUP($A296,[1]Hugst!$R$5:$W$9,MATCH(ROUNDUP((K$1)/10,0)*10,[1]Hugst!$R$4:$W$4,0))))</f>
        <v>1262.348622649846</v>
      </c>
      <c r="L296">
        <f ca="1">IF($C296-L$1&lt;År1,0,K295*(1-VLOOKUP($A296,[1]Hugst!$R$5:$W$9,MATCH(ROUNDUP((L$1)/10,0)*10,[1]Hugst!$R$4:$W$4,0))))</f>
        <v>1264.1745458843091</v>
      </c>
      <c r="M296">
        <f ca="1">IF($C296-M$1&lt;År1,0,L295*(1-VLOOKUP($A296,[1]Hugst!$R$5:$W$9,MATCH(ROUNDUP((M$1)/10,0)*10,[1]Hugst!$R$4:$W$4,0))))</f>
        <v>1266.0096446124242</v>
      </c>
      <c r="N296">
        <f ca="1">IF($C296-N$1&lt;År1,0,M295*(1-VLOOKUP($A296,[1]Hugst!$R$5:$W$9,MATCH(ROUNDUP((N$1)/10,0)*10,[1]Hugst!$R$4:$W$4,0))))</f>
        <v>1267.8539649421775</v>
      </c>
      <c r="O296">
        <f ca="1">IF($C296-O$1&lt;År1,0,N295*(1-VLOOKUP($A296,[1]Hugst!$R$5:$W$9,MATCH(ROUNDUP((O$1)/10,0)*10,[1]Hugst!$R$4:$W$4,0))))</f>
        <v>1269.7075532133128</v>
      </c>
      <c r="P296">
        <f ca="1">IF($C296-P$1&lt;År1,0,O295*(1-VLOOKUP($A296,[1]Hugst!$R$5:$W$9,MATCH(ROUNDUP((P$1)/10,0)*10,[1]Hugst!$R$4:$W$4,0))))</f>
        <v>1271.5704559983385</v>
      </c>
      <c r="Q296">
        <f ca="1">IF($C296-Q$1&lt;År1,0,P295*(1-VLOOKUP($A296,[1]Hugst!$R$5:$W$9,MATCH(ROUNDUP((Q$1)/10,0)*10,[1]Hugst!$R$4:$W$4,0))))</f>
        <v>1273.4427201039146</v>
      </c>
      <c r="R296">
        <f ca="1">IF($C296-R$1&lt;År1,0,Q295*(1-VLOOKUP($A296,[1]Hugst!$R$5:$W$9,MATCH(ROUNDUP((R$1)/10,0)*10,[1]Hugst!$R$4:$W$4,0))))</f>
        <v>1275.3243925718143</v>
      </c>
      <c r="S296">
        <f ca="1">IF($C296-S$1&lt;År1,0,R295*(1-VLOOKUP($A296,[1]Hugst!$R$5:$W$9,MATCH(ROUNDUP((S$1)/10,0)*10,[1]Hugst!$R$4:$W$4,0))))</f>
        <v>1277.2155206802759</v>
      </c>
      <c r="T296">
        <f ca="1">IF($C296-T$1&lt;År1,0,S295*(1-VLOOKUP($A296,[1]Hugst!$R$5:$W$9,MATCH(ROUNDUP((T$1)/10,0)*10,[1]Hugst!$R$4:$W$4,0))))</f>
        <v>1279.1161519450502</v>
      </c>
      <c r="U296">
        <f ca="1">IF($C296-U$1&lt;År1,0,T295*(1-VLOOKUP($A296,[1]Hugst!$R$5:$W$9,MATCH(ROUNDUP((U$1)/10,0)*10,[1]Hugst!$R$4:$W$4,0))))</f>
        <v>1281.0263341207046</v>
      </c>
      <c r="V296">
        <f>IF($C296-V$1&lt;År1,0,U295*(1-VLOOKUP($A296,[1]Hugst!$R$5:$W$9,MATCH(ROUNDUP((V$1)/10,0)*10,[1]Hugst!$R$4:$W$4,0))))</f>
        <v>0</v>
      </c>
      <c r="W296">
        <f>IF($C296-W$1&lt;År1,0,V295*(1-VLOOKUP($A296,[1]Hugst!$R$5:$W$9,MATCH(ROUNDUP((W$1)/10,0)*10,[1]Hugst!$R$4:$W$4,0))))</f>
        <v>0</v>
      </c>
      <c r="X296">
        <f>IF($C296-X$1&lt;År1,0,W295*(1-VLOOKUP($A296,[1]Hugst!$R$5:$W$9,MATCH(ROUNDUP((X$1)/10,0)*10,[1]Hugst!$R$4:$W$4,0))))</f>
        <v>0</v>
      </c>
      <c r="Y296">
        <f>IF($C296-Y$1&lt;År1,0,X295*(1-VLOOKUP($A296,[1]Hugst!$R$5:$W$9,MATCH(ROUNDUP((Y$1)/10,0)*10,[1]Hugst!$R$4:$W$4,0))))</f>
        <v>0</v>
      </c>
      <c r="Z296">
        <f>IF($C296-Z$1&lt;År1,0,Y295*(1-VLOOKUP($A296,[1]Hugst!$R$5:$W$9,MATCH(ROUNDUP((Z$1)/10,0)*10,[1]Hugst!$R$4:$W$4,0))))</f>
        <v>0</v>
      </c>
      <c r="AA296">
        <f>IF($C296-AA$1&lt;År1,0,Z295*(1-VLOOKUP($A296,[1]Hugst!$R$5:$W$9,MATCH(ROUNDUP((AA$1)/10,0)*10,[1]Hugst!$R$4:$W$4,0))))</f>
        <v>0</v>
      </c>
      <c r="AB296">
        <f>IF($C296-AB$1&lt;År1,0,AA295*(1-VLOOKUP($A296,[1]Hugst!$R$5:$W$9,MATCH(ROUNDUP((AB$1)/10,0)*10,[1]Hugst!$R$4:$W$4,0))))</f>
        <v>0</v>
      </c>
      <c r="AC296">
        <f>IF($C296-AC$1&lt;År1,0,AB295*(1-VLOOKUP($A296,[1]Hugst!$R$5:$W$9,MATCH(ROUNDUP((AC$1)/10,0)*10,[1]Hugst!$R$4:$W$4,0))))</f>
        <v>0</v>
      </c>
      <c r="AD296">
        <f>IF($C296-AD$1&lt;År1,0,AC295*(1-VLOOKUP($A296,[1]Hugst!$R$5:$W$9,MATCH(ROUNDUP((AD$1)/10,0)*10,[1]Hugst!$R$4:$W$4,0))))</f>
        <v>0</v>
      </c>
      <c r="AE296">
        <f>IF($C296-AE$1&lt;År1,0,AD295*(1-VLOOKUP($A296,[1]Hugst!$R$5:$W$9,MATCH(ROUNDUP((AE$1)/10,0)*10,[1]Hugst!$R$4:$W$4,0))))</f>
        <v>0</v>
      </c>
      <c r="AF296">
        <f>IF($C296-AF$1&lt;År1,0,AE295*(1-VLOOKUP($A296,[1]Hugst!$R$5:$W$9,MATCH(ROUNDUP((AF$1)/10,0)*10,[1]Hugst!$R$4:$W$4,0))))</f>
        <v>0</v>
      </c>
      <c r="AG296">
        <f>IF($C296-AG$1&lt;År1,0,AF295*(1-VLOOKUP($A296,[1]Hugst!$R$5:$W$9,MATCH(ROUNDUP((AG$1)/10,0)*10,[1]Hugst!$R$4:$W$4,0))))</f>
        <v>0</v>
      </c>
      <c r="AH296">
        <f>IF($C296-AH$1&lt;År1,0,AG295*(1-VLOOKUP($A296,[1]Hugst!$R$5:$W$9,MATCH(ROUNDUP((AH$1)/10,0)*10,[1]Hugst!$R$4:$W$4,0))))</f>
        <v>0</v>
      </c>
      <c r="AI296">
        <f>IF($C296-AI$1&lt;År1,0,AH295*(1-VLOOKUP($A296,[1]Hugst!$R$5:$W$9,MATCH(ROUNDUP((AI$1)/10,0)*10,[1]Hugst!$R$4:$W$4,0))))</f>
        <v>0</v>
      </c>
      <c r="AJ296">
        <f>IF($C296-AJ$1&lt;År1,0,AI295*(1-VLOOKUP($A296,[1]Hugst!$R$5:$W$9,MATCH(ROUNDUP((AJ$1)/10,0)*10,[1]Hugst!$R$4:$W$4,0))))</f>
        <v>0</v>
      </c>
    </row>
    <row r="297" spans="1:36" x14ac:dyDescent="0.25">
      <c r="A297" t="s">
        <v>180</v>
      </c>
      <c r="B297" t="s">
        <v>24</v>
      </c>
      <c r="C297">
        <v>2036</v>
      </c>
      <c r="D297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352.59331647438194</v>
      </c>
      <c r="E297">
        <f t="shared" ca="1" si="7"/>
        <v>0</v>
      </c>
      <c r="F297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847.03776091882662</v>
      </c>
      <c r="G297">
        <f ca="1">IF($C297-G$1&lt;År1,0,F296*(1-VLOOKUP($A297,[1]Hugst!$R$5:$W$9,MATCH(ROUNDUP((G$1)/10,0)*10,[1]Hugst!$R$4:$W$4,0))))</f>
        <v>848.80958662976116</v>
      </c>
      <c r="H297">
        <f ca="1">IF($C297-H$1&lt;År1,0,G296*(1-VLOOKUP($A297,[1]Hugst!$R$5:$W$9,MATCH(ROUNDUP((H$1)/10,0)*10,[1]Hugst!$R$4:$W$4,0))))</f>
        <v>850.59031598747094</v>
      </c>
      <c r="I297">
        <f ca="1">IF($C297-I$1&lt;År1,0,H296*(1-VLOOKUP($A297,[1]Hugst!$R$5:$W$9,MATCH(ROUNDUP((I$1)/10,0)*10,[1]Hugst!$R$4:$W$4,0))))</f>
        <v>852.37999373391574</v>
      </c>
      <c r="J297">
        <f ca="1">IF($C297-J$1&lt;År1,0,I296*(1-VLOOKUP($A297,[1]Hugst!$R$5:$W$9,MATCH(ROUNDUP((J$1)/10,0)*10,[1]Hugst!$R$4:$W$4,0))))</f>
        <v>854.17866483587784</v>
      </c>
      <c r="K297">
        <f ca="1">IF($C297-K$1&lt;År1,0,J296*(1-VLOOKUP($A297,[1]Hugst!$R$5:$W$9,MATCH(ROUNDUP((K$1)/10,0)*10,[1]Hugst!$R$4:$W$4,0))))</f>
        <v>855.98637448607258</v>
      </c>
      <c r="L297">
        <f ca="1">IF($C297-L$1&lt;År1,0,K296*(1-VLOOKUP($A297,[1]Hugst!$R$5:$W$9,MATCH(ROUNDUP((L$1)/10,0)*10,[1]Hugst!$R$4:$W$4,0))))</f>
        <v>1262.348622649846</v>
      </c>
      <c r="M297">
        <f ca="1">IF($C297-M$1&lt;År1,0,L296*(1-VLOOKUP($A297,[1]Hugst!$R$5:$W$9,MATCH(ROUNDUP((M$1)/10,0)*10,[1]Hugst!$R$4:$W$4,0))))</f>
        <v>1264.1745458843091</v>
      </c>
      <c r="N297">
        <f ca="1">IF($C297-N$1&lt;År1,0,M296*(1-VLOOKUP($A297,[1]Hugst!$R$5:$W$9,MATCH(ROUNDUP((N$1)/10,0)*10,[1]Hugst!$R$4:$W$4,0))))</f>
        <v>1266.0096446124242</v>
      </c>
      <c r="O297">
        <f ca="1">IF($C297-O$1&lt;År1,0,N296*(1-VLOOKUP($A297,[1]Hugst!$R$5:$W$9,MATCH(ROUNDUP((O$1)/10,0)*10,[1]Hugst!$R$4:$W$4,0))))</f>
        <v>1267.8539649421775</v>
      </c>
      <c r="P297">
        <f ca="1">IF($C297-P$1&lt;År1,0,O296*(1-VLOOKUP($A297,[1]Hugst!$R$5:$W$9,MATCH(ROUNDUP((P$1)/10,0)*10,[1]Hugst!$R$4:$W$4,0))))</f>
        <v>1269.7075532133128</v>
      </c>
      <c r="Q297">
        <f ca="1">IF($C297-Q$1&lt;År1,0,P296*(1-VLOOKUP($A297,[1]Hugst!$R$5:$W$9,MATCH(ROUNDUP((Q$1)/10,0)*10,[1]Hugst!$R$4:$W$4,0))))</f>
        <v>1271.5704559983385</v>
      </c>
      <c r="R297">
        <f ca="1">IF($C297-R$1&lt;År1,0,Q296*(1-VLOOKUP($A297,[1]Hugst!$R$5:$W$9,MATCH(ROUNDUP((R$1)/10,0)*10,[1]Hugst!$R$4:$W$4,0))))</f>
        <v>1273.4427201039146</v>
      </c>
      <c r="S297">
        <f ca="1">IF($C297-S$1&lt;År1,0,R296*(1-VLOOKUP($A297,[1]Hugst!$R$5:$W$9,MATCH(ROUNDUP((S$1)/10,0)*10,[1]Hugst!$R$4:$W$4,0))))</f>
        <v>1275.3243925718143</v>
      </c>
      <c r="T297">
        <f ca="1">IF($C297-T$1&lt;År1,0,S296*(1-VLOOKUP($A297,[1]Hugst!$R$5:$W$9,MATCH(ROUNDUP((T$1)/10,0)*10,[1]Hugst!$R$4:$W$4,0))))</f>
        <v>1277.2155206802759</v>
      </c>
      <c r="U297">
        <f ca="1">IF($C297-U$1&lt;År1,0,T296*(1-VLOOKUP($A297,[1]Hugst!$R$5:$W$9,MATCH(ROUNDUP((U$1)/10,0)*10,[1]Hugst!$R$4:$W$4,0))))</f>
        <v>1279.1161519450502</v>
      </c>
      <c r="V297">
        <f ca="1">IF($C297-V$1&lt;År1,0,U296*(1-VLOOKUP($A297,[1]Hugst!$R$5:$W$9,MATCH(ROUNDUP((V$1)/10,0)*10,[1]Hugst!$R$4:$W$4,0))))</f>
        <v>1281.0263341207046</v>
      </c>
      <c r="W297">
        <f>IF($C297-W$1&lt;År1,0,V296*(1-VLOOKUP($A297,[1]Hugst!$R$5:$W$9,MATCH(ROUNDUP((W$1)/10,0)*10,[1]Hugst!$R$4:$W$4,0))))</f>
        <v>0</v>
      </c>
      <c r="X297">
        <f>IF($C297-X$1&lt;År1,0,W296*(1-VLOOKUP($A297,[1]Hugst!$R$5:$W$9,MATCH(ROUNDUP((X$1)/10,0)*10,[1]Hugst!$R$4:$W$4,0))))</f>
        <v>0</v>
      </c>
      <c r="Y297">
        <f>IF($C297-Y$1&lt;År1,0,X296*(1-VLOOKUP($A297,[1]Hugst!$R$5:$W$9,MATCH(ROUNDUP((Y$1)/10,0)*10,[1]Hugst!$R$4:$W$4,0))))</f>
        <v>0</v>
      </c>
      <c r="Z297">
        <f>IF($C297-Z$1&lt;År1,0,Y296*(1-VLOOKUP($A297,[1]Hugst!$R$5:$W$9,MATCH(ROUNDUP((Z$1)/10,0)*10,[1]Hugst!$R$4:$W$4,0))))</f>
        <v>0</v>
      </c>
      <c r="AA297">
        <f>IF($C297-AA$1&lt;År1,0,Z296*(1-VLOOKUP($A297,[1]Hugst!$R$5:$W$9,MATCH(ROUNDUP((AA$1)/10,0)*10,[1]Hugst!$R$4:$W$4,0))))</f>
        <v>0</v>
      </c>
      <c r="AB297">
        <f>IF($C297-AB$1&lt;År1,0,AA296*(1-VLOOKUP($A297,[1]Hugst!$R$5:$W$9,MATCH(ROUNDUP((AB$1)/10,0)*10,[1]Hugst!$R$4:$W$4,0))))</f>
        <v>0</v>
      </c>
      <c r="AC297">
        <f>IF($C297-AC$1&lt;År1,0,AB296*(1-VLOOKUP($A297,[1]Hugst!$R$5:$W$9,MATCH(ROUNDUP((AC$1)/10,0)*10,[1]Hugst!$R$4:$W$4,0))))</f>
        <v>0</v>
      </c>
      <c r="AD297">
        <f>IF($C297-AD$1&lt;År1,0,AC296*(1-VLOOKUP($A297,[1]Hugst!$R$5:$W$9,MATCH(ROUNDUP((AD$1)/10,0)*10,[1]Hugst!$R$4:$W$4,0))))</f>
        <v>0</v>
      </c>
      <c r="AE297">
        <f>IF($C297-AE$1&lt;År1,0,AD296*(1-VLOOKUP($A297,[1]Hugst!$R$5:$W$9,MATCH(ROUNDUP((AE$1)/10,0)*10,[1]Hugst!$R$4:$W$4,0))))</f>
        <v>0</v>
      </c>
      <c r="AF297">
        <f>IF($C297-AF$1&lt;År1,0,AE296*(1-VLOOKUP($A297,[1]Hugst!$R$5:$W$9,MATCH(ROUNDUP((AF$1)/10,0)*10,[1]Hugst!$R$4:$W$4,0))))</f>
        <v>0</v>
      </c>
      <c r="AG297">
        <f>IF($C297-AG$1&lt;År1,0,AF296*(1-VLOOKUP($A297,[1]Hugst!$R$5:$W$9,MATCH(ROUNDUP((AG$1)/10,0)*10,[1]Hugst!$R$4:$W$4,0))))</f>
        <v>0</v>
      </c>
      <c r="AH297">
        <f>IF($C297-AH$1&lt;År1,0,AG296*(1-VLOOKUP($A297,[1]Hugst!$R$5:$W$9,MATCH(ROUNDUP((AH$1)/10,0)*10,[1]Hugst!$R$4:$W$4,0))))</f>
        <v>0</v>
      </c>
      <c r="AI297">
        <f>IF($C297-AI$1&lt;År1,0,AH296*(1-VLOOKUP($A297,[1]Hugst!$R$5:$W$9,MATCH(ROUNDUP((AI$1)/10,0)*10,[1]Hugst!$R$4:$W$4,0))))</f>
        <v>0</v>
      </c>
      <c r="AJ297">
        <f>IF($C297-AJ$1&lt;År1,0,AI296*(1-VLOOKUP($A297,[1]Hugst!$R$5:$W$9,MATCH(ROUNDUP((AJ$1)/10,0)*10,[1]Hugst!$R$4:$W$4,0))))</f>
        <v>0</v>
      </c>
    </row>
    <row r="298" spans="1:36" x14ac:dyDescent="0.25">
      <c r="A298" t="s">
        <v>180</v>
      </c>
      <c r="B298" t="s">
        <v>24</v>
      </c>
      <c r="C298">
        <v>2037</v>
      </c>
      <c r="D29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350.83034989201406</v>
      </c>
      <c r="E298">
        <f t="shared" ca="1" si="7"/>
        <v>0</v>
      </c>
      <c r="F29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845.27479433645874</v>
      </c>
      <c r="G298">
        <f ca="1">IF($C298-G$1&lt;År1,0,F297*(1-VLOOKUP($A298,[1]Hugst!$R$5:$W$9,MATCH(ROUNDUP((G$1)/10,0)*10,[1]Hugst!$R$4:$W$4,0))))</f>
        <v>847.03776091882662</v>
      </c>
      <c r="H298">
        <f ca="1">IF($C298-H$1&lt;År1,0,G297*(1-VLOOKUP($A298,[1]Hugst!$R$5:$W$9,MATCH(ROUNDUP((H$1)/10,0)*10,[1]Hugst!$R$4:$W$4,0))))</f>
        <v>848.80958662976116</v>
      </c>
      <c r="I298">
        <f ca="1">IF($C298-I$1&lt;År1,0,H297*(1-VLOOKUP($A298,[1]Hugst!$R$5:$W$9,MATCH(ROUNDUP((I$1)/10,0)*10,[1]Hugst!$R$4:$W$4,0))))</f>
        <v>850.59031598747094</v>
      </c>
      <c r="J298">
        <f ca="1">IF($C298-J$1&lt;År1,0,I297*(1-VLOOKUP($A298,[1]Hugst!$R$5:$W$9,MATCH(ROUNDUP((J$1)/10,0)*10,[1]Hugst!$R$4:$W$4,0))))</f>
        <v>852.37999373391574</v>
      </c>
      <c r="K298">
        <f ca="1">IF($C298-K$1&lt;År1,0,J297*(1-VLOOKUP($A298,[1]Hugst!$R$5:$W$9,MATCH(ROUNDUP((K$1)/10,0)*10,[1]Hugst!$R$4:$W$4,0))))</f>
        <v>854.17866483587784</v>
      </c>
      <c r="L298">
        <f ca="1">IF($C298-L$1&lt;År1,0,K297*(1-VLOOKUP($A298,[1]Hugst!$R$5:$W$9,MATCH(ROUNDUP((L$1)/10,0)*10,[1]Hugst!$R$4:$W$4,0))))</f>
        <v>855.98637448607258</v>
      </c>
      <c r="M298">
        <f ca="1">IF($C298-M$1&lt;År1,0,L297*(1-VLOOKUP($A298,[1]Hugst!$R$5:$W$9,MATCH(ROUNDUP((M$1)/10,0)*10,[1]Hugst!$R$4:$W$4,0))))</f>
        <v>1262.348622649846</v>
      </c>
      <c r="N298">
        <f ca="1">IF($C298-N$1&lt;År1,0,M297*(1-VLOOKUP($A298,[1]Hugst!$R$5:$W$9,MATCH(ROUNDUP((N$1)/10,0)*10,[1]Hugst!$R$4:$W$4,0))))</f>
        <v>1264.1745458843091</v>
      </c>
      <c r="O298">
        <f ca="1">IF($C298-O$1&lt;År1,0,N297*(1-VLOOKUP($A298,[1]Hugst!$R$5:$W$9,MATCH(ROUNDUP((O$1)/10,0)*10,[1]Hugst!$R$4:$W$4,0))))</f>
        <v>1266.0096446124242</v>
      </c>
      <c r="P298">
        <f ca="1">IF($C298-P$1&lt;År1,0,O297*(1-VLOOKUP($A298,[1]Hugst!$R$5:$W$9,MATCH(ROUNDUP((P$1)/10,0)*10,[1]Hugst!$R$4:$W$4,0))))</f>
        <v>1267.8539649421775</v>
      </c>
      <c r="Q298">
        <f ca="1">IF($C298-Q$1&lt;År1,0,P297*(1-VLOOKUP($A298,[1]Hugst!$R$5:$W$9,MATCH(ROUNDUP((Q$1)/10,0)*10,[1]Hugst!$R$4:$W$4,0))))</f>
        <v>1269.7075532133128</v>
      </c>
      <c r="R298">
        <f ca="1">IF($C298-R$1&lt;År1,0,Q297*(1-VLOOKUP($A298,[1]Hugst!$R$5:$W$9,MATCH(ROUNDUP((R$1)/10,0)*10,[1]Hugst!$R$4:$W$4,0))))</f>
        <v>1271.5704559983385</v>
      </c>
      <c r="S298">
        <f ca="1">IF($C298-S$1&lt;År1,0,R297*(1-VLOOKUP($A298,[1]Hugst!$R$5:$W$9,MATCH(ROUNDUP((S$1)/10,0)*10,[1]Hugst!$R$4:$W$4,0))))</f>
        <v>1273.4427201039146</v>
      </c>
      <c r="T298">
        <f ca="1">IF($C298-T$1&lt;År1,0,S297*(1-VLOOKUP($A298,[1]Hugst!$R$5:$W$9,MATCH(ROUNDUP((T$1)/10,0)*10,[1]Hugst!$R$4:$W$4,0))))</f>
        <v>1275.3243925718143</v>
      </c>
      <c r="U298">
        <f ca="1">IF($C298-U$1&lt;År1,0,T297*(1-VLOOKUP($A298,[1]Hugst!$R$5:$W$9,MATCH(ROUNDUP((U$1)/10,0)*10,[1]Hugst!$R$4:$W$4,0))))</f>
        <v>1277.2155206802759</v>
      </c>
      <c r="V298">
        <f ca="1">IF($C298-V$1&lt;År1,0,U297*(1-VLOOKUP($A298,[1]Hugst!$R$5:$W$9,MATCH(ROUNDUP((V$1)/10,0)*10,[1]Hugst!$R$4:$W$4,0))))</f>
        <v>1279.1161519450502</v>
      </c>
      <c r="W298">
        <f ca="1">IF($C298-W$1&lt;År1,0,V297*(1-VLOOKUP($A298,[1]Hugst!$R$5:$W$9,MATCH(ROUNDUP((W$1)/10,0)*10,[1]Hugst!$R$4:$W$4,0))))</f>
        <v>1281.0263341207046</v>
      </c>
      <c r="X298">
        <f>IF($C298-X$1&lt;År1,0,W297*(1-VLOOKUP($A298,[1]Hugst!$R$5:$W$9,MATCH(ROUNDUP((X$1)/10,0)*10,[1]Hugst!$R$4:$W$4,0))))</f>
        <v>0</v>
      </c>
      <c r="Y298">
        <f>IF($C298-Y$1&lt;År1,0,X297*(1-VLOOKUP($A298,[1]Hugst!$R$5:$W$9,MATCH(ROUNDUP((Y$1)/10,0)*10,[1]Hugst!$R$4:$W$4,0))))</f>
        <v>0</v>
      </c>
      <c r="Z298">
        <f>IF($C298-Z$1&lt;År1,0,Y297*(1-VLOOKUP($A298,[1]Hugst!$R$5:$W$9,MATCH(ROUNDUP((Z$1)/10,0)*10,[1]Hugst!$R$4:$W$4,0))))</f>
        <v>0</v>
      </c>
      <c r="AA298">
        <f>IF($C298-AA$1&lt;År1,0,Z297*(1-VLOOKUP($A298,[1]Hugst!$R$5:$W$9,MATCH(ROUNDUP((AA$1)/10,0)*10,[1]Hugst!$R$4:$W$4,0))))</f>
        <v>0</v>
      </c>
      <c r="AB298">
        <f>IF($C298-AB$1&lt;År1,0,AA297*(1-VLOOKUP($A298,[1]Hugst!$R$5:$W$9,MATCH(ROUNDUP((AB$1)/10,0)*10,[1]Hugst!$R$4:$W$4,0))))</f>
        <v>0</v>
      </c>
      <c r="AC298">
        <f>IF($C298-AC$1&lt;År1,0,AB297*(1-VLOOKUP($A298,[1]Hugst!$R$5:$W$9,MATCH(ROUNDUP((AC$1)/10,0)*10,[1]Hugst!$R$4:$W$4,0))))</f>
        <v>0</v>
      </c>
      <c r="AD298">
        <f>IF($C298-AD$1&lt;År1,0,AC297*(1-VLOOKUP($A298,[1]Hugst!$R$5:$W$9,MATCH(ROUNDUP((AD$1)/10,0)*10,[1]Hugst!$R$4:$W$4,0))))</f>
        <v>0</v>
      </c>
      <c r="AE298">
        <f>IF($C298-AE$1&lt;År1,0,AD297*(1-VLOOKUP($A298,[1]Hugst!$R$5:$W$9,MATCH(ROUNDUP((AE$1)/10,0)*10,[1]Hugst!$R$4:$W$4,0))))</f>
        <v>0</v>
      </c>
      <c r="AF298">
        <f>IF($C298-AF$1&lt;År1,0,AE297*(1-VLOOKUP($A298,[1]Hugst!$R$5:$W$9,MATCH(ROUNDUP((AF$1)/10,0)*10,[1]Hugst!$R$4:$W$4,0))))</f>
        <v>0</v>
      </c>
      <c r="AG298">
        <f>IF($C298-AG$1&lt;År1,0,AF297*(1-VLOOKUP($A298,[1]Hugst!$R$5:$W$9,MATCH(ROUNDUP((AG$1)/10,0)*10,[1]Hugst!$R$4:$W$4,0))))</f>
        <v>0</v>
      </c>
      <c r="AH298">
        <f>IF($C298-AH$1&lt;År1,0,AG297*(1-VLOOKUP($A298,[1]Hugst!$R$5:$W$9,MATCH(ROUNDUP((AH$1)/10,0)*10,[1]Hugst!$R$4:$W$4,0))))</f>
        <v>0</v>
      </c>
      <c r="AI298">
        <f>IF($C298-AI$1&lt;År1,0,AH297*(1-VLOOKUP($A298,[1]Hugst!$R$5:$W$9,MATCH(ROUNDUP((AI$1)/10,0)*10,[1]Hugst!$R$4:$W$4,0))))</f>
        <v>0</v>
      </c>
      <c r="AJ298">
        <f>IF($C298-AJ$1&lt;År1,0,AI297*(1-VLOOKUP($A298,[1]Hugst!$R$5:$W$9,MATCH(ROUNDUP((AJ$1)/10,0)*10,[1]Hugst!$R$4:$W$4,0))))</f>
        <v>0</v>
      </c>
    </row>
    <row r="299" spans="1:36" x14ac:dyDescent="0.25">
      <c r="A299" t="s">
        <v>180</v>
      </c>
      <c r="B299" t="s">
        <v>24</v>
      </c>
      <c r="C299">
        <v>2038</v>
      </c>
      <c r="D299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349.07619814256032</v>
      </c>
      <c r="E299">
        <f t="shared" ca="1" si="7"/>
        <v>0</v>
      </c>
      <c r="F29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843.520642587005</v>
      </c>
      <c r="G299">
        <f ca="1">IF($C299-G$1&lt;År1,0,F298*(1-VLOOKUP($A299,[1]Hugst!$R$5:$W$9,MATCH(ROUNDUP((G$1)/10,0)*10,[1]Hugst!$R$4:$W$4,0))))</f>
        <v>845.27479433645874</v>
      </c>
      <c r="H299">
        <f ca="1">IF($C299-H$1&lt;År1,0,G298*(1-VLOOKUP($A299,[1]Hugst!$R$5:$W$9,MATCH(ROUNDUP((H$1)/10,0)*10,[1]Hugst!$R$4:$W$4,0))))</f>
        <v>847.03776091882662</v>
      </c>
      <c r="I299">
        <f ca="1">IF($C299-I$1&lt;År1,0,H298*(1-VLOOKUP($A299,[1]Hugst!$R$5:$W$9,MATCH(ROUNDUP((I$1)/10,0)*10,[1]Hugst!$R$4:$W$4,0))))</f>
        <v>848.80958662976116</v>
      </c>
      <c r="J299">
        <f ca="1">IF($C299-J$1&lt;År1,0,I298*(1-VLOOKUP($A299,[1]Hugst!$R$5:$W$9,MATCH(ROUNDUP((J$1)/10,0)*10,[1]Hugst!$R$4:$W$4,0))))</f>
        <v>850.59031598747094</v>
      </c>
      <c r="K299">
        <f ca="1">IF($C299-K$1&lt;År1,0,J298*(1-VLOOKUP($A299,[1]Hugst!$R$5:$W$9,MATCH(ROUNDUP((K$1)/10,0)*10,[1]Hugst!$R$4:$W$4,0))))</f>
        <v>852.37999373391574</v>
      </c>
      <c r="L299">
        <f ca="1">IF($C299-L$1&lt;År1,0,K298*(1-VLOOKUP($A299,[1]Hugst!$R$5:$W$9,MATCH(ROUNDUP((L$1)/10,0)*10,[1]Hugst!$R$4:$W$4,0))))</f>
        <v>854.17866483587784</v>
      </c>
      <c r="M299">
        <f ca="1">IF($C299-M$1&lt;År1,0,L298*(1-VLOOKUP($A299,[1]Hugst!$R$5:$W$9,MATCH(ROUNDUP((M$1)/10,0)*10,[1]Hugst!$R$4:$W$4,0))))</f>
        <v>855.98637448607258</v>
      </c>
      <c r="N299">
        <f ca="1">IF($C299-N$1&lt;År1,0,M298*(1-VLOOKUP($A299,[1]Hugst!$R$5:$W$9,MATCH(ROUNDUP((N$1)/10,0)*10,[1]Hugst!$R$4:$W$4,0))))</f>
        <v>1262.348622649846</v>
      </c>
      <c r="O299">
        <f ca="1">IF($C299-O$1&lt;År1,0,N298*(1-VLOOKUP($A299,[1]Hugst!$R$5:$W$9,MATCH(ROUNDUP((O$1)/10,0)*10,[1]Hugst!$R$4:$W$4,0))))</f>
        <v>1264.1745458843091</v>
      </c>
      <c r="P299">
        <f ca="1">IF($C299-P$1&lt;År1,0,O298*(1-VLOOKUP($A299,[1]Hugst!$R$5:$W$9,MATCH(ROUNDUP((P$1)/10,0)*10,[1]Hugst!$R$4:$W$4,0))))</f>
        <v>1266.0096446124242</v>
      </c>
      <c r="Q299">
        <f ca="1">IF($C299-Q$1&lt;År1,0,P298*(1-VLOOKUP($A299,[1]Hugst!$R$5:$W$9,MATCH(ROUNDUP((Q$1)/10,0)*10,[1]Hugst!$R$4:$W$4,0))))</f>
        <v>1267.8539649421775</v>
      </c>
      <c r="R299">
        <f ca="1">IF($C299-R$1&lt;År1,0,Q298*(1-VLOOKUP($A299,[1]Hugst!$R$5:$W$9,MATCH(ROUNDUP((R$1)/10,0)*10,[1]Hugst!$R$4:$W$4,0))))</f>
        <v>1269.7075532133128</v>
      </c>
      <c r="S299">
        <f ca="1">IF($C299-S$1&lt;År1,0,R298*(1-VLOOKUP($A299,[1]Hugst!$R$5:$W$9,MATCH(ROUNDUP((S$1)/10,0)*10,[1]Hugst!$R$4:$W$4,0))))</f>
        <v>1271.5704559983385</v>
      </c>
      <c r="T299">
        <f ca="1">IF($C299-T$1&lt;År1,0,S298*(1-VLOOKUP($A299,[1]Hugst!$R$5:$W$9,MATCH(ROUNDUP((T$1)/10,0)*10,[1]Hugst!$R$4:$W$4,0))))</f>
        <v>1273.4427201039146</v>
      </c>
      <c r="U299">
        <f ca="1">IF($C299-U$1&lt;År1,0,T298*(1-VLOOKUP($A299,[1]Hugst!$R$5:$W$9,MATCH(ROUNDUP((U$1)/10,0)*10,[1]Hugst!$R$4:$W$4,0))))</f>
        <v>1275.3243925718143</v>
      </c>
      <c r="V299">
        <f ca="1">IF($C299-V$1&lt;År1,0,U298*(1-VLOOKUP($A299,[1]Hugst!$R$5:$W$9,MATCH(ROUNDUP((V$1)/10,0)*10,[1]Hugst!$R$4:$W$4,0))))</f>
        <v>1277.2155206802759</v>
      </c>
      <c r="W299">
        <f ca="1">IF($C299-W$1&lt;År1,0,V298*(1-VLOOKUP($A299,[1]Hugst!$R$5:$W$9,MATCH(ROUNDUP((W$1)/10,0)*10,[1]Hugst!$R$4:$W$4,0))))</f>
        <v>1279.1161519450502</v>
      </c>
      <c r="X299">
        <f ca="1">IF($C299-X$1&lt;År1,0,W298*(1-VLOOKUP($A299,[1]Hugst!$R$5:$W$9,MATCH(ROUNDUP((X$1)/10,0)*10,[1]Hugst!$R$4:$W$4,0))))</f>
        <v>1281.0263341207046</v>
      </c>
      <c r="Y299">
        <f>IF($C299-Y$1&lt;År1,0,X298*(1-VLOOKUP($A299,[1]Hugst!$R$5:$W$9,MATCH(ROUNDUP((Y$1)/10,0)*10,[1]Hugst!$R$4:$W$4,0))))</f>
        <v>0</v>
      </c>
      <c r="Z299">
        <f>IF($C299-Z$1&lt;År1,0,Y298*(1-VLOOKUP($A299,[1]Hugst!$R$5:$W$9,MATCH(ROUNDUP((Z$1)/10,0)*10,[1]Hugst!$R$4:$W$4,0))))</f>
        <v>0</v>
      </c>
      <c r="AA299">
        <f>IF($C299-AA$1&lt;År1,0,Z298*(1-VLOOKUP($A299,[1]Hugst!$R$5:$W$9,MATCH(ROUNDUP((AA$1)/10,0)*10,[1]Hugst!$R$4:$W$4,0))))</f>
        <v>0</v>
      </c>
      <c r="AB299">
        <f>IF($C299-AB$1&lt;År1,0,AA298*(1-VLOOKUP($A299,[1]Hugst!$R$5:$W$9,MATCH(ROUNDUP((AB$1)/10,0)*10,[1]Hugst!$R$4:$W$4,0))))</f>
        <v>0</v>
      </c>
      <c r="AC299">
        <f>IF($C299-AC$1&lt;År1,0,AB298*(1-VLOOKUP($A299,[1]Hugst!$R$5:$W$9,MATCH(ROUNDUP((AC$1)/10,0)*10,[1]Hugst!$R$4:$W$4,0))))</f>
        <v>0</v>
      </c>
      <c r="AD299">
        <f>IF($C299-AD$1&lt;År1,0,AC298*(1-VLOOKUP($A299,[1]Hugst!$R$5:$W$9,MATCH(ROUNDUP((AD$1)/10,0)*10,[1]Hugst!$R$4:$W$4,0))))</f>
        <v>0</v>
      </c>
      <c r="AE299">
        <f>IF($C299-AE$1&lt;År1,0,AD298*(1-VLOOKUP($A299,[1]Hugst!$R$5:$W$9,MATCH(ROUNDUP((AE$1)/10,0)*10,[1]Hugst!$R$4:$W$4,0))))</f>
        <v>0</v>
      </c>
      <c r="AF299">
        <f>IF($C299-AF$1&lt;År1,0,AE298*(1-VLOOKUP($A299,[1]Hugst!$R$5:$W$9,MATCH(ROUNDUP((AF$1)/10,0)*10,[1]Hugst!$R$4:$W$4,0))))</f>
        <v>0</v>
      </c>
      <c r="AG299">
        <f>IF($C299-AG$1&lt;År1,0,AF298*(1-VLOOKUP($A299,[1]Hugst!$R$5:$W$9,MATCH(ROUNDUP((AG$1)/10,0)*10,[1]Hugst!$R$4:$W$4,0))))</f>
        <v>0</v>
      </c>
      <c r="AH299">
        <f>IF($C299-AH$1&lt;År1,0,AG298*(1-VLOOKUP($A299,[1]Hugst!$R$5:$W$9,MATCH(ROUNDUP((AH$1)/10,0)*10,[1]Hugst!$R$4:$W$4,0))))</f>
        <v>0</v>
      </c>
      <c r="AI299">
        <f>IF($C299-AI$1&lt;År1,0,AH298*(1-VLOOKUP($A299,[1]Hugst!$R$5:$W$9,MATCH(ROUNDUP((AI$1)/10,0)*10,[1]Hugst!$R$4:$W$4,0))))</f>
        <v>0</v>
      </c>
      <c r="AJ299">
        <f>IF($C299-AJ$1&lt;År1,0,AI298*(1-VLOOKUP($A299,[1]Hugst!$R$5:$W$9,MATCH(ROUNDUP((AJ$1)/10,0)*10,[1]Hugst!$R$4:$W$4,0))))</f>
        <v>0</v>
      </c>
    </row>
    <row r="300" spans="1:36" x14ac:dyDescent="0.25">
      <c r="A300" t="s">
        <v>180</v>
      </c>
      <c r="B300" t="s">
        <v>24</v>
      </c>
      <c r="C300">
        <v>2039</v>
      </c>
      <c r="D300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347.33081715183562</v>
      </c>
      <c r="E300">
        <f t="shared" ca="1" si="7"/>
        <v>0</v>
      </c>
      <c r="F300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841.7752615962803</v>
      </c>
      <c r="G300">
        <f ca="1">IF($C300-G$1&lt;År1,0,F299*(1-VLOOKUP($A300,[1]Hugst!$R$5:$W$9,MATCH(ROUNDUP((G$1)/10,0)*10,[1]Hugst!$R$4:$W$4,0))))</f>
        <v>843.520642587005</v>
      </c>
      <c r="H300">
        <f ca="1">IF($C300-H$1&lt;År1,0,G299*(1-VLOOKUP($A300,[1]Hugst!$R$5:$W$9,MATCH(ROUNDUP((H$1)/10,0)*10,[1]Hugst!$R$4:$W$4,0))))</f>
        <v>845.27479433645874</v>
      </c>
      <c r="I300">
        <f ca="1">IF($C300-I$1&lt;År1,0,H299*(1-VLOOKUP($A300,[1]Hugst!$R$5:$W$9,MATCH(ROUNDUP((I$1)/10,0)*10,[1]Hugst!$R$4:$W$4,0))))</f>
        <v>847.03776091882662</v>
      </c>
      <c r="J300">
        <f ca="1">IF($C300-J$1&lt;År1,0,I299*(1-VLOOKUP($A300,[1]Hugst!$R$5:$W$9,MATCH(ROUNDUP((J$1)/10,0)*10,[1]Hugst!$R$4:$W$4,0))))</f>
        <v>848.80958662976116</v>
      </c>
      <c r="K300">
        <f ca="1">IF($C300-K$1&lt;År1,0,J299*(1-VLOOKUP($A300,[1]Hugst!$R$5:$W$9,MATCH(ROUNDUP((K$1)/10,0)*10,[1]Hugst!$R$4:$W$4,0))))</f>
        <v>850.59031598747094</v>
      </c>
      <c r="L300">
        <f ca="1">IF($C300-L$1&lt;År1,0,K299*(1-VLOOKUP($A300,[1]Hugst!$R$5:$W$9,MATCH(ROUNDUP((L$1)/10,0)*10,[1]Hugst!$R$4:$W$4,0))))</f>
        <v>852.37999373391574</v>
      </c>
      <c r="M300">
        <f ca="1">IF($C300-M$1&lt;År1,0,L299*(1-VLOOKUP($A300,[1]Hugst!$R$5:$W$9,MATCH(ROUNDUP((M$1)/10,0)*10,[1]Hugst!$R$4:$W$4,0))))</f>
        <v>854.17866483587784</v>
      </c>
      <c r="N300">
        <f ca="1">IF($C300-N$1&lt;År1,0,M299*(1-VLOOKUP($A300,[1]Hugst!$R$5:$W$9,MATCH(ROUNDUP((N$1)/10,0)*10,[1]Hugst!$R$4:$W$4,0))))</f>
        <v>855.98637448607258</v>
      </c>
      <c r="O300">
        <f ca="1">IF($C300-O$1&lt;År1,0,N299*(1-VLOOKUP($A300,[1]Hugst!$R$5:$W$9,MATCH(ROUNDUP((O$1)/10,0)*10,[1]Hugst!$R$4:$W$4,0))))</f>
        <v>1262.348622649846</v>
      </c>
      <c r="P300">
        <f ca="1">IF($C300-P$1&lt;År1,0,O299*(1-VLOOKUP($A300,[1]Hugst!$R$5:$W$9,MATCH(ROUNDUP((P$1)/10,0)*10,[1]Hugst!$R$4:$W$4,0))))</f>
        <v>1264.1745458843091</v>
      </c>
      <c r="Q300">
        <f ca="1">IF($C300-Q$1&lt;År1,0,P299*(1-VLOOKUP($A300,[1]Hugst!$R$5:$W$9,MATCH(ROUNDUP((Q$1)/10,0)*10,[1]Hugst!$R$4:$W$4,0))))</f>
        <v>1266.0096446124242</v>
      </c>
      <c r="R300">
        <f ca="1">IF($C300-R$1&lt;År1,0,Q299*(1-VLOOKUP($A300,[1]Hugst!$R$5:$W$9,MATCH(ROUNDUP((R$1)/10,0)*10,[1]Hugst!$R$4:$W$4,0))))</f>
        <v>1267.8539649421775</v>
      </c>
      <c r="S300">
        <f ca="1">IF($C300-S$1&lt;År1,0,R299*(1-VLOOKUP($A300,[1]Hugst!$R$5:$W$9,MATCH(ROUNDUP((S$1)/10,0)*10,[1]Hugst!$R$4:$W$4,0))))</f>
        <v>1269.7075532133128</v>
      </c>
      <c r="T300">
        <f ca="1">IF($C300-T$1&lt;År1,0,S299*(1-VLOOKUP($A300,[1]Hugst!$R$5:$W$9,MATCH(ROUNDUP((T$1)/10,0)*10,[1]Hugst!$R$4:$W$4,0))))</f>
        <v>1271.5704559983385</v>
      </c>
      <c r="U300">
        <f ca="1">IF($C300-U$1&lt;År1,0,T299*(1-VLOOKUP($A300,[1]Hugst!$R$5:$W$9,MATCH(ROUNDUP((U$1)/10,0)*10,[1]Hugst!$R$4:$W$4,0))))</f>
        <v>1273.4427201039146</v>
      </c>
      <c r="V300">
        <f ca="1">IF($C300-V$1&lt;År1,0,U299*(1-VLOOKUP($A300,[1]Hugst!$R$5:$W$9,MATCH(ROUNDUP((V$1)/10,0)*10,[1]Hugst!$R$4:$W$4,0))))</f>
        <v>1275.3243925718143</v>
      </c>
      <c r="W300">
        <f ca="1">IF($C300-W$1&lt;År1,0,V299*(1-VLOOKUP($A300,[1]Hugst!$R$5:$W$9,MATCH(ROUNDUP((W$1)/10,0)*10,[1]Hugst!$R$4:$W$4,0))))</f>
        <v>1277.2155206802759</v>
      </c>
      <c r="X300">
        <f ca="1">IF($C300-X$1&lt;År1,0,W299*(1-VLOOKUP($A300,[1]Hugst!$R$5:$W$9,MATCH(ROUNDUP((X$1)/10,0)*10,[1]Hugst!$R$4:$W$4,0))))</f>
        <v>1279.1161519450502</v>
      </c>
      <c r="Y300">
        <f ca="1">IF($C300-Y$1&lt;År1,0,X299*(1-VLOOKUP($A300,[1]Hugst!$R$5:$W$9,MATCH(ROUNDUP((Y$1)/10,0)*10,[1]Hugst!$R$4:$W$4,0))))</f>
        <v>1281.0263341207046</v>
      </c>
      <c r="Z300">
        <f>IF($C300-Z$1&lt;År1,0,Y299*(1-VLOOKUP($A300,[1]Hugst!$R$5:$W$9,MATCH(ROUNDUP((Z$1)/10,0)*10,[1]Hugst!$R$4:$W$4,0))))</f>
        <v>0</v>
      </c>
      <c r="AA300">
        <f>IF($C300-AA$1&lt;År1,0,Z299*(1-VLOOKUP($A300,[1]Hugst!$R$5:$W$9,MATCH(ROUNDUP((AA$1)/10,0)*10,[1]Hugst!$R$4:$W$4,0))))</f>
        <v>0</v>
      </c>
      <c r="AB300">
        <f>IF($C300-AB$1&lt;År1,0,AA299*(1-VLOOKUP($A300,[1]Hugst!$R$5:$W$9,MATCH(ROUNDUP((AB$1)/10,0)*10,[1]Hugst!$R$4:$W$4,0))))</f>
        <v>0</v>
      </c>
      <c r="AC300">
        <f>IF($C300-AC$1&lt;År1,0,AB299*(1-VLOOKUP($A300,[1]Hugst!$R$5:$W$9,MATCH(ROUNDUP((AC$1)/10,0)*10,[1]Hugst!$R$4:$W$4,0))))</f>
        <v>0</v>
      </c>
      <c r="AD300">
        <f>IF($C300-AD$1&lt;År1,0,AC299*(1-VLOOKUP($A300,[1]Hugst!$R$5:$W$9,MATCH(ROUNDUP((AD$1)/10,0)*10,[1]Hugst!$R$4:$W$4,0))))</f>
        <v>0</v>
      </c>
      <c r="AE300">
        <f>IF($C300-AE$1&lt;År1,0,AD299*(1-VLOOKUP($A300,[1]Hugst!$R$5:$W$9,MATCH(ROUNDUP((AE$1)/10,0)*10,[1]Hugst!$R$4:$W$4,0))))</f>
        <v>0</v>
      </c>
      <c r="AF300">
        <f>IF($C300-AF$1&lt;År1,0,AE299*(1-VLOOKUP($A300,[1]Hugst!$R$5:$W$9,MATCH(ROUNDUP((AF$1)/10,0)*10,[1]Hugst!$R$4:$W$4,0))))</f>
        <v>0</v>
      </c>
      <c r="AG300">
        <f>IF($C300-AG$1&lt;År1,0,AF299*(1-VLOOKUP($A300,[1]Hugst!$R$5:$W$9,MATCH(ROUNDUP((AG$1)/10,0)*10,[1]Hugst!$R$4:$W$4,0))))</f>
        <v>0</v>
      </c>
      <c r="AH300">
        <f>IF($C300-AH$1&lt;År1,0,AG299*(1-VLOOKUP($A300,[1]Hugst!$R$5:$W$9,MATCH(ROUNDUP((AH$1)/10,0)*10,[1]Hugst!$R$4:$W$4,0))))</f>
        <v>0</v>
      </c>
      <c r="AI300">
        <f>IF($C300-AI$1&lt;År1,0,AH299*(1-VLOOKUP($A300,[1]Hugst!$R$5:$W$9,MATCH(ROUNDUP((AI$1)/10,0)*10,[1]Hugst!$R$4:$W$4,0))))</f>
        <v>0</v>
      </c>
      <c r="AJ300">
        <f>IF($C300-AJ$1&lt;År1,0,AI299*(1-VLOOKUP($A300,[1]Hugst!$R$5:$W$9,MATCH(ROUNDUP((AJ$1)/10,0)*10,[1]Hugst!$R$4:$W$4,0))))</f>
        <v>0</v>
      </c>
    </row>
    <row r="301" spans="1:36" x14ac:dyDescent="0.25">
      <c r="A301" t="s">
        <v>180</v>
      </c>
      <c r="B301" t="s">
        <v>24</v>
      </c>
      <c r="C301">
        <v>2040</v>
      </c>
      <c r="D301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345.59416306607818</v>
      </c>
      <c r="E301">
        <f t="shared" ca="1" si="7"/>
        <v>0</v>
      </c>
      <c r="F301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840.03860751052287</v>
      </c>
      <c r="G301">
        <f ca="1">IF($C301-G$1&lt;År1,0,F300*(1-VLOOKUP($A301,[1]Hugst!$R$5:$W$9,MATCH(ROUNDUP((G$1)/10,0)*10,[1]Hugst!$R$4:$W$4,0))))</f>
        <v>841.7752615962803</v>
      </c>
      <c r="H301">
        <f ca="1">IF($C301-H$1&lt;År1,0,G300*(1-VLOOKUP($A301,[1]Hugst!$R$5:$W$9,MATCH(ROUNDUP((H$1)/10,0)*10,[1]Hugst!$R$4:$W$4,0))))</f>
        <v>843.520642587005</v>
      </c>
      <c r="I301">
        <f ca="1">IF($C301-I$1&lt;År1,0,H300*(1-VLOOKUP($A301,[1]Hugst!$R$5:$W$9,MATCH(ROUNDUP((I$1)/10,0)*10,[1]Hugst!$R$4:$W$4,0))))</f>
        <v>845.27479433645874</v>
      </c>
      <c r="J301">
        <f ca="1">IF($C301-J$1&lt;År1,0,I300*(1-VLOOKUP($A301,[1]Hugst!$R$5:$W$9,MATCH(ROUNDUP((J$1)/10,0)*10,[1]Hugst!$R$4:$W$4,0))))</f>
        <v>847.03776091882662</v>
      </c>
      <c r="K301">
        <f ca="1">IF($C301-K$1&lt;År1,0,J300*(1-VLOOKUP($A301,[1]Hugst!$R$5:$W$9,MATCH(ROUNDUP((K$1)/10,0)*10,[1]Hugst!$R$4:$W$4,0))))</f>
        <v>848.80958662976116</v>
      </c>
      <c r="L301">
        <f ca="1">IF($C301-L$1&lt;År1,0,K300*(1-VLOOKUP($A301,[1]Hugst!$R$5:$W$9,MATCH(ROUNDUP((L$1)/10,0)*10,[1]Hugst!$R$4:$W$4,0))))</f>
        <v>850.59031598747094</v>
      </c>
      <c r="M301">
        <f ca="1">IF($C301-M$1&lt;År1,0,L300*(1-VLOOKUP($A301,[1]Hugst!$R$5:$W$9,MATCH(ROUNDUP((M$1)/10,0)*10,[1]Hugst!$R$4:$W$4,0))))</f>
        <v>852.37999373391574</v>
      </c>
      <c r="N301">
        <f ca="1">IF($C301-N$1&lt;År1,0,M300*(1-VLOOKUP($A301,[1]Hugst!$R$5:$W$9,MATCH(ROUNDUP((N$1)/10,0)*10,[1]Hugst!$R$4:$W$4,0))))</f>
        <v>854.17866483587784</v>
      </c>
      <c r="O301">
        <f ca="1">IF($C301-O$1&lt;År1,0,N300*(1-VLOOKUP($A301,[1]Hugst!$R$5:$W$9,MATCH(ROUNDUP((O$1)/10,0)*10,[1]Hugst!$R$4:$W$4,0))))</f>
        <v>855.98637448607258</v>
      </c>
      <c r="P301">
        <f ca="1">IF($C301-P$1&lt;År1,0,O300*(1-VLOOKUP($A301,[1]Hugst!$R$5:$W$9,MATCH(ROUNDUP((P$1)/10,0)*10,[1]Hugst!$R$4:$W$4,0))))</f>
        <v>1262.348622649846</v>
      </c>
      <c r="Q301">
        <f ca="1">IF($C301-Q$1&lt;År1,0,P300*(1-VLOOKUP($A301,[1]Hugst!$R$5:$W$9,MATCH(ROUNDUP((Q$1)/10,0)*10,[1]Hugst!$R$4:$W$4,0))))</f>
        <v>1264.1745458843091</v>
      </c>
      <c r="R301">
        <f ca="1">IF($C301-R$1&lt;År1,0,Q300*(1-VLOOKUP($A301,[1]Hugst!$R$5:$W$9,MATCH(ROUNDUP((R$1)/10,0)*10,[1]Hugst!$R$4:$W$4,0))))</f>
        <v>1266.0096446124242</v>
      </c>
      <c r="S301">
        <f ca="1">IF($C301-S$1&lt;År1,0,R300*(1-VLOOKUP($A301,[1]Hugst!$R$5:$W$9,MATCH(ROUNDUP((S$1)/10,0)*10,[1]Hugst!$R$4:$W$4,0))))</f>
        <v>1267.8539649421775</v>
      </c>
      <c r="T301">
        <f ca="1">IF($C301-T$1&lt;År1,0,S300*(1-VLOOKUP($A301,[1]Hugst!$R$5:$W$9,MATCH(ROUNDUP((T$1)/10,0)*10,[1]Hugst!$R$4:$W$4,0))))</f>
        <v>1269.7075532133128</v>
      </c>
      <c r="U301">
        <f ca="1">IF($C301-U$1&lt;År1,0,T300*(1-VLOOKUP($A301,[1]Hugst!$R$5:$W$9,MATCH(ROUNDUP((U$1)/10,0)*10,[1]Hugst!$R$4:$W$4,0))))</f>
        <v>1271.5704559983385</v>
      </c>
      <c r="V301">
        <f ca="1">IF($C301-V$1&lt;År1,0,U300*(1-VLOOKUP($A301,[1]Hugst!$R$5:$W$9,MATCH(ROUNDUP((V$1)/10,0)*10,[1]Hugst!$R$4:$W$4,0))))</f>
        <v>1273.4427201039146</v>
      </c>
      <c r="W301">
        <f ca="1">IF($C301-W$1&lt;År1,0,V300*(1-VLOOKUP($A301,[1]Hugst!$R$5:$W$9,MATCH(ROUNDUP((W$1)/10,0)*10,[1]Hugst!$R$4:$W$4,0))))</f>
        <v>1275.3243925718143</v>
      </c>
      <c r="X301">
        <f ca="1">IF($C301-X$1&lt;År1,0,W300*(1-VLOOKUP($A301,[1]Hugst!$R$5:$W$9,MATCH(ROUNDUP((X$1)/10,0)*10,[1]Hugst!$R$4:$W$4,0))))</f>
        <v>1277.2155206802759</v>
      </c>
      <c r="Y301">
        <f ca="1">IF($C301-Y$1&lt;År1,0,X300*(1-VLOOKUP($A301,[1]Hugst!$R$5:$W$9,MATCH(ROUNDUP((Y$1)/10,0)*10,[1]Hugst!$R$4:$W$4,0))))</f>
        <v>1279.1161519450502</v>
      </c>
      <c r="Z301">
        <f ca="1">IF($C301-Z$1&lt;År1,0,Y300*(1-VLOOKUP($A301,[1]Hugst!$R$5:$W$9,MATCH(ROUNDUP((Z$1)/10,0)*10,[1]Hugst!$R$4:$W$4,0))))</f>
        <v>1281.0263341207046</v>
      </c>
      <c r="AA301">
        <f>IF($C301-AA$1&lt;År1,0,Z300*(1-VLOOKUP($A301,[1]Hugst!$R$5:$W$9,MATCH(ROUNDUP((AA$1)/10,0)*10,[1]Hugst!$R$4:$W$4,0))))</f>
        <v>0</v>
      </c>
      <c r="AB301">
        <f>IF($C301-AB$1&lt;År1,0,AA300*(1-VLOOKUP($A301,[1]Hugst!$R$5:$W$9,MATCH(ROUNDUP((AB$1)/10,0)*10,[1]Hugst!$R$4:$W$4,0))))</f>
        <v>0</v>
      </c>
      <c r="AC301">
        <f>IF($C301-AC$1&lt;År1,0,AB300*(1-VLOOKUP($A301,[1]Hugst!$R$5:$W$9,MATCH(ROUNDUP((AC$1)/10,0)*10,[1]Hugst!$R$4:$W$4,0))))</f>
        <v>0</v>
      </c>
      <c r="AD301">
        <f>IF($C301-AD$1&lt;År1,0,AC300*(1-VLOOKUP($A301,[1]Hugst!$R$5:$W$9,MATCH(ROUNDUP((AD$1)/10,0)*10,[1]Hugst!$R$4:$W$4,0))))</f>
        <v>0</v>
      </c>
      <c r="AE301">
        <f>IF($C301-AE$1&lt;År1,0,AD300*(1-VLOOKUP($A301,[1]Hugst!$R$5:$W$9,MATCH(ROUNDUP((AE$1)/10,0)*10,[1]Hugst!$R$4:$W$4,0))))</f>
        <v>0</v>
      </c>
      <c r="AF301">
        <f>IF($C301-AF$1&lt;År1,0,AE300*(1-VLOOKUP($A301,[1]Hugst!$R$5:$W$9,MATCH(ROUNDUP((AF$1)/10,0)*10,[1]Hugst!$R$4:$W$4,0))))</f>
        <v>0</v>
      </c>
      <c r="AG301">
        <f>IF($C301-AG$1&lt;År1,0,AF300*(1-VLOOKUP($A301,[1]Hugst!$R$5:$W$9,MATCH(ROUNDUP((AG$1)/10,0)*10,[1]Hugst!$R$4:$W$4,0))))</f>
        <v>0</v>
      </c>
      <c r="AH301">
        <f>IF($C301-AH$1&lt;År1,0,AG300*(1-VLOOKUP($A301,[1]Hugst!$R$5:$W$9,MATCH(ROUNDUP((AH$1)/10,0)*10,[1]Hugst!$R$4:$W$4,0))))</f>
        <v>0</v>
      </c>
      <c r="AI301">
        <f>IF($C301-AI$1&lt;År1,0,AH300*(1-VLOOKUP($A301,[1]Hugst!$R$5:$W$9,MATCH(ROUNDUP((AI$1)/10,0)*10,[1]Hugst!$R$4:$W$4,0))))</f>
        <v>0</v>
      </c>
      <c r="AJ301">
        <f>IF($C301-AJ$1&lt;År1,0,AI300*(1-VLOOKUP($A301,[1]Hugst!$R$5:$W$9,MATCH(ROUNDUP((AJ$1)/10,0)*10,[1]Hugst!$R$4:$W$4,0))))</f>
        <v>0</v>
      </c>
    </row>
    <row r="302" spans="1:36" x14ac:dyDescent="0.25">
      <c r="A302" t="s">
        <v>180</v>
      </c>
      <c r="B302" t="s">
        <v>24</v>
      </c>
      <c r="C302">
        <v>2041</v>
      </c>
      <c r="D302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343.86619225075447</v>
      </c>
      <c r="E302">
        <f t="shared" ca="1" si="7"/>
        <v>0</v>
      </c>
      <c r="F302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838.31063669519915</v>
      </c>
      <c r="G302">
        <f ca="1">IF($C302-G$1&lt;År1,0,F301*(1-VLOOKUP($A302,[1]Hugst!$R$5:$W$9,MATCH(ROUNDUP((G$1)/10,0)*10,[1]Hugst!$R$4:$W$4,0))))</f>
        <v>840.03860751052287</v>
      </c>
      <c r="H302">
        <f ca="1">IF($C302-H$1&lt;År1,0,G301*(1-VLOOKUP($A302,[1]Hugst!$R$5:$W$9,MATCH(ROUNDUP((H$1)/10,0)*10,[1]Hugst!$R$4:$W$4,0))))</f>
        <v>841.7752615962803</v>
      </c>
      <c r="I302">
        <f ca="1">IF($C302-I$1&lt;År1,0,H301*(1-VLOOKUP($A302,[1]Hugst!$R$5:$W$9,MATCH(ROUNDUP((I$1)/10,0)*10,[1]Hugst!$R$4:$W$4,0))))</f>
        <v>843.520642587005</v>
      </c>
      <c r="J302">
        <f ca="1">IF($C302-J$1&lt;År1,0,I301*(1-VLOOKUP($A302,[1]Hugst!$R$5:$W$9,MATCH(ROUNDUP((J$1)/10,0)*10,[1]Hugst!$R$4:$W$4,0))))</f>
        <v>845.27479433645874</v>
      </c>
      <c r="K302">
        <f ca="1">IF($C302-K$1&lt;År1,0,J301*(1-VLOOKUP($A302,[1]Hugst!$R$5:$W$9,MATCH(ROUNDUP((K$1)/10,0)*10,[1]Hugst!$R$4:$W$4,0))))</f>
        <v>847.03776091882662</v>
      </c>
      <c r="L302">
        <f ca="1">IF($C302-L$1&lt;År1,0,K301*(1-VLOOKUP($A302,[1]Hugst!$R$5:$W$9,MATCH(ROUNDUP((L$1)/10,0)*10,[1]Hugst!$R$4:$W$4,0))))</f>
        <v>848.80958662976116</v>
      </c>
      <c r="M302">
        <f ca="1">IF($C302-M$1&lt;År1,0,L301*(1-VLOOKUP($A302,[1]Hugst!$R$5:$W$9,MATCH(ROUNDUP((M$1)/10,0)*10,[1]Hugst!$R$4:$W$4,0))))</f>
        <v>850.59031598747094</v>
      </c>
      <c r="N302">
        <f ca="1">IF($C302-N$1&lt;År1,0,M301*(1-VLOOKUP($A302,[1]Hugst!$R$5:$W$9,MATCH(ROUNDUP((N$1)/10,0)*10,[1]Hugst!$R$4:$W$4,0))))</f>
        <v>852.37999373391574</v>
      </c>
      <c r="O302">
        <f ca="1">IF($C302-O$1&lt;År1,0,N301*(1-VLOOKUP($A302,[1]Hugst!$R$5:$W$9,MATCH(ROUNDUP((O$1)/10,0)*10,[1]Hugst!$R$4:$W$4,0))))</f>
        <v>854.17866483587784</v>
      </c>
      <c r="P302">
        <f ca="1">IF($C302-P$1&lt;År1,0,O301*(1-VLOOKUP($A302,[1]Hugst!$R$5:$W$9,MATCH(ROUNDUP((P$1)/10,0)*10,[1]Hugst!$R$4:$W$4,0))))</f>
        <v>855.98637448607258</v>
      </c>
      <c r="Q302">
        <f ca="1">IF($C302-Q$1&lt;År1,0,P301*(1-VLOOKUP($A302,[1]Hugst!$R$5:$W$9,MATCH(ROUNDUP((Q$1)/10,0)*10,[1]Hugst!$R$4:$W$4,0))))</f>
        <v>1262.348622649846</v>
      </c>
      <c r="R302">
        <f ca="1">IF($C302-R$1&lt;År1,0,Q301*(1-VLOOKUP($A302,[1]Hugst!$R$5:$W$9,MATCH(ROUNDUP((R$1)/10,0)*10,[1]Hugst!$R$4:$W$4,0))))</f>
        <v>1264.1745458843091</v>
      </c>
      <c r="S302">
        <f ca="1">IF($C302-S$1&lt;År1,0,R301*(1-VLOOKUP($A302,[1]Hugst!$R$5:$W$9,MATCH(ROUNDUP((S$1)/10,0)*10,[1]Hugst!$R$4:$W$4,0))))</f>
        <v>1266.0096446124242</v>
      </c>
      <c r="T302">
        <f ca="1">IF($C302-T$1&lt;År1,0,S301*(1-VLOOKUP($A302,[1]Hugst!$R$5:$W$9,MATCH(ROUNDUP((T$1)/10,0)*10,[1]Hugst!$R$4:$W$4,0))))</f>
        <v>1267.8539649421775</v>
      </c>
      <c r="U302">
        <f ca="1">IF($C302-U$1&lt;År1,0,T301*(1-VLOOKUP($A302,[1]Hugst!$R$5:$W$9,MATCH(ROUNDUP((U$1)/10,0)*10,[1]Hugst!$R$4:$W$4,0))))</f>
        <v>1269.7075532133128</v>
      </c>
      <c r="V302">
        <f ca="1">IF($C302-V$1&lt;År1,0,U301*(1-VLOOKUP($A302,[1]Hugst!$R$5:$W$9,MATCH(ROUNDUP((V$1)/10,0)*10,[1]Hugst!$R$4:$W$4,0))))</f>
        <v>1271.5704559983385</v>
      </c>
      <c r="W302">
        <f ca="1">IF($C302-W$1&lt;År1,0,V301*(1-VLOOKUP($A302,[1]Hugst!$R$5:$W$9,MATCH(ROUNDUP((W$1)/10,0)*10,[1]Hugst!$R$4:$W$4,0))))</f>
        <v>1273.4427201039146</v>
      </c>
      <c r="X302">
        <f ca="1">IF($C302-X$1&lt;År1,0,W301*(1-VLOOKUP($A302,[1]Hugst!$R$5:$W$9,MATCH(ROUNDUP((X$1)/10,0)*10,[1]Hugst!$R$4:$W$4,0))))</f>
        <v>1275.3243925718143</v>
      </c>
      <c r="Y302">
        <f ca="1">IF($C302-Y$1&lt;År1,0,X301*(1-VLOOKUP($A302,[1]Hugst!$R$5:$W$9,MATCH(ROUNDUP((Y$1)/10,0)*10,[1]Hugst!$R$4:$W$4,0))))</f>
        <v>1277.2155206802759</v>
      </c>
      <c r="Z302">
        <f ca="1">IF($C302-Z$1&lt;År1,0,Y301*(1-VLOOKUP($A302,[1]Hugst!$R$5:$W$9,MATCH(ROUNDUP((Z$1)/10,0)*10,[1]Hugst!$R$4:$W$4,0))))</f>
        <v>1279.1161519450502</v>
      </c>
      <c r="AA302">
        <f ca="1">IF($C302-AA$1&lt;År1,0,Z301*(1-VLOOKUP($A302,[1]Hugst!$R$5:$W$9,MATCH(ROUNDUP((AA$1)/10,0)*10,[1]Hugst!$R$4:$W$4,0))))</f>
        <v>1281.0263341207046</v>
      </c>
      <c r="AB302">
        <f>IF($C302-AB$1&lt;År1,0,AA301*(1-VLOOKUP($A302,[1]Hugst!$R$5:$W$9,MATCH(ROUNDUP((AB$1)/10,0)*10,[1]Hugst!$R$4:$W$4,0))))</f>
        <v>0</v>
      </c>
      <c r="AC302">
        <f>IF($C302-AC$1&lt;År1,0,AB301*(1-VLOOKUP($A302,[1]Hugst!$R$5:$W$9,MATCH(ROUNDUP((AC$1)/10,0)*10,[1]Hugst!$R$4:$W$4,0))))</f>
        <v>0</v>
      </c>
      <c r="AD302">
        <f>IF($C302-AD$1&lt;År1,0,AC301*(1-VLOOKUP($A302,[1]Hugst!$R$5:$W$9,MATCH(ROUNDUP((AD$1)/10,0)*10,[1]Hugst!$R$4:$W$4,0))))</f>
        <v>0</v>
      </c>
      <c r="AE302">
        <f>IF($C302-AE$1&lt;År1,0,AD301*(1-VLOOKUP($A302,[1]Hugst!$R$5:$W$9,MATCH(ROUNDUP((AE$1)/10,0)*10,[1]Hugst!$R$4:$W$4,0))))</f>
        <v>0</v>
      </c>
      <c r="AF302">
        <f>IF($C302-AF$1&lt;År1,0,AE301*(1-VLOOKUP($A302,[1]Hugst!$R$5:$W$9,MATCH(ROUNDUP((AF$1)/10,0)*10,[1]Hugst!$R$4:$W$4,0))))</f>
        <v>0</v>
      </c>
      <c r="AG302">
        <f>IF($C302-AG$1&lt;År1,0,AF301*(1-VLOOKUP($A302,[1]Hugst!$R$5:$W$9,MATCH(ROUNDUP((AG$1)/10,0)*10,[1]Hugst!$R$4:$W$4,0))))</f>
        <v>0</v>
      </c>
      <c r="AH302">
        <f>IF($C302-AH$1&lt;År1,0,AG301*(1-VLOOKUP($A302,[1]Hugst!$R$5:$W$9,MATCH(ROUNDUP((AH$1)/10,0)*10,[1]Hugst!$R$4:$W$4,0))))</f>
        <v>0</v>
      </c>
      <c r="AI302">
        <f>IF($C302-AI$1&lt;År1,0,AH301*(1-VLOOKUP($A302,[1]Hugst!$R$5:$W$9,MATCH(ROUNDUP((AI$1)/10,0)*10,[1]Hugst!$R$4:$W$4,0))))</f>
        <v>0</v>
      </c>
      <c r="AJ302">
        <f>IF($C302-AJ$1&lt;År1,0,AI301*(1-VLOOKUP($A302,[1]Hugst!$R$5:$W$9,MATCH(ROUNDUP((AJ$1)/10,0)*10,[1]Hugst!$R$4:$W$4,0))))</f>
        <v>0</v>
      </c>
    </row>
    <row r="303" spans="1:36" x14ac:dyDescent="0.25">
      <c r="A303" t="s">
        <v>180</v>
      </c>
      <c r="B303" t="s">
        <v>24</v>
      </c>
      <c r="C303">
        <v>2042</v>
      </c>
      <c r="D303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342.14686128949688</v>
      </c>
      <c r="E303">
        <f t="shared" ca="1" si="7"/>
        <v>0</v>
      </c>
      <c r="F303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836.59130573394157</v>
      </c>
      <c r="G303">
        <f ca="1">IF($C303-G$1&lt;År1,0,F302*(1-VLOOKUP($A303,[1]Hugst!$R$5:$W$9,MATCH(ROUNDUP((G$1)/10,0)*10,[1]Hugst!$R$4:$W$4,0))))</f>
        <v>838.31063669519915</v>
      </c>
      <c r="H303">
        <f ca="1">IF($C303-H$1&lt;År1,0,G302*(1-VLOOKUP($A303,[1]Hugst!$R$5:$W$9,MATCH(ROUNDUP((H$1)/10,0)*10,[1]Hugst!$R$4:$W$4,0))))</f>
        <v>840.03860751052287</v>
      </c>
      <c r="I303">
        <f ca="1">IF($C303-I$1&lt;År1,0,H302*(1-VLOOKUP($A303,[1]Hugst!$R$5:$W$9,MATCH(ROUNDUP((I$1)/10,0)*10,[1]Hugst!$R$4:$W$4,0))))</f>
        <v>841.7752615962803</v>
      </c>
      <c r="J303">
        <f ca="1">IF($C303-J$1&lt;År1,0,I302*(1-VLOOKUP($A303,[1]Hugst!$R$5:$W$9,MATCH(ROUNDUP((J$1)/10,0)*10,[1]Hugst!$R$4:$W$4,0))))</f>
        <v>843.520642587005</v>
      </c>
      <c r="K303">
        <f ca="1">IF($C303-K$1&lt;År1,0,J302*(1-VLOOKUP($A303,[1]Hugst!$R$5:$W$9,MATCH(ROUNDUP((K$1)/10,0)*10,[1]Hugst!$R$4:$W$4,0))))</f>
        <v>845.27479433645874</v>
      </c>
      <c r="L303">
        <f ca="1">IF($C303-L$1&lt;År1,0,K302*(1-VLOOKUP($A303,[1]Hugst!$R$5:$W$9,MATCH(ROUNDUP((L$1)/10,0)*10,[1]Hugst!$R$4:$W$4,0))))</f>
        <v>847.03776091882662</v>
      </c>
      <c r="M303">
        <f ca="1">IF($C303-M$1&lt;År1,0,L302*(1-VLOOKUP($A303,[1]Hugst!$R$5:$W$9,MATCH(ROUNDUP((M$1)/10,0)*10,[1]Hugst!$R$4:$W$4,0))))</f>
        <v>848.80958662976116</v>
      </c>
      <c r="N303">
        <f ca="1">IF($C303-N$1&lt;År1,0,M302*(1-VLOOKUP($A303,[1]Hugst!$R$5:$W$9,MATCH(ROUNDUP((N$1)/10,0)*10,[1]Hugst!$R$4:$W$4,0))))</f>
        <v>850.59031598747094</v>
      </c>
      <c r="O303">
        <f ca="1">IF($C303-O$1&lt;År1,0,N302*(1-VLOOKUP($A303,[1]Hugst!$R$5:$W$9,MATCH(ROUNDUP((O$1)/10,0)*10,[1]Hugst!$R$4:$W$4,0))))</f>
        <v>852.37999373391574</v>
      </c>
      <c r="P303">
        <f ca="1">IF($C303-P$1&lt;År1,0,O302*(1-VLOOKUP($A303,[1]Hugst!$R$5:$W$9,MATCH(ROUNDUP((P$1)/10,0)*10,[1]Hugst!$R$4:$W$4,0))))</f>
        <v>854.17866483587784</v>
      </c>
      <c r="Q303">
        <f ca="1">IF($C303-Q$1&lt;År1,0,P302*(1-VLOOKUP($A303,[1]Hugst!$R$5:$W$9,MATCH(ROUNDUP((Q$1)/10,0)*10,[1]Hugst!$R$4:$W$4,0))))</f>
        <v>855.98637448607258</v>
      </c>
      <c r="R303">
        <f ca="1">IF($C303-R$1&lt;År1,0,Q302*(1-VLOOKUP($A303,[1]Hugst!$R$5:$W$9,MATCH(ROUNDUP((R$1)/10,0)*10,[1]Hugst!$R$4:$W$4,0))))</f>
        <v>1262.348622649846</v>
      </c>
      <c r="S303">
        <f ca="1">IF($C303-S$1&lt;År1,0,R302*(1-VLOOKUP($A303,[1]Hugst!$R$5:$W$9,MATCH(ROUNDUP((S$1)/10,0)*10,[1]Hugst!$R$4:$W$4,0))))</f>
        <v>1264.1745458843091</v>
      </c>
      <c r="T303">
        <f ca="1">IF($C303-T$1&lt;År1,0,S302*(1-VLOOKUP($A303,[1]Hugst!$R$5:$W$9,MATCH(ROUNDUP((T$1)/10,0)*10,[1]Hugst!$R$4:$W$4,0))))</f>
        <v>1266.0096446124242</v>
      </c>
      <c r="U303">
        <f ca="1">IF($C303-U$1&lt;År1,0,T302*(1-VLOOKUP($A303,[1]Hugst!$R$5:$W$9,MATCH(ROUNDUP((U$1)/10,0)*10,[1]Hugst!$R$4:$W$4,0))))</f>
        <v>1267.8539649421775</v>
      </c>
      <c r="V303">
        <f ca="1">IF($C303-V$1&lt;År1,0,U302*(1-VLOOKUP($A303,[1]Hugst!$R$5:$W$9,MATCH(ROUNDUP((V$1)/10,0)*10,[1]Hugst!$R$4:$W$4,0))))</f>
        <v>1269.7075532133128</v>
      </c>
      <c r="W303">
        <f ca="1">IF($C303-W$1&lt;År1,0,V302*(1-VLOOKUP($A303,[1]Hugst!$R$5:$W$9,MATCH(ROUNDUP((W$1)/10,0)*10,[1]Hugst!$R$4:$W$4,0))))</f>
        <v>1271.5704559983385</v>
      </c>
      <c r="X303">
        <f ca="1">IF($C303-X$1&lt;År1,0,W302*(1-VLOOKUP($A303,[1]Hugst!$R$5:$W$9,MATCH(ROUNDUP((X$1)/10,0)*10,[1]Hugst!$R$4:$W$4,0))))</f>
        <v>1273.4427201039146</v>
      </c>
      <c r="Y303">
        <f ca="1">IF($C303-Y$1&lt;År1,0,X302*(1-VLOOKUP($A303,[1]Hugst!$R$5:$W$9,MATCH(ROUNDUP((Y$1)/10,0)*10,[1]Hugst!$R$4:$W$4,0))))</f>
        <v>1275.3243925718143</v>
      </c>
      <c r="Z303">
        <f ca="1">IF($C303-Z$1&lt;År1,0,Y302*(1-VLOOKUP($A303,[1]Hugst!$R$5:$W$9,MATCH(ROUNDUP((Z$1)/10,0)*10,[1]Hugst!$R$4:$W$4,0))))</f>
        <v>1277.2155206802759</v>
      </c>
      <c r="AA303">
        <f ca="1">IF($C303-AA$1&lt;År1,0,Z302*(1-VLOOKUP($A303,[1]Hugst!$R$5:$W$9,MATCH(ROUNDUP((AA$1)/10,0)*10,[1]Hugst!$R$4:$W$4,0))))</f>
        <v>1279.1161519450502</v>
      </c>
      <c r="AB303">
        <f ca="1">IF($C303-AB$1&lt;År1,0,AA302*(1-VLOOKUP($A303,[1]Hugst!$R$5:$W$9,MATCH(ROUNDUP((AB$1)/10,0)*10,[1]Hugst!$R$4:$W$4,0))))</f>
        <v>1281.0263341207046</v>
      </c>
      <c r="AC303">
        <f>IF($C303-AC$1&lt;År1,0,AB302*(1-VLOOKUP($A303,[1]Hugst!$R$5:$W$9,MATCH(ROUNDUP((AC$1)/10,0)*10,[1]Hugst!$R$4:$W$4,0))))</f>
        <v>0</v>
      </c>
      <c r="AD303">
        <f>IF($C303-AD$1&lt;År1,0,AC302*(1-VLOOKUP($A303,[1]Hugst!$R$5:$W$9,MATCH(ROUNDUP((AD$1)/10,0)*10,[1]Hugst!$R$4:$W$4,0))))</f>
        <v>0</v>
      </c>
      <c r="AE303">
        <f>IF($C303-AE$1&lt;År1,0,AD302*(1-VLOOKUP($A303,[1]Hugst!$R$5:$W$9,MATCH(ROUNDUP((AE$1)/10,0)*10,[1]Hugst!$R$4:$W$4,0))))</f>
        <v>0</v>
      </c>
      <c r="AF303">
        <f>IF($C303-AF$1&lt;År1,0,AE302*(1-VLOOKUP($A303,[1]Hugst!$R$5:$W$9,MATCH(ROUNDUP((AF$1)/10,0)*10,[1]Hugst!$R$4:$W$4,0))))</f>
        <v>0</v>
      </c>
      <c r="AG303">
        <f>IF($C303-AG$1&lt;År1,0,AF302*(1-VLOOKUP($A303,[1]Hugst!$R$5:$W$9,MATCH(ROUNDUP((AG$1)/10,0)*10,[1]Hugst!$R$4:$W$4,0))))</f>
        <v>0</v>
      </c>
      <c r="AH303">
        <f>IF($C303-AH$1&lt;År1,0,AG302*(1-VLOOKUP($A303,[1]Hugst!$R$5:$W$9,MATCH(ROUNDUP((AH$1)/10,0)*10,[1]Hugst!$R$4:$W$4,0))))</f>
        <v>0</v>
      </c>
      <c r="AI303">
        <f>IF($C303-AI$1&lt;År1,0,AH302*(1-VLOOKUP($A303,[1]Hugst!$R$5:$W$9,MATCH(ROUNDUP((AI$1)/10,0)*10,[1]Hugst!$R$4:$W$4,0))))</f>
        <v>0</v>
      </c>
      <c r="AJ303">
        <f>IF($C303-AJ$1&lt;År1,0,AI302*(1-VLOOKUP($A303,[1]Hugst!$R$5:$W$9,MATCH(ROUNDUP((AJ$1)/10,0)*10,[1]Hugst!$R$4:$W$4,0))))</f>
        <v>0</v>
      </c>
    </row>
    <row r="304" spans="1:36" x14ac:dyDescent="0.25">
      <c r="A304" t="s">
        <v>180</v>
      </c>
      <c r="B304" t="s">
        <v>24</v>
      </c>
      <c r="C304">
        <v>2043</v>
      </c>
      <c r="D304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340.43612698305151</v>
      </c>
      <c r="E304">
        <f t="shared" ca="1" si="7"/>
        <v>0</v>
      </c>
      <c r="F304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834.88057142749619</v>
      </c>
      <c r="G304">
        <f ca="1">IF($C304-G$1&lt;År1,0,F303*(1-VLOOKUP($A304,[1]Hugst!$R$5:$W$9,MATCH(ROUNDUP((G$1)/10,0)*10,[1]Hugst!$R$4:$W$4,0))))</f>
        <v>836.59130573394157</v>
      </c>
      <c r="H304">
        <f ca="1">IF($C304-H$1&lt;År1,0,G303*(1-VLOOKUP($A304,[1]Hugst!$R$5:$W$9,MATCH(ROUNDUP((H$1)/10,0)*10,[1]Hugst!$R$4:$W$4,0))))</f>
        <v>838.31063669519915</v>
      </c>
      <c r="I304">
        <f ca="1">IF($C304-I$1&lt;År1,0,H303*(1-VLOOKUP($A304,[1]Hugst!$R$5:$W$9,MATCH(ROUNDUP((I$1)/10,0)*10,[1]Hugst!$R$4:$W$4,0))))</f>
        <v>840.03860751052287</v>
      </c>
      <c r="J304">
        <f ca="1">IF($C304-J$1&lt;År1,0,I303*(1-VLOOKUP($A304,[1]Hugst!$R$5:$W$9,MATCH(ROUNDUP((J$1)/10,0)*10,[1]Hugst!$R$4:$W$4,0))))</f>
        <v>841.7752615962803</v>
      </c>
      <c r="K304">
        <f ca="1">IF($C304-K$1&lt;År1,0,J303*(1-VLOOKUP($A304,[1]Hugst!$R$5:$W$9,MATCH(ROUNDUP((K$1)/10,0)*10,[1]Hugst!$R$4:$W$4,0))))</f>
        <v>843.520642587005</v>
      </c>
      <c r="L304">
        <f ca="1">IF($C304-L$1&lt;År1,0,K303*(1-VLOOKUP($A304,[1]Hugst!$R$5:$W$9,MATCH(ROUNDUP((L$1)/10,0)*10,[1]Hugst!$R$4:$W$4,0))))</f>
        <v>845.27479433645874</v>
      </c>
      <c r="M304">
        <f ca="1">IF($C304-M$1&lt;År1,0,L303*(1-VLOOKUP($A304,[1]Hugst!$R$5:$W$9,MATCH(ROUNDUP((M$1)/10,0)*10,[1]Hugst!$R$4:$W$4,0))))</f>
        <v>847.03776091882662</v>
      </c>
      <c r="N304">
        <f ca="1">IF($C304-N$1&lt;År1,0,M303*(1-VLOOKUP($A304,[1]Hugst!$R$5:$W$9,MATCH(ROUNDUP((N$1)/10,0)*10,[1]Hugst!$R$4:$W$4,0))))</f>
        <v>848.80958662976116</v>
      </c>
      <c r="O304">
        <f ca="1">IF($C304-O$1&lt;År1,0,N303*(1-VLOOKUP($A304,[1]Hugst!$R$5:$W$9,MATCH(ROUNDUP((O$1)/10,0)*10,[1]Hugst!$R$4:$W$4,0))))</f>
        <v>850.59031598747094</v>
      </c>
      <c r="P304">
        <f ca="1">IF($C304-P$1&lt;År1,0,O303*(1-VLOOKUP($A304,[1]Hugst!$R$5:$W$9,MATCH(ROUNDUP((P$1)/10,0)*10,[1]Hugst!$R$4:$W$4,0))))</f>
        <v>852.37999373391574</v>
      </c>
      <c r="Q304">
        <f ca="1">IF($C304-Q$1&lt;År1,0,P303*(1-VLOOKUP($A304,[1]Hugst!$R$5:$W$9,MATCH(ROUNDUP((Q$1)/10,0)*10,[1]Hugst!$R$4:$W$4,0))))</f>
        <v>854.17866483587784</v>
      </c>
      <c r="R304">
        <f ca="1">IF($C304-R$1&lt;År1,0,Q303*(1-VLOOKUP($A304,[1]Hugst!$R$5:$W$9,MATCH(ROUNDUP((R$1)/10,0)*10,[1]Hugst!$R$4:$W$4,0))))</f>
        <v>855.98637448607258</v>
      </c>
      <c r="S304">
        <f ca="1">IF($C304-S$1&lt;År1,0,R303*(1-VLOOKUP($A304,[1]Hugst!$R$5:$W$9,MATCH(ROUNDUP((S$1)/10,0)*10,[1]Hugst!$R$4:$W$4,0))))</f>
        <v>1262.348622649846</v>
      </c>
      <c r="T304">
        <f ca="1">IF($C304-T$1&lt;År1,0,S303*(1-VLOOKUP($A304,[1]Hugst!$R$5:$W$9,MATCH(ROUNDUP((T$1)/10,0)*10,[1]Hugst!$R$4:$W$4,0))))</f>
        <v>1264.1745458843091</v>
      </c>
      <c r="U304">
        <f ca="1">IF($C304-U$1&lt;År1,0,T303*(1-VLOOKUP($A304,[1]Hugst!$R$5:$W$9,MATCH(ROUNDUP((U$1)/10,0)*10,[1]Hugst!$R$4:$W$4,0))))</f>
        <v>1266.0096446124242</v>
      </c>
      <c r="V304">
        <f ca="1">IF($C304-V$1&lt;År1,0,U303*(1-VLOOKUP($A304,[1]Hugst!$R$5:$W$9,MATCH(ROUNDUP((V$1)/10,0)*10,[1]Hugst!$R$4:$W$4,0))))</f>
        <v>1267.8539649421775</v>
      </c>
      <c r="W304">
        <f ca="1">IF($C304-W$1&lt;År1,0,V303*(1-VLOOKUP($A304,[1]Hugst!$R$5:$W$9,MATCH(ROUNDUP((W$1)/10,0)*10,[1]Hugst!$R$4:$W$4,0))))</f>
        <v>1269.7075532133128</v>
      </c>
      <c r="X304">
        <f ca="1">IF($C304-X$1&lt;År1,0,W303*(1-VLOOKUP($A304,[1]Hugst!$R$5:$W$9,MATCH(ROUNDUP((X$1)/10,0)*10,[1]Hugst!$R$4:$W$4,0))))</f>
        <v>1271.5704559983385</v>
      </c>
      <c r="Y304">
        <f ca="1">IF($C304-Y$1&lt;År1,0,X303*(1-VLOOKUP($A304,[1]Hugst!$R$5:$W$9,MATCH(ROUNDUP((Y$1)/10,0)*10,[1]Hugst!$R$4:$W$4,0))))</f>
        <v>1273.4427201039146</v>
      </c>
      <c r="Z304">
        <f ca="1">IF($C304-Z$1&lt;År1,0,Y303*(1-VLOOKUP($A304,[1]Hugst!$R$5:$W$9,MATCH(ROUNDUP((Z$1)/10,0)*10,[1]Hugst!$R$4:$W$4,0))))</f>
        <v>1275.3243925718143</v>
      </c>
      <c r="AA304">
        <f ca="1">IF($C304-AA$1&lt;År1,0,Z303*(1-VLOOKUP($A304,[1]Hugst!$R$5:$W$9,MATCH(ROUNDUP((AA$1)/10,0)*10,[1]Hugst!$R$4:$W$4,0))))</f>
        <v>1277.2155206802759</v>
      </c>
      <c r="AB304">
        <f ca="1">IF($C304-AB$1&lt;År1,0,AA303*(1-VLOOKUP($A304,[1]Hugst!$R$5:$W$9,MATCH(ROUNDUP((AB$1)/10,0)*10,[1]Hugst!$R$4:$W$4,0))))</f>
        <v>1279.1161519450502</v>
      </c>
      <c r="AC304">
        <f ca="1">IF($C304-AC$1&lt;År1,0,AB303*(1-VLOOKUP($A304,[1]Hugst!$R$5:$W$9,MATCH(ROUNDUP((AC$1)/10,0)*10,[1]Hugst!$R$4:$W$4,0))))</f>
        <v>1281.0263341207046</v>
      </c>
      <c r="AD304">
        <f>IF($C304-AD$1&lt;År1,0,AC303*(1-VLOOKUP($A304,[1]Hugst!$R$5:$W$9,MATCH(ROUNDUP((AD$1)/10,0)*10,[1]Hugst!$R$4:$W$4,0))))</f>
        <v>0</v>
      </c>
      <c r="AE304">
        <f>IF($C304-AE$1&lt;År1,0,AD303*(1-VLOOKUP($A304,[1]Hugst!$R$5:$W$9,MATCH(ROUNDUP((AE$1)/10,0)*10,[1]Hugst!$R$4:$W$4,0))))</f>
        <v>0</v>
      </c>
      <c r="AF304">
        <f>IF($C304-AF$1&lt;År1,0,AE303*(1-VLOOKUP($A304,[1]Hugst!$R$5:$W$9,MATCH(ROUNDUP((AF$1)/10,0)*10,[1]Hugst!$R$4:$W$4,0))))</f>
        <v>0</v>
      </c>
      <c r="AG304">
        <f>IF($C304-AG$1&lt;År1,0,AF303*(1-VLOOKUP($A304,[1]Hugst!$R$5:$W$9,MATCH(ROUNDUP((AG$1)/10,0)*10,[1]Hugst!$R$4:$W$4,0))))</f>
        <v>0</v>
      </c>
      <c r="AH304">
        <f>IF($C304-AH$1&lt;År1,0,AG303*(1-VLOOKUP($A304,[1]Hugst!$R$5:$W$9,MATCH(ROUNDUP((AH$1)/10,0)*10,[1]Hugst!$R$4:$W$4,0))))</f>
        <v>0</v>
      </c>
      <c r="AI304">
        <f>IF($C304-AI$1&lt;År1,0,AH303*(1-VLOOKUP($A304,[1]Hugst!$R$5:$W$9,MATCH(ROUNDUP((AI$1)/10,0)*10,[1]Hugst!$R$4:$W$4,0))))</f>
        <v>0</v>
      </c>
      <c r="AJ304">
        <f>IF($C304-AJ$1&lt;År1,0,AI303*(1-VLOOKUP($A304,[1]Hugst!$R$5:$W$9,MATCH(ROUNDUP((AJ$1)/10,0)*10,[1]Hugst!$R$4:$W$4,0))))</f>
        <v>0</v>
      </c>
    </row>
    <row r="305" spans="1:36" x14ac:dyDescent="0.25">
      <c r="A305" t="s">
        <v>180</v>
      </c>
      <c r="B305" t="s">
        <v>24</v>
      </c>
      <c r="C305">
        <v>2044</v>
      </c>
      <c r="D305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338.73394634813121</v>
      </c>
      <c r="E305">
        <f t="shared" ca="1" si="7"/>
        <v>0</v>
      </c>
      <c r="F305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833.1783907925759</v>
      </c>
      <c r="G305">
        <f ca="1">IF($C305-G$1&lt;År1,0,F304*(1-VLOOKUP($A305,[1]Hugst!$R$5:$W$9,MATCH(ROUNDUP((G$1)/10,0)*10,[1]Hugst!$R$4:$W$4,0))))</f>
        <v>834.88057142749619</v>
      </c>
      <c r="H305">
        <f ca="1">IF($C305-H$1&lt;År1,0,G304*(1-VLOOKUP($A305,[1]Hugst!$R$5:$W$9,MATCH(ROUNDUP((H$1)/10,0)*10,[1]Hugst!$R$4:$W$4,0))))</f>
        <v>836.59130573394157</v>
      </c>
      <c r="I305">
        <f ca="1">IF($C305-I$1&lt;År1,0,H304*(1-VLOOKUP($A305,[1]Hugst!$R$5:$W$9,MATCH(ROUNDUP((I$1)/10,0)*10,[1]Hugst!$R$4:$W$4,0))))</f>
        <v>838.31063669519915</v>
      </c>
      <c r="J305">
        <f ca="1">IF($C305-J$1&lt;År1,0,I304*(1-VLOOKUP($A305,[1]Hugst!$R$5:$W$9,MATCH(ROUNDUP((J$1)/10,0)*10,[1]Hugst!$R$4:$W$4,0))))</f>
        <v>840.03860751052287</v>
      </c>
      <c r="K305">
        <f ca="1">IF($C305-K$1&lt;År1,0,J304*(1-VLOOKUP($A305,[1]Hugst!$R$5:$W$9,MATCH(ROUNDUP((K$1)/10,0)*10,[1]Hugst!$R$4:$W$4,0))))</f>
        <v>841.7752615962803</v>
      </c>
      <c r="L305">
        <f ca="1">IF($C305-L$1&lt;År1,0,K304*(1-VLOOKUP($A305,[1]Hugst!$R$5:$W$9,MATCH(ROUNDUP((L$1)/10,0)*10,[1]Hugst!$R$4:$W$4,0))))</f>
        <v>843.520642587005</v>
      </c>
      <c r="M305">
        <f ca="1">IF($C305-M$1&lt;År1,0,L304*(1-VLOOKUP($A305,[1]Hugst!$R$5:$W$9,MATCH(ROUNDUP((M$1)/10,0)*10,[1]Hugst!$R$4:$W$4,0))))</f>
        <v>845.27479433645874</v>
      </c>
      <c r="N305">
        <f ca="1">IF($C305-N$1&lt;År1,0,M304*(1-VLOOKUP($A305,[1]Hugst!$R$5:$W$9,MATCH(ROUNDUP((N$1)/10,0)*10,[1]Hugst!$R$4:$W$4,0))))</f>
        <v>847.03776091882662</v>
      </c>
      <c r="O305">
        <f ca="1">IF($C305-O$1&lt;År1,0,N304*(1-VLOOKUP($A305,[1]Hugst!$R$5:$W$9,MATCH(ROUNDUP((O$1)/10,0)*10,[1]Hugst!$R$4:$W$4,0))))</f>
        <v>848.80958662976116</v>
      </c>
      <c r="P305">
        <f ca="1">IF($C305-P$1&lt;År1,0,O304*(1-VLOOKUP($A305,[1]Hugst!$R$5:$W$9,MATCH(ROUNDUP((P$1)/10,0)*10,[1]Hugst!$R$4:$W$4,0))))</f>
        <v>850.59031598747094</v>
      </c>
      <c r="Q305">
        <f ca="1">IF($C305-Q$1&lt;År1,0,P304*(1-VLOOKUP($A305,[1]Hugst!$R$5:$W$9,MATCH(ROUNDUP((Q$1)/10,0)*10,[1]Hugst!$R$4:$W$4,0))))</f>
        <v>852.37999373391574</v>
      </c>
      <c r="R305">
        <f ca="1">IF($C305-R$1&lt;År1,0,Q304*(1-VLOOKUP($A305,[1]Hugst!$R$5:$W$9,MATCH(ROUNDUP((R$1)/10,0)*10,[1]Hugst!$R$4:$W$4,0))))</f>
        <v>854.17866483587784</v>
      </c>
      <c r="S305">
        <f ca="1">IF($C305-S$1&lt;År1,0,R304*(1-VLOOKUP($A305,[1]Hugst!$R$5:$W$9,MATCH(ROUNDUP((S$1)/10,0)*10,[1]Hugst!$R$4:$W$4,0))))</f>
        <v>855.98637448607258</v>
      </c>
      <c r="T305">
        <f ca="1">IF($C305-T$1&lt;År1,0,S304*(1-VLOOKUP($A305,[1]Hugst!$R$5:$W$9,MATCH(ROUNDUP((T$1)/10,0)*10,[1]Hugst!$R$4:$W$4,0))))</f>
        <v>1262.348622649846</v>
      </c>
      <c r="U305">
        <f ca="1">IF($C305-U$1&lt;År1,0,T304*(1-VLOOKUP($A305,[1]Hugst!$R$5:$W$9,MATCH(ROUNDUP((U$1)/10,0)*10,[1]Hugst!$R$4:$W$4,0))))</f>
        <v>1264.1745458843091</v>
      </c>
      <c r="V305">
        <f ca="1">IF($C305-V$1&lt;År1,0,U304*(1-VLOOKUP($A305,[1]Hugst!$R$5:$W$9,MATCH(ROUNDUP((V$1)/10,0)*10,[1]Hugst!$R$4:$W$4,0))))</f>
        <v>1266.0096446124242</v>
      </c>
      <c r="W305">
        <f ca="1">IF($C305-W$1&lt;År1,0,V304*(1-VLOOKUP($A305,[1]Hugst!$R$5:$W$9,MATCH(ROUNDUP((W$1)/10,0)*10,[1]Hugst!$R$4:$W$4,0))))</f>
        <v>1267.8539649421775</v>
      </c>
      <c r="X305">
        <f ca="1">IF($C305-X$1&lt;År1,0,W304*(1-VLOOKUP($A305,[1]Hugst!$R$5:$W$9,MATCH(ROUNDUP((X$1)/10,0)*10,[1]Hugst!$R$4:$W$4,0))))</f>
        <v>1269.7075532133128</v>
      </c>
      <c r="Y305">
        <f ca="1">IF($C305-Y$1&lt;År1,0,X304*(1-VLOOKUP($A305,[1]Hugst!$R$5:$W$9,MATCH(ROUNDUP((Y$1)/10,0)*10,[1]Hugst!$R$4:$W$4,0))))</f>
        <v>1271.5704559983385</v>
      </c>
      <c r="Z305">
        <f ca="1">IF($C305-Z$1&lt;År1,0,Y304*(1-VLOOKUP($A305,[1]Hugst!$R$5:$W$9,MATCH(ROUNDUP((Z$1)/10,0)*10,[1]Hugst!$R$4:$W$4,0))))</f>
        <v>1273.4427201039146</v>
      </c>
      <c r="AA305">
        <f ca="1">IF($C305-AA$1&lt;År1,0,Z304*(1-VLOOKUP($A305,[1]Hugst!$R$5:$W$9,MATCH(ROUNDUP((AA$1)/10,0)*10,[1]Hugst!$R$4:$W$4,0))))</f>
        <v>1275.3243925718143</v>
      </c>
      <c r="AB305">
        <f ca="1">IF($C305-AB$1&lt;År1,0,AA304*(1-VLOOKUP($A305,[1]Hugst!$R$5:$W$9,MATCH(ROUNDUP((AB$1)/10,0)*10,[1]Hugst!$R$4:$W$4,0))))</f>
        <v>1277.2155206802759</v>
      </c>
      <c r="AC305">
        <f ca="1">IF($C305-AC$1&lt;År1,0,AB304*(1-VLOOKUP($A305,[1]Hugst!$R$5:$W$9,MATCH(ROUNDUP((AC$1)/10,0)*10,[1]Hugst!$R$4:$W$4,0))))</f>
        <v>1279.1161519450502</v>
      </c>
      <c r="AD305">
        <f ca="1">IF($C305-AD$1&lt;År1,0,AC304*(1-VLOOKUP($A305,[1]Hugst!$R$5:$W$9,MATCH(ROUNDUP((AD$1)/10,0)*10,[1]Hugst!$R$4:$W$4,0))))</f>
        <v>1281.0263341207046</v>
      </c>
      <c r="AE305">
        <f>IF($C305-AE$1&lt;År1,0,AD304*(1-VLOOKUP($A305,[1]Hugst!$R$5:$W$9,MATCH(ROUNDUP((AE$1)/10,0)*10,[1]Hugst!$R$4:$W$4,0))))</f>
        <v>0</v>
      </c>
      <c r="AF305">
        <f>IF($C305-AF$1&lt;År1,0,AE304*(1-VLOOKUP($A305,[1]Hugst!$R$5:$W$9,MATCH(ROUNDUP((AF$1)/10,0)*10,[1]Hugst!$R$4:$W$4,0))))</f>
        <v>0</v>
      </c>
      <c r="AG305">
        <f>IF($C305-AG$1&lt;År1,0,AF304*(1-VLOOKUP($A305,[1]Hugst!$R$5:$W$9,MATCH(ROUNDUP((AG$1)/10,0)*10,[1]Hugst!$R$4:$W$4,0))))</f>
        <v>0</v>
      </c>
      <c r="AH305">
        <f>IF($C305-AH$1&lt;År1,0,AG304*(1-VLOOKUP($A305,[1]Hugst!$R$5:$W$9,MATCH(ROUNDUP((AH$1)/10,0)*10,[1]Hugst!$R$4:$W$4,0))))</f>
        <v>0</v>
      </c>
      <c r="AI305">
        <f>IF($C305-AI$1&lt;År1,0,AH304*(1-VLOOKUP($A305,[1]Hugst!$R$5:$W$9,MATCH(ROUNDUP((AI$1)/10,0)*10,[1]Hugst!$R$4:$W$4,0))))</f>
        <v>0</v>
      </c>
      <c r="AJ305">
        <f>IF($C305-AJ$1&lt;År1,0,AI304*(1-VLOOKUP($A305,[1]Hugst!$R$5:$W$9,MATCH(ROUNDUP((AJ$1)/10,0)*10,[1]Hugst!$R$4:$W$4,0))))</f>
        <v>0</v>
      </c>
    </row>
    <row r="306" spans="1:36" x14ac:dyDescent="0.25">
      <c r="A306" t="s">
        <v>180</v>
      </c>
      <c r="B306" t="s">
        <v>24</v>
      </c>
      <c r="C306">
        <v>2045</v>
      </c>
      <c r="D306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337.04027661639157</v>
      </c>
      <c r="E306">
        <f t="shared" ca="1" si="7"/>
        <v>0</v>
      </c>
      <c r="F306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831.48472106083625</v>
      </c>
      <c r="G306">
        <f ca="1">IF($C306-G$1&lt;År1,0,F305*(1-VLOOKUP($A306,[1]Hugst!$R$5:$W$9,MATCH(ROUNDUP((G$1)/10,0)*10,[1]Hugst!$R$4:$W$4,0))))</f>
        <v>833.1783907925759</v>
      </c>
      <c r="H306">
        <f ca="1">IF($C306-H$1&lt;År1,0,G305*(1-VLOOKUP($A306,[1]Hugst!$R$5:$W$9,MATCH(ROUNDUP((H$1)/10,0)*10,[1]Hugst!$R$4:$W$4,0))))</f>
        <v>834.88057142749619</v>
      </c>
      <c r="I306">
        <f ca="1">IF($C306-I$1&lt;År1,0,H305*(1-VLOOKUP($A306,[1]Hugst!$R$5:$W$9,MATCH(ROUNDUP((I$1)/10,0)*10,[1]Hugst!$R$4:$W$4,0))))</f>
        <v>836.59130573394157</v>
      </c>
      <c r="J306">
        <f ca="1">IF($C306-J$1&lt;År1,0,I305*(1-VLOOKUP($A306,[1]Hugst!$R$5:$W$9,MATCH(ROUNDUP((J$1)/10,0)*10,[1]Hugst!$R$4:$W$4,0))))</f>
        <v>838.31063669519915</v>
      </c>
      <c r="K306">
        <f ca="1">IF($C306-K$1&lt;År1,0,J305*(1-VLOOKUP($A306,[1]Hugst!$R$5:$W$9,MATCH(ROUNDUP((K$1)/10,0)*10,[1]Hugst!$R$4:$W$4,0))))</f>
        <v>840.03860751052287</v>
      </c>
      <c r="L306">
        <f ca="1">IF($C306-L$1&lt;År1,0,K305*(1-VLOOKUP($A306,[1]Hugst!$R$5:$W$9,MATCH(ROUNDUP((L$1)/10,0)*10,[1]Hugst!$R$4:$W$4,0))))</f>
        <v>841.7752615962803</v>
      </c>
      <c r="M306">
        <f ca="1">IF($C306-M$1&lt;År1,0,L305*(1-VLOOKUP($A306,[1]Hugst!$R$5:$W$9,MATCH(ROUNDUP((M$1)/10,0)*10,[1]Hugst!$R$4:$W$4,0))))</f>
        <v>843.520642587005</v>
      </c>
      <c r="N306">
        <f ca="1">IF($C306-N$1&lt;År1,0,M305*(1-VLOOKUP($A306,[1]Hugst!$R$5:$W$9,MATCH(ROUNDUP((N$1)/10,0)*10,[1]Hugst!$R$4:$W$4,0))))</f>
        <v>845.27479433645874</v>
      </c>
      <c r="O306">
        <f ca="1">IF($C306-O$1&lt;År1,0,N305*(1-VLOOKUP($A306,[1]Hugst!$R$5:$W$9,MATCH(ROUNDUP((O$1)/10,0)*10,[1]Hugst!$R$4:$W$4,0))))</f>
        <v>847.03776091882662</v>
      </c>
      <c r="P306">
        <f ca="1">IF($C306-P$1&lt;År1,0,O305*(1-VLOOKUP($A306,[1]Hugst!$R$5:$W$9,MATCH(ROUNDUP((P$1)/10,0)*10,[1]Hugst!$R$4:$W$4,0))))</f>
        <v>848.80958662976116</v>
      </c>
      <c r="Q306">
        <f ca="1">IF($C306-Q$1&lt;År1,0,P305*(1-VLOOKUP($A306,[1]Hugst!$R$5:$W$9,MATCH(ROUNDUP((Q$1)/10,0)*10,[1]Hugst!$R$4:$W$4,0))))</f>
        <v>850.59031598747094</v>
      </c>
      <c r="R306">
        <f ca="1">IF($C306-R$1&lt;År1,0,Q305*(1-VLOOKUP($A306,[1]Hugst!$R$5:$W$9,MATCH(ROUNDUP((R$1)/10,0)*10,[1]Hugst!$R$4:$W$4,0))))</f>
        <v>852.37999373391574</v>
      </c>
      <c r="S306">
        <f ca="1">IF($C306-S$1&lt;År1,0,R305*(1-VLOOKUP($A306,[1]Hugst!$R$5:$W$9,MATCH(ROUNDUP((S$1)/10,0)*10,[1]Hugst!$R$4:$W$4,0))))</f>
        <v>854.17866483587784</v>
      </c>
      <c r="T306">
        <f ca="1">IF($C306-T$1&lt;År1,0,S305*(1-VLOOKUP($A306,[1]Hugst!$R$5:$W$9,MATCH(ROUNDUP((T$1)/10,0)*10,[1]Hugst!$R$4:$W$4,0))))</f>
        <v>855.98637448607258</v>
      </c>
      <c r="U306">
        <f ca="1">IF($C306-U$1&lt;År1,0,T305*(1-VLOOKUP($A306,[1]Hugst!$R$5:$W$9,MATCH(ROUNDUP((U$1)/10,0)*10,[1]Hugst!$R$4:$W$4,0))))</f>
        <v>1262.348622649846</v>
      </c>
      <c r="V306">
        <f ca="1">IF($C306-V$1&lt;År1,0,U305*(1-VLOOKUP($A306,[1]Hugst!$R$5:$W$9,MATCH(ROUNDUP((V$1)/10,0)*10,[1]Hugst!$R$4:$W$4,0))))</f>
        <v>1264.1745458843091</v>
      </c>
      <c r="W306">
        <f ca="1">IF($C306-W$1&lt;År1,0,V305*(1-VLOOKUP($A306,[1]Hugst!$R$5:$W$9,MATCH(ROUNDUP((W$1)/10,0)*10,[1]Hugst!$R$4:$W$4,0))))</f>
        <v>1266.0096446124242</v>
      </c>
      <c r="X306">
        <f ca="1">IF($C306-X$1&lt;År1,0,W305*(1-VLOOKUP($A306,[1]Hugst!$R$5:$W$9,MATCH(ROUNDUP((X$1)/10,0)*10,[1]Hugst!$R$4:$W$4,0))))</f>
        <v>1267.8539649421775</v>
      </c>
      <c r="Y306">
        <f ca="1">IF($C306-Y$1&lt;År1,0,X305*(1-VLOOKUP($A306,[1]Hugst!$R$5:$W$9,MATCH(ROUNDUP((Y$1)/10,0)*10,[1]Hugst!$R$4:$W$4,0))))</f>
        <v>1269.7075532133128</v>
      </c>
      <c r="Z306">
        <f ca="1">IF($C306-Z$1&lt;År1,0,Y305*(1-VLOOKUP($A306,[1]Hugst!$R$5:$W$9,MATCH(ROUNDUP((Z$1)/10,0)*10,[1]Hugst!$R$4:$W$4,0))))</f>
        <v>1271.5704559983385</v>
      </c>
      <c r="AA306">
        <f ca="1">IF($C306-AA$1&lt;År1,0,Z305*(1-VLOOKUP($A306,[1]Hugst!$R$5:$W$9,MATCH(ROUNDUP((AA$1)/10,0)*10,[1]Hugst!$R$4:$W$4,0))))</f>
        <v>1273.4427201039146</v>
      </c>
      <c r="AB306">
        <f ca="1">IF($C306-AB$1&lt;År1,0,AA305*(1-VLOOKUP($A306,[1]Hugst!$R$5:$W$9,MATCH(ROUNDUP((AB$1)/10,0)*10,[1]Hugst!$R$4:$W$4,0))))</f>
        <v>1275.3243925718143</v>
      </c>
      <c r="AC306">
        <f ca="1">IF($C306-AC$1&lt;År1,0,AB305*(1-VLOOKUP($A306,[1]Hugst!$R$5:$W$9,MATCH(ROUNDUP((AC$1)/10,0)*10,[1]Hugst!$R$4:$W$4,0))))</f>
        <v>1277.2155206802759</v>
      </c>
      <c r="AD306">
        <f ca="1">IF($C306-AD$1&lt;År1,0,AC305*(1-VLOOKUP($A306,[1]Hugst!$R$5:$W$9,MATCH(ROUNDUP((AD$1)/10,0)*10,[1]Hugst!$R$4:$W$4,0))))</f>
        <v>1279.1161519450502</v>
      </c>
      <c r="AE306">
        <f ca="1">IF($C306-AE$1&lt;År1,0,AD305*(1-VLOOKUP($A306,[1]Hugst!$R$5:$W$9,MATCH(ROUNDUP((AE$1)/10,0)*10,[1]Hugst!$R$4:$W$4,0))))</f>
        <v>1281.0263341207046</v>
      </c>
      <c r="AF306">
        <f>IF($C306-AF$1&lt;År1,0,AE305*(1-VLOOKUP($A306,[1]Hugst!$R$5:$W$9,MATCH(ROUNDUP((AF$1)/10,0)*10,[1]Hugst!$R$4:$W$4,0))))</f>
        <v>0</v>
      </c>
      <c r="AG306">
        <f>IF($C306-AG$1&lt;År1,0,AF305*(1-VLOOKUP($A306,[1]Hugst!$R$5:$W$9,MATCH(ROUNDUP((AG$1)/10,0)*10,[1]Hugst!$R$4:$W$4,0))))</f>
        <v>0</v>
      </c>
      <c r="AH306">
        <f>IF($C306-AH$1&lt;År1,0,AG305*(1-VLOOKUP($A306,[1]Hugst!$R$5:$W$9,MATCH(ROUNDUP((AH$1)/10,0)*10,[1]Hugst!$R$4:$W$4,0))))</f>
        <v>0</v>
      </c>
      <c r="AI306">
        <f>IF($C306-AI$1&lt;År1,0,AH305*(1-VLOOKUP($A306,[1]Hugst!$R$5:$W$9,MATCH(ROUNDUP((AI$1)/10,0)*10,[1]Hugst!$R$4:$W$4,0))))</f>
        <v>0</v>
      </c>
      <c r="AJ306">
        <f>IF($C306-AJ$1&lt;År1,0,AI305*(1-VLOOKUP($A306,[1]Hugst!$R$5:$W$9,MATCH(ROUNDUP((AJ$1)/10,0)*10,[1]Hugst!$R$4:$W$4,0))))</f>
        <v>0</v>
      </c>
    </row>
    <row r="307" spans="1:36" x14ac:dyDescent="0.25">
      <c r="A307" t="s">
        <v>180</v>
      </c>
      <c r="B307" t="s">
        <v>24</v>
      </c>
      <c r="C307">
        <v>2046</v>
      </c>
      <c r="D307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335.35507523331944</v>
      </c>
      <c r="E307">
        <f t="shared" ca="1" si="7"/>
        <v>0</v>
      </c>
      <c r="F307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829.79951967776412</v>
      </c>
      <c r="G307">
        <f ca="1">IF($C307-G$1&lt;År1,0,F306*(1-VLOOKUP($A307,[1]Hugst!$R$5:$W$9,MATCH(ROUNDUP((G$1)/10,0)*10,[1]Hugst!$R$4:$W$4,0))))</f>
        <v>831.48472106083625</v>
      </c>
      <c r="H307">
        <f ca="1">IF($C307-H$1&lt;År1,0,G306*(1-VLOOKUP($A307,[1]Hugst!$R$5:$W$9,MATCH(ROUNDUP((H$1)/10,0)*10,[1]Hugst!$R$4:$W$4,0))))</f>
        <v>833.1783907925759</v>
      </c>
      <c r="I307">
        <f ca="1">IF($C307-I$1&lt;År1,0,H306*(1-VLOOKUP($A307,[1]Hugst!$R$5:$W$9,MATCH(ROUNDUP((I$1)/10,0)*10,[1]Hugst!$R$4:$W$4,0))))</f>
        <v>834.88057142749619</v>
      </c>
      <c r="J307">
        <f ca="1">IF($C307-J$1&lt;År1,0,I306*(1-VLOOKUP($A307,[1]Hugst!$R$5:$W$9,MATCH(ROUNDUP((J$1)/10,0)*10,[1]Hugst!$R$4:$W$4,0))))</f>
        <v>836.59130573394157</v>
      </c>
      <c r="K307">
        <f ca="1">IF($C307-K$1&lt;År1,0,J306*(1-VLOOKUP($A307,[1]Hugst!$R$5:$W$9,MATCH(ROUNDUP((K$1)/10,0)*10,[1]Hugst!$R$4:$W$4,0))))</f>
        <v>838.31063669519915</v>
      </c>
      <c r="L307">
        <f ca="1">IF($C307-L$1&lt;År1,0,K306*(1-VLOOKUP($A307,[1]Hugst!$R$5:$W$9,MATCH(ROUNDUP((L$1)/10,0)*10,[1]Hugst!$R$4:$W$4,0))))</f>
        <v>840.03860751052287</v>
      </c>
      <c r="M307">
        <f ca="1">IF($C307-M$1&lt;År1,0,L306*(1-VLOOKUP($A307,[1]Hugst!$R$5:$W$9,MATCH(ROUNDUP((M$1)/10,0)*10,[1]Hugst!$R$4:$W$4,0))))</f>
        <v>841.7752615962803</v>
      </c>
      <c r="N307">
        <f ca="1">IF($C307-N$1&lt;År1,0,M306*(1-VLOOKUP($A307,[1]Hugst!$R$5:$W$9,MATCH(ROUNDUP((N$1)/10,0)*10,[1]Hugst!$R$4:$W$4,0))))</f>
        <v>843.520642587005</v>
      </c>
      <c r="O307">
        <f ca="1">IF($C307-O$1&lt;År1,0,N306*(1-VLOOKUP($A307,[1]Hugst!$R$5:$W$9,MATCH(ROUNDUP((O$1)/10,0)*10,[1]Hugst!$R$4:$W$4,0))))</f>
        <v>845.27479433645874</v>
      </c>
      <c r="P307">
        <f ca="1">IF($C307-P$1&lt;År1,0,O306*(1-VLOOKUP($A307,[1]Hugst!$R$5:$W$9,MATCH(ROUNDUP((P$1)/10,0)*10,[1]Hugst!$R$4:$W$4,0))))</f>
        <v>847.03776091882662</v>
      </c>
      <c r="Q307">
        <f ca="1">IF($C307-Q$1&lt;År1,0,P306*(1-VLOOKUP($A307,[1]Hugst!$R$5:$W$9,MATCH(ROUNDUP((Q$1)/10,0)*10,[1]Hugst!$R$4:$W$4,0))))</f>
        <v>848.80958662976116</v>
      </c>
      <c r="R307">
        <f ca="1">IF($C307-R$1&lt;År1,0,Q306*(1-VLOOKUP($A307,[1]Hugst!$R$5:$W$9,MATCH(ROUNDUP((R$1)/10,0)*10,[1]Hugst!$R$4:$W$4,0))))</f>
        <v>850.59031598747094</v>
      </c>
      <c r="S307">
        <f ca="1">IF($C307-S$1&lt;År1,0,R306*(1-VLOOKUP($A307,[1]Hugst!$R$5:$W$9,MATCH(ROUNDUP((S$1)/10,0)*10,[1]Hugst!$R$4:$W$4,0))))</f>
        <v>852.37999373391574</v>
      </c>
      <c r="T307">
        <f ca="1">IF($C307-T$1&lt;År1,0,S306*(1-VLOOKUP($A307,[1]Hugst!$R$5:$W$9,MATCH(ROUNDUP((T$1)/10,0)*10,[1]Hugst!$R$4:$W$4,0))))</f>
        <v>854.17866483587784</v>
      </c>
      <c r="U307">
        <f ca="1">IF($C307-U$1&lt;År1,0,T306*(1-VLOOKUP($A307,[1]Hugst!$R$5:$W$9,MATCH(ROUNDUP((U$1)/10,0)*10,[1]Hugst!$R$4:$W$4,0))))</f>
        <v>855.98637448607258</v>
      </c>
      <c r="V307">
        <f ca="1">IF($C307-V$1&lt;År1,0,U306*(1-VLOOKUP($A307,[1]Hugst!$R$5:$W$9,MATCH(ROUNDUP((V$1)/10,0)*10,[1]Hugst!$R$4:$W$4,0))))</f>
        <v>1262.348622649846</v>
      </c>
      <c r="W307">
        <f ca="1">IF($C307-W$1&lt;År1,0,V306*(1-VLOOKUP($A307,[1]Hugst!$R$5:$W$9,MATCH(ROUNDUP((W$1)/10,0)*10,[1]Hugst!$R$4:$W$4,0))))</f>
        <v>1264.1745458843091</v>
      </c>
      <c r="X307">
        <f ca="1">IF($C307-X$1&lt;År1,0,W306*(1-VLOOKUP($A307,[1]Hugst!$R$5:$W$9,MATCH(ROUNDUP((X$1)/10,0)*10,[1]Hugst!$R$4:$W$4,0))))</f>
        <v>1266.0096446124242</v>
      </c>
      <c r="Y307">
        <f ca="1">IF($C307-Y$1&lt;År1,0,X306*(1-VLOOKUP($A307,[1]Hugst!$R$5:$W$9,MATCH(ROUNDUP((Y$1)/10,0)*10,[1]Hugst!$R$4:$W$4,0))))</f>
        <v>1267.8539649421775</v>
      </c>
      <c r="Z307">
        <f ca="1">IF($C307-Z$1&lt;År1,0,Y306*(1-VLOOKUP($A307,[1]Hugst!$R$5:$W$9,MATCH(ROUNDUP((Z$1)/10,0)*10,[1]Hugst!$R$4:$W$4,0))))</f>
        <v>1269.7075532133128</v>
      </c>
      <c r="AA307">
        <f ca="1">IF($C307-AA$1&lt;År1,0,Z306*(1-VLOOKUP($A307,[1]Hugst!$R$5:$W$9,MATCH(ROUNDUP((AA$1)/10,0)*10,[1]Hugst!$R$4:$W$4,0))))</f>
        <v>1271.5704559983385</v>
      </c>
      <c r="AB307">
        <f ca="1">IF($C307-AB$1&lt;År1,0,AA306*(1-VLOOKUP($A307,[1]Hugst!$R$5:$W$9,MATCH(ROUNDUP((AB$1)/10,0)*10,[1]Hugst!$R$4:$W$4,0))))</f>
        <v>1273.4427201039146</v>
      </c>
      <c r="AC307">
        <f ca="1">IF($C307-AC$1&lt;År1,0,AB306*(1-VLOOKUP($A307,[1]Hugst!$R$5:$W$9,MATCH(ROUNDUP((AC$1)/10,0)*10,[1]Hugst!$R$4:$W$4,0))))</f>
        <v>1275.3243925718143</v>
      </c>
      <c r="AD307">
        <f ca="1">IF($C307-AD$1&lt;År1,0,AC306*(1-VLOOKUP($A307,[1]Hugst!$R$5:$W$9,MATCH(ROUNDUP((AD$1)/10,0)*10,[1]Hugst!$R$4:$W$4,0))))</f>
        <v>1277.2155206802759</v>
      </c>
      <c r="AE307">
        <f ca="1">IF($C307-AE$1&lt;År1,0,AD306*(1-VLOOKUP($A307,[1]Hugst!$R$5:$W$9,MATCH(ROUNDUP((AE$1)/10,0)*10,[1]Hugst!$R$4:$W$4,0))))</f>
        <v>1279.1161519450502</v>
      </c>
      <c r="AF307">
        <f ca="1">IF($C307-AF$1&lt;År1,0,AE306*(1-VLOOKUP($A307,[1]Hugst!$R$5:$W$9,MATCH(ROUNDUP((AF$1)/10,0)*10,[1]Hugst!$R$4:$W$4,0))))</f>
        <v>1281.0263341207046</v>
      </c>
      <c r="AG307">
        <f>IF($C307-AG$1&lt;År1,0,AF306*(1-VLOOKUP($A307,[1]Hugst!$R$5:$W$9,MATCH(ROUNDUP((AG$1)/10,0)*10,[1]Hugst!$R$4:$W$4,0))))</f>
        <v>0</v>
      </c>
      <c r="AH307">
        <f>IF($C307-AH$1&lt;År1,0,AG306*(1-VLOOKUP($A307,[1]Hugst!$R$5:$W$9,MATCH(ROUNDUP((AH$1)/10,0)*10,[1]Hugst!$R$4:$W$4,0))))</f>
        <v>0</v>
      </c>
      <c r="AI307">
        <f>IF($C307-AI$1&lt;År1,0,AH306*(1-VLOOKUP($A307,[1]Hugst!$R$5:$W$9,MATCH(ROUNDUP((AI$1)/10,0)*10,[1]Hugst!$R$4:$W$4,0))))</f>
        <v>0</v>
      </c>
      <c r="AJ307">
        <f>IF($C307-AJ$1&lt;År1,0,AI306*(1-VLOOKUP($A307,[1]Hugst!$R$5:$W$9,MATCH(ROUNDUP((AJ$1)/10,0)*10,[1]Hugst!$R$4:$W$4,0))))</f>
        <v>0</v>
      </c>
    </row>
    <row r="308" spans="1:36" x14ac:dyDescent="0.25">
      <c r="A308" t="s">
        <v>180</v>
      </c>
      <c r="B308" t="s">
        <v>24</v>
      </c>
      <c r="C308">
        <v>2047</v>
      </c>
      <c r="D30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333.67829985713252</v>
      </c>
      <c r="E308">
        <f t="shared" ca="1" si="7"/>
        <v>0</v>
      </c>
      <c r="F30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828.1227443015772</v>
      </c>
      <c r="G308">
        <f ca="1">IF($C308-G$1&lt;År1,0,F307*(1-VLOOKUP($A308,[1]Hugst!$R$5:$W$9,MATCH(ROUNDUP((G$1)/10,0)*10,[1]Hugst!$R$4:$W$4,0))))</f>
        <v>829.79951967776412</v>
      </c>
      <c r="H308">
        <f ca="1">IF($C308-H$1&lt;År1,0,G307*(1-VLOOKUP($A308,[1]Hugst!$R$5:$W$9,MATCH(ROUNDUP((H$1)/10,0)*10,[1]Hugst!$R$4:$W$4,0))))</f>
        <v>831.48472106083625</v>
      </c>
      <c r="I308">
        <f ca="1">IF($C308-I$1&lt;År1,0,H307*(1-VLOOKUP($A308,[1]Hugst!$R$5:$W$9,MATCH(ROUNDUP((I$1)/10,0)*10,[1]Hugst!$R$4:$W$4,0))))</f>
        <v>833.1783907925759</v>
      </c>
      <c r="J308">
        <f ca="1">IF($C308-J$1&lt;År1,0,I307*(1-VLOOKUP($A308,[1]Hugst!$R$5:$W$9,MATCH(ROUNDUP((J$1)/10,0)*10,[1]Hugst!$R$4:$W$4,0))))</f>
        <v>834.88057142749619</v>
      </c>
      <c r="K308">
        <f ca="1">IF($C308-K$1&lt;År1,0,J307*(1-VLOOKUP($A308,[1]Hugst!$R$5:$W$9,MATCH(ROUNDUP((K$1)/10,0)*10,[1]Hugst!$R$4:$W$4,0))))</f>
        <v>836.59130573394157</v>
      </c>
      <c r="L308">
        <f ca="1">IF($C308-L$1&lt;År1,0,K307*(1-VLOOKUP($A308,[1]Hugst!$R$5:$W$9,MATCH(ROUNDUP((L$1)/10,0)*10,[1]Hugst!$R$4:$W$4,0))))</f>
        <v>838.31063669519915</v>
      </c>
      <c r="M308">
        <f ca="1">IF($C308-M$1&lt;År1,0,L307*(1-VLOOKUP($A308,[1]Hugst!$R$5:$W$9,MATCH(ROUNDUP((M$1)/10,0)*10,[1]Hugst!$R$4:$W$4,0))))</f>
        <v>840.03860751052287</v>
      </c>
      <c r="N308">
        <f ca="1">IF($C308-N$1&lt;År1,0,M307*(1-VLOOKUP($A308,[1]Hugst!$R$5:$W$9,MATCH(ROUNDUP((N$1)/10,0)*10,[1]Hugst!$R$4:$W$4,0))))</f>
        <v>841.7752615962803</v>
      </c>
      <c r="O308">
        <f ca="1">IF($C308-O$1&lt;År1,0,N307*(1-VLOOKUP($A308,[1]Hugst!$R$5:$W$9,MATCH(ROUNDUP((O$1)/10,0)*10,[1]Hugst!$R$4:$W$4,0))))</f>
        <v>843.520642587005</v>
      </c>
      <c r="P308">
        <f ca="1">IF($C308-P$1&lt;År1,0,O307*(1-VLOOKUP($A308,[1]Hugst!$R$5:$W$9,MATCH(ROUNDUP((P$1)/10,0)*10,[1]Hugst!$R$4:$W$4,0))))</f>
        <v>845.27479433645874</v>
      </c>
      <c r="Q308">
        <f ca="1">IF($C308-Q$1&lt;År1,0,P307*(1-VLOOKUP($A308,[1]Hugst!$R$5:$W$9,MATCH(ROUNDUP((Q$1)/10,0)*10,[1]Hugst!$R$4:$W$4,0))))</f>
        <v>847.03776091882662</v>
      </c>
      <c r="R308">
        <f ca="1">IF($C308-R$1&lt;År1,0,Q307*(1-VLOOKUP($A308,[1]Hugst!$R$5:$W$9,MATCH(ROUNDUP((R$1)/10,0)*10,[1]Hugst!$R$4:$W$4,0))))</f>
        <v>848.80958662976116</v>
      </c>
      <c r="S308">
        <f ca="1">IF($C308-S$1&lt;År1,0,R307*(1-VLOOKUP($A308,[1]Hugst!$R$5:$W$9,MATCH(ROUNDUP((S$1)/10,0)*10,[1]Hugst!$R$4:$W$4,0))))</f>
        <v>850.59031598747094</v>
      </c>
      <c r="T308">
        <f ca="1">IF($C308-T$1&lt;År1,0,S307*(1-VLOOKUP($A308,[1]Hugst!$R$5:$W$9,MATCH(ROUNDUP((T$1)/10,0)*10,[1]Hugst!$R$4:$W$4,0))))</f>
        <v>852.37999373391574</v>
      </c>
      <c r="U308">
        <f ca="1">IF($C308-U$1&lt;År1,0,T307*(1-VLOOKUP($A308,[1]Hugst!$R$5:$W$9,MATCH(ROUNDUP((U$1)/10,0)*10,[1]Hugst!$R$4:$W$4,0))))</f>
        <v>854.17866483587784</v>
      </c>
      <c r="V308">
        <f ca="1">IF($C308-V$1&lt;År1,0,U307*(1-VLOOKUP($A308,[1]Hugst!$R$5:$W$9,MATCH(ROUNDUP((V$1)/10,0)*10,[1]Hugst!$R$4:$W$4,0))))</f>
        <v>855.98637448607258</v>
      </c>
      <c r="W308">
        <f ca="1">IF($C308-W$1&lt;År1,0,V307*(1-VLOOKUP($A308,[1]Hugst!$R$5:$W$9,MATCH(ROUNDUP((W$1)/10,0)*10,[1]Hugst!$R$4:$W$4,0))))</f>
        <v>1262.348622649846</v>
      </c>
      <c r="X308">
        <f ca="1">IF($C308-X$1&lt;År1,0,W307*(1-VLOOKUP($A308,[1]Hugst!$R$5:$W$9,MATCH(ROUNDUP((X$1)/10,0)*10,[1]Hugst!$R$4:$W$4,0))))</f>
        <v>1264.1745458843091</v>
      </c>
      <c r="Y308">
        <f ca="1">IF($C308-Y$1&lt;År1,0,X307*(1-VLOOKUP($A308,[1]Hugst!$R$5:$W$9,MATCH(ROUNDUP((Y$1)/10,0)*10,[1]Hugst!$R$4:$W$4,0))))</f>
        <v>1266.0096446124242</v>
      </c>
      <c r="Z308">
        <f ca="1">IF($C308-Z$1&lt;År1,0,Y307*(1-VLOOKUP($A308,[1]Hugst!$R$5:$W$9,MATCH(ROUNDUP((Z$1)/10,0)*10,[1]Hugst!$R$4:$W$4,0))))</f>
        <v>1267.8539649421775</v>
      </c>
      <c r="AA308">
        <f ca="1">IF($C308-AA$1&lt;År1,0,Z307*(1-VLOOKUP($A308,[1]Hugst!$R$5:$W$9,MATCH(ROUNDUP((AA$1)/10,0)*10,[1]Hugst!$R$4:$W$4,0))))</f>
        <v>1269.7075532133128</v>
      </c>
      <c r="AB308">
        <f ca="1">IF($C308-AB$1&lt;År1,0,AA307*(1-VLOOKUP($A308,[1]Hugst!$R$5:$W$9,MATCH(ROUNDUP((AB$1)/10,0)*10,[1]Hugst!$R$4:$W$4,0))))</f>
        <v>1271.5704559983385</v>
      </c>
      <c r="AC308">
        <f ca="1">IF($C308-AC$1&lt;År1,0,AB307*(1-VLOOKUP($A308,[1]Hugst!$R$5:$W$9,MATCH(ROUNDUP((AC$1)/10,0)*10,[1]Hugst!$R$4:$W$4,0))))</f>
        <v>1273.4427201039146</v>
      </c>
      <c r="AD308">
        <f ca="1">IF($C308-AD$1&lt;År1,0,AC307*(1-VLOOKUP($A308,[1]Hugst!$R$5:$W$9,MATCH(ROUNDUP((AD$1)/10,0)*10,[1]Hugst!$R$4:$W$4,0))))</f>
        <v>1275.3243925718143</v>
      </c>
      <c r="AE308">
        <f ca="1">IF($C308-AE$1&lt;År1,0,AD307*(1-VLOOKUP($A308,[1]Hugst!$R$5:$W$9,MATCH(ROUNDUP((AE$1)/10,0)*10,[1]Hugst!$R$4:$W$4,0))))</f>
        <v>1277.2155206802759</v>
      </c>
      <c r="AF308">
        <f ca="1">IF($C308-AF$1&lt;År1,0,AE307*(1-VLOOKUP($A308,[1]Hugst!$R$5:$W$9,MATCH(ROUNDUP((AF$1)/10,0)*10,[1]Hugst!$R$4:$W$4,0))))</f>
        <v>1279.1161519450502</v>
      </c>
      <c r="AG308">
        <f ca="1">IF($C308-AG$1&lt;År1,0,AF307*(1-VLOOKUP($A308,[1]Hugst!$R$5:$W$9,MATCH(ROUNDUP((AG$1)/10,0)*10,[1]Hugst!$R$4:$W$4,0))))</f>
        <v>1281.0263341207046</v>
      </c>
      <c r="AH308">
        <f>IF($C308-AH$1&lt;År1,0,AG307*(1-VLOOKUP($A308,[1]Hugst!$R$5:$W$9,MATCH(ROUNDUP((AH$1)/10,0)*10,[1]Hugst!$R$4:$W$4,0))))</f>
        <v>0</v>
      </c>
      <c r="AI308">
        <f>IF($C308-AI$1&lt;År1,0,AH307*(1-VLOOKUP($A308,[1]Hugst!$R$5:$W$9,MATCH(ROUNDUP((AI$1)/10,0)*10,[1]Hugst!$R$4:$W$4,0))))</f>
        <v>0</v>
      </c>
      <c r="AJ308">
        <f>IF($C308-AJ$1&lt;År1,0,AI307*(1-VLOOKUP($A308,[1]Hugst!$R$5:$W$9,MATCH(ROUNDUP((AJ$1)/10,0)*10,[1]Hugst!$R$4:$W$4,0))))</f>
        <v>0</v>
      </c>
    </row>
    <row r="309" spans="1:36" x14ac:dyDescent="0.25">
      <c r="A309" t="s">
        <v>180</v>
      </c>
      <c r="B309" t="s">
        <v>24</v>
      </c>
      <c r="C309">
        <v>2048</v>
      </c>
      <c r="D309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332.00990835785342</v>
      </c>
      <c r="E309">
        <f t="shared" ca="1" si="7"/>
        <v>0</v>
      </c>
      <c r="F30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826.4543528022981</v>
      </c>
      <c r="G309">
        <f ca="1">IF($C309-G$1&lt;År1,0,F308*(1-VLOOKUP($A309,[1]Hugst!$R$5:$W$9,MATCH(ROUNDUP((G$1)/10,0)*10,[1]Hugst!$R$4:$W$4,0))))</f>
        <v>828.1227443015772</v>
      </c>
      <c r="H309">
        <f ca="1">IF($C309-H$1&lt;År1,0,G308*(1-VLOOKUP($A309,[1]Hugst!$R$5:$W$9,MATCH(ROUNDUP((H$1)/10,0)*10,[1]Hugst!$R$4:$W$4,0))))</f>
        <v>829.79951967776412</v>
      </c>
      <c r="I309">
        <f ca="1">IF($C309-I$1&lt;År1,0,H308*(1-VLOOKUP($A309,[1]Hugst!$R$5:$W$9,MATCH(ROUNDUP((I$1)/10,0)*10,[1]Hugst!$R$4:$W$4,0))))</f>
        <v>831.48472106083625</v>
      </c>
      <c r="J309">
        <f ca="1">IF($C309-J$1&lt;År1,0,I308*(1-VLOOKUP($A309,[1]Hugst!$R$5:$W$9,MATCH(ROUNDUP((J$1)/10,0)*10,[1]Hugst!$R$4:$W$4,0))))</f>
        <v>833.1783907925759</v>
      </c>
      <c r="K309">
        <f ca="1">IF($C309-K$1&lt;År1,0,J308*(1-VLOOKUP($A309,[1]Hugst!$R$5:$W$9,MATCH(ROUNDUP((K$1)/10,0)*10,[1]Hugst!$R$4:$W$4,0))))</f>
        <v>834.88057142749619</v>
      </c>
      <c r="L309">
        <f ca="1">IF($C309-L$1&lt;År1,0,K308*(1-VLOOKUP($A309,[1]Hugst!$R$5:$W$9,MATCH(ROUNDUP((L$1)/10,0)*10,[1]Hugst!$R$4:$W$4,0))))</f>
        <v>836.59130573394157</v>
      </c>
      <c r="M309">
        <f ca="1">IF($C309-M$1&lt;År1,0,L308*(1-VLOOKUP($A309,[1]Hugst!$R$5:$W$9,MATCH(ROUNDUP((M$1)/10,0)*10,[1]Hugst!$R$4:$W$4,0))))</f>
        <v>838.31063669519915</v>
      </c>
      <c r="N309">
        <f ca="1">IF($C309-N$1&lt;År1,0,M308*(1-VLOOKUP($A309,[1]Hugst!$R$5:$W$9,MATCH(ROUNDUP((N$1)/10,0)*10,[1]Hugst!$R$4:$W$4,0))))</f>
        <v>840.03860751052287</v>
      </c>
      <c r="O309">
        <f ca="1">IF($C309-O$1&lt;År1,0,N308*(1-VLOOKUP($A309,[1]Hugst!$R$5:$W$9,MATCH(ROUNDUP((O$1)/10,0)*10,[1]Hugst!$R$4:$W$4,0))))</f>
        <v>841.7752615962803</v>
      </c>
      <c r="P309">
        <f ca="1">IF($C309-P$1&lt;År1,0,O308*(1-VLOOKUP($A309,[1]Hugst!$R$5:$W$9,MATCH(ROUNDUP((P$1)/10,0)*10,[1]Hugst!$R$4:$W$4,0))))</f>
        <v>843.520642587005</v>
      </c>
      <c r="Q309">
        <f ca="1">IF($C309-Q$1&lt;År1,0,P308*(1-VLOOKUP($A309,[1]Hugst!$R$5:$W$9,MATCH(ROUNDUP((Q$1)/10,0)*10,[1]Hugst!$R$4:$W$4,0))))</f>
        <v>845.27479433645874</v>
      </c>
      <c r="R309">
        <f ca="1">IF($C309-R$1&lt;År1,0,Q308*(1-VLOOKUP($A309,[1]Hugst!$R$5:$W$9,MATCH(ROUNDUP((R$1)/10,0)*10,[1]Hugst!$R$4:$W$4,0))))</f>
        <v>847.03776091882662</v>
      </c>
      <c r="S309">
        <f ca="1">IF($C309-S$1&lt;År1,0,R308*(1-VLOOKUP($A309,[1]Hugst!$R$5:$W$9,MATCH(ROUNDUP((S$1)/10,0)*10,[1]Hugst!$R$4:$W$4,0))))</f>
        <v>848.80958662976116</v>
      </c>
      <c r="T309">
        <f ca="1">IF($C309-T$1&lt;År1,0,S308*(1-VLOOKUP($A309,[1]Hugst!$R$5:$W$9,MATCH(ROUNDUP((T$1)/10,0)*10,[1]Hugst!$R$4:$W$4,0))))</f>
        <v>850.59031598747094</v>
      </c>
      <c r="U309">
        <f ca="1">IF($C309-U$1&lt;År1,0,T308*(1-VLOOKUP($A309,[1]Hugst!$R$5:$W$9,MATCH(ROUNDUP((U$1)/10,0)*10,[1]Hugst!$R$4:$W$4,0))))</f>
        <v>852.37999373391574</v>
      </c>
      <c r="V309">
        <f ca="1">IF($C309-V$1&lt;År1,0,U308*(1-VLOOKUP($A309,[1]Hugst!$R$5:$W$9,MATCH(ROUNDUP((V$1)/10,0)*10,[1]Hugst!$R$4:$W$4,0))))</f>
        <v>854.17866483587784</v>
      </c>
      <c r="W309">
        <f ca="1">IF($C309-W$1&lt;År1,0,V308*(1-VLOOKUP($A309,[1]Hugst!$R$5:$W$9,MATCH(ROUNDUP((W$1)/10,0)*10,[1]Hugst!$R$4:$W$4,0))))</f>
        <v>855.98637448607258</v>
      </c>
      <c r="X309">
        <f ca="1">IF($C309-X$1&lt;År1,0,W308*(1-VLOOKUP($A309,[1]Hugst!$R$5:$W$9,MATCH(ROUNDUP((X$1)/10,0)*10,[1]Hugst!$R$4:$W$4,0))))</f>
        <v>1262.348622649846</v>
      </c>
      <c r="Y309">
        <f ca="1">IF($C309-Y$1&lt;År1,0,X308*(1-VLOOKUP($A309,[1]Hugst!$R$5:$W$9,MATCH(ROUNDUP((Y$1)/10,0)*10,[1]Hugst!$R$4:$W$4,0))))</f>
        <v>1264.1745458843091</v>
      </c>
      <c r="Z309">
        <f ca="1">IF($C309-Z$1&lt;År1,0,Y308*(1-VLOOKUP($A309,[1]Hugst!$R$5:$W$9,MATCH(ROUNDUP((Z$1)/10,0)*10,[1]Hugst!$R$4:$W$4,0))))</f>
        <v>1266.0096446124242</v>
      </c>
      <c r="AA309">
        <f ca="1">IF($C309-AA$1&lt;År1,0,Z308*(1-VLOOKUP($A309,[1]Hugst!$R$5:$W$9,MATCH(ROUNDUP((AA$1)/10,0)*10,[1]Hugst!$R$4:$W$4,0))))</f>
        <v>1267.8539649421775</v>
      </c>
      <c r="AB309">
        <f ca="1">IF($C309-AB$1&lt;År1,0,AA308*(1-VLOOKUP($A309,[1]Hugst!$R$5:$W$9,MATCH(ROUNDUP((AB$1)/10,0)*10,[1]Hugst!$R$4:$W$4,0))))</f>
        <v>1269.7075532133128</v>
      </c>
      <c r="AC309">
        <f ca="1">IF($C309-AC$1&lt;År1,0,AB308*(1-VLOOKUP($A309,[1]Hugst!$R$5:$W$9,MATCH(ROUNDUP((AC$1)/10,0)*10,[1]Hugst!$R$4:$W$4,0))))</f>
        <v>1271.5704559983385</v>
      </c>
      <c r="AD309">
        <f ca="1">IF($C309-AD$1&lt;År1,0,AC308*(1-VLOOKUP($A309,[1]Hugst!$R$5:$W$9,MATCH(ROUNDUP((AD$1)/10,0)*10,[1]Hugst!$R$4:$W$4,0))))</f>
        <v>1273.4427201039146</v>
      </c>
      <c r="AE309">
        <f ca="1">IF($C309-AE$1&lt;År1,0,AD308*(1-VLOOKUP($A309,[1]Hugst!$R$5:$W$9,MATCH(ROUNDUP((AE$1)/10,0)*10,[1]Hugst!$R$4:$W$4,0))))</f>
        <v>1275.3243925718143</v>
      </c>
      <c r="AF309">
        <f ca="1">IF($C309-AF$1&lt;År1,0,AE308*(1-VLOOKUP($A309,[1]Hugst!$R$5:$W$9,MATCH(ROUNDUP((AF$1)/10,0)*10,[1]Hugst!$R$4:$W$4,0))))</f>
        <v>1277.2155206802759</v>
      </c>
      <c r="AG309">
        <f ca="1">IF($C309-AG$1&lt;År1,0,AF308*(1-VLOOKUP($A309,[1]Hugst!$R$5:$W$9,MATCH(ROUNDUP((AG$1)/10,0)*10,[1]Hugst!$R$4:$W$4,0))))</f>
        <v>1279.1161519450502</v>
      </c>
      <c r="AH309">
        <f ca="1">IF($C309-AH$1&lt;År1,0,AG308*(1-VLOOKUP($A309,[1]Hugst!$R$5:$W$9,MATCH(ROUNDUP((AH$1)/10,0)*10,[1]Hugst!$R$4:$W$4,0))))</f>
        <v>1281.0263341207046</v>
      </c>
      <c r="AI309">
        <f>IF($C309-AI$1&lt;År1,0,AH308*(1-VLOOKUP($A309,[1]Hugst!$R$5:$W$9,MATCH(ROUNDUP((AI$1)/10,0)*10,[1]Hugst!$R$4:$W$4,0))))</f>
        <v>0</v>
      </c>
      <c r="AJ309">
        <f>IF($C309-AJ$1&lt;År1,0,AI308*(1-VLOOKUP($A309,[1]Hugst!$R$5:$W$9,MATCH(ROUNDUP((AJ$1)/10,0)*10,[1]Hugst!$R$4:$W$4,0))))</f>
        <v>0</v>
      </c>
    </row>
    <row r="310" spans="1:36" x14ac:dyDescent="0.25">
      <c r="A310" t="s">
        <v>180</v>
      </c>
      <c r="B310" t="s">
        <v>24</v>
      </c>
      <c r="C310">
        <v>2049</v>
      </c>
      <c r="D310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330.34985881607463</v>
      </c>
      <c r="E310">
        <f t="shared" ca="1" si="7"/>
        <v>0</v>
      </c>
      <c r="F310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824.79430326051931</v>
      </c>
      <c r="G310">
        <f ca="1">IF($C310-G$1&lt;År1,0,F309*(1-VLOOKUP($A310,[1]Hugst!$R$5:$W$9,MATCH(ROUNDUP((G$1)/10,0)*10,[1]Hugst!$R$4:$W$4,0))))</f>
        <v>826.4543528022981</v>
      </c>
      <c r="H310">
        <f ca="1">IF($C310-H$1&lt;År1,0,G309*(1-VLOOKUP($A310,[1]Hugst!$R$5:$W$9,MATCH(ROUNDUP((H$1)/10,0)*10,[1]Hugst!$R$4:$W$4,0))))</f>
        <v>828.1227443015772</v>
      </c>
      <c r="I310">
        <f ca="1">IF($C310-I$1&lt;År1,0,H309*(1-VLOOKUP($A310,[1]Hugst!$R$5:$W$9,MATCH(ROUNDUP((I$1)/10,0)*10,[1]Hugst!$R$4:$W$4,0))))</f>
        <v>829.79951967776412</v>
      </c>
      <c r="J310">
        <f ca="1">IF($C310-J$1&lt;År1,0,I309*(1-VLOOKUP($A310,[1]Hugst!$R$5:$W$9,MATCH(ROUNDUP((J$1)/10,0)*10,[1]Hugst!$R$4:$W$4,0))))</f>
        <v>831.48472106083625</v>
      </c>
      <c r="K310">
        <f ca="1">IF($C310-K$1&lt;År1,0,J309*(1-VLOOKUP($A310,[1]Hugst!$R$5:$W$9,MATCH(ROUNDUP((K$1)/10,0)*10,[1]Hugst!$R$4:$W$4,0))))</f>
        <v>833.1783907925759</v>
      </c>
      <c r="L310">
        <f ca="1">IF($C310-L$1&lt;År1,0,K309*(1-VLOOKUP($A310,[1]Hugst!$R$5:$W$9,MATCH(ROUNDUP((L$1)/10,0)*10,[1]Hugst!$R$4:$W$4,0))))</f>
        <v>834.88057142749619</v>
      </c>
      <c r="M310">
        <f ca="1">IF($C310-M$1&lt;År1,0,L309*(1-VLOOKUP($A310,[1]Hugst!$R$5:$W$9,MATCH(ROUNDUP((M$1)/10,0)*10,[1]Hugst!$R$4:$W$4,0))))</f>
        <v>836.59130573394157</v>
      </c>
      <c r="N310">
        <f ca="1">IF($C310-N$1&lt;År1,0,M309*(1-VLOOKUP($A310,[1]Hugst!$R$5:$W$9,MATCH(ROUNDUP((N$1)/10,0)*10,[1]Hugst!$R$4:$W$4,0))))</f>
        <v>838.31063669519915</v>
      </c>
      <c r="O310">
        <f ca="1">IF($C310-O$1&lt;År1,0,N309*(1-VLOOKUP($A310,[1]Hugst!$R$5:$W$9,MATCH(ROUNDUP((O$1)/10,0)*10,[1]Hugst!$R$4:$W$4,0))))</f>
        <v>840.03860751052287</v>
      </c>
      <c r="P310">
        <f ca="1">IF($C310-P$1&lt;År1,0,O309*(1-VLOOKUP($A310,[1]Hugst!$R$5:$W$9,MATCH(ROUNDUP((P$1)/10,0)*10,[1]Hugst!$R$4:$W$4,0))))</f>
        <v>841.7752615962803</v>
      </c>
      <c r="Q310">
        <f ca="1">IF($C310-Q$1&lt;År1,0,P309*(1-VLOOKUP($A310,[1]Hugst!$R$5:$W$9,MATCH(ROUNDUP((Q$1)/10,0)*10,[1]Hugst!$R$4:$W$4,0))))</f>
        <v>843.520642587005</v>
      </c>
      <c r="R310">
        <f ca="1">IF($C310-R$1&lt;År1,0,Q309*(1-VLOOKUP($A310,[1]Hugst!$R$5:$W$9,MATCH(ROUNDUP((R$1)/10,0)*10,[1]Hugst!$R$4:$W$4,0))))</f>
        <v>845.27479433645874</v>
      </c>
      <c r="S310">
        <f ca="1">IF($C310-S$1&lt;År1,0,R309*(1-VLOOKUP($A310,[1]Hugst!$R$5:$W$9,MATCH(ROUNDUP((S$1)/10,0)*10,[1]Hugst!$R$4:$W$4,0))))</f>
        <v>847.03776091882662</v>
      </c>
      <c r="T310">
        <f ca="1">IF($C310-T$1&lt;År1,0,S309*(1-VLOOKUP($A310,[1]Hugst!$R$5:$W$9,MATCH(ROUNDUP((T$1)/10,0)*10,[1]Hugst!$R$4:$W$4,0))))</f>
        <v>848.80958662976116</v>
      </c>
      <c r="U310">
        <f ca="1">IF($C310-U$1&lt;År1,0,T309*(1-VLOOKUP($A310,[1]Hugst!$R$5:$W$9,MATCH(ROUNDUP((U$1)/10,0)*10,[1]Hugst!$R$4:$W$4,0))))</f>
        <v>850.59031598747094</v>
      </c>
      <c r="V310">
        <f ca="1">IF($C310-V$1&lt;År1,0,U309*(1-VLOOKUP($A310,[1]Hugst!$R$5:$W$9,MATCH(ROUNDUP((V$1)/10,0)*10,[1]Hugst!$R$4:$W$4,0))))</f>
        <v>852.37999373391574</v>
      </c>
      <c r="W310">
        <f ca="1">IF($C310-W$1&lt;År1,0,V309*(1-VLOOKUP($A310,[1]Hugst!$R$5:$W$9,MATCH(ROUNDUP((W$1)/10,0)*10,[1]Hugst!$R$4:$W$4,0))))</f>
        <v>854.17866483587784</v>
      </c>
      <c r="X310">
        <f ca="1">IF($C310-X$1&lt;År1,0,W309*(1-VLOOKUP($A310,[1]Hugst!$R$5:$W$9,MATCH(ROUNDUP((X$1)/10,0)*10,[1]Hugst!$R$4:$W$4,0))))</f>
        <v>855.98637448607258</v>
      </c>
      <c r="Y310">
        <f ca="1">IF($C310-Y$1&lt;År1,0,X309*(1-VLOOKUP($A310,[1]Hugst!$R$5:$W$9,MATCH(ROUNDUP((Y$1)/10,0)*10,[1]Hugst!$R$4:$W$4,0))))</f>
        <v>1262.348622649846</v>
      </c>
      <c r="Z310">
        <f ca="1">IF($C310-Z$1&lt;År1,0,Y309*(1-VLOOKUP($A310,[1]Hugst!$R$5:$W$9,MATCH(ROUNDUP((Z$1)/10,0)*10,[1]Hugst!$R$4:$W$4,0))))</f>
        <v>1264.1745458843091</v>
      </c>
      <c r="AA310">
        <f ca="1">IF($C310-AA$1&lt;År1,0,Z309*(1-VLOOKUP($A310,[1]Hugst!$R$5:$W$9,MATCH(ROUNDUP((AA$1)/10,0)*10,[1]Hugst!$R$4:$W$4,0))))</f>
        <v>1266.0096446124242</v>
      </c>
      <c r="AB310">
        <f ca="1">IF($C310-AB$1&lt;År1,0,AA309*(1-VLOOKUP($A310,[1]Hugst!$R$5:$W$9,MATCH(ROUNDUP((AB$1)/10,0)*10,[1]Hugst!$R$4:$W$4,0))))</f>
        <v>1267.8539649421775</v>
      </c>
      <c r="AC310">
        <f ca="1">IF($C310-AC$1&lt;År1,0,AB309*(1-VLOOKUP($A310,[1]Hugst!$R$5:$W$9,MATCH(ROUNDUP((AC$1)/10,0)*10,[1]Hugst!$R$4:$W$4,0))))</f>
        <v>1269.7075532133128</v>
      </c>
      <c r="AD310">
        <f ca="1">IF($C310-AD$1&lt;År1,0,AC309*(1-VLOOKUP($A310,[1]Hugst!$R$5:$W$9,MATCH(ROUNDUP((AD$1)/10,0)*10,[1]Hugst!$R$4:$W$4,0))))</f>
        <v>1271.5704559983385</v>
      </c>
      <c r="AE310">
        <f ca="1">IF($C310-AE$1&lt;År1,0,AD309*(1-VLOOKUP($A310,[1]Hugst!$R$5:$W$9,MATCH(ROUNDUP((AE$1)/10,0)*10,[1]Hugst!$R$4:$W$4,0))))</f>
        <v>1273.4427201039146</v>
      </c>
      <c r="AF310">
        <f ca="1">IF($C310-AF$1&lt;År1,0,AE309*(1-VLOOKUP($A310,[1]Hugst!$R$5:$W$9,MATCH(ROUNDUP((AF$1)/10,0)*10,[1]Hugst!$R$4:$W$4,0))))</f>
        <v>1275.3243925718143</v>
      </c>
      <c r="AG310">
        <f ca="1">IF($C310-AG$1&lt;År1,0,AF309*(1-VLOOKUP($A310,[1]Hugst!$R$5:$W$9,MATCH(ROUNDUP((AG$1)/10,0)*10,[1]Hugst!$R$4:$W$4,0))))</f>
        <v>1277.2155206802759</v>
      </c>
      <c r="AH310">
        <f ca="1">IF($C310-AH$1&lt;År1,0,AG309*(1-VLOOKUP($A310,[1]Hugst!$R$5:$W$9,MATCH(ROUNDUP((AH$1)/10,0)*10,[1]Hugst!$R$4:$W$4,0))))</f>
        <v>1279.1161519450502</v>
      </c>
      <c r="AI310">
        <f ca="1">IF($C310-AI$1&lt;År1,0,AH309*(1-VLOOKUP($A310,[1]Hugst!$R$5:$W$9,MATCH(ROUNDUP((AI$1)/10,0)*10,[1]Hugst!$R$4:$W$4,0))))</f>
        <v>1281.0263341207046</v>
      </c>
      <c r="AJ310">
        <f>IF($C310-AJ$1&lt;År1,0,AI309*(1-VLOOKUP($A310,[1]Hugst!$R$5:$W$9,MATCH(ROUNDUP((AJ$1)/10,0)*10,[1]Hugst!$R$4:$W$4,0))))</f>
        <v>0</v>
      </c>
    </row>
    <row r="311" spans="1:36" x14ac:dyDescent="0.25">
      <c r="A311" t="s">
        <v>180</v>
      </c>
      <c r="B311" t="s">
        <v>24</v>
      </c>
      <c r="C311">
        <v>2050</v>
      </c>
      <c r="D311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328.69810952199077</v>
      </c>
      <c r="E311">
        <f ca="1">IF(C311=2020,SUM(G311:AJ311),SUM(F310:AJ310)-SUM(G311:AJ311))</f>
        <v>0</v>
      </c>
      <c r="F311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823.14255396643546</v>
      </c>
      <c r="G311">
        <f ca="1">IF($C311-G$1&lt;År1,0,F310*(1-VLOOKUP($A311,[1]Hugst!$R$5:$W$9,MATCH(ROUNDUP((G$1)/10,0)*10,[1]Hugst!$R$4:$W$4,0))))</f>
        <v>824.79430326051931</v>
      </c>
      <c r="H311">
        <f ca="1">IF($C311-H$1&lt;År1,0,G310*(1-VLOOKUP($A311,[1]Hugst!$R$5:$W$9,MATCH(ROUNDUP((H$1)/10,0)*10,[1]Hugst!$R$4:$W$4,0))))</f>
        <v>826.4543528022981</v>
      </c>
      <c r="I311">
        <f ca="1">IF($C311-I$1&lt;År1,0,H310*(1-VLOOKUP($A311,[1]Hugst!$R$5:$W$9,MATCH(ROUNDUP((I$1)/10,0)*10,[1]Hugst!$R$4:$W$4,0))))</f>
        <v>828.1227443015772</v>
      </c>
      <c r="J311">
        <f ca="1">IF($C311-J$1&lt;År1,0,I310*(1-VLOOKUP($A311,[1]Hugst!$R$5:$W$9,MATCH(ROUNDUP((J$1)/10,0)*10,[1]Hugst!$R$4:$W$4,0))))</f>
        <v>829.79951967776412</v>
      </c>
      <c r="K311">
        <f ca="1">IF($C311-K$1&lt;År1,0,J310*(1-VLOOKUP($A311,[1]Hugst!$R$5:$W$9,MATCH(ROUNDUP((K$1)/10,0)*10,[1]Hugst!$R$4:$W$4,0))))</f>
        <v>831.48472106083625</v>
      </c>
      <c r="L311">
        <f ca="1">IF($C311-L$1&lt;År1,0,K310*(1-VLOOKUP($A311,[1]Hugst!$R$5:$W$9,MATCH(ROUNDUP((L$1)/10,0)*10,[1]Hugst!$R$4:$W$4,0))))</f>
        <v>833.1783907925759</v>
      </c>
      <c r="M311">
        <f ca="1">IF($C311-M$1&lt;År1,0,L310*(1-VLOOKUP($A311,[1]Hugst!$R$5:$W$9,MATCH(ROUNDUP((M$1)/10,0)*10,[1]Hugst!$R$4:$W$4,0))))</f>
        <v>834.88057142749619</v>
      </c>
      <c r="N311">
        <f ca="1">IF($C311-N$1&lt;År1,0,M310*(1-VLOOKUP($A311,[1]Hugst!$R$5:$W$9,MATCH(ROUNDUP((N$1)/10,0)*10,[1]Hugst!$R$4:$W$4,0))))</f>
        <v>836.59130573394157</v>
      </c>
      <c r="O311">
        <f ca="1">IF($C311-O$1&lt;År1,0,N310*(1-VLOOKUP($A311,[1]Hugst!$R$5:$W$9,MATCH(ROUNDUP((O$1)/10,0)*10,[1]Hugst!$R$4:$W$4,0))))</f>
        <v>838.31063669519915</v>
      </c>
      <c r="P311">
        <f ca="1">IF($C311-P$1&lt;År1,0,O310*(1-VLOOKUP($A311,[1]Hugst!$R$5:$W$9,MATCH(ROUNDUP((P$1)/10,0)*10,[1]Hugst!$R$4:$W$4,0))))</f>
        <v>840.03860751052287</v>
      </c>
      <c r="Q311">
        <f ca="1">IF($C311-Q$1&lt;År1,0,P310*(1-VLOOKUP($A311,[1]Hugst!$R$5:$W$9,MATCH(ROUNDUP((Q$1)/10,0)*10,[1]Hugst!$R$4:$W$4,0))))</f>
        <v>841.7752615962803</v>
      </c>
      <c r="R311">
        <f ca="1">IF($C311-R$1&lt;År1,0,Q310*(1-VLOOKUP($A311,[1]Hugst!$R$5:$W$9,MATCH(ROUNDUP((R$1)/10,0)*10,[1]Hugst!$R$4:$W$4,0))))</f>
        <v>843.520642587005</v>
      </c>
      <c r="S311">
        <f ca="1">IF($C311-S$1&lt;År1,0,R310*(1-VLOOKUP($A311,[1]Hugst!$R$5:$W$9,MATCH(ROUNDUP((S$1)/10,0)*10,[1]Hugst!$R$4:$W$4,0))))</f>
        <v>845.27479433645874</v>
      </c>
      <c r="T311">
        <f ca="1">IF($C311-T$1&lt;År1,0,S310*(1-VLOOKUP($A311,[1]Hugst!$R$5:$W$9,MATCH(ROUNDUP((T$1)/10,0)*10,[1]Hugst!$R$4:$W$4,0))))</f>
        <v>847.03776091882662</v>
      </c>
      <c r="U311">
        <f ca="1">IF($C311-U$1&lt;År1,0,T310*(1-VLOOKUP($A311,[1]Hugst!$R$5:$W$9,MATCH(ROUNDUP((U$1)/10,0)*10,[1]Hugst!$R$4:$W$4,0))))</f>
        <v>848.80958662976116</v>
      </c>
      <c r="V311">
        <f ca="1">IF($C311-V$1&lt;År1,0,U310*(1-VLOOKUP($A311,[1]Hugst!$R$5:$W$9,MATCH(ROUNDUP((V$1)/10,0)*10,[1]Hugst!$R$4:$W$4,0))))</f>
        <v>850.59031598747094</v>
      </c>
      <c r="W311">
        <f ca="1">IF($C311-W$1&lt;År1,0,V310*(1-VLOOKUP($A311,[1]Hugst!$R$5:$W$9,MATCH(ROUNDUP((W$1)/10,0)*10,[1]Hugst!$R$4:$W$4,0))))</f>
        <v>852.37999373391574</v>
      </c>
      <c r="X311">
        <f ca="1">IF($C311-X$1&lt;År1,0,W310*(1-VLOOKUP($A311,[1]Hugst!$R$5:$W$9,MATCH(ROUNDUP((X$1)/10,0)*10,[1]Hugst!$R$4:$W$4,0))))</f>
        <v>854.17866483587784</v>
      </c>
      <c r="Y311">
        <f ca="1">IF($C311-Y$1&lt;År1,0,X310*(1-VLOOKUP($A311,[1]Hugst!$R$5:$W$9,MATCH(ROUNDUP((Y$1)/10,0)*10,[1]Hugst!$R$4:$W$4,0))))</f>
        <v>855.98637448607258</v>
      </c>
      <c r="Z311">
        <f ca="1">IF($C311-Z$1&lt;År1,0,Y310*(1-VLOOKUP($A311,[1]Hugst!$R$5:$W$9,MATCH(ROUNDUP((Z$1)/10,0)*10,[1]Hugst!$R$4:$W$4,0))))</f>
        <v>1262.348622649846</v>
      </c>
      <c r="AA311">
        <f ca="1">IF($C311-AA$1&lt;År1,0,Z310*(1-VLOOKUP($A311,[1]Hugst!$R$5:$W$9,MATCH(ROUNDUP((AA$1)/10,0)*10,[1]Hugst!$R$4:$W$4,0))))</f>
        <v>1264.1745458843091</v>
      </c>
      <c r="AB311">
        <f ca="1">IF($C311-AB$1&lt;År1,0,AA310*(1-VLOOKUP($A311,[1]Hugst!$R$5:$W$9,MATCH(ROUNDUP((AB$1)/10,0)*10,[1]Hugst!$R$4:$W$4,0))))</f>
        <v>1266.0096446124242</v>
      </c>
      <c r="AC311">
        <f ca="1">IF($C311-AC$1&lt;År1,0,AB310*(1-VLOOKUP($A311,[1]Hugst!$R$5:$W$9,MATCH(ROUNDUP((AC$1)/10,0)*10,[1]Hugst!$R$4:$W$4,0))))</f>
        <v>1267.8539649421775</v>
      </c>
      <c r="AD311">
        <f ca="1">IF($C311-AD$1&lt;År1,0,AC310*(1-VLOOKUP($A311,[1]Hugst!$R$5:$W$9,MATCH(ROUNDUP((AD$1)/10,0)*10,[1]Hugst!$R$4:$W$4,0))))</f>
        <v>1269.7075532133128</v>
      </c>
      <c r="AE311">
        <f ca="1">IF($C311-AE$1&lt;År1,0,AD310*(1-VLOOKUP($A311,[1]Hugst!$R$5:$W$9,MATCH(ROUNDUP((AE$1)/10,0)*10,[1]Hugst!$R$4:$W$4,0))))</f>
        <v>1271.5704559983385</v>
      </c>
      <c r="AF311">
        <f ca="1">IF($C311-AF$1&lt;År1,0,AE310*(1-VLOOKUP($A311,[1]Hugst!$R$5:$W$9,MATCH(ROUNDUP((AF$1)/10,0)*10,[1]Hugst!$R$4:$W$4,0))))</f>
        <v>1273.4427201039146</v>
      </c>
      <c r="AG311">
        <f ca="1">IF($C311-AG$1&lt;År1,0,AF310*(1-VLOOKUP($A311,[1]Hugst!$R$5:$W$9,MATCH(ROUNDUP((AG$1)/10,0)*10,[1]Hugst!$R$4:$W$4,0))))</f>
        <v>1275.3243925718143</v>
      </c>
      <c r="AH311">
        <f ca="1">IF($C311-AH$1&lt;År1,0,AG310*(1-VLOOKUP($A311,[1]Hugst!$R$5:$W$9,MATCH(ROUNDUP((AH$1)/10,0)*10,[1]Hugst!$R$4:$W$4,0))))</f>
        <v>1277.2155206802759</v>
      </c>
      <c r="AI311">
        <f ca="1">IF($C311-AI$1&lt;År1,0,AH310*(1-VLOOKUP($A311,[1]Hugst!$R$5:$W$9,MATCH(ROUNDUP((AI$1)/10,0)*10,[1]Hugst!$R$4:$W$4,0))))</f>
        <v>1279.1161519450502</v>
      </c>
      <c r="AJ311">
        <f ca="1">IF($C311-AJ$1&lt;År1,0,AI310*(1-VLOOKUP($A311,[1]Hugst!$R$5:$W$9,MATCH(ROUNDUP((AJ$1)/10,0)*10,[1]Hugst!$R$4:$W$4,0))))</f>
        <v>1281.0263341207046</v>
      </c>
    </row>
  </sheetData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topLeftCell="A3" workbookViewId="0">
      <selection activeCell="C6" sqref="C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293" t="s">
        <v>270</v>
      </c>
      <c r="F1" s="73"/>
    </row>
    <row r="2" spans="1:7" s="296" customFormat="1" x14ac:dyDescent="0.25">
      <c r="A2" s="295"/>
      <c r="C2" s="436" t="s">
        <v>316</v>
      </c>
      <c r="D2" s="436"/>
      <c r="E2" s="436"/>
    </row>
    <row r="3" spans="1:7" x14ac:dyDescent="0.25">
      <c r="B3" s="300"/>
      <c r="C3" s="2">
        <f>År1</f>
        <v>2019</v>
      </c>
      <c r="D3" s="2">
        <f>År2</f>
        <v>2030</v>
      </c>
      <c r="E3" s="2">
        <f>År3</f>
        <v>2050</v>
      </c>
      <c r="F3" s="301" t="s">
        <v>317</v>
      </c>
      <c r="G3" s="1" t="s">
        <v>313</v>
      </c>
    </row>
    <row r="4" spans="1:7" x14ac:dyDescent="0.25">
      <c r="A4" s="102" t="s">
        <v>98</v>
      </c>
      <c r="B4" s="2" t="s">
        <v>23</v>
      </c>
      <c r="C4" s="107">
        <f>(502+3901)/10/F4</f>
        <v>2.9353333333333332E-3</v>
      </c>
      <c r="D4" s="3">
        <f t="shared" ref="D4:E7" si="0">C4</f>
        <v>2.9353333333333332E-3</v>
      </c>
      <c r="E4" s="3">
        <f t="shared" si="0"/>
        <v>2.9353333333333332E-3</v>
      </c>
      <c r="F4" s="297">
        <v>150000</v>
      </c>
      <c r="G4" s="437"/>
    </row>
    <row r="5" spans="1:7" x14ac:dyDescent="0.25">
      <c r="A5" s="102" t="s">
        <v>98</v>
      </c>
      <c r="B5" s="2" t="s">
        <v>24</v>
      </c>
      <c r="C5" s="298">
        <f>(0.6)/F5</f>
        <v>1.2E-5</v>
      </c>
      <c r="D5" s="3">
        <f t="shared" si="0"/>
        <v>1.2E-5</v>
      </c>
      <c r="E5" s="3">
        <f t="shared" si="0"/>
        <v>1.2E-5</v>
      </c>
      <c r="F5" s="104">
        <v>50000</v>
      </c>
      <c r="G5" s="437"/>
    </row>
    <row r="6" spans="1:7" x14ac:dyDescent="0.25">
      <c r="A6" s="102" t="s">
        <v>99</v>
      </c>
      <c r="B6" s="2" t="s">
        <v>23</v>
      </c>
      <c r="C6" s="107">
        <f>17/F6</f>
        <v>3.6170212765957447E-4</v>
      </c>
      <c r="D6" s="3">
        <f t="shared" si="0"/>
        <v>3.6170212765957447E-4</v>
      </c>
      <c r="E6" s="3">
        <f t="shared" si="0"/>
        <v>3.6170212765957447E-4</v>
      </c>
      <c r="F6" s="297">
        <v>47000</v>
      </c>
      <c r="G6" s="438"/>
    </row>
    <row r="7" spans="1:7" x14ac:dyDescent="0.25">
      <c r="A7" s="102" t="s">
        <v>99</v>
      </c>
      <c r="B7" s="2" t="s">
        <v>24</v>
      </c>
      <c r="C7" s="7">
        <f>0/F7</f>
        <v>0</v>
      </c>
      <c r="D7" s="3">
        <f t="shared" si="0"/>
        <v>0</v>
      </c>
      <c r="E7" s="3">
        <f t="shared" si="0"/>
        <v>0</v>
      </c>
      <c r="F7" s="297">
        <v>20000</v>
      </c>
      <c r="G7" s="438"/>
    </row>
    <row r="8" spans="1:7" x14ac:dyDescent="0.25">
      <c r="A8" s="294"/>
      <c r="C8" s="1" t="s">
        <v>239</v>
      </c>
      <c r="F8" s="73"/>
    </row>
    <row r="9" spans="1:7" x14ac:dyDescent="0.25">
      <c r="A9" s="294"/>
    </row>
    <row r="10" spans="1:7" x14ac:dyDescent="0.25">
      <c r="B10" s="1" t="s">
        <v>23</v>
      </c>
      <c r="E10" s="1" t="s">
        <v>24</v>
      </c>
    </row>
    <row r="11" spans="1:7" x14ac:dyDescent="0.25">
      <c r="B11" s="138">
        <f>År1</f>
        <v>2019</v>
      </c>
      <c r="C11" s="138">
        <f>År2</f>
        <v>2030</v>
      </c>
      <c r="D11" s="138">
        <f>År3</f>
        <v>2050</v>
      </c>
      <c r="E11" s="138">
        <f>År1</f>
        <v>2019</v>
      </c>
      <c r="F11" s="138">
        <f>År2</f>
        <v>2030</v>
      </c>
      <c r="G11" s="138">
        <f>År3</f>
        <v>2050</v>
      </c>
    </row>
    <row r="12" spans="1:7" x14ac:dyDescent="0.25">
      <c r="A12" s="102" t="s">
        <v>98</v>
      </c>
      <c r="B12" s="1">
        <f>C4*$F4</f>
        <v>440.29999999999995</v>
      </c>
      <c r="C12" s="1">
        <f>D4*$F4</f>
        <v>440.29999999999995</v>
      </c>
      <c r="D12" s="1">
        <f>E4*$F4</f>
        <v>440.29999999999995</v>
      </c>
      <c r="E12" s="1">
        <f>C5*$F$5</f>
        <v>0.6</v>
      </c>
      <c r="F12" s="1">
        <f>D5*$F$5</f>
        <v>0.6</v>
      </c>
      <c r="G12" s="1">
        <f>E5*$F$5</f>
        <v>0.6</v>
      </c>
    </row>
    <row r="13" spans="1:7" x14ac:dyDescent="0.25">
      <c r="A13" s="102" t="s">
        <v>99</v>
      </c>
      <c r="B13" s="1">
        <f>C6*$F6</f>
        <v>17</v>
      </c>
      <c r="C13" s="1">
        <f>D6*$F6</f>
        <v>17</v>
      </c>
      <c r="D13" s="1">
        <f>E6*$F6</f>
        <v>17</v>
      </c>
      <c r="E13" s="1">
        <f>C7*$F$7</f>
        <v>0</v>
      </c>
      <c r="F13" s="1">
        <f>D7*$F$7</f>
        <v>0</v>
      </c>
      <c r="G13" s="1">
        <f>E7*$F$7</f>
        <v>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C5: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03" t="s">
        <v>270</v>
      </c>
    </row>
    <row r="2" spans="1:10" ht="15.75" x14ac:dyDescent="0.25">
      <c r="A2" s="201" t="s">
        <v>25</v>
      </c>
    </row>
    <row r="3" spans="1:10" x14ac:dyDescent="0.25">
      <c r="A3" s="6" t="s">
        <v>300</v>
      </c>
    </row>
    <row r="4" spans="1:10" x14ac:dyDescent="0.25">
      <c r="A4" s="24" t="s">
        <v>154</v>
      </c>
      <c r="B4" s="82">
        <f>År1</f>
        <v>2019</v>
      </c>
      <c r="C4" s="82">
        <f>År2</f>
        <v>2030</v>
      </c>
      <c r="D4" s="82">
        <f>År3</f>
        <v>2050</v>
      </c>
      <c r="F4" s="24" t="s">
        <v>320</v>
      </c>
      <c r="G4" s="24"/>
      <c r="H4" s="82">
        <f>År1</f>
        <v>2019</v>
      </c>
      <c r="I4" s="82">
        <f>År2</f>
        <v>2030</v>
      </c>
      <c r="J4" s="82">
        <f>År3</f>
        <v>2050</v>
      </c>
    </row>
    <row r="5" spans="1:10" x14ac:dyDescent="0.25">
      <c r="A5" s="2" t="s">
        <v>219</v>
      </c>
      <c r="B5" s="84">
        <v>0</v>
      </c>
      <c r="C5" s="3"/>
      <c r="D5" s="3"/>
      <c r="F5" s="24" t="str">
        <f>A5</f>
        <v>Planteprotein*</v>
      </c>
      <c r="G5" s="24" t="s">
        <v>49</v>
      </c>
      <c r="H5" s="10">
        <f>SUMIFS('Resultat-Produktion &amp; forbrug'!$O$4:$O$1001,'Resultat-Produktion &amp; forbrug'!$A$4:$A$1001,Adfærd!$G5,'Resultat-Produktion &amp; forbrug'!$E$4:$E$1001,Adfærd!H$4)</f>
        <v>212954.7645341866</v>
      </c>
      <c r="I5" s="10">
        <f>SUMIFS('Resultat-Produktion &amp; forbrug'!$O$4:$O$1001,'Resultat-Produktion &amp; forbrug'!$A$4:$A$1001,Adfærd!$G5,'Resultat-Produktion &amp; forbrug'!$E$4:$E$1001,Adfærd!I$4)</f>
        <v>653024.49980529398</v>
      </c>
      <c r="J5" s="10">
        <f>SUMIFS('Resultat-Produktion &amp; forbrug'!$O$4:$O$1001,'Resultat-Produktion &amp; forbrug'!$A$4:$A$1001,Adfærd!$G5,'Resultat-Produktion &amp; forbrug'!$E$4:$E$1001,Adfærd!J$4)</f>
        <v>848292.20060005493</v>
      </c>
    </row>
    <row r="6" spans="1:10" x14ac:dyDescent="0.25">
      <c r="A6" s="2" t="s">
        <v>106</v>
      </c>
      <c r="B6" s="84">
        <v>0</v>
      </c>
      <c r="C6" s="3"/>
      <c r="D6" s="3"/>
      <c r="F6" s="24" t="str">
        <f>A6</f>
        <v>Muslinger</v>
      </c>
      <c r="G6" s="24" t="s">
        <v>106</v>
      </c>
      <c r="H6" s="10">
        <f>SUMIFS('Resultat-Produktion &amp; forbrug'!$O$4:$O$1001,'Resultat-Produktion &amp; forbrug'!$A$4:$A$1001,Adfærd!$G6,'Resultat-Produktion &amp; forbrug'!$E$4:$E$1001,Adfærd!H$4)</f>
        <v>880.09999999999991</v>
      </c>
      <c r="I6" s="10">
        <f>SUMIFS('Resultat-Produktion &amp; forbrug'!$O$4:$O$1001,'Resultat-Produktion &amp; forbrug'!$A$4:$A$1001,Adfærd!$G6,'Resultat-Produktion &amp; forbrug'!$E$4:$E$1001,Adfærd!I$4)</f>
        <v>880.09999999999991</v>
      </c>
      <c r="J6" s="10">
        <f>SUMIFS('Resultat-Produktion &amp; forbrug'!$O$4:$O$1001,'Resultat-Produktion &amp; forbrug'!$A$4:$A$1001,Adfærd!$G6,'Resultat-Produktion &amp; forbrug'!$E$4:$E$1001,Adfærd!J$4)</f>
        <v>880.09999999999991</v>
      </c>
    </row>
    <row r="7" spans="1:10" x14ac:dyDescent="0.25">
      <c r="A7" s="2" t="s">
        <v>99</v>
      </c>
      <c r="B7" s="84">
        <v>0</v>
      </c>
      <c r="C7" s="3"/>
      <c r="D7" s="3"/>
      <c r="F7" s="24" t="str">
        <f>A7</f>
        <v>Tang</v>
      </c>
      <c r="G7" s="24" t="s">
        <v>99</v>
      </c>
      <c r="H7" s="10">
        <f>SUMIFS('Resultat-Produktion &amp; forbrug'!$O$4:$O$1001,'Resultat-Produktion &amp; forbrug'!$A$4:$A$1001,Adfærd!$G7,'Resultat-Produktion &amp; forbrug'!$E$4:$E$1001,Adfærd!H$4)</f>
        <v>76.5</v>
      </c>
      <c r="I7" s="10">
        <f>SUMIFS('Resultat-Produktion &amp; forbrug'!$O$4:$O$1001,'Resultat-Produktion &amp; forbrug'!$A$4:$A$1001,Adfærd!$G7,'Resultat-Produktion &amp; forbrug'!$E$4:$E$1001,Adfærd!I$4)</f>
        <v>76.5</v>
      </c>
      <c r="J7" s="10">
        <f>SUMIFS('Resultat-Produktion &amp; forbrug'!$O$4:$O$1001,'Resultat-Produktion &amp; forbrug'!$A$4:$A$1001,Adfærd!$G7,'Resultat-Produktion &amp; forbrug'!$E$4:$E$1001,Adfærd!J$4)</f>
        <v>76.5</v>
      </c>
    </row>
    <row r="8" spans="1:10" x14ac:dyDescent="0.25">
      <c r="A8" s="2" t="s">
        <v>205</v>
      </c>
      <c r="B8" s="84">
        <v>0</v>
      </c>
      <c r="C8" s="3"/>
      <c r="D8" s="3"/>
    </row>
    <row r="9" spans="1:10" x14ac:dyDescent="0.25">
      <c r="A9" s="1" t="s">
        <v>220</v>
      </c>
      <c r="B9" s="13"/>
      <c r="C9" s="13"/>
      <c r="D9" s="13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2">
        <f>År1</f>
        <v>2019</v>
      </c>
      <c r="C11" s="82">
        <f>År2</f>
        <v>2030</v>
      </c>
      <c r="D11" s="82">
        <f>År3</f>
        <v>2050</v>
      </c>
    </row>
    <row r="12" spans="1:10" x14ac:dyDescent="0.25">
      <c r="A12" s="1" t="s">
        <v>318</v>
      </c>
      <c r="B12" s="84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64" t="s">
        <v>319</v>
      </c>
      <c r="B13" s="84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B14" s="13"/>
      <c r="C14" s="13"/>
      <c r="D14" s="13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2">
        <f>År1</f>
        <v>2019</v>
      </c>
      <c r="C16" s="82">
        <f>År2</f>
        <v>2030</v>
      </c>
      <c r="D16" s="82">
        <f>År3</f>
        <v>2050</v>
      </c>
    </row>
    <row r="17" spans="1:9" hidden="1" x14ac:dyDescent="0.25">
      <c r="A17" s="2" t="s">
        <v>48</v>
      </c>
      <c r="B17" s="103">
        <v>218</v>
      </c>
      <c r="C17" s="108">
        <f>B17</f>
        <v>218</v>
      </c>
      <c r="D17" s="108">
        <f>B17</f>
        <v>218</v>
      </c>
      <c r="I17" s="105"/>
    </row>
    <row r="18" spans="1:9" hidden="1" x14ac:dyDescent="0.25">
      <c r="A18" s="2" t="s">
        <v>6</v>
      </c>
      <c r="B18" s="103">
        <v>199</v>
      </c>
      <c r="C18" s="108">
        <f>B18</f>
        <v>199</v>
      </c>
      <c r="D18" s="108">
        <f>B18</f>
        <v>199</v>
      </c>
    </row>
    <row r="19" spans="1:9" hidden="1" x14ac:dyDescent="0.25">
      <c r="A19" s="2" t="s">
        <v>12</v>
      </c>
      <c r="B19" s="103">
        <v>91</v>
      </c>
      <c r="C19" s="108">
        <f>B19</f>
        <v>91</v>
      </c>
      <c r="D19" s="108">
        <f>B19</f>
        <v>91</v>
      </c>
    </row>
    <row r="20" spans="1:9" hidden="1" x14ac:dyDescent="0.25">
      <c r="A20" s="2" t="s">
        <v>13</v>
      </c>
      <c r="B20" s="108">
        <f>B32*B34</f>
        <v>89.78</v>
      </c>
      <c r="C20" s="108">
        <f>$B20*(1-SUM(C$5:C$8))</f>
        <v>89.78</v>
      </c>
      <c r="D20" s="108">
        <f>$B20*(1-SUM(D$5:D$8))</f>
        <v>89.78</v>
      </c>
    </row>
    <row r="21" spans="1:9" hidden="1" x14ac:dyDescent="0.25">
      <c r="A21" s="2" t="s">
        <v>14</v>
      </c>
      <c r="B21" s="108">
        <f>B32*B33</f>
        <v>44.22</v>
      </c>
      <c r="C21" s="108">
        <f>$B21*(1-SUM(C$5:C$8))</f>
        <v>44.22</v>
      </c>
      <c r="D21" s="108">
        <f>$B21*(1-SUM(D$5:D$8))</f>
        <v>44.22</v>
      </c>
    </row>
    <row r="22" spans="1:9" hidden="1" x14ac:dyDescent="0.25">
      <c r="A22" s="2" t="s">
        <v>49</v>
      </c>
      <c r="B22" s="108">
        <f>SUM($B$20:$B$21,$B$27)*B5</f>
        <v>0</v>
      </c>
      <c r="C22" s="108">
        <f>SUM($B$20:$B$21,$B$27)*C5</f>
        <v>0</v>
      </c>
      <c r="D22" s="108">
        <f>SUM($B$20:$B$21,$B$27)*D5</f>
        <v>0</v>
      </c>
      <c r="F22" s="1" t="s">
        <v>204</v>
      </c>
    </row>
    <row r="23" spans="1:9" hidden="1" x14ac:dyDescent="0.25">
      <c r="A23" s="2" t="s">
        <v>106</v>
      </c>
      <c r="B23" s="108">
        <f>SUM($B$20:$B$21,$B$27)*B6</f>
        <v>0</v>
      </c>
      <c r="C23" s="108">
        <f t="shared" ref="C23:D25" si="0">SUM($B$20:$B$21,$B$27)*C6</f>
        <v>0</v>
      </c>
      <c r="D23" s="108">
        <f t="shared" si="0"/>
        <v>0</v>
      </c>
      <c r="F23" s="1" t="s">
        <v>206</v>
      </c>
    </row>
    <row r="24" spans="1:9" hidden="1" x14ac:dyDescent="0.25">
      <c r="A24" s="2" t="s">
        <v>99</v>
      </c>
      <c r="B24" s="108">
        <f>SUM($B$20:$B$21,$B$27)*B7</f>
        <v>0</v>
      </c>
      <c r="C24" s="108">
        <f t="shared" si="0"/>
        <v>0</v>
      </c>
      <c r="D24" s="108">
        <f t="shared" si="0"/>
        <v>0</v>
      </c>
    </row>
    <row r="25" spans="1:9" hidden="1" x14ac:dyDescent="0.25">
      <c r="A25" s="2" t="s">
        <v>205</v>
      </c>
      <c r="B25" s="108">
        <f>SUM($B$20:$B$21,$B$27)*B8</f>
        <v>0</v>
      </c>
      <c r="C25" s="108">
        <f t="shared" si="0"/>
        <v>0</v>
      </c>
      <c r="D25" s="108">
        <f t="shared" si="0"/>
        <v>0</v>
      </c>
    </row>
    <row r="26" spans="1:9" hidden="1" x14ac:dyDescent="0.25">
      <c r="A26" s="2" t="s">
        <v>116</v>
      </c>
      <c r="B26" s="103">
        <f>304+44</f>
        <v>348</v>
      </c>
      <c r="C26" s="108">
        <f>B26</f>
        <v>348</v>
      </c>
      <c r="D26" s="108">
        <f>B26</f>
        <v>348</v>
      </c>
      <c r="F26" s="1" t="s">
        <v>312</v>
      </c>
    </row>
    <row r="27" spans="1:9" hidden="1" x14ac:dyDescent="0.25">
      <c r="A27" s="2" t="s">
        <v>96</v>
      </c>
      <c r="B27" s="103">
        <v>26</v>
      </c>
      <c r="C27" s="108">
        <f>$B27*(1-SUM(C$5:C$8))</f>
        <v>26</v>
      </c>
      <c r="D27" s="108">
        <f>$B27*(1-SUM(D$5:D$8))</f>
        <v>26</v>
      </c>
    </row>
    <row r="28" spans="1:9" hidden="1" x14ac:dyDescent="0.25">
      <c r="A28" s="2" t="s">
        <v>15</v>
      </c>
      <c r="B28" s="103">
        <v>24</v>
      </c>
      <c r="C28" s="108">
        <f>B28</f>
        <v>24</v>
      </c>
      <c r="D28" s="108">
        <f>B28</f>
        <v>24</v>
      </c>
    </row>
    <row r="29" spans="1:9" hidden="1" x14ac:dyDescent="0.25">
      <c r="A29" s="2" t="s">
        <v>54</v>
      </c>
      <c r="B29" s="103">
        <v>190</v>
      </c>
      <c r="C29" s="108">
        <f>B29</f>
        <v>190</v>
      </c>
      <c r="D29" s="108">
        <f>B29</f>
        <v>190</v>
      </c>
    </row>
    <row r="30" spans="1:9" hidden="1" x14ac:dyDescent="0.25">
      <c r="A30" s="2" t="s">
        <v>19</v>
      </c>
      <c r="B30" s="103">
        <v>37</v>
      </c>
      <c r="C30" s="109">
        <f>B30</f>
        <v>37</v>
      </c>
      <c r="D30" s="109">
        <f>B30</f>
        <v>37</v>
      </c>
    </row>
    <row r="31" spans="1:9" hidden="1" x14ac:dyDescent="0.25">
      <c r="A31" s="286" t="s">
        <v>30</v>
      </c>
      <c r="B31" s="285">
        <f>SUM(B17:B30)</f>
        <v>1267</v>
      </c>
      <c r="C31" s="285">
        <f>SUM(C17:C30)</f>
        <v>1267</v>
      </c>
      <c r="D31" s="285">
        <f>SUM(D17:D30)</f>
        <v>1267</v>
      </c>
    </row>
    <row r="32" spans="1:9" hidden="1" x14ac:dyDescent="0.25">
      <c r="A32" s="4" t="s">
        <v>18</v>
      </c>
      <c r="B32" s="97">
        <v>134</v>
      </c>
      <c r="C32" s="13"/>
    </row>
    <row r="33" spans="1:4" hidden="1" x14ac:dyDescent="0.25">
      <c r="A33" s="4" t="s">
        <v>20</v>
      </c>
      <c r="B33" s="99">
        <v>0.33</v>
      </c>
      <c r="C33" s="13" t="s">
        <v>152</v>
      </c>
    </row>
    <row r="34" spans="1:4" hidden="1" x14ac:dyDescent="0.25">
      <c r="A34" s="5" t="s">
        <v>21</v>
      </c>
      <c r="B34" s="110">
        <v>0.67</v>
      </c>
      <c r="C34" s="13"/>
    </row>
    <row r="36" spans="1:4" x14ac:dyDescent="0.25">
      <c r="C36" s="98"/>
      <c r="D36" s="98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37" sqref="A37:XFD62"/>
    </sheetView>
  </sheetViews>
  <sheetFormatPr defaultColWidth="9.140625" defaultRowHeight="12" x14ac:dyDescent="0.2"/>
  <cols>
    <col min="1" max="1" width="15.85546875" style="114" customWidth="1"/>
    <col min="2" max="2" width="10.140625" style="114" bestFit="1" customWidth="1"/>
    <col min="3" max="3" width="10.140625" style="114" customWidth="1"/>
    <col min="4" max="4" width="11.85546875" style="114" bestFit="1" customWidth="1"/>
    <col min="5" max="5" width="11" style="114" customWidth="1"/>
    <col min="6" max="6" width="13.42578125" style="114" customWidth="1"/>
    <col min="7" max="7" width="24.28515625" style="114" customWidth="1"/>
    <col min="8" max="8" width="10" style="114" hidden="1" customWidth="1"/>
    <col min="9" max="12" width="9.28515625" style="114" hidden="1" customWidth="1"/>
    <col min="13" max="13" width="24.28515625" style="114" hidden="1" customWidth="1"/>
    <col min="14" max="14" width="12.7109375" style="114" hidden="1" customWidth="1"/>
    <col min="15" max="15" width="9.28515625" style="114" hidden="1" customWidth="1"/>
    <col min="16" max="16" width="9.85546875" style="114" hidden="1" customWidth="1"/>
    <col min="17" max="22" width="0" style="114" hidden="1" customWidth="1"/>
    <col min="23" max="23" width="2.5703125" style="114" hidden="1" customWidth="1"/>
    <col min="24" max="16384" width="9.140625" style="114"/>
  </cols>
  <sheetData>
    <row r="1" spans="1:29" ht="12.75" thickBot="1" x14ac:dyDescent="0.25">
      <c r="A1" s="202" t="s">
        <v>270</v>
      </c>
    </row>
    <row r="2" spans="1:29" ht="46.5" customHeight="1" x14ac:dyDescent="0.2">
      <c r="A2" s="206" t="s">
        <v>138</v>
      </c>
      <c r="B2" s="206">
        <f>År1</f>
        <v>2019</v>
      </c>
      <c r="C2" s="206">
        <f>År2</f>
        <v>2030</v>
      </c>
      <c r="D2" s="206">
        <f>År3</f>
        <v>2050</v>
      </c>
      <c r="E2" s="113"/>
      <c r="F2" s="442" t="s">
        <v>323</v>
      </c>
      <c r="G2" s="443"/>
      <c r="M2" s="113"/>
      <c r="Z2" s="318" t="s">
        <v>150</v>
      </c>
      <c r="AA2" s="206">
        <f>År1</f>
        <v>2019</v>
      </c>
      <c r="AB2" s="206">
        <f>År2</f>
        <v>2030</v>
      </c>
      <c r="AC2" s="206">
        <f>År3</f>
        <v>2050</v>
      </c>
    </row>
    <row r="3" spans="1:29" x14ac:dyDescent="0.2">
      <c r="A3" s="161" t="s">
        <v>135</v>
      </c>
      <c r="B3" s="207">
        <f>N12/SUMIFS('Resultater - Danmark'!H$3:H$504,'Resultater - Danmark'!$F$3:$F$504,$A3)</f>
        <v>0.16508293217043288</v>
      </c>
      <c r="C3" s="162">
        <v>0.75</v>
      </c>
      <c r="D3" s="162">
        <v>0.9</v>
      </c>
      <c r="E3" s="134"/>
      <c r="F3" s="155" t="s">
        <v>103</v>
      </c>
      <c r="G3" s="156">
        <v>0.85</v>
      </c>
      <c r="H3" s="134"/>
      <c r="N3" s="222"/>
      <c r="Z3" s="161" t="s">
        <v>110</v>
      </c>
      <c r="AA3" s="207">
        <f>SUM(C12:C14)/SUM(C12:C15)</f>
        <v>0.73155031690147754</v>
      </c>
      <c r="AB3" s="207">
        <f>SUM(D12:D14)/SUM(D12:D15)</f>
        <v>0.86215702024302077</v>
      </c>
      <c r="AC3" s="207">
        <f>SUM(E12:E14)/SUM(E12:E15)</f>
        <v>2.7367284680520979E-2</v>
      </c>
    </row>
    <row r="4" spans="1:29" x14ac:dyDescent="0.2">
      <c r="A4" s="161" t="s">
        <v>136</v>
      </c>
      <c r="B4" s="207">
        <f>N13/SUMIFS('Resultater - Danmark'!H$3:H$504,'Resultater - Danmark'!$F$3:$F$504,$A4)</f>
        <v>0.30985833926453143</v>
      </c>
      <c r="C4" s="162">
        <v>0.75</v>
      </c>
      <c r="D4" s="162">
        <v>0.9</v>
      </c>
      <c r="E4" s="134"/>
      <c r="F4" s="155"/>
      <c r="G4" s="156"/>
      <c r="N4" s="222"/>
      <c r="Z4" s="206" t="s">
        <v>201</v>
      </c>
      <c r="AA4" s="161"/>
      <c r="AB4" s="161"/>
      <c r="AC4" s="161"/>
    </row>
    <row r="5" spans="1:29" x14ac:dyDescent="0.2">
      <c r="A5" s="161" t="s">
        <v>137</v>
      </c>
      <c r="B5" s="207">
        <v>0.5</v>
      </c>
      <c r="C5" s="162">
        <v>0.75</v>
      </c>
      <c r="D5" s="162">
        <v>0.9</v>
      </c>
      <c r="E5" s="134"/>
      <c r="F5" s="155"/>
      <c r="G5" s="156"/>
      <c r="N5" s="222"/>
      <c r="Z5" s="161" t="s">
        <v>135</v>
      </c>
      <c r="AA5" s="319">
        <f t="shared" ref="AA5:AC6" si="0">C12/C$29</f>
        <v>0.22267199142680771</v>
      </c>
      <c r="AB5" s="319">
        <f t="shared" si="0"/>
        <v>0.46826078552695605</v>
      </c>
      <c r="AC5" s="319">
        <f t="shared" si="0"/>
        <v>0</v>
      </c>
    </row>
    <row r="6" spans="1:29" x14ac:dyDescent="0.2">
      <c r="A6" s="161" t="s">
        <v>140</v>
      </c>
      <c r="B6" s="207">
        <f>N15/SUMIFS('Resultater - Danmark'!H$3:H$504,'Resultater - Danmark'!$F$3:$F$504,$A6)</f>
        <v>0.37924884410556858</v>
      </c>
      <c r="C6" s="162">
        <f>B6</f>
        <v>0.37924884410556858</v>
      </c>
      <c r="D6" s="162">
        <f>C6</f>
        <v>0.37924884410556858</v>
      </c>
      <c r="E6" s="134"/>
      <c r="F6" s="155"/>
      <c r="G6" s="156"/>
      <c r="Z6" s="161" t="s">
        <v>136</v>
      </c>
      <c r="AA6" s="319">
        <f t="shared" si="0"/>
        <v>0.33257225498473725</v>
      </c>
      <c r="AB6" s="319">
        <f t="shared" si="0"/>
        <v>0.18553006912609604</v>
      </c>
      <c r="AC6" s="319">
        <f t="shared" si="0"/>
        <v>3.6077032013528826E-3</v>
      </c>
    </row>
    <row r="7" spans="1:29" x14ac:dyDescent="0.2">
      <c r="A7" s="161" t="s">
        <v>101</v>
      </c>
      <c r="B7" s="207">
        <f>N16/SUMIFS('Resultater - Danmark'!H$3:H$504,'Resultater - Danmark'!$F$3:$F$504,$A7)</f>
        <v>0.25812101313640656</v>
      </c>
      <c r="C7" s="162">
        <v>0.75</v>
      </c>
      <c r="D7" s="162">
        <v>0.9</v>
      </c>
      <c r="F7" s="155"/>
      <c r="G7" s="157"/>
      <c r="N7" s="141"/>
    </row>
    <row r="8" spans="1:29" ht="12.75" thickBot="1" x14ac:dyDescent="0.25">
      <c r="A8" s="161" t="s">
        <v>207</v>
      </c>
      <c r="B8" s="207">
        <v>0</v>
      </c>
      <c r="C8" s="162">
        <v>0.75</v>
      </c>
      <c r="D8" s="162">
        <v>0.9</v>
      </c>
      <c r="F8" s="158"/>
      <c r="G8" s="159"/>
      <c r="I8" s="141"/>
    </row>
    <row r="10" spans="1:29" ht="23.45" customHeight="1" x14ac:dyDescent="0.2">
      <c r="B10" s="115"/>
      <c r="C10" s="440" t="s">
        <v>209</v>
      </c>
      <c r="D10" s="440"/>
      <c r="E10" s="440"/>
      <c r="F10" s="439" t="s">
        <v>324</v>
      </c>
      <c r="G10" s="439"/>
      <c r="J10" s="441" t="s">
        <v>210</v>
      </c>
      <c r="K10" s="441"/>
      <c r="L10" s="441"/>
    </row>
    <row r="11" spans="1:29" x14ac:dyDescent="0.2">
      <c r="C11" s="116">
        <f>År1</f>
        <v>2019</v>
      </c>
      <c r="D11" s="116">
        <f>År2</f>
        <v>2030</v>
      </c>
      <c r="E11" s="116">
        <f>År3</f>
        <v>2050</v>
      </c>
      <c r="F11" s="116">
        <v>2030</v>
      </c>
      <c r="G11" s="116">
        <v>2050</v>
      </c>
      <c r="H11" s="116" t="s">
        <v>105</v>
      </c>
      <c r="I11" s="116" t="s">
        <v>144</v>
      </c>
      <c r="J11" s="116">
        <f>År1</f>
        <v>2019</v>
      </c>
      <c r="K11" s="116">
        <f>År2</f>
        <v>2030</v>
      </c>
      <c r="L11" s="116">
        <f>År3</f>
        <v>2050</v>
      </c>
      <c r="M11" s="113" t="s">
        <v>213</v>
      </c>
    </row>
    <row r="12" spans="1:29" x14ac:dyDescent="0.2">
      <c r="A12" s="117" t="s">
        <v>135</v>
      </c>
      <c r="B12" s="117" t="s">
        <v>139</v>
      </c>
      <c r="C12" s="118">
        <f>SUMIFS('Resultater - Danmark'!H$3:H$504,'Resultater - Danmark'!$F$3:$F$504,$A12)*B3</f>
        <v>2914869.3333333335</v>
      </c>
      <c r="D12" s="118">
        <f>SUMIFS('Resultater - Danmark'!I$3:I$504,'Resultater - Danmark'!$F$3:$F$504,$A12)*C3</f>
        <v>12302941.935483873</v>
      </c>
      <c r="E12" s="118">
        <f>SUMIFS('Resultater - Danmark'!J$3:J$504,'Resultater - Danmark'!$F$3:$F$504,$A12)*D3</f>
        <v>0</v>
      </c>
      <c r="F12" s="215">
        <f>SUMIFS('Resultat-Produktion &amp; forbrug'!$G$4:$G$291,'Resultat-Produktion &amp; forbrug'!$A$4:$A$291,$A12,'Resultat-Produktion &amp; forbrug'!$E$4:$E$291,Biogasanlæg!F$11)-SUMIFS('Resultat-Produktion &amp; forbrug'!$H$4:$H$291,'Resultat-Produktion &amp; forbrug'!$A$4:$A$291,$A12,'Resultat-Produktion &amp; forbrug'!$E$4:$E$291,Biogasanlæg!F$11)-SUMIFS('Resultat-Produktion &amp; forbrug'!$I$4:$I$291,'Resultat-Produktion &amp; forbrug'!$A$4:$A$291,$A12,'Resultat-Produktion &amp; forbrug'!$E$4:$E$291,Biogasanlæg!F$11)-SUMIFS('Resultat-Produktion &amp; forbrug'!$J$4:$J$291,'Resultat-Produktion &amp; forbrug'!$A$4:$A$291,$A12,'Resultat-Produktion &amp; forbrug'!$E$4:$E$291,Biogasanlæg!F$11)-SUMIFS('Resultat-Produktion &amp; forbrug'!$K$4:$K$291,'Resultat-Produktion &amp; forbrug'!$A$4:$A$291,$A12,'Resultat-Produktion &amp; forbrug'!$E$4:$E$291,Biogasanlæg!F$11)-SUMIFS('Resultat-Produktion &amp; forbrug'!$N$4:$N$291,'Resultat-Produktion &amp; forbrug'!$A$4:$A$291,$A12,'Resultat-Produktion &amp; forbrug'!$E$4:$E$291,Biogasanlæg!F$11)</f>
        <v>4100980.6451612916</v>
      </c>
      <c r="G12" s="215">
        <f>SUMIFS('Resultat-Produktion &amp; forbrug'!$G$4:$G$291,'Resultat-Produktion &amp; forbrug'!$A$4:$A$291,$A12,'Resultat-Produktion &amp; forbrug'!$E$4:$E$291,Biogasanlæg!G$11)-SUMIFS('Resultat-Produktion &amp; forbrug'!$H$4:$H$291,'Resultat-Produktion &amp; forbrug'!$A$4:$A$291,$A12,'Resultat-Produktion &amp; forbrug'!$E$4:$E$291,Biogasanlæg!G$11)-SUMIFS('Resultat-Produktion &amp; forbrug'!$I$4:$I$291,'Resultat-Produktion &amp; forbrug'!$A$4:$A$291,$A12,'Resultat-Produktion &amp; forbrug'!$E$4:$E$291,Biogasanlæg!G$11)-SUMIFS('Resultat-Produktion &amp; forbrug'!$J$4:$J$291,'Resultat-Produktion &amp; forbrug'!$A$4:$A$291,$A12,'Resultat-Produktion &amp; forbrug'!$E$4:$E$291,Biogasanlæg!G$11)-SUMIFS('Resultat-Produktion &amp; forbrug'!$K$4:$K$291,'Resultat-Produktion &amp; forbrug'!$A$4:$A$291,$A12,'Resultat-Produktion &amp; forbrug'!$E$4:$E$291,Biogasanlæg!G$11)-SUMIFS('Resultat-Produktion &amp; forbrug'!$N$4:$N$291,'Resultat-Produktion &amp; forbrug'!$A$4:$A$291,$A12,'Resultat-Produktion &amp; forbrug'!$E$4:$E$291,Biogasanlæg!G$11)</f>
        <v>0</v>
      </c>
      <c r="H12" s="119">
        <f>VLOOKUP(A12,[1]Biogasudbytte!$A$2:$C$18,3,FALSE)</f>
        <v>0.05</v>
      </c>
      <c r="I12" s="120">
        <f>VLOOKUP(A12,[1]Biogasudbytte!$A$2:$C$18,2,FALSE)*IFERROR(VLOOKUP(A12,$F$3:$G$8,2,FALSE),1)</f>
        <v>12</v>
      </c>
      <c r="J12" s="119">
        <f t="shared" ref="J12:J28" si="1">C12/C$29</f>
        <v>0.22267199142680771</v>
      </c>
      <c r="K12" s="119">
        <f t="shared" ref="K12:K28" si="2">D12/D$29</f>
        <v>0.46826078552695605</v>
      </c>
      <c r="L12" s="119">
        <f t="shared" ref="L12:L28" si="3">E12/E$29</f>
        <v>0</v>
      </c>
      <c r="M12" s="114" t="s">
        <v>211</v>
      </c>
      <c r="N12" s="114">
        <f>S12+2/3*T12</f>
        <v>2914869.3333333335</v>
      </c>
      <c r="O12" s="136">
        <f>N12-C12</f>
        <v>0</v>
      </c>
      <c r="P12" s="115">
        <f>C12*I12</f>
        <v>34978432</v>
      </c>
      <c r="Q12" s="114">
        <f>P12*35.9/1000000000</f>
        <v>1.2557257088</v>
      </c>
      <c r="S12" s="114">
        <v>2517134</v>
      </c>
      <c r="T12" s="114">
        <v>596603</v>
      </c>
      <c r="Y12" s="136"/>
      <c r="Z12" s="136"/>
      <c r="AA12" s="136"/>
    </row>
    <row r="13" spans="1:29" x14ac:dyDescent="0.2">
      <c r="A13" s="114" t="s">
        <v>136</v>
      </c>
      <c r="B13" s="114" t="s">
        <v>139</v>
      </c>
      <c r="C13" s="121">
        <f>SUMIFS('Resultater - Danmark'!H$3:H$504,'Resultater - Danmark'!$F$3:$F$504,$A13)*B4</f>
        <v>4353509.666666667</v>
      </c>
      <c r="D13" s="121">
        <f>SUMIFS('Resultater - Danmark'!I$3:I$504,'Resultater - Danmark'!$F$3:$F$504,$A13)*C4</f>
        <v>4874560.7966637425</v>
      </c>
      <c r="E13" s="121">
        <f>SUMIFS('Resultater - Danmark'!J$3:J$504,'Resultater - Danmark'!$F$3:$F$504,$A13)*D4</f>
        <v>66267.713341306167</v>
      </c>
      <c r="F13" s="216">
        <f>SUMIFS('Resultat-Produktion &amp; forbrug'!$G$4:$G$291,'Resultat-Produktion &amp; forbrug'!$A$4:$A$291,$A13,'Resultat-Produktion &amp; forbrug'!$E$4:$E$291,Biogasanlæg!F$11)-SUMIFS('Resultat-Produktion &amp; forbrug'!$H$4:$H$291,'Resultat-Produktion &amp; forbrug'!$A$4:$A$291,$A13,'Resultat-Produktion &amp; forbrug'!$E$4:$E$291,Biogasanlæg!F$11)-SUMIFS('Resultat-Produktion &amp; forbrug'!$I$4:$I$291,'Resultat-Produktion &amp; forbrug'!$A$4:$A$291,$A13,'Resultat-Produktion &amp; forbrug'!$E$4:$E$291,Biogasanlæg!F$11)-SUMIFS('Resultat-Produktion &amp; forbrug'!$J$4:$J$291,'Resultat-Produktion &amp; forbrug'!$A$4:$A$291,$A13,'Resultat-Produktion &amp; forbrug'!$E$4:$E$291,Biogasanlæg!F$11)-SUMIFS('Resultat-Produktion &amp; forbrug'!$K$4:$K$291,'Resultat-Produktion &amp; forbrug'!$A$4:$A$291,$A13,'Resultat-Produktion &amp; forbrug'!$E$4:$E$291,Biogasanlæg!F$11)-SUMIFS('Resultat-Produktion &amp; forbrug'!$N$4:$N$291,'Resultat-Produktion &amp; forbrug'!$A$4:$A$291,$A13,'Resultat-Produktion &amp; forbrug'!$E$4:$E$291,Biogasanlæg!F$11)</f>
        <v>1624853.5988879148</v>
      </c>
      <c r="G13" s="216">
        <f>SUMIFS('Resultat-Produktion &amp; forbrug'!$G$4:$G$291,'Resultat-Produktion &amp; forbrug'!$A$4:$A$291,$A13,'Resultat-Produktion &amp; forbrug'!$E$4:$E$291,Biogasanlæg!G$11)-SUMIFS('Resultat-Produktion &amp; forbrug'!$H$4:$H$291,'Resultat-Produktion &amp; forbrug'!$A$4:$A$291,$A13,'Resultat-Produktion &amp; forbrug'!$E$4:$E$291,Biogasanlæg!G$11)-SUMIFS('Resultat-Produktion &amp; forbrug'!$I$4:$I$291,'Resultat-Produktion &amp; forbrug'!$A$4:$A$291,$A13,'Resultat-Produktion &amp; forbrug'!$E$4:$E$291,Biogasanlæg!G$11)-SUMIFS('Resultat-Produktion &amp; forbrug'!$J$4:$J$291,'Resultat-Produktion &amp; forbrug'!$A$4:$A$291,$A13,'Resultat-Produktion &amp; forbrug'!$E$4:$E$291,Biogasanlæg!G$11)-SUMIFS('Resultat-Produktion &amp; forbrug'!$K$4:$K$291,'Resultat-Produktion &amp; forbrug'!$A$4:$A$291,$A13,'Resultat-Produktion &amp; forbrug'!$E$4:$E$291,Biogasanlæg!G$11)-SUMIFS('Resultat-Produktion &amp; forbrug'!$N$4:$N$291,'Resultat-Produktion &amp; forbrug'!$A$4:$A$291,$A13,'Resultat-Produktion &amp; forbrug'!$E$4:$E$291,Biogasanlæg!G$11)</f>
        <v>7363.0792601451249</v>
      </c>
      <c r="H13" s="122">
        <f>VLOOKUP(A13,[1]Biogasudbytte!$A$2:$C$18,3,FALSE)</f>
        <v>7.5999999999999998E-2</v>
      </c>
      <c r="I13" s="123">
        <f>VLOOKUP(A13,[1]Biogasudbytte!$A$2:$C$18,2,FALSE)*IFERROR(VLOOKUP(A13,$F$3:$G$8,2,FALSE),1)</f>
        <v>14.1</v>
      </c>
      <c r="J13" s="122">
        <f t="shared" si="1"/>
        <v>0.33257225498473725</v>
      </c>
      <c r="K13" s="122">
        <f t="shared" si="2"/>
        <v>0.18553006912609604</v>
      </c>
      <c r="L13" s="122">
        <f t="shared" si="3"/>
        <v>3.6077032013528826E-3</v>
      </c>
      <c r="M13" s="114" t="s">
        <v>212</v>
      </c>
      <c r="N13" s="114">
        <f>S13+1/3*T13</f>
        <v>4353509.666666667</v>
      </c>
      <c r="O13" s="136">
        <f>N13-C13</f>
        <v>0</v>
      </c>
      <c r="P13" s="115">
        <f t="shared" ref="P13:P28" si="4">C13*I13</f>
        <v>61384486.300000004</v>
      </c>
      <c r="Q13" s="114">
        <f t="shared" ref="Q13:Q28" si="5">P13*35.9/1000000000</f>
        <v>2.2037030581699999</v>
      </c>
      <c r="S13" s="114">
        <v>4154642</v>
      </c>
      <c r="T13" s="114">
        <v>596603</v>
      </c>
    </row>
    <row r="14" spans="1:29" x14ac:dyDescent="0.2">
      <c r="A14" s="114" t="s">
        <v>137</v>
      </c>
      <c r="B14" s="114" t="s">
        <v>139</v>
      </c>
      <c r="C14" s="121">
        <f>SUMIFS('Resultater - Danmark'!H$3:H$504,'Resultater - Danmark'!$F$3:$F$504,$A14)*B5</f>
        <v>4441.5</v>
      </c>
      <c r="D14" s="121">
        <f>SUMIFS('Resultater - Danmark'!I$3:I$504,'Resultater - Danmark'!$F$3:$F$504,$A14)*C5</f>
        <v>6662.25</v>
      </c>
      <c r="E14" s="121">
        <f>SUMIFS('Resultater - Danmark'!J$3:J$504,'Resultater - Danmark'!$F$3:$F$504,$A14)*D5</f>
        <v>13702.425034511814</v>
      </c>
      <c r="F14" s="216">
        <f>SUMIFS('Resultat-Produktion &amp; forbrug'!$G$4:$G$291,'Resultat-Produktion &amp; forbrug'!$A$4:$A$291,$A14,'Resultat-Produktion &amp; forbrug'!$E$4:$E$291,Biogasanlæg!F$11)-SUMIFS('Resultat-Produktion &amp; forbrug'!$H$4:$H$291,'Resultat-Produktion &amp; forbrug'!$A$4:$A$291,$A14,'Resultat-Produktion &amp; forbrug'!$E$4:$E$291,Biogasanlæg!F$11)-SUMIFS('Resultat-Produktion &amp; forbrug'!$I$4:$I$291,'Resultat-Produktion &amp; forbrug'!$A$4:$A$291,$A14,'Resultat-Produktion &amp; forbrug'!$E$4:$E$291,Biogasanlæg!F$11)-SUMIFS('Resultat-Produktion &amp; forbrug'!$J$4:$J$291,'Resultat-Produktion &amp; forbrug'!$A$4:$A$291,$A14,'Resultat-Produktion &amp; forbrug'!$E$4:$E$291,Biogasanlæg!F$11)-SUMIFS('Resultat-Produktion &amp; forbrug'!$K$4:$K$291,'Resultat-Produktion &amp; forbrug'!$A$4:$A$291,$A14,'Resultat-Produktion &amp; forbrug'!$E$4:$E$291,Biogasanlæg!F$11)-SUMIFS('Resultat-Produktion &amp; forbrug'!$N$4:$N$291,'Resultat-Produktion &amp; forbrug'!$A$4:$A$291,$A14,'Resultat-Produktion &amp; forbrug'!$E$4:$E$291,Biogasanlæg!F$11)</f>
        <v>2220.7499999999991</v>
      </c>
      <c r="G14" s="216">
        <f>SUMIFS('Resultat-Produktion &amp; forbrug'!$G$4:$G$291,'Resultat-Produktion &amp; forbrug'!$A$4:$A$291,$A14,'Resultat-Produktion &amp; forbrug'!$E$4:$E$291,Biogasanlæg!G$11)-SUMIFS('Resultat-Produktion &amp; forbrug'!$H$4:$H$291,'Resultat-Produktion &amp; forbrug'!$A$4:$A$291,$A14,'Resultat-Produktion &amp; forbrug'!$E$4:$E$291,Biogasanlæg!G$11)-SUMIFS('Resultat-Produktion &amp; forbrug'!$I$4:$I$291,'Resultat-Produktion &amp; forbrug'!$A$4:$A$291,$A14,'Resultat-Produktion &amp; forbrug'!$E$4:$E$291,Biogasanlæg!G$11)-SUMIFS('Resultat-Produktion &amp; forbrug'!$J$4:$J$291,'Resultat-Produktion &amp; forbrug'!$A$4:$A$291,$A14,'Resultat-Produktion &amp; forbrug'!$E$4:$E$291,Biogasanlæg!G$11)-SUMIFS('Resultat-Produktion &amp; forbrug'!$K$4:$K$291,'Resultat-Produktion &amp; forbrug'!$A$4:$A$291,$A14,'Resultat-Produktion &amp; forbrug'!$E$4:$E$291,Biogasanlæg!G$11)-SUMIFS('Resultat-Produktion &amp; forbrug'!$N$4:$N$291,'Resultat-Produktion &amp; forbrug'!$A$4:$A$291,$A14,'Resultat-Produktion &amp; forbrug'!$E$4:$E$291,Biogasanlæg!G$11)</f>
        <v>1522.4916705013129</v>
      </c>
      <c r="H14" s="122">
        <f>VLOOKUP(A14,[1]Biogasudbytte!$A$2:$C$18,3,FALSE)</f>
        <v>6.3E-2</v>
      </c>
      <c r="I14" s="123">
        <f>VLOOKUP(A14,[1]Biogasudbytte!$A$2:$C$18,2,FALSE)*IFERROR(VLOOKUP(A14,$F$3:$G$8,2,FALSE),1)</f>
        <v>13.1</v>
      </c>
      <c r="J14" s="122">
        <f t="shared" si="1"/>
        <v>3.3929399119623192E-4</v>
      </c>
      <c r="K14" s="122">
        <f t="shared" si="2"/>
        <v>2.5357109175483291E-4</v>
      </c>
      <c r="L14" s="122">
        <f t="shared" si="3"/>
        <v>7.4597839838986342E-4</v>
      </c>
      <c r="M14" s="114" t="s">
        <v>145</v>
      </c>
      <c r="N14" s="115">
        <v>11417</v>
      </c>
      <c r="O14" s="136">
        <f>N14-C14</f>
        <v>6975.5</v>
      </c>
      <c r="P14" s="115">
        <f t="shared" si="4"/>
        <v>58183.65</v>
      </c>
      <c r="Q14" s="114">
        <f t="shared" si="5"/>
        <v>2.0887930350000001E-3</v>
      </c>
    </row>
    <row r="15" spans="1:29" x14ac:dyDescent="0.2">
      <c r="A15" s="114" t="s">
        <v>140</v>
      </c>
      <c r="B15" s="114" t="s">
        <v>139</v>
      </c>
      <c r="C15" s="121">
        <f>SUMIFS('Resultater - Danmark'!H$3:H$504,'Resultater - Danmark'!$F$3:$F$504,$A15)*B6</f>
        <v>2668834</v>
      </c>
      <c r="D15" s="121">
        <f>SUMIFS('Resultater - Danmark'!I$3:I$504,'Resultater - Danmark'!$F$3:$F$504,$A15)*C6</f>
        <v>2747430.5145796789</v>
      </c>
      <c r="E15" s="121">
        <f>SUMIFS('Resultater - Danmark'!J$3:J$504,'Resultater - Danmark'!$F$3:$F$504,$A15)*D6</f>
        <v>2842137.0165491197</v>
      </c>
      <c r="F15" s="216">
        <f>SUMIFS('Resultat-Produktion &amp; forbrug'!$G$4:$G$291,'Resultat-Produktion &amp; forbrug'!$A$4:$A$291,$A15,'Resultat-Produktion &amp; forbrug'!$E$4:$E$291,Biogasanlæg!F$11)-SUMIFS('Resultat-Produktion &amp; forbrug'!$H$4:$H$291,'Resultat-Produktion &amp; forbrug'!$A$4:$A$291,$A15,'Resultat-Produktion &amp; forbrug'!$E$4:$E$291,Biogasanlæg!F$11)-SUMIFS('Resultat-Produktion &amp; forbrug'!$I$4:$I$291,'Resultat-Produktion &amp; forbrug'!$A$4:$A$291,$A15,'Resultat-Produktion &amp; forbrug'!$E$4:$E$291,Biogasanlæg!F$11)-SUMIFS('Resultat-Produktion &amp; forbrug'!$J$4:$J$291,'Resultat-Produktion &amp; forbrug'!$A$4:$A$291,$A15,'Resultat-Produktion &amp; forbrug'!$E$4:$E$291,Biogasanlæg!F$11)-SUMIFS('Resultat-Produktion &amp; forbrug'!$K$4:$K$291,'Resultat-Produktion &amp; forbrug'!$A$4:$A$291,$A15,'Resultat-Produktion &amp; forbrug'!$E$4:$E$291,Biogasanlæg!F$11)-SUMIFS('Resultat-Produktion &amp; forbrug'!$N$4:$N$291,'Resultat-Produktion &amp; forbrug'!$A$4:$A$291,$A15,'Resultat-Produktion &amp; forbrug'!$E$4:$E$291,Biogasanlæg!F$11)</f>
        <v>4496969.982036991</v>
      </c>
      <c r="G15" s="216">
        <f>SUMIFS('Resultat-Produktion &amp; forbrug'!$G$4:$G$291,'Resultat-Produktion &amp; forbrug'!$A$4:$A$291,$A15,'Resultat-Produktion &amp; forbrug'!$E$4:$E$291,Biogasanlæg!G$11)-SUMIFS('Resultat-Produktion &amp; forbrug'!$H$4:$H$291,'Resultat-Produktion &amp; forbrug'!$A$4:$A$291,$A15,'Resultat-Produktion &amp; forbrug'!$E$4:$E$291,Biogasanlæg!G$11)-SUMIFS('Resultat-Produktion &amp; forbrug'!$I$4:$I$291,'Resultat-Produktion &amp; forbrug'!$A$4:$A$291,$A15,'Resultat-Produktion &amp; forbrug'!$E$4:$E$291,Biogasanlæg!G$11)-SUMIFS('Resultat-Produktion &amp; forbrug'!$J$4:$J$291,'Resultat-Produktion &amp; forbrug'!$A$4:$A$291,$A15,'Resultat-Produktion &amp; forbrug'!$E$4:$E$291,Biogasanlæg!G$11)-SUMIFS('Resultat-Produktion &amp; forbrug'!$K$4:$K$291,'Resultat-Produktion &amp; forbrug'!$A$4:$A$291,$A15,'Resultat-Produktion &amp; forbrug'!$E$4:$E$291,Biogasanlæg!G$11)-SUMIFS('Resultat-Produktion &amp; forbrug'!$N$4:$N$291,'Resultat-Produktion &amp; forbrug'!$A$4:$A$291,$A15,'Resultat-Produktion &amp; forbrug'!$E$4:$E$291,Biogasanlæg!G$11)</f>
        <v>4651984.7473605312</v>
      </c>
      <c r="H15" s="122">
        <f>VLOOKUP(A15,[1]Biogasudbytte!$A$2:$C$18,3,FALSE)</f>
        <v>0.06</v>
      </c>
      <c r="I15" s="123">
        <f>VLOOKUP(A15,[1]Biogasudbytte!$A$2:$C$18,2,FALSE)*IFERROR(VLOOKUP(A15,$F$3:$G$8,2,FALSE),1)</f>
        <v>13.9</v>
      </c>
      <c r="J15" s="122">
        <f t="shared" si="1"/>
        <v>0.20387691989197443</v>
      </c>
      <c r="K15" s="122">
        <f t="shared" si="2"/>
        <v>0.10456962063905011</v>
      </c>
      <c r="L15" s="122">
        <f t="shared" si="3"/>
        <v>0.15472975143230869</v>
      </c>
      <c r="M15" s="124" t="s">
        <v>290</v>
      </c>
      <c r="N15" s="125">
        <f>SUM(S15:Z15)</f>
        <v>2668834</v>
      </c>
      <c r="O15" s="136">
        <f>N15-C15</f>
        <v>0</v>
      </c>
      <c r="P15" s="115">
        <f>C15*I15</f>
        <v>37096792.600000001</v>
      </c>
      <c r="Q15" s="114">
        <f t="shared" si="5"/>
        <v>1.3317748543399999</v>
      </c>
      <c r="S15" s="149">
        <v>2666649</v>
      </c>
      <c r="T15" s="114">
        <v>2185</v>
      </c>
      <c r="U15" s="149" t="s">
        <v>292</v>
      </c>
    </row>
    <row r="16" spans="1:29" x14ac:dyDescent="0.2">
      <c r="A16" s="114" t="s">
        <v>101</v>
      </c>
      <c r="B16" s="114" t="s">
        <v>139</v>
      </c>
      <c r="C16" s="121">
        <f>SUMIFS('Resultater - Danmark'!H$3:H$504,'Resultater - Danmark'!$F$3:$F$504,$A16)*B7</f>
        <v>757087</v>
      </c>
      <c r="D16" s="121">
        <f>SUMIFS('Resultater - Danmark'!I$3:I$504,'Resultater - Danmark'!$F$3:$F$504,$A16)*C7</f>
        <v>2001137.1667130394</v>
      </c>
      <c r="E16" s="121">
        <f>SUMIFS('Resultater - Danmark'!J$3:J$504,'Resultater - Danmark'!$F$3:$F$504,$A16)*D7</f>
        <v>4592333.6695195464</v>
      </c>
      <c r="F16" s="216">
        <f>SUMIFS('Resultat-Produktion &amp; forbrug'!$G$4:$G$291,'Resultat-Produktion &amp; forbrug'!$A$4:$A$291,$A16,'Resultat-Produktion &amp; forbrug'!$E$4:$E$291,Biogasanlæg!F$11)-SUMIFS('Resultat-Produktion &amp; forbrug'!$H$4:$H$291,'Resultat-Produktion &amp; forbrug'!$A$4:$A$291,$A16,'Resultat-Produktion &amp; forbrug'!$E$4:$E$291,Biogasanlæg!F$11)-SUMIFS('Resultat-Produktion &amp; forbrug'!$I$4:$I$291,'Resultat-Produktion &amp; forbrug'!$A$4:$A$291,$A16,'Resultat-Produktion &amp; forbrug'!$E$4:$E$291,Biogasanlæg!F$11)-SUMIFS('Resultat-Produktion &amp; forbrug'!$J$4:$J$291,'Resultat-Produktion &amp; forbrug'!$A$4:$A$291,$A16,'Resultat-Produktion &amp; forbrug'!$E$4:$E$291,Biogasanlæg!F$11)-SUMIFS('Resultat-Produktion &amp; forbrug'!$K$4:$K$291,'Resultat-Produktion &amp; forbrug'!$A$4:$A$291,$A16,'Resultat-Produktion &amp; forbrug'!$E$4:$E$291,Biogasanlæg!F$11)-SUMIFS('Resultat-Produktion &amp; forbrug'!$N$4:$N$291,'Resultat-Produktion &amp; forbrug'!$A$4:$A$291,$A16,'Resultat-Produktion &amp; forbrug'!$E$4:$E$291,Biogasanlæg!F$11)</f>
        <v>667045.72223768011</v>
      </c>
      <c r="G16" s="216">
        <f>SUMIFS('Resultat-Produktion &amp; forbrug'!$G$4:$G$291,'Resultat-Produktion &amp; forbrug'!$A$4:$A$291,$A16,'Resultat-Produktion &amp; forbrug'!$E$4:$E$291,Biogasanlæg!G$11)-SUMIFS('Resultat-Produktion &amp; forbrug'!$H$4:$H$291,'Resultat-Produktion &amp; forbrug'!$A$4:$A$291,$A16,'Resultat-Produktion &amp; forbrug'!$E$4:$E$291,Biogasanlæg!G$11)-SUMIFS('Resultat-Produktion &amp; forbrug'!$I$4:$I$291,'Resultat-Produktion &amp; forbrug'!$A$4:$A$291,$A16,'Resultat-Produktion &amp; forbrug'!$E$4:$E$291,Biogasanlæg!G$11)-SUMIFS('Resultat-Produktion &amp; forbrug'!$J$4:$J$291,'Resultat-Produktion &amp; forbrug'!$A$4:$A$291,$A16,'Resultat-Produktion &amp; forbrug'!$E$4:$E$291,Biogasanlæg!G$11)-SUMIFS('Resultat-Produktion &amp; forbrug'!$K$4:$K$291,'Resultat-Produktion &amp; forbrug'!$A$4:$A$291,$A16,'Resultat-Produktion &amp; forbrug'!$E$4:$E$291,Biogasanlæg!G$11)-SUMIFS('Resultat-Produktion &amp; forbrug'!$N$4:$N$291,'Resultat-Produktion &amp; forbrug'!$A$4:$A$291,$A16,'Resultat-Produktion &amp; forbrug'!$E$4:$E$291,Biogasanlæg!G$11)</f>
        <v>510259.29661328252</v>
      </c>
      <c r="H16" s="122">
        <f>VLOOKUP(A16,[1]Biogasudbytte!$A$2:$C$18,3,FALSE)</f>
        <v>0.3</v>
      </c>
      <c r="I16" s="123">
        <f>VLOOKUP(A16,[1]Biogasudbytte!$A$2:$C$18,2,FALSE)*IFERROR(VLOOKUP(A16,$F$3:$G$8,2,FALSE),1)</f>
        <v>60</v>
      </c>
      <c r="J16" s="122">
        <f t="shared" si="1"/>
        <v>5.7835206554718369E-2</v>
      </c>
      <c r="K16" s="122">
        <f t="shared" si="2"/>
        <v>7.6165039756028147E-2</v>
      </c>
      <c r="L16" s="122">
        <f t="shared" si="3"/>
        <v>0.25001280481605553</v>
      </c>
      <c r="M16" s="220" t="s">
        <v>156</v>
      </c>
      <c r="N16" s="221">
        <v>757087</v>
      </c>
      <c r="O16" s="136">
        <f>N16-C16</f>
        <v>0</v>
      </c>
      <c r="P16" s="115">
        <f t="shared" si="4"/>
        <v>45425220</v>
      </c>
      <c r="Q16" s="114">
        <f t="shared" si="5"/>
        <v>1.6307653980000001</v>
      </c>
    </row>
    <row r="17" spans="1:23" x14ac:dyDescent="0.2">
      <c r="A17" s="114" t="s">
        <v>207</v>
      </c>
      <c r="B17" s="114" t="s">
        <v>139</v>
      </c>
      <c r="C17" s="121">
        <f>SUMIFS('Resultater - Danmark'!H$3:H$504,'Resultater - Danmark'!$F$3:$F$504,$A17)*B8</f>
        <v>0</v>
      </c>
      <c r="D17" s="121">
        <f>SUMIFS('Resultater - Danmark'!I$3:I$504,'Resultater - Danmark'!$F$3:$F$504,$A17)*C8</f>
        <v>4340964.2075004801</v>
      </c>
      <c r="E17" s="121">
        <f>SUMIFS('Resultater - Danmark'!J$3:J$504,'Resultater - Danmark'!$F$3:$F$504,$A17)*D8</f>
        <v>10853953.038015123</v>
      </c>
      <c r="F17" s="216">
        <f>SUMIFS('Resultat-Produktion &amp; forbrug'!$G$4:$G$291,'Resultat-Produktion &amp; forbrug'!$A$4:$A$291,$A17,'Resultat-Produktion &amp; forbrug'!$E$4:$E$291,Biogasanlæg!F$11)-SUMIFS('Resultat-Produktion &amp; forbrug'!$H$4:$H$291,'Resultat-Produktion &amp; forbrug'!$A$4:$A$291,$A17,'Resultat-Produktion &amp; forbrug'!$E$4:$E$291,Biogasanlæg!F$11)-SUMIFS('Resultat-Produktion &amp; forbrug'!$I$4:$I$291,'Resultat-Produktion &amp; forbrug'!$A$4:$A$291,$A17,'Resultat-Produktion &amp; forbrug'!$E$4:$E$291,Biogasanlæg!F$11)-SUMIFS('Resultat-Produktion &amp; forbrug'!$J$4:$J$291,'Resultat-Produktion &amp; forbrug'!$A$4:$A$291,$A17,'Resultat-Produktion &amp; forbrug'!$E$4:$E$291,Biogasanlæg!F$11)-SUMIFS('Resultat-Produktion &amp; forbrug'!$K$4:$K$291,'Resultat-Produktion &amp; forbrug'!$A$4:$A$291,$A17,'Resultat-Produktion &amp; forbrug'!$E$4:$E$291,Biogasanlæg!F$11)-SUMIFS('Resultat-Produktion &amp; forbrug'!$N$4:$N$291,'Resultat-Produktion &amp; forbrug'!$A$4:$A$291,$A17,'Resultat-Produktion &amp; forbrug'!$E$4:$E$291,Biogasanlæg!F$11)</f>
        <v>1446988.0691668261</v>
      </c>
      <c r="G17" s="216">
        <f>SUMIFS('Resultat-Produktion &amp; forbrug'!$G$4:$G$291,'Resultat-Produktion &amp; forbrug'!$A$4:$A$291,$A17,'Resultat-Produktion &amp; forbrug'!$E$4:$E$291,Biogasanlæg!G$11)-SUMIFS('Resultat-Produktion &amp; forbrug'!$H$4:$H$291,'Resultat-Produktion &amp; forbrug'!$A$4:$A$291,$A17,'Resultat-Produktion &amp; forbrug'!$E$4:$E$291,Biogasanlæg!G$11)-SUMIFS('Resultat-Produktion &amp; forbrug'!$I$4:$I$291,'Resultat-Produktion &amp; forbrug'!$A$4:$A$291,$A17,'Resultat-Produktion &amp; forbrug'!$E$4:$E$291,Biogasanlæg!G$11)-SUMIFS('Resultat-Produktion &amp; forbrug'!$J$4:$J$291,'Resultat-Produktion &amp; forbrug'!$A$4:$A$291,$A17,'Resultat-Produktion &amp; forbrug'!$E$4:$E$291,Biogasanlæg!G$11)-SUMIFS('Resultat-Produktion &amp; forbrug'!$K$4:$K$291,'Resultat-Produktion &amp; forbrug'!$A$4:$A$291,$A17,'Resultat-Produktion &amp; forbrug'!$E$4:$E$291,Biogasanlæg!G$11)-SUMIFS('Resultat-Produktion &amp; forbrug'!$N$4:$N$291,'Resultat-Produktion &amp; forbrug'!$A$4:$A$291,$A17,'Resultat-Produktion &amp; forbrug'!$E$4:$E$291,Biogasanlæg!G$11)</f>
        <v>1205994.7820016798</v>
      </c>
      <c r="H17" s="122">
        <f>VLOOKUP(A17,[1]Biogasudbytte!$A$2:$C$18,3,FALSE)</f>
        <v>4.2763387558472386E-2</v>
      </c>
      <c r="I17" s="123">
        <f>VLOOKUP(A17,[1]Biogasudbytte!$A$2:$C$18,2,FALSE)*IFERROR(VLOOKUP(A17,$F$3:$G$8,2,FALSE),1)</f>
        <v>15.822453396634783</v>
      </c>
      <c r="J17" s="122">
        <f t="shared" si="1"/>
        <v>0</v>
      </c>
      <c r="K17" s="122">
        <f t="shared" si="2"/>
        <v>0.16522091386011478</v>
      </c>
      <c r="L17" s="122">
        <f t="shared" si="3"/>
        <v>0.590903762151893</v>
      </c>
      <c r="M17" s="114" t="s">
        <v>149</v>
      </c>
      <c r="N17" s="115"/>
      <c r="O17" s="136"/>
      <c r="P17" s="115">
        <f t="shared" si="4"/>
        <v>0</v>
      </c>
      <c r="Q17" s="114">
        <f t="shared" si="5"/>
        <v>0</v>
      </c>
    </row>
    <row r="18" spans="1:23" x14ac:dyDescent="0.2">
      <c r="A18" s="114" t="s">
        <v>102</v>
      </c>
      <c r="B18" s="114" t="s">
        <v>139</v>
      </c>
      <c r="C18" s="223">
        <f>N18</f>
        <v>729134</v>
      </c>
      <c r="D18" s="224"/>
      <c r="E18" s="224"/>
      <c r="F18" s="216">
        <f ca="1">SUMIFS('Resultat-Produktion &amp; forbrug'!$G$4:$G$291,'Resultat-Produktion &amp; forbrug'!$A$4:$A$291,$A18,'Resultat-Produktion &amp; forbrug'!$E$4:$E$291,Biogasanlæg!F$11)-SUMIFS('Resultat-Produktion &amp; forbrug'!$H$4:$H$291,'Resultat-Produktion &amp; forbrug'!$A$4:$A$291,$A18,'Resultat-Produktion &amp; forbrug'!$E$4:$E$291,Biogasanlæg!F$11)-SUMIFS('Resultat-Produktion &amp; forbrug'!$I$4:$I$291,'Resultat-Produktion &amp; forbrug'!$A$4:$A$291,$A18,'Resultat-Produktion &amp; forbrug'!$E$4:$E$291,Biogasanlæg!F$11)-SUMIFS('Resultat-Produktion &amp; forbrug'!$J$4:$J$291,'Resultat-Produktion &amp; forbrug'!$A$4:$A$291,$A18,'Resultat-Produktion &amp; forbrug'!$E$4:$E$291,Biogasanlæg!F$11)-SUMIFS('Resultat-Produktion &amp; forbrug'!$K$4:$K$291,'Resultat-Produktion &amp; forbrug'!$A$4:$A$291,$A18,'Resultat-Produktion &amp; forbrug'!$E$4:$E$291,Biogasanlæg!F$11)-SUMIFS('Resultat-Produktion &amp; forbrug'!$N$4:$N$291,'Resultat-Produktion &amp; forbrug'!$A$4:$A$291,$A18,'Resultat-Produktion &amp; forbrug'!$E$4:$E$291,Biogasanlæg!F$11)</f>
        <v>363994.97174274386</v>
      </c>
      <c r="G18" s="216">
        <f ca="1">SUMIFS('Resultat-Produktion &amp; forbrug'!$G$4:$G$291,'Resultat-Produktion &amp; forbrug'!$A$4:$A$291,$A18,'Resultat-Produktion &amp; forbrug'!$E$4:$E$291,Biogasanlæg!G$11)-SUMIFS('Resultat-Produktion &amp; forbrug'!$H$4:$H$291,'Resultat-Produktion &amp; forbrug'!$A$4:$A$291,$A18,'Resultat-Produktion &amp; forbrug'!$E$4:$E$291,Biogasanlæg!G$11)-SUMIFS('Resultat-Produktion &amp; forbrug'!$I$4:$I$291,'Resultat-Produktion &amp; forbrug'!$A$4:$A$291,$A18,'Resultat-Produktion &amp; forbrug'!$E$4:$E$291,Biogasanlæg!G$11)-SUMIFS('Resultat-Produktion &amp; forbrug'!$J$4:$J$291,'Resultat-Produktion &amp; forbrug'!$A$4:$A$291,$A18,'Resultat-Produktion &amp; forbrug'!$E$4:$E$291,Biogasanlæg!G$11)-SUMIFS('Resultat-Produktion &amp; forbrug'!$K$4:$K$291,'Resultat-Produktion &amp; forbrug'!$A$4:$A$291,$A18,'Resultat-Produktion &amp; forbrug'!$E$4:$E$291,Biogasanlæg!G$11)-SUMIFS('Resultat-Produktion &amp; forbrug'!$N$4:$N$291,'Resultat-Produktion &amp; forbrug'!$A$4:$A$291,$A18,'Resultat-Produktion &amp; forbrug'!$E$4:$E$291,Biogasanlæg!G$11)</f>
        <v>369776.8151095995</v>
      </c>
      <c r="H18" s="122">
        <f>VLOOKUP(A18,[1]Biogasudbytte!$A$2:$C$18,3,FALSE)</f>
        <v>0.28000000000000003</v>
      </c>
      <c r="I18" s="123">
        <f>VLOOKUP(A18,[1]Biogasudbytte!$A$2:$C$18,2,FALSE)*IFERROR(VLOOKUP(A18,$F$3:$G$8,2,FALSE),1)</f>
        <v>94.9</v>
      </c>
      <c r="J18" s="122">
        <f t="shared" si="1"/>
        <v>5.5699827755684647E-2</v>
      </c>
      <c r="K18" s="122">
        <f t="shared" si="2"/>
        <v>0</v>
      </c>
      <c r="L18" s="122">
        <f t="shared" si="3"/>
        <v>0</v>
      </c>
      <c r="M18" s="143" t="s">
        <v>288</v>
      </c>
      <c r="N18" s="144">
        <f>SUM(S18:Z18)</f>
        <v>729134</v>
      </c>
      <c r="O18" s="136">
        <f>N18-C18</f>
        <v>0</v>
      </c>
      <c r="P18" s="115">
        <f>C18*I18</f>
        <v>69194816.600000009</v>
      </c>
      <c r="Q18" s="114">
        <f>P18*35.9/1000000000</f>
        <v>2.48409391594</v>
      </c>
      <c r="S18" s="114">
        <v>338470</v>
      </c>
      <c r="T18" s="114">
        <v>199809</v>
      </c>
      <c r="U18" s="114">
        <v>60011</v>
      </c>
      <c r="V18" s="114">
        <v>44821</v>
      </c>
      <c r="W18" s="114">
        <v>86023</v>
      </c>
    </row>
    <row r="19" spans="1:23" x14ac:dyDescent="0.2">
      <c r="A19" s="114" t="s">
        <v>103</v>
      </c>
      <c r="B19" s="114" t="s">
        <v>139</v>
      </c>
      <c r="C19" s="223">
        <f>N19</f>
        <v>995654</v>
      </c>
      <c r="D19" s="224"/>
      <c r="E19" s="224"/>
      <c r="F19" s="216">
        <f>SUMIFS('Resultat-Produktion &amp; forbrug'!$G$4:$G$291,'Resultat-Produktion &amp; forbrug'!$A$4:$A$291,$A19,'Resultat-Produktion &amp; forbrug'!$E$4:$E$291,Biogasanlæg!F$11)-SUMIFS('Resultat-Produktion &amp; forbrug'!$H$4:$H$291,'Resultat-Produktion &amp; forbrug'!$A$4:$A$291,$A19,'Resultat-Produktion &amp; forbrug'!$E$4:$E$291,Biogasanlæg!F$11)-SUMIFS('Resultat-Produktion &amp; forbrug'!$I$4:$I$291,'Resultat-Produktion &amp; forbrug'!$A$4:$A$291,$A19,'Resultat-Produktion &amp; forbrug'!$E$4:$E$291,Biogasanlæg!F$11)-SUMIFS('Resultat-Produktion &amp; forbrug'!$J$4:$J$291,'Resultat-Produktion &amp; forbrug'!$A$4:$A$291,$A19,'Resultat-Produktion &amp; forbrug'!$E$4:$E$291,Biogasanlæg!F$11)-SUMIFS('Resultat-Produktion &amp; forbrug'!$K$4:$K$291,'Resultat-Produktion &amp; forbrug'!$A$4:$A$291,$A19,'Resultat-Produktion &amp; forbrug'!$E$4:$E$291,Biogasanlæg!F$11)-SUMIFS('Resultat-Produktion &amp; forbrug'!$N$4:$N$291,'Resultat-Produktion &amp; forbrug'!$A$4:$A$291,$A19,'Resultat-Produktion &amp; forbrug'!$E$4:$E$291,Biogasanlæg!F$11)</f>
        <v>670207.42120163166</v>
      </c>
      <c r="G19" s="216">
        <f>SUMIFS('Resultat-Produktion &amp; forbrug'!$G$4:$G$291,'Resultat-Produktion &amp; forbrug'!$A$4:$A$291,$A19,'Resultat-Produktion &amp; forbrug'!$E$4:$E$291,Biogasanlæg!G$11)-SUMIFS('Resultat-Produktion &amp; forbrug'!$H$4:$H$291,'Resultat-Produktion &amp; forbrug'!$A$4:$A$291,$A19,'Resultat-Produktion &amp; forbrug'!$E$4:$E$291,Biogasanlæg!G$11)-SUMIFS('Resultat-Produktion &amp; forbrug'!$I$4:$I$291,'Resultat-Produktion &amp; forbrug'!$A$4:$A$291,$A19,'Resultat-Produktion &amp; forbrug'!$E$4:$E$291,Biogasanlæg!G$11)-SUMIFS('Resultat-Produktion &amp; forbrug'!$J$4:$J$291,'Resultat-Produktion &amp; forbrug'!$A$4:$A$291,$A19,'Resultat-Produktion &amp; forbrug'!$E$4:$E$291,Biogasanlæg!G$11)-SUMIFS('Resultat-Produktion &amp; forbrug'!$K$4:$K$291,'Resultat-Produktion &amp; forbrug'!$A$4:$A$291,$A19,'Resultat-Produktion &amp; forbrug'!$E$4:$E$291,Biogasanlæg!G$11)-SUMIFS('Resultat-Produktion &amp; forbrug'!$N$4:$N$291,'Resultat-Produktion &amp; forbrug'!$A$4:$A$291,$A19,'Resultat-Produktion &amp; forbrug'!$E$4:$E$291,Biogasanlæg!G$11)</f>
        <v>535001.3750734583</v>
      </c>
      <c r="H19" s="122">
        <f>VLOOKUP(A19,[1]Biogasudbytte!$A$2:$C$18,3,FALSE)</f>
        <v>0.42</v>
      </c>
      <c r="I19" s="123">
        <f>VLOOKUP(A19,[1]Biogasudbytte!$A$2:$C$18,2,FALSE)*IFERROR(VLOOKUP(A19,$F$3:$G$8,2,FALSE),1)</f>
        <v>102.595</v>
      </c>
      <c r="J19" s="122">
        <f t="shared" si="1"/>
        <v>7.6059758980185313E-2</v>
      </c>
      <c r="K19" s="122">
        <f t="shared" si="2"/>
        <v>0</v>
      </c>
      <c r="L19" s="122">
        <f t="shared" si="3"/>
        <v>0</v>
      </c>
      <c r="M19" s="145" t="s">
        <v>289</v>
      </c>
      <c r="N19" s="146">
        <f>SUM(S19:Z19)</f>
        <v>995654</v>
      </c>
      <c r="O19" s="136">
        <f>N19-C19</f>
        <v>0</v>
      </c>
      <c r="P19" s="115">
        <f>C19*I19</f>
        <v>102149122.13</v>
      </c>
      <c r="Q19" s="114">
        <f>P19*35.9/1000000000</f>
        <v>3.6671534844669997</v>
      </c>
      <c r="S19" s="114">
        <v>995654</v>
      </c>
    </row>
    <row r="20" spans="1:23" x14ac:dyDescent="0.2">
      <c r="A20" s="114" t="s">
        <v>67</v>
      </c>
      <c r="B20" s="114" t="s">
        <v>139</v>
      </c>
      <c r="C20" s="223">
        <f>N20</f>
        <v>75934</v>
      </c>
      <c r="D20" s="224"/>
      <c r="E20" s="224"/>
      <c r="F20" s="216">
        <f>SUMIFS('Resultat-Produktion &amp; forbrug'!$G$4:$G$291,'Resultat-Produktion &amp; forbrug'!$A$4:$A$291,$A20,'Resultat-Produktion &amp; forbrug'!$E$4:$E$291,Biogasanlæg!F$11)-SUMIFS('Resultat-Produktion &amp; forbrug'!$H$4:$H$291,'Resultat-Produktion &amp; forbrug'!$A$4:$A$291,$A20,'Resultat-Produktion &amp; forbrug'!$E$4:$E$291,Biogasanlæg!F$11)-SUMIFS('Resultat-Produktion &amp; forbrug'!$I$4:$I$291,'Resultat-Produktion &amp; forbrug'!$A$4:$A$291,$A20,'Resultat-Produktion &amp; forbrug'!$E$4:$E$291,Biogasanlæg!F$11)-SUMIFS('Resultat-Produktion &amp; forbrug'!$J$4:$J$291,'Resultat-Produktion &amp; forbrug'!$A$4:$A$291,$A20,'Resultat-Produktion &amp; forbrug'!$E$4:$E$291,Biogasanlæg!F$11)-SUMIFS('Resultat-Produktion &amp; forbrug'!$K$4:$K$291,'Resultat-Produktion &amp; forbrug'!$A$4:$A$291,$A20,'Resultat-Produktion &amp; forbrug'!$E$4:$E$291,Biogasanlæg!F$11)-SUMIFS('Resultat-Produktion &amp; forbrug'!$N$4:$N$291,'Resultat-Produktion &amp; forbrug'!$A$4:$A$291,$A20,'Resultat-Produktion &amp; forbrug'!$E$4:$E$291,Biogasanlæg!F$11)</f>
        <v>1554209.5189473259</v>
      </c>
      <c r="G20" s="216">
        <f>SUMIFS('Resultat-Produktion &amp; forbrug'!$G$4:$G$291,'Resultat-Produktion &amp; forbrug'!$A$4:$A$291,$A20,'Resultat-Produktion &amp; forbrug'!$E$4:$E$291,Biogasanlæg!G$11)-SUMIFS('Resultat-Produktion &amp; forbrug'!$H$4:$H$291,'Resultat-Produktion &amp; forbrug'!$A$4:$A$291,$A20,'Resultat-Produktion &amp; forbrug'!$E$4:$E$291,Biogasanlæg!G$11)-SUMIFS('Resultat-Produktion &amp; forbrug'!$I$4:$I$291,'Resultat-Produktion &amp; forbrug'!$A$4:$A$291,$A20,'Resultat-Produktion &amp; forbrug'!$E$4:$E$291,Biogasanlæg!G$11)-SUMIFS('Resultat-Produktion &amp; forbrug'!$J$4:$J$291,'Resultat-Produktion &amp; forbrug'!$A$4:$A$291,$A20,'Resultat-Produktion &amp; forbrug'!$E$4:$E$291,Biogasanlæg!G$11)-SUMIFS('Resultat-Produktion &amp; forbrug'!$K$4:$K$291,'Resultat-Produktion &amp; forbrug'!$A$4:$A$291,$A20,'Resultat-Produktion &amp; forbrug'!$E$4:$E$291,Biogasanlæg!G$11)-SUMIFS('Resultat-Produktion &amp; forbrug'!$N$4:$N$291,'Resultat-Produktion &amp; forbrug'!$A$4:$A$291,$A20,'Resultat-Produktion &amp; forbrug'!$E$4:$E$291,Biogasanlæg!G$11)</f>
        <v>128289.96787416935</v>
      </c>
      <c r="H20" s="122">
        <f>VLOOKUP(A20,[1]Biogasudbytte!$A$2:$C$18,3,FALSE)</f>
        <v>0.85</v>
      </c>
      <c r="I20" s="123">
        <f>VLOOKUP(A20,[1]Biogasudbytte!$A$2:$C$18,2,FALSE)*IFERROR(VLOOKUP(A20,$F$3:$G$8,2,FALSE),1)</f>
        <v>160.6</v>
      </c>
      <c r="J20" s="122">
        <f t="shared" si="1"/>
        <v>5.8007317184497744E-3</v>
      </c>
      <c r="K20" s="122">
        <f t="shared" si="2"/>
        <v>0</v>
      </c>
      <c r="L20" s="122">
        <f t="shared" si="3"/>
        <v>0</v>
      </c>
      <c r="M20" s="114" t="s">
        <v>146</v>
      </c>
      <c r="N20" s="115">
        <v>75934</v>
      </c>
      <c r="O20" s="136">
        <f t="shared" ref="O20:O28" si="6">N20-C20</f>
        <v>0</v>
      </c>
      <c r="P20" s="115">
        <f t="shared" si="4"/>
        <v>12195000.4</v>
      </c>
      <c r="Q20" s="114">
        <f t="shared" si="5"/>
        <v>0.43780051436</v>
      </c>
    </row>
    <row r="21" spans="1:23" x14ac:dyDescent="0.2">
      <c r="A21" s="114" t="s">
        <v>48</v>
      </c>
      <c r="B21" s="114" t="s">
        <v>139</v>
      </c>
      <c r="C21" s="223">
        <f t="shared" ref="C21:C28" si="7">N21</f>
        <v>3786</v>
      </c>
      <c r="D21" s="224"/>
      <c r="E21" s="224"/>
      <c r="F21" s="216">
        <f>SUMIFS('Resultat-Produktion &amp; forbrug'!$G$4:$G$291,'Resultat-Produktion &amp; forbrug'!$A$4:$A$291,$A21,'Resultat-Produktion &amp; forbrug'!$E$4:$E$291,Biogasanlæg!F$11)-SUMIFS('Resultat-Produktion &amp; forbrug'!$H$4:$H$291,'Resultat-Produktion &amp; forbrug'!$A$4:$A$291,$A21,'Resultat-Produktion &amp; forbrug'!$E$4:$E$291,Biogasanlæg!F$11)-SUMIFS('Resultat-Produktion &amp; forbrug'!$I$4:$I$291,'Resultat-Produktion &amp; forbrug'!$A$4:$A$291,$A21,'Resultat-Produktion &amp; forbrug'!$E$4:$E$291,Biogasanlæg!F$11)-SUMIFS('Resultat-Produktion &amp; forbrug'!$J$4:$J$291,'Resultat-Produktion &amp; forbrug'!$A$4:$A$291,$A21,'Resultat-Produktion &amp; forbrug'!$E$4:$E$291,Biogasanlæg!F$11)-SUMIFS('Resultat-Produktion &amp; forbrug'!$K$4:$K$291,'Resultat-Produktion &amp; forbrug'!$A$4:$A$291,$A21,'Resultat-Produktion &amp; forbrug'!$E$4:$E$291,Biogasanlæg!F$11)-SUMIFS('Resultat-Produktion &amp; forbrug'!$N$4:$N$291,'Resultat-Produktion &amp; forbrug'!$A$4:$A$291,$A21,'Resultat-Produktion &amp; forbrug'!$E$4:$E$291,Biogasanlæg!F$11)</f>
        <v>2490416.771948596</v>
      </c>
      <c r="G21" s="216">
        <f>SUMIFS('Resultat-Produktion &amp; forbrug'!$G$4:$G$291,'Resultat-Produktion &amp; forbrug'!$A$4:$A$291,$A21,'Resultat-Produktion &amp; forbrug'!$E$4:$E$291,Biogasanlæg!G$11)-SUMIFS('Resultat-Produktion &amp; forbrug'!$H$4:$H$291,'Resultat-Produktion &amp; forbrug'!$A$4:$A$291,$A21,'Resultat-Produktion &amp; forbrug'!$E$4:$E$291,Biogasanlæg!G$11)-SUMIFS('Resultat-Produktion &amp; forbrug'!$I$4:$I$291,'Resultat-Produktion &amp; forbrug'!$A$4:$A$291,$A21,'Resultat-Produktion &amp; forbrug'!$E$4:$E$291,Biogasanlæg!G$11)-SUMIFS('Resultat-Produktion &amp; forbrug'!$J$4:$J$291,'Resultat-Produktion &amp; forbrug'!$A$4:$A$291,$A21,'Resultat-Produktion &amp; forbrug'!$E$4:$E$291,Biogasanlæg!G$11)-SUMIFS('Resultat-Produktion &amp; forbrug'!$K$4:$K$291,'Resultat-Produktion &amp; forbrug'!$A$4:$A$291,$A21,'Resultat-Produktion &amp; forbrug'!$E$4:$E$291,Biogasanlæg!G$11)-SUMIFS('Resultat-Produktion &amp; forbrug'!$N$4:$N$291,'Resultat-Produktion &amp; forbrug'!$A$4:$A$291,$A21,'Resultat-Produktion &amp; forbrug'!$E$4:$E$291,Biogasanlæg!G$11)</f>
        <v>242865.13780933915</v>
      </c>
      <c r="H21" s="122">
        <f>VLOOKUP(A21,[1]Biogasudbytte!$A$2:$C$18,3,FALSE)</f>
        <v>0.31</v>
      </c>
      <c r="I21" s="123">
        <f>VLOOKUP(A21,[1]Biogasudbytte!$A$2:$C$18,2,FALSE)*IFERROR(VLOOKUP(A21,$F$3:$G$8,2,FALSE),1)</f>
        <v>95.4</v>
      </c>
      <c r="J21" s="122">
        <f t="shared" si="1"/>
        <v>2.8921919411661239E-4</v>
      </c>
      <c r="K21" s="122">
        <f t="shared" si="2"/>
        <v>0</v>
      </c>
      <c r="L21" s="122">
        <f t="shared" si="3"/>
        <v>0</v>
      </c>
      <c r="M21" s="114" t="s">
        <v>157</v>
      </c>
      <c r="N21" s="115">
        <v>3786</v>
      </c>
      <c r="O21" s="136">
        <f t="shared" si="6"/>
        <v>0</v>
      </c>
      <c r="P21" s="115">
        <f t="shared" si="4"/>
        <v>361184.4</v>
      </c>
      <c r="Q21" s="114">
        <f t="shared" si="5"/>
        <v>1.2966519960000001E-2</v>
      </c>
    </row>
    <row r="22" spans="1:23" x14ac:dyDescent="0.2">
      <c r="A22" s="114" t="s">
        <v>51</v>
      </c>
      <c r="B22" s="114" t="s">
        <v>139</v>
      </c>
      <c r="C22" s="223">
        <f t="shared" si="7"/>
        <v>85677</v>
      </c>
      <c r="D22" s="224"/>
      <c r="E22" s="224"/>
      <c r="F22" s="216">
        <f>SUMIFS('Resultat-Produktion &amp; forbrug'!$G$4:$G$291,'Resultat-Produktion &amp; forbrug'!$A$4:$A$291,$A22,'Resultat-Produktion &amp; forbrug'!$E$4:$E$291,Biogasanlæg!F$11)-SUMIFS('Resultat-Produktion &amp; forbrug'!$H$4:$H$291,'Resultat-Produktion &amp; forbrug'!$A$4:$A$291,$A22,'Resultat-Produktion &amp; forbrug'!$E$4:$E$291,Biogasanlæg!F$11)-SUMIFS('Resultat-Produktion &amp; forbrug'!$I$4:$I$291,'Resultat-Produktion &amp; forbrug'!$A$4:$A$291,$A22,'Resultat-Produktion &amp; forbrug'!$E$4:$E$291,Biogasanlæg!F$11)-SUMIFS('Resultat-Produktion &amp; forbrug'!$J$4:$J$291,'Resultat-Produktion &amp; forbrug'!$A$4:$A$291,$A22,'Resultat-Produktion &amp; forbrug'!$E$4:$E$291,Biogasanlæg!F$11)-SUMIFS('Resultat-Produktion &amp; forbrug'!$K$4:$K$291,'Resultat-Produktion &amp; forbrug'!$A$4:$A$291,$A22,'Resultat-Produktion &amp; forbrug'!$E$4:$E$291,Biogasanlæg!F$11)-SUMIFS('Resultat-Produktion &amp; forbrug'!$N$4:$N$291,'Resultat-Produktion &amp; forbrug'!$A$4:$A$291,$A22,'Resultat-Produktion &amp; forbrug'!$E$4:$E$291,Biogasanlæg!F$11)</f>
        <v>6850353.2991669253</v>
      </c>
      <c r="G22" s="216">
        <f>SUMIFS('Resultat-Produktion &amp; forbrug'!$G$4:$G$291,'Resultat-Produktion &amp; forbrug'!$A$4:$A$291,$A22,'Resultat-Produktion &amp; forbrug'!$E$4:$E$291,Biogasanlæg!G$11)-SUMIFS('Resultat-Produktion &amp; forbrug'!$H$4:$H$291,'Resultat-Produktion &amp; forbrug'!$A$4:$A$291,$A22,'Resultat-Produktion &amp; forbrug'!$E$4:$E$291,Biogasanlæg!G$11)-SUMIFS('Resultat-Produktion &amp; forbrug'!$I$4:$I$291,'Resultat-Produktion &amp; forbrug'!$A$4:$A$291,$A22,'Resultat-Produktion &amp; forbrug'!$E$4:$E$291,Biogasanlæg!G$11)-SUMIFS('Resultat-Produktion &amp; forbrug'!$J$4:$J$291,'Resultat-Produktion &amp; forbrug'!$A$4:$A$291,$A22,'Resultat-Produktion &amp; forbrug'!$E$4:$E$291,Biogasanlæg!G$11)-SUMIFS('Resultat-Produktion &amp; forbrug'!$K$4:$K$291,'Resultat-Produktion &amp; forbrug'!$A$4:$A$291,$A22,'Resultat-Produktion &amp; forbrug'!$E$4:$E$291,Biogasanlæg!G$11)-SUMIFS('Resultat-Produktion &amp; forbrug'!$N$4:$N$291,'Resultat-Produktion &amp; forbrug'!$A$4:$A$291,$A22,'Resultat-Produktion &amp; forbrug'!$E$4:$E$291,Biogasanlæg!G$11)</f>
        <v>12949542.520227872</v>
      </c>
      <c r="H22" s="122">
        <f>VLOOKUP(A22,[1]Biogasudbytte!$A$2:$C$18,3,FALSE)</f>
        <v>0.28000000000000003</v>
      </c>
      <c r="I22" s="123">
        <f>VLOOKUP(A22,[1]Biogasudbytte!$A$2:$C$18,2,FALSE)*IFERROR(VLOOKUP(A22,$F$3:$G$8,2,FALSE),1)</f>
        <v>51.25</v>
      </c>
      <c r="J22" s="122">
        <f t="shared" si="1"/>
        <v>6.5450166123425784E-3</v>
      </c>
      <c r="K22" s="122">
        <f t="shared" si="2"/>
        <v>0</v>
      </c>
      <c r="L22" s="122">
        <f t="shared" si="3"/>
        <v>0</v>
      </c>
      <c r="M22" s="147" t="s">
        <v>291</v>
      </c>
      <c r="N22" s="148">
        <f>SUM(S22:Z22)</f>
        <v>85677</v>
      </c>
      <c r="O22" s="136">
        <f t="shared" si="6"/>
        <v>0</v>
      </c>
      <c r="P22" s="115">
        <f t="shared" si="4"/>
        <v>4390946.25</v>
      </c>
      <c r="Q22" s="114">
        <f t="shared" si="5"/>
        <v>0.15763497037499999</v>
      </c>
      <c r="S22" s="114">
        <v>66010</v>
      </c>
      <c r="T22" s="114">
        <v>2139</v>
      </c>
      <c r="U22" s="114">
        <v>14273</v>
      </c>
      <c r="V22" s="114">
        <v>3255</v>
      </c>
    </row>
    <row r="23" spans="1:23" x14ac:dyDescent="0.2">
      <c r="A23" s="114" t="s">
        <v>53</v>
      </c>
      <c r="B23" s="114" t="s">
        <v>139</v>
      </c>
      <c r="C23" s="223">
        <f t="shared" si="7"/>
        <v>330026</v>
      </c>
      <c r="D23" s="224"/>
      <c r="E23" s="224"/>
      <c r="F23" s="216">
        <f>SUMIFS('Resultat-Produktion &amp; forbrug'!$G$4:$G$291,'Resultat-Produktion &amp; forbrug'!$A$4:$A$291,$A23,'Resultat-Produktion &amp; forbrug'!$E$4:$E$291,Biogasanlæg!F$11)-SUMIFS('Resultat-Produktion &amp; forbrug'!$H$4:$H$291,'Resultat-Produktion &amp; forbrug'!$A$4:$A$291,$A23,'Resultat-Produktion &amp; forbrug'!$E$4:$E$291,Biogasanlæg!F$11)-SUMIFS('Resultat-Produktion &amp; forbrug'!$I$4:$I$291,'Resultat-Produktion &amp; forbrug'!$A$4:$A$291,$A23,'Resultat-Produktion &amp; forbrug'!$E$4:$E$291,Biogasanlæg!F$11)-SUMIFS('Resultat-Produktion &amp; forbrug'!$J$4:$J$291,'Resultat-Produktion &amp; forbrug'!$A$4:$A$291,$A23,'Resultat-Produktion &amp; forbrug'!$E$4:$E$291,Biogasanlæg!F$11)-SUMIFS('Resultat-Produktion &amp; forbrug'!$K$4:$K$291,'Resultat-Produktion &amp; forbrug'!$A$4:$A$291,$A23,'Resultat-Produktion &amp; forbrug'!$E$4:$E$291,Biogasanlæg!F$11)-SUMIFS('Resultat-Produktion &amp; forbrug'!$N$4:$N$291,'Resultat-Produktion &amp; forbrug'!$A$4:$A$291,$A23,'Resultat-Produktion &amp; forbrug'!$E$4:$E$291,Biogasanlæg!F$11)</f>
        <v>1881564.178422397</v>
      </c>
      <c r="G23" s="216">
        <f>SUMIFS('Resultat-Produktion &amp; forbrug'!$G$4:$G$291,'Resultat-Produktion &amp; forbrug'!$A$4:$A$291,$A23,'Resultat-Produktion &amp; forbrug'!$E$4:$E$291,Biogasanlæg!G$11)-SUMIFS('Resultat-Produktion &amp; forbrug'!$H$4:$H$291,'Resultat-Produktion &amp; forbrug'!$A$4:$A$291,$A23,'Resultat-Produktion &amp; forbrug'!$E$4:$E$291,Biogasanlæg!G$11)-SUMIFS('Resultat-Produktion &amp; forbrug'!$I$4:$I$291,'Resultat-Produktion &amp; forbrug'!$A$4:$A$291,$A23,'Resultat-Produktion &amp; forbrug'!$E$4:$E$291,Biogasanlæg!G$11)-SUMIFS('Resultat-Produktion &amp; forbrug'!$J$4:$J$291,'Resultat-Produktion &amp; forbrug'!$A$4:$A$291,$A23,'Resultat-Produktion &amp; forbrug'!$E$4:$E$291,Biogasanlæg!G$11)-SUMIFS('Resultat-Produktion &amp; forbrug'!$K$4:$K$291,'Resultat-Produktion &amp; forbrug'!$A$4:$A$291,$A23,'Resultat-Produktion &amp; forbrug'!$E$4:$E$291,Biogasanlæg!G$11)-SUMIFS('Resultat-Produktion &amp; forbrug'!$N$4:$N$291,'Resultat-Produktion &amp; forbrug'!$A$4:$A$291,$A23,'Resultat-Produktion &amp; forbrug'!$E$4:$E$291,Biogasanlæg!G$11)</f>
        <v>265092.21836580423</v>
      </c>
      <c r="H23" s="122">
        <f>VLOOKUP(A23,[1]Biogasudbytte!$A$2:$C$18,3,FALSE)</f>
        <v>0.3</v>
      </c>
      <c r="I23" s="123">
        <f>VLOOKUP(A23,[1]Biogasudbytte!$A$2:$C$18,2,FALSE)*IFERROR(VLOOKUP(A23,$F$3:$G$8,2,FALSE),1)</f>
        <v>100</v>
      </c>
      <c r="J23" s="122">
        <f t="shared" si="1"/>
        <v>2.5211266180012976E-2</v>
      </c>
      <c r="K23" s="122">
        <f t="shared" si="2"/>
        <v>0</v>
      </c>
      <c r="L23" s="122">
        <f t="shared" si="3"/>
        <v>0</v>
      </c>
      <c r="M23" s="114" t="s">
        <v>147</v>
      </c>
      <c r="N23" s="115">
        <v>330026</v>
      </c>
      <c r="O23" s="136">
        <f t="shared" si="6"/>
        <v>0</v>
      </c>
      <c r="P23" s="115">
        <f t="shared" si="4"/>
        <v>33002600</v>
      </c>
      <c r="Q23" s="114">
        <f t="shared" si="5"/>
        <v>1.1847933399999999</v>
      </c>
    </row>
    <row r="24" spans="1:23" x14ac:dyDescent="0.2">
      <c r="A24" s="114" t="s">
        <v>52</v>
      </c>
      <c r="B24" s="114" t="s">
        <v>139</v>
      </c>
      <c r="C24" s="223">
        <f t="shared" si="7"/>
        <v>28645</v>
      </c>
      <c r="D24" s="224"/>
      <c r="E24" s="224"/>
      <c r="F24" s="216">
        <f>SUMIFS('Resultat-Produktion &amp; forbrug'!$G$4:$G$291,'Resultat-Produktion &amp; forbrug'!$A$4:$A$291,$A24,'Resultat-Produktion &amp; forbrug'!$E$4:$E$291,Biogasanlæg!F$11)-SUMIFS('Resultat-Produktion &amp; forbrug'!$H$4:$H$291,'Resultat-Produktion &amp; forbrug'!$A$4:$A$291,$A24,'Resultat-Produktion &amp; forbrug'!$E$4:$E$291,Biogasanlæg!F$11)-SUMIFS('Resultat-Produktion &amp; forbrug'!$I$4:$I$291,'Resultat-Produktion &amp; forbrug'!$A$4:$A$291,$A24,'Resultat-Produktion &amp; forbrug'!$E$4:$E$291,Biogasanlæg!F$11)-SUMIFS('Resultat-Produktion &amp; forbrug'!$J$4:$J$291,'Resultat-Produktion &amp; forbrug'!$A$4:$A$291,$A24,'Resultat-Produktion &amp; forbrug'!$E$4:$E$291,Biogasanlæg!F$11)-SUMIFS('Resultat-Produktion &amp; forbrug'!$K$4:$K$291,'Resultat-Produktion &amp; forbrug'!$A$4:$A$291,$A24,'Resultat-Produktion &amp; forbrug'!$E$4:$E$291,Biogasanlæg!F$11)-SUMIFS('Resultat-Produktion &amp; forbrug'!$N$4:$N$291,'Resultat-Produktion &amp; forbrug'!$A$4:$A$291,$A24,'Resultat-Produktion &amp; forbrug'!$E$4:$E$291,Biogasanlæg!F$11)</f>
        <v>3026466.3818119029</v>
      </c>
      <c r="G24" s="216">
        <f>SUMIFS('Resultat-Produktion &amp; forbrug'!$G$4:$G$291,'Resultat-Produktion &amp; forbrug'!$A$4:$A$291,$A24,'Resultat-Produktion &amp; forbrug'!$E$4:$E$291,Biogasanlæg!G$11)-SUMIFS('Resultat-Produktion &amp; forbrug'!$H$4:$H$291,'Resultat-Produktion &amp; forbrug'!$A$4:$A$291,$A24,'Resultat-Produktion &amp; forbrug'!$E$4:$E$291,Biogasanlæg!G$11)-SUMIFS('Resultat-Produktion &amp; forbrug'!$I$4:$I$291,'Resultat-Produktion &amp; forbrug'!$A$4:$A$291,$A24,'Resultat-Produktion &amp; forbrug'!$E$4:$E$291,Biogasanlæg!G$11)-SUMIFS('Resultat-Produktion &amp; forbrug'!$J$4:$J$291,'Resultat-Produktion &amp; forbrug'!$A$4:$A$291,$A24,'Resultat-Produktion &amp; forbrug'!$E$4:$E$291,Biogasanlæg!G$11)-SUMIFS('Resultat-Produktion &amp; forbrug'!$K$4:$K$291,'Resultat-Produktion &amp; forbrug'!$A$4:$A$291,$A24,'Resultat-Produktion &amp; forbrug'!$E$4:$E$291,Biogasanlæg!G$11)-SUMIFS('Resultat-Produktion &amp; forbrug'!$N$4:$N$291,'Resultat-Produktion &amp; forbrug'!$A$4:$A$291,$A24,'Resultat-Produktion &amp; forbrug'!$E$4:$E$291,Biogasanlæg!G$11)</f>
        <v>3100093.5358716343</v>
      </c>
      <c r="H24" s="122">
        <f>VLOOKUP(A24,[1]Biogasudbytte!$A$2:$C$18,3,FALSE)</f>
        <v>0.2</v>
      </c>
      <c r="I24" s="123">
        <f>VLOOKUP(A24,[1]Biogasudbytte!$A$2:$C$18,2,FALSE)*IFERROR(VLOOKUP(A24,$F$3:$G$8,2,FALSE),1)</f>
        <v>75.599999999999994</v>
      </c>
      <c r="J24" s="122">
        <f t="shared" si="1"/>
        <v>2.1882418952642265E-3</v>
      </c>
      <c r="K24" s="122">
        <f t="shared" si="2"/>
        <v>0</v>
      </c>
      <c r="L24" s="122">
        <f t="shared" si="3"/>
        <v>0</v>
      </c>
      <c r="M24" s="114" t="s">
        <v>148</v>
      </c>
      <c r="N24" s="115">
        <v>28645</v>
      </c>
      <c r="O24" s="136">
        <f t="shared" si="6"/>
        <v>0</v>
      </c>
      <c r="P24" s="115">
        <f t="shared" si="4"/>
        <v>2165562</v>
      </c>
      <c r="Q24" s="114">
        <f t="shared" si="5"/>
        <v>7.7743675799999995E-2</v>
      </c>
    </row>
    <row r="25" spans="1:23" x14ac:dyDescent="0.2">
      <c r="A25" s="114" t="s">
        <v>162</v>
      </c>
      <c r="B25" s="114" t="s">
        <v>139</v>
      </c>
      <c r="C25" s="223">
        <f t="shared" si="7"/>
        <v>78</v>
      </c>
      <c r="D25" s="224"/>
      <c r="E25" s="224"/>
      <c r="F25" s="216">
        <f>SUMIFS('Resultat-Produktion &amp; forbrug'!$G$4:$G$291,'Resultat-Produktion &amp; forbrug'!$A$4:$A$291,$A25,'Resultat-Produktion &amp; forbrug'!$E$4:$E$291,Biogasanlæg!F$11)-SUMIFS('Resultat-Produktion &amp; forbrug'!$H$4:$H$291,'Resultat-Produktion &amp; forbrug'!$A$4:$A$291,$A25,'Resultat-Produktion &amp; forbrug'!$E$4:$E$291,Biogasanlæg!F$11)-SUMIFS('Resultat-Produktion &amp; forbrug'!$I$4:$I$291,'Resultat-Produktion &amp; forbrug'!$A$4:$A$291,$A25,'Resultat-Produktion &amp; forbrug'!$E$4:$E$291,Biogasanlæg!F$11)-SUMIFS('Resultat-Produktion &amp; forbrug'!$J$4:$J$291,'Resultat-Produktion &amp; forbrug'!$A$4:$A$291,$A25,'Resultat-Produktion &amp; forbrug'!$E$4:$E$291,Biogasanlæg!F$11)-SUMIFS('Resultat-Produktion &amp; forbrug'!$K$4:$K$291,'Resultat-Produktion &amp; forbrug'!$A$4:$A$291,$A25,'Resultat-Produktion &amp; forbrug'!$E$4:$E$291,Biogasanlæg!F$11)-SUMIFS('Resultat-Produktion &amp; forbrug'!$N$4:$N$291,'Resultat-Produktion &amp; forbrug'!$A$4:$A$291,$A25,'Resultat-Produktion &amp; forbrug'!$E$4:$E$291,Biogasanlæg!F$11)</f>
        <v>982809</v>
      </c>
      <c r="G25" s="216">
        <f>SUMIFS('Resultat-Produktion &amp; forbrug'!$G$4:$G$291,'Resultat-Produktion &amp; forbrug'!$A$4:$A$291,$A25,'Resultat-Produktion &amp; forbrug'!$E$4:$E$291,Biogasanlæg!G$11)-SUMIFS('Resultat-Produktion &amp; forbrug'!$H$4:$H$291,'Resultat-Produktion &amp; forbrug'!$A$4:$A$291,$A25,'Resultat-Produktion &amp; forbrug'!$E$4:$E$291,Biogasanlæg!G$11)-SUMIFS('Resultat-Produktion &amp; forbrug'!$I$4:$I$291,'Resultat-Produktion &amp; forbrug'!$A$4:$A$291,$A25,'Resultat-Produktion &amp; forbrug'!$E$4:$E$291,Biogasanlæg!G$11)-SUMIFS('Resultat-Produktion &amp; forbrug'!$J$4:$J$291,'Resultat-Produktion &amp; forbrug'!$A$4:$A$291,$A25,'Resultat-Produktion &amp; forbrug'!$E$4:$E$291,Biogasanlæg!G$11)-SUMIFS('Resultat-Produktion &amp; forbrug'!$K$4:$K$291,'Resultat-Produktion &amp; forbrug'!$A$4:$A$291,$A25,'Resultat-Produktion &amp; forbrug'!$E$4:$E$291,Biogasanlæg!G$11)-SUMIFS('Resultat-Produktion &amp; forbrug'!$N$4:$N$291,'Resultat-Produktion &amp; forbrug'!$A$4:$A$291,$A25,'Resultat-Produktion &amp; forbrug'!$E$4:$E$291,Biogasanlæg!G$11)</f>
        <v>982809</v>
      </c>
      <c r="H25" s="122">
        <f>VLOOKUP(A25,[1]Biogasudbytte!$A$2:$C$18,3,FALSE)</f>
        <v>0.3</v>
      </c>
      <c r="I25" s="123">
        <f>VLOOKUP(A25,[1]Biogasudbytte!$A$2:$C$18,2,FALSE)*IFERROR(VLOOKUP(A25,$F$3:$G$8,2,FALSE),1)</f>
        <v>47.3</v>
      </c>
      <c r="J25" s="122">
        <f t="shared" si="1"/>
        <v>5.9585570895657067E-6</v>
      </c>
      <c r="K25" s="122">
        <f t="shared" si="2"/>
        <v>0</v>
      </c>
      <c r="L25" s="122">
        <f t="shared" si="3"/>
        <v>0</v>
      </c>
      <c r="M25" s="114" t="s">
        <v>163</v>
      </c>
      <c r="N25" s="115">
        <v>78</v>
      </c>
      <c r="O25" s="136">
        <f t="shared" si="6"/>
        <v>0</v>
      </c>
      <c r="P25" s="115">
        <f t="shared" si="4"/>
        <v>3689.3999999999996</v>
      </c>
      <c r="Q25" s="114">
        <f t="shared" si="5"/>
        <v>1.3244945999999998E-4</v>
      </c>
    </row>
    <row r="26" spans="1:23" x14ac:dyDescent="0.2">
      <c r="A26" s="114" t="s">
        <v>158</v>
      </c>
      <c r="B26" s="114" t="s">
        <v>139</v>
      </c>
      <c r="C26" s="223">
        <f t="shared" si="7"/>
        <v>142742</v>
      </c>
      <c r="D26" s="224"/>
      <c r="E26" s="224"/>
      <c r="F26" s="216">
        <f>SUMIFS('Resultat-Produktion &amp; forbrug'!$G$4:$G$291,'Resultat-Produktion &amp; forbrug'!$A$4:$A$291,$A26,'Resultat-Produktion &amp; forbrug'!$E$4:$E$291,Biogasanlæg!F$11)-SUMIFS('Resultat-Produktion &amp; forbrug'!$H$4:$H$291,'Resultat-Produktion &amp; forbrug'!$A$4:$A$291,$A26,'Resultat-Produktion &amp; forbrug'!$E$4:$E$291,Biogasanlæg!F$11)-SUMIFS('Resultat-Produktion &amp; forbrug'!$I$4:$I$291,'Resultat-Produktion &amp; forbrug'!$A$4:$A$291,$A26,'Resultat-Produktion &amp; forbrug'!$E$4:$E$291,Biogasanlæg!F$11)-SUMIFS('Resultat-Produktion &amp; forbrug'!$J$4:$J$291,'Resultat-Produktion &amp; forbrug'!$A$4:$A$291,$A26,'Resultat-Produktion &amp; forbrug'!$E$4:$E$291,Biogasanlæg!F$11)-SUMIFS('Resultat-Produktion &amp; forbrug'!$K$4:$K$291,'Resultat-Produktion &amp; forbrug'!$A$4:$A$291,$A26,'Resultat-Produktion &amp; forbrug'!$E$4:$E$291,Biogasanlæg!F$11)-SUMIFS('Resultat-Produktion &amp; forbrug'!$N$4:$N$291,'Resultat-Produktion &amp; forbrug'!$A$4:$A$291,$A26,'Resultat-Produktion &amp; forbrug'!$E$4:$E$291,Biogasanlæg!F$11)</f>
        <v>0</v>
      </c>
      <c r="G26" s="216">
        <f>SUMIFS('Resultat-Produktion &amp; forbrug'!$G$4:$G$291,'Resultat-Produktion &amp; forbrug'!$A$4:$A$291,$A26,'Resultat-Produktion &amp; forbrug'!$E$4:$E$291,Biogasanlæg!G$11)-SUMIFS('Resultat-Produktion &amp; forbrug'!$H$4:$H$291,'Resultat-Produktion &amp; forbrug'!$A$4:$A$291,$A26,'Resultat-Produktion &amp; forbrug'!$E$4:$E$291,Biogasanlæg!G$11)-SUMIFS('Resultat-Produktion &amp; forbrug'!$I$4:$I$291,'Resultat-Produktion &amp; forbrug'!$A$4:$A$291,$A26,'Resultat-Produktion &amp; forbrug'!$E$4:$E$291,Biogasanlæg!G$11)-SUMIFS('Resultat-Produktion &amp; forbrug'!$J$4:$J$291,'Resultat-Produktion &amp; forbrug'!$A$4:$A$291,$A26,'Resultat-Produktion &amp; forbrug'!$E$4:$E$291,Biogasanlæg!G$11)-SUMIFS('Resultat-Produktion &amp; forbrug'!$K$4:$K$291,'Resultat-Produktion &amp; forbrug'!$A$4:$A$291,$A26,'Resultat-Produktion &amp; forbrug'!$E$4:$E$291,Biogasanlæg!G$11)-SUMIFS('Resultat-Produktion &amp; forbrug'!$N$4:$N$291,'Resultat-Produktion &amp; forbrug'!$A$4:$A$291,$A26,'Resultat-Produktion &amp; forbrug'!$E$4:$E$291,Biogasanlæg!G$11)</f>
        <v>0</v>
      </c>
      <c r="H26" s="122">
        <f>VLOOKUP(A26,[1]Biogasudbytte!$A$2:$C$18,3,FALSE)</f>
        <v>0.9</v>
      </c>
      <c r="I26" s="123">
        <f>VLOOKUP(A26,[1]Biogasudbytte!$A$2:$C$18,2,FALSE)*IFERROR(VLOOKUP(A26,$F$3:$G$8,2,FALSE),1)</f>
        <v>423.36</v>
      </c>
      <c r="J26" s="122">
        <f t="shared" si="1"/>
        <v>1.090431225742036E-2</v>
      </c>
      <c r="K26" s="122">
        <f t="shared" si="2"/>
        <v>0</v>
      </c>
      <c r="L26" s="122">
        <f t="shared" si="3"/>
        <v>0</v>
      </c>
      <c r="M26" s="114" t="s">
        <v>161</v>
      </c>
      <c r="N26" s="114">
        <v>142742</v>
      </c>
      <c r="O26" s="136">
        <f t="shared" si="6"/>
        <v>0</v>
      </c>
      <c r="P26" s="115">
        <f t="shared" si="4"/>
        <v>60431253.120000005</v>
      </c>
      <c r="Q26" s="114">
        <f t="shared" si="5"/>
        <v>2.169481987008</v>
      </c>
    </row>
    <row r="27" spans="1:23" x14ac:dyDescent="0.2">
      <c r="A27" s="114" t="s">
        <v>106</v>
      </c>
      <c r="B27" s="114" t="s">
        <v>139</v>
      </c>
      <c r="C27" s="223">
        <f t="shared" si="7"/>
        <v>0</v>
      </c>
      <c r="D27" s="224"/>
      <c r="E27" s="224"/>
      <c r="F27" s="216">
        <f>SUMIFS('Resultat-Produktion &amp; forbrug'!$G$4:$G$291,'Resultat-Produktion &amp; forbrug'!$A$4:$A$291,$A27,'Resultat-Produktion &amp; forbrug'!$E$4:$E$291,Biogasanlæg!F$11)-SUMIFS('Resultat-Produktion &amp; forbrug'!$H$4:$H$291,'Resultat-Produktion &amp; forbrug'!$A$4:$A$291,$A27,'Resultat-Produktion &amp; forbrug'!$E$4:$E$291,Biogasanlæg!F$11)-SUMIFS('Resultat-Produktion &amp; forbrug'!$I$4:$I$291,'Resultat-Produktion &amp; forbrug'!$A$4:$A$291,$A27,'Resultat-Produktion &amp; forbrug'!$E$4:$E$291,Biogasanlæg!F$11)-SUMIFS('Resultat-Produktion &amp; forbrug'!$J$4:$J$291,'Resultat-Produktion &amp; forbrug'!$A$4:$A$291,$A27,'Resultat-Produktion &amp; forbrug'!$E$4:$E$291,Biogasanlæg!F$11)-SUMIFS('Resultat-Produktion &amp; forbrug'!$K$4:$K$291,'Resultat-Produktion &amp; forbrug'!$A$4:$A$291,$A27,'Resultat-Produktion &amp; forbrug'!$E$4:$E$291,Biogasanlæg!F$11)-SUMIFS('Resultat-Produktion &amp; forbrug'!$N$4:$N$291,'Resultat-Produktion &amp; forbrug'!$A$4:$A$291,$A27,'Resultat-Produktion &amp; forbrug'!$E$4:$E$291,Biogasanlæg!F$11)</f>
        <v>880.09999999999991</v>
      </c>
      <c r="G27" s="216">
        <f>SUMIFS('Resultat-Produktion &amp; forbrug'!$G$4:$G$291,'Resultat-Produktion &amp; forbrug'!$A$4:$A$291,$A27,'Resultat-Produktion &amp; forbrug'!$E$4:$E$291,Biogasanlæg!G$11)-SUMIFS('Resultat-Produktion &amp; forbrug'!$H$4:$H$291,'Resultat-Produktion &amp; forbrug'!$A$4:$A$291,$A27,'Resultat-Produktion &amp; forbrug'!$E$4:$E$291,Biogasanlæg!G$11)-SUMIFS('Resultat-Produktion &amp; forbrug'!$I$4:$I$291,'Resultat-Produktion &amp; forbrug'!$A$4:$A$291,$A27,'Resultat-Produktion &amp; forbrug'!$E$4:$E$291,Biogasanlæg!G$11)-SUMIFS('Resultat-Produktion &amp; forbrug'!$J$4:$J$291,'Resultat-Produktion &amp; forbrug'!$A$4:$A$291,$A27,'Resultat-Produktion &amp; forbrug'!$E$4:$E$291,Biogasanlæg!G$11)-SUMIFS('Resultat-Produktion &amp; forbrug'!$K$4:$K$291,'Resultat-Produktion &amp; forbrug'!$A$4:$A$291,$A27,'Resultat-Produktion &amp; forbrug'!$E$4:$E$291,Biogasanlæg!G$11)-SUMIFS('Resultat-Produktion &amp; forbrug'!$N$4:$N$291,'Resultat-Produktion &amp; forbrug'!$A$4:$A$291,$A27,'Resultat-Produktion &amp; forbrug'!$E$4:$E$291,Biogasanlæg!G$11)</f>
        <v>880.09999999999991</v>
      </c>
      <c r="H27" s="122">
        <f>VLOOKUP(A27,[1]Biogasudbytte!$A$2:$C$18,3,FALSE)</f>
        <v>0.15</v>
      </c>
      <c r="I27" s="123">
        <f>VLOOKUP(A27,[1]Biogasudbytte!$A$2:$C$18,2,FALSE)*IFERROR(VLOOKUP(A27,$F$3:$G$8,2,FALSE),1)</f>
        <v>25</v>
      </c>
      <c r="J27" s="122">
        <f t="shared" si="1"/>
        <v>0</v>
      </c>
      <c r="K27" s="122">
        <f t="shared" si="2"/>
        <v>0</v>
      </c>
      <c r="L27" s="122">
        <f t="shared" si="3"/>
        <v>0</v>
      </c>
      <c r="M27" s="114" t="s">
        <v>149</v>
      </c>
      <c r="O27" s="136">
        <f t="shared" si="6"/>
        <v>0</v>
      </c>
      <c r="P27" s="115">
        <f t="shared" si="4"/>
        <v>0</v>
      </c>
      <c r="Q27" s="114">
        <f t="shared" si="5"/>
        <v>0</v>
      </c>
    </row>
    <row r="28" spans="1:23" ht="12.75" thickBot="1" x14ac:dyDescent="0.25">
      <c r="A28" s="126" t="s">
        <v>99</v>
      </c>
      <c r="B28" s="126" t="s">
        <v>139</v>
      </c>
      <c r="C28" s="225">
        <f t="shared" si="7"/>
        <v>0</v>
      </c>
      <c r="D28" s="226"/>
      <c r="E28" s="226"/>
      <c r="F28" s="217">
        <f>SUMIFS('Resultat-Produktion &amp; forbrug'!$G$4:$G$291,'Resultat-Produktion &amp; forbrug'!$A$4:$A$291,$A28,'Resultat-Produktion &amp; forbrug'!$E$4:$E$291,Biogasanlæg!F$11)-SUMIFS('Resultat-Produktion &amp; forbrug'!$H$4:$H$291,'Resultat-Produktion &amp; forbrug'!$A$4:$A$291,$A28,'Resultat-Produktion &amp; forbrug'!$E$4:$E$291,Biogasanlæg!F$11)-SUMIFS('Resultat-Produktion &amp; forbrug'!$I$4:$I$291,'Resultat-Produktion &amp; forbrug'!$A$4:$A$291,$A28,'Resultat-Produktion &amp; forbrug'!$E$4:$E$291,Biogasanlæg!F$11)-SUMIFS('Resultat-Produktion &amp; forbrug'!$J$4:$J$291,'Resultat-Produktion &amp; forbrug'!$A$4:$A$291,$A28,'Resultat-Produktion &amp; forbrug'!$E$4:$E$291,Biogasanlæg!F$11)-SUMIFS('Resultat-Produktion &amp; forbrug'!$K$4:$K$291,'Resultat-Produktion &amp; forbrug'!$A$4:$A$291,$A28,'Resultat-Produktion &amp; forbrug'!$E$4:$E$291,Biogasanlæg!F$11)-SUMIFS('Resultat-Produktion &amp; forbrug'!$N$4:$N$291,'Resultat-Produktion &amp; forbrug'!$A$4:$A$291,$A28,'Resultat-Produktion &amp; forbrug'!$E$4:$E$291,Biogasanlæg!F$11)</f>
        <v>76.5</v>
      </c>
      <c r="G28" s="217">
        <f>SUMIFS('Resultat-Produktion &amp; forbrug'!$G$4:$G$291,'Resultat-Produktion &amp; forbrug'!$A$4:$A$291,$A28,'Resultat-Produktion &amp; forbrug'!$E$4:$E$291,Biogasanlæg!G$11)-SUMIFS('Resultat-Produktion &amp; forbrug'!$H$4:$H$291,'Resultat-Produktion &amp; forbrug'!$A$4:$A$291,$A28,'Resultat-Produktion &amp; forbrug'!$E$4:$E$291,Biogasanlæg!G$11)-SUMIFS('Resultat-Produktion &amp; forbrug'!$I$4:$I$291,'Resultat-Produktion &amp; forbrug'!$A$4:$A$291,$A28,'Resultat-Produktion &amp; forbrug'!$E$4:$E$291,Biogasanlæg!G$11)-SUMIFS('Resultat-Produktion &amp; forbrug'!$J$4:$J$291,'Resultat-Produktion &amp; forbrug'!$A$4:$A$291,$A28,'Resultat-Produktion &amp; forbrug'!$E$4:$E$291,Biogasanlæg!G$11)-SUMIFS('Resultat-Produktion &amp; forbrug'!$K$4:$K$291,'Resultat-Produktion &amp; forbrug'!$A$4:$A$291,$A28,'Resultat-Produktion &amp; forbrug'!$E$4:$E$291,Biogasanlæg!G$11)-SUMIFS('Resultat-Produktion &amp; forbrug'!$N$4:$N$291,'Resultat-Produktion &amp; forbrug'!$A$4:$A$291,$A28,'Resultat-Produktion &amp; forbrug'!$E$4:$E$291,Biogasanlæg!G$11)</f>
        <v>76.5</v>
      </c>
      <c r="H28" s="127">
        <f>VLOOKUP(A28,[1]Biogasudbytte!$A$2:$C$18,3,FALSE)</f>
        <v>0.15</v>
      </c>
      <c r="I28" s="128">
        <f>VLOOKUP(A28,[1]Biogasudbytte!$A$2:$C$18,2,FALSE)*IFERROR(VLOOKUP(A28,$F$3:$G$8,2,FALSE),1)</f>
        <v>25</v>
      </c>
      <c r="J28" s="127">
        <f t="shared" si="1"/>
        <v>0</v>
      </c>
      <c r="K28" s="127">
        <f t="shared" si="2"/>
        <v>0</v>
      </c>
      <c r="L28" s="127">
        <f t="shared" si="3"/>
        <v>0</v>
      </c>
      <c r="M28" s="114" t="s">
        <v>149</v>
      </c>
      <c r="O28" s="136">
        <f t="shared" si="6"/>
        <v>0</v>
      </c>
      <c r="P28" s="115">
        <f t="shared" si="4"/>
        <v>0</v>
      </c>
      <c r="Q28" s="114">
        <f t="shared" si="5"/>
        <v>0</v>
      </c>
    </row>
    <row r="29" spans="1:23" x14ac:dyDescent="0.2">
      <c r="A29" s="114" t="s">
        <v>104</v>
      </c>
      <c r="B29" s="114" t="s">
        <v>139</v>
      </c>
      <c r="C29" s="129">
        <f>SUM(C12:C28)</f>
        <v>13090417.5</v>
      </c>
      <c r="D29" s="129">
        <f>SUM(D12:D28)</f>
        <v>26273696.870940816</v>
      </c>
      <c r="E29" s="129">
        <f>SUM(E12:E28)</f>
        <v>18368393.862459607</v>
      </c>
      <c r="F29" s="129"/>
      <c r="G29" s="129"/>
      <c r="H29" s="130"/>
      <c r="I29" s="130"/>
      <c r="J29" s="131">
        <f>SUM(J12:J28)</f>
        <v>1</v>
      </c>
      <c r="K29" s="131">
        <f>SUM(K12:K28)</f>
        <v>1</v>
      </c>
      <c r="L29" s="131">
        <f>SUM(L12:L28)</f>
        <v>1</v>
      </c>
      <c r="N29" s="114">
        <f>SUM(N12:N28)</f>
        <v>13097393</v>
      </c>
      <c r="P29" s="115">
        <f>SUM(P12:P28)</f>
        <v>462837288.84999996</v>
      </c>
      <c r="Q29" s="114">
        <f>P29*35.9/1000000000</f>
        <v>16.615858669714999</v>
      </c>
    </row>
    <row r="30" spans="1:23" x14ac:dyDescent="0.2">
      <c r="A30" s="132" t="s">
        <v>123</v>
      </c>
      <c r="C30" s="133">
        <f>SUMPRODUCT(C12:C28,$H$12:$H$28)/C29</f>
        <v>0.13822427556900557</v>
      </c>
      <c r="D30" s="133">
        <f>SUMPRODUCT(D12:D28,$H$12:$H$28)/D29</f>
        <v>7.3718394646028168E-2</v>
      </c>
      <c r="E30" s="133">
        <f>SUMPRODUCT(E12:E28,$H$12:$H$28)/E29</f>
        <v>0.10987785520381735</v>
      </c>
      <c r="F30" s="142"/>
      <c r="G30" s="142"/>
    </row>
    <row r="31" spans="1:23" x14ac:dyDescent="0.2">
      <c r="A31" s="132" t="s">
        <v>160</v>
      </c>
      <c r="C31" s="133">
        <f>SUM(C21:C24)/C29</f>
        <v>3.4233743881736389E-2</v>
      </c>
      <c r="D31" s="133">
        <f>SUM(D21:D24)/D29</f>
        <v>0</v>
      </c>
      <c r="E31" s="133">
        <f>SUM(E21:E24)/E29</f>
        <v>0</v>
      </c>
      <c r="F31" s="142"/>
      <c r="G31" s="142"/>
    </row>
    <row r="32" spans="1:23" x14ac:dyDescent="0.2">
      <c r="A32" s="114" t="s">
        <v>142</v>
      </c>
      <c r="B32" s="114" t="s">
        <v>143</v>
      </c>
      <c r="C32" s="114">
        <f>SUMPRODUCT(C12:C28,$I$12:$I$28)</f>
        <v>462837288.84999996</v>
      </c>
      <c r="D32" s="114">
        <f>SUMPRODUCT(D12:D28,$I$12:$I$28)</f>
        <v>443396103.95884115</v>
      </c>
      <c r="E32" s="114">
        <f>SUMPRODUCT(E12:E28,$I$12:$I$28)</f>
        <v>487895767.34052688</v>
      </c>
    </row>
    <row r="33" spans="1:15" x14ac:dyDescent="0.2">
      <c r="A33" s="114" t="s">
        <v>142</v>
      </c>
      <c r="B33" s="114" t="s">
        <v>122</v>
      </c>
      <c r="C33" s="114">
        <f>C32*[1]Energiindhold!$C$10</f>
        <v>16.615858669714999</v>
      </c>
      <c r="D33" s="114">
        <f>D32*[1]Energiindhold!$C$10</f>
        <v>15.917920132122399</v>
      </c>
      <c r="E33" s="114">
        <f>E32*[1]Energiindhold!$C$10</f>
        <v>17.515458047524916</v>
      </c>
    </row>
    <row r="34" spans="1:15" x14ac:dyDescent="0.2">
      <c r="C34" s="227"/>
    </row>
    <row r="35" spans="1:15" x14ac:dyDescent="0.2">
      <c r="A35" s="161"/>
      <c r="B35" s="161" t="s">
        <v>27</v>
      </c>
      <c r="C35" s="161" t="s">
        <v>28</v>
      </c>
    </row>
    <row r="36" spans="1:15" x14ac:dyDescent="0.2">
      <c r="A36" s="161" t="s">
        <v>158</v>
      </c>
      <c r="B36" s="162">
        <v>0.8</v>
      </c>
      <c r="C36" s="162">
        <v>0.2</v>
      </c>
    </row>
    <row r="38" spans="1:15" hidden="1" x14ac:dyDescent="0.2">
      <c r="C38" s="116">
        <f>År1</f>
        <v>2019</v>
      </c>
      <c r="D38" s="116">
        <f>År2</f>
        <v>2030</v>
      </c>
      <c r="E38" s="116">
        <f>År3</f>
        <v>2050</v>
      </c>
      <c r="F38" s="116" t="s">
        <v>105</v>
      </c>
      <c r="G38" s="116" t="s">
        <v>144</v>
      </c>
      <c r="K38" s="116">
        <f>År1</f>
        <v>2019</v>
      </c>
      <c r="L38" s="116">
        <f>År2</f>
        <v>2030</v>
      </c>
      <c r="M38" s="116">
        <f>År3</f>
        <v>2050</v>
      </c>
      <c r="N38" s="116" t="s">
        <v>105</v>
      </c>
      <c r="O38" s="116" t="s">
        <v>144</v>
      </c>
    </row>
    <row r="39" spans="1:15" hidden="1" x14ac:dyDescent="0.2">
      <c r="A39" s="117" t="str">
        <f t="shared" ref="A39:A55" si="8">A12</f>
        <v>Svinegylle</v>
      </c>
      <c r="B39" s="117" t="s">
        <v>139</v>
      </c>
      <c r="C39" s="118">
        <f>SUMIFS('Resultater - Vestdanmark'!H$3:H$504,'Resultater - Vestdanmark'!$F$3:$F$504,$A39)*B3</f>
        <v>2534442.072977222</v>
      </c>
      <c r="D39" s="118">
        <f>SUMIFS('Resultater - Vestdanmark'!I$3:I$504,'Resultater - Vestdanmark'!$F$3:$F$504,$A39)*C3</f>
        <v>10745893.035319086</v>
      </c>
      <c r="E39" s="118">
        <f>SUMIFS('Resultater - Vestdanmark'!J$3:J$504,'Resultater - Vestdanmark'!$F$3:$F$504,$A39)*D3</f>
        <v>0</v>
      </c>
      <c r="F39" s="119">
        <f>VLOOKUP(A39,[1]Biogasudbytte!$A$2:$C$18,3,FALSE)</f>
        <v>0.05</v>
      </c>
      <c r="G39" s="120">
        <f t="shared" ref="G39:G55" si="9">I12</f>
        <v>12</v>
      </c>
      <c r="I39" s="117" t="str">
        <f>A39</f>
        <v>Svinegylle</v>
      </c>
      <c r="J39" s="117" t="s">
        <v>139</v>
      </c>
      <c r="K39" s="118">
        <f>SUMIFS('Resultater - Østdanmark'!H$3:H$504,'Resultater - Østdanmark'!$F$3:$F$504,$A39)*B3</f>
        <v>380427.26035611134</v>
      </c>
      <c r="L39" s="118">
        <f>SUMIFS('Resultater - Østdanmark'!I$3:I$504,'Resultater - Østdanmark'!$F$3:$F$504,$A39)*C3</f>
        <v>1557048.9001647846</v>
      </c>
      <c r="M39" s="118">
        <f>SUMIFS('Resultater - Østdanmark'!J$3:J$504,'Resultater - Østdanmark'!$F$3:$F$504,$A39)*D3</f>
        <v>0</v>
      </c>
      <c r="N39" s="119">
        <f>VLOOKUP(I39,[1]Biogasudbytte!$A$2:$C$18,3,FALSE)</f>
        <v>0.05</v>
      </c>
      <c r="O39" s="120">
        <f t="shared" ref="O39:O55" si="10">I12</f>
        <v>12</v>
      </c>
    </row>
    <row r="40" spans="1:15" hidden="1" x14ac:dyDescent="0.2">
      <c r="A40" s="114" t="str">
        <f t="shared" si="8"/>
        <v>Kvæggylle</v>
      </c>
      <c r="B40" s="114" t="s">
        <v>139</v>
      </c>
      <c r="C40" s="121">
        <f>SUMIFS('Resultater - Vestdanmark'!H$3:H$504,'Resultater - Vestdanmark'!$F$3:$F$504,$A40)*B4</f>
        <v>4066864.6068164087</v>
      </c>
      <c r="D40" s="121">
        <f>SUMIFS('Resultater - Vestdanmark'!I$3:I$504,'Resultater - Vestdanmark'!$F$3:$F$504,$A40)*C4</f>
        <v>4551096.1446218006</v>
      </c>
      <c r="E40" s="121">
        <f>SUMIFS('Resultater - Vestdanmark'!J$3:J$504,'Resultater - Vestdanmark'!$F$3:$F$504,$A40)*D4</f>
        <v>61870.340176480422</v>
      </c>
      <c r="F40" s="122">
        <f>VLOOKUP(A40,[1]Biogasudbytte!$A$2:$C$18,3,FALSE)</f>
        <v>7.5999999999999998E-2</v>
      </c>
      <c r="G40" s="123">
        <f t="shared" si="9"/>
        <v>14.1</v>
      </c>
      <c r="I40" s="114" t="str">
        <f t="shared" ref="I40:I55" si="11">A40</f>
        <v>Kvæggylle</v>
      </c>
      <c r="J40" s="114" t="s">
        <v>139</v>
      </c>
      <c r="K40" s="121">
        <f>SUMIFS('Resultater - Østdanmark'!H$3:H$504,'Resultater - Østdanmark'!$F$3:$F$504,$A40)*B4</f>
        <v>286645.05985025823</v>
      </c>
      <c r="L40" s="121">
        <f>SUMIFS('Resultater - Østdanmark'!I$3:I$504,'Resultater - Østdanmark'!$F$3:$F$504,$A40)*C4</f>
        <v>323464.65204194176</v>
      </c>
      <c r="M40" s="121">
        <f>SUMIFS('Resultater - Østdanmark'!J$3:J$504,'Resultater - Østdanmark'!$F$3:$F$504,$A40)*D4</f>
        <v>4397.3731648257435</v>
      </c>
      <c r="N40" s="122">
        <f>VLOOKUP(I40,[1]Biogasudbytte!$A$2:$C$18,3,FALSE)</f>
        <v>7.5999999999999998E-2</v>
      </c>
      <c r="O40" s="123">
        <f t="shared" si="10"/>
        <v>14.1</v>
      </c>
    </row>
    <row r="41" spans="1:15" hidden="1" x14ac:dyDescent="0.2">
      <c r="A41" s="114" t="str">
        <f t="shared" si="8"/>
        <v>Fjerkrægylle</v>
      </c>
      <c r="B41" s="114" t="s">
        <v>139</v>
      </c>
      <c r="C41" s="121">
        <f>SUMIFS('Resultater - Vestdanmark'!H$3:H$504,'Resultater - Vestdanmark'!$F$3:$F$504,$A41)*B5</f>
        <v>4103.8061780475591</v>
      </c>
      <c r="D41" s="121">
        <f>SUMIFS('Resultater - Vestdanmark'!I$3:I$504,'Resultater - Vestdanmark'!$F$3:$F$504,$A41)*C5</f>
        <v>6146.3860846246353</v>
      </c>
      <c r="E41" s="121">
        <f>SUMIFS('Resultater - Vestdanmark'!J$3:J$504,'Resultater - Vestdanmark'!$F$3:$F$504,$A41)*D5</f>
        <v>12641.434133773972</v>
      </c>
      <c r="F41" s="122">
        <f>VLOOKUP(A41,[1]Biogasudbytte!$A$2:$C$18,3,FALSE)</f>
        <v>6.3E-2</v>
      </c>
      <c r="G41" s="123">
        <f t="shared" si="9"/>
        <v>13.1</v>
      </c>
      <c r="I41" s="114" t="str">
        <f t="shared" si="11"/>
        <v>Fjerkrægylle</v>
      </c>
      <c r="J41" s="114" t="s">
        <v>139</v>
      </c>
      <c r="K41" s="121">
        <f>SUMIFS('Resultater - Østdanmark'!H$3:H$504,'Resultater - Østdanmark'!$F$3:$F$504,$A41)*B5</f>
        <v>337.693821952441</v>
      </c>
      <c r="L41" s="121">
        <f>SUMIFS('Resultater - Østdanmark'!I$3:I$504,'Resultater - Østdanmark'!$F$3:$F$504,$A41)*C5</f>
        <v>515.86391537536554</v>
      </c>
      <c r="M41" s="121">
        <f>SUMIFS('Resultater - Østdanmark'!J$3:J$504,'Resultater - Østdanmark'!$F$3:$F$504,$A41)*D5</f>
        <v>1060.9909007378428</v>
      </c>
      <c r="N41" s="122">
        <f>VLOOKUP(I41,[1]Biogasudbytte!$A$2:$C$18,3,FALSE)</f>
        <v>6.3E-2</v>
      </c>
      <c r="O41" s="123">
        <f t="shared" si="10"/>
        <v>13.1</v>
      </c>
    </row>
    <row r="42" spans="1:15" hidden="1" x14ac:dyDescent="0.2">
      <c r="A42" s="114" t="str">
        <f t="shared" si="8"/>
        <v>Spildevandsslam</v>
      </c>
      <c r="B42" s="114" t="s">
        <v>139</v>
      </c>
      <c r="C42" s="121">
        <f>SUMIFS('Resultater - Vestdanmark'!H$3:H$504,'Resultater - Vestdanmark'!$F$3:$F$504,$A42)*B6</f>
        <v>1460182.5874658169</v>
      </c>
      <c r="D42" s="121">
        <f>SUMIFS('Resultater - Vestdanmark'!I$3:I$504,'Resultater - Vestdanmark'!$F$3:$F$504,$A42)*C6</f>
        <v>1481053.1985566379</v>
      </c>
      <c r="E42" s="121">
        <f>SUMIFS('Resultater - Vestdanmark'!J$3:J$504,'Resultater - Vestdanmark'!$F$3:$F$504,$A42)*D6</f>
        <v>1517880.3720548805</v>
      </c>
      <c r="F42" s="122">
        <f>VLOOKUP(A42,[1]Biogasudbytte!$A$2:$C$18,3,FALSE)</f>
        <v>0.06</v>
      </c>
      <c r="G42" s="123">
        <f t="shared" si="9"/>
        <v>13.9</v>
      </c>
      <c r="I42" s="114" t="str">
        <f t="shared" si="11"/>
        <v>Spildevandsslam</v>
      </c>
      <c r="J42" s="114" t="s">
        <v>139</v>
      </c>
      <c r="K42" s="121">
        <f>SUMIFS('Resultater - Østdanmark'!H$3:H$504,'Resultater - Østdanmark'!$F$3:$F$504,$A42)*B6</f>
        <v>1208651.4125341829</v>
      </c>
      <c r="L42" s="121">
        <f>SUMIFS('Resultater - Østdanmark'!I$3:I$504,'Resultater - Østdanmark'!$F$3:$F$504,$A42)*C6</f>
        <v>1266377.3160230415</v>
      </c>
      <c r="M42" s="121">
        <f>SUMIFS('Resultater - Østdanmark'!J$3:J$504,'Resultater - Østdanmark'!$F$3:$F$504,$A42)*D6</f>
        <v>1324256.6444942397</v>
      </c>
      <c r="N42" s="122">
        <f>VLOOKUP(I42,[1]Biogasudbytte!$A$2:$C$18,3,FALSE)</f>
        <v>0.06</v>
      </c>
      <c r="O42" s="123">
        <f t="shared" si="10"/>
        <v>13.9</v>
      </c>
    </row>
    <row r="43" spans="1:15" hidden="1" x14ac:dyDescent="0.2">
      <c r="A43" s="114" t="str">
        <f t="shared" si="8"/>
        <v>Dybstrøelse</v>
      </c>
      <c r="B43" s="114" t="s">
        <v>139</v>
      </c>
      <c r="C43" s="121">
        <f>SUMIFS('Resultater - Vestdanmark'!H$3:H$504,'Resultater - Vestdanmark'!$F$3:$F$504,$A43)*B7</f>
        <v>671194.67155029252</v>
      </c>
      <c r="D43" s="121">
        <f>SUMIFS('Resultater - Vestdanmark'!I$3:I$504,'Resultater - Vestdanmark'!$F$3:$F$504,$A43)*C7</f>
        <v>1761545.7522961586</v>
      </c>
      <c r="E43" s="121">
        <f>SUMIFS('Resultater - Vestdanmark'!J$3:J$504,'Resultater - Vestdanmark'!$F$3:$F$504,$A43)*D7</f>
        <v>4013919.0937787211</v>
      </c>
      <c r="F43" s="122">
        <f>VLOOKUP(A43,[1]Biogasudbytte!$A$2:$C$18,3,FALSE)</f>
        <v>0.3</v>
      </c>
      <c r="G43" s="123">
        <f t="shared" si="9"/>
        <v>60</v>
      </c>
      <c r="I43" s="114" t="str">
        <f t="shared" si="11"/>
        <v>Dybstrøelse</v>
      </c>
      <c r="J43" s="114" t="s">
        <v>139</v>
      </c>
      <c r="K43" s="121">
        <f>SUMIFS('Resultater - Østdanmark'!H$3:H$504,'Resultater - Østdanmark'!$F$3:$F$504,$A43)*B7</f>
        <v>85892.328449707566</v>
      </c>
      <c r="L43" s="121">
        <f>SUMIFS('Resultater - Østdanmark'!I$3:I$504,'Resultater - Østdanmark'!$F$3:$F$504,$A43)*C7</f>
        <v>239591.41441688087</v>
      </c>
      <c r="M43" s="121">
        <f>SUMIFS('Resultater - Østdanmark'!J$3:J$504,'Resultater - Østdanmark'!$F$3:$F$504,$A43)*D7</f>
        <v>578414.57574082457</v>
      </c>
      <c r="N43" s="122">
        <f>VLOOKUP(I43,[1]Biogasudbytte!$A$2:$C$18,3,FALSE)</f>
        <v>0.3</v>
      </c>
      <c r="O43" s="123">
        <f t="shared" si="10"/>
        <v>60</v>
      </c>
    </row>
    <row r="44" spans="1:15" hidden="1" x14ac:dyDescent="0.2">
      <c r="A44" s="114" t="str">
        <f t="shared" si="8"/>
        <v>Brun saft</v>
      </c>
      <c r="B44" s="114" t="s">
        <v>139</v>
      </c>
      <c r="C44" s="121">
        <f>SUMIFS('Resultater - Vestdanmark'!H$3:H$504,'Resultater - Vestdanmark'!$F$3:$F$504,$A44)*B8</f>
        <v>0</v>
      </c>
      <c r="D44" s="121">
        <f>SUMIFS('Resultater - Vestdanmark'!I$3:I$504,'Resultater - Vestdanmark'!$F$3:$F$504,$A44)*C8</f>
        <v>3838456.8057060111</v>
      </c>
      <c r="E44" s="121">
        <f>SUMIFS('Resultater - Vestdanmark'!J$3:J$504,'Resultater - Vestdanmark'!$F$3:$F$504,$A44)*D8</f>
        <v>9508401.068542948</v>
      </c>
      <c r="F44" s="122">
        <f>VLOOKUP(A44,[1]Biogasudbytte!$A$2:$C$18,3,FALSE)</f>
        <v>4.2763387558472386E-2</v>
      </c>
      <c r="G44" s="123">
        <f t="shared" si="9"/>
        <v>15.822453396634783</v>
      </c>
      <c r="I44" s="114" t="str">
        <f t="shared" si="11"/>
        <v>Brun saft</v>
      </c>
      <c r="J44" s="114" t="s">
        <v>139</v>
      </c>
      <c r="K44" s="121">
        <f>SUMIFS('Resultater - Østdanmark'!H$3:H$504,'Resultater - Østdanmark'!$F$3:$F$504,$A44)*B8</f>
        <v>0</v>
      </c>
      <c r="L44" s="121">
        <f>SUMIFS('Resultater - Østdanmark'!I$3:I$504,'Resultater - Østdanmark'!$F$3:$F$504,$A44)*C8</f>
        <v>502507.4017944691</v>
      </c>
      <c r="M44" s="121">
        <f>SUMIFS('Resultater - Østdanmark'!J$3:J$504,'Resultater - Østdanmark'!$F$3:$F$504,$A44)*D8</f>
        <v>1345551.9694721752</v>
      </c>
      <c r="N44" s="122">
        <f>VLOOKUP(I44,[1]Biogasudbytte!$A$2:$C$18,3,FALSE)</f>
        <v>4.2763387558472386E-2</v>
      </c>
      <c r="O44" s="123">
        <f t="shared" si="10"/>
        <v>15.822453396634783</v>
      </c>
    </row>
    <row r="45" spans="1:15" hidden="1" x14ac:dyDescent="0.2">
      <c r="A45" s="114" t="str">
        <f t="shared" si="8"/>
        <v>Bioaffald</v>
      </c>
      <c r="B45" s="114" t="s">
        <v>139</v>
      </c>
      <c r="C45" s="121">
        <f ca="1">SUMIFS('Resultater - Vestdanmark'!H$3:H$504,'Resultater - Vestdanmark'!$F$3:$F$504,$A45)/SUMIFS('Resultater - Danmark'!H$3:H$504,'Resultater - Danmark'!$F$3:$F$504,$A45)*C18</f>
        <v>393543.64426779439</v>
      </c>
      <c r="D45" s="121">
        <f ca="1">SUMIFS('Resultater - Vestdanmark'!I$3:I$504,'Resultater - Vestdanmark'!$F$3:$F$504,$A45)/SUMIFS('Resultater - Danmark'!I$3:I$504,'Resultater - Danmark'!$F$3:$F$504,$A45)*D18</f>
        <v>0</v>
      </c>
      <c r="E45" s="121">
        <f ca="1">SUMIFS('Resultater - Vestdanmark'!J$3:J$504,'Resultater - Vestdanmark'!$F$3:$F$504,$A45)/SUMIFS('Resultater - Danmark'!J$3:J$504,'Resultater - Danmark'!$F$3:$F$504,$A45)*E18</f>
        <v>0</v>
      </c>
      <c r="F45" s="122">
        <f>VLOOKUP(A45,[1]Biogasudbytte!$A$2:$C$18,3,FALSE)</f>
        <v>0.28000000000000003</v>
      </c>
      <c r="G45" s="123">
        <f t="shared" si="9"/>
        <v>94.9</v>
      </c>
      <c r="I45" s="114" t="str">
        <f t="shared" si="11"/>
        <v>Bioaffald</v>
      </c>
      <c r="J45" s="114" t="s">
        <v>139</v>
      </c>
      <c r="K45" s="121">
        <f ca="1">SUMIFS('Resultater - Østdanmark'!H$3:H$504,'Resultater - Østdanmark'!$F$3:$F$504,$A45)/SUMIFS('Resultater - Danmark'!H$3:H$504,'Resultater - Danmark'!$F$3:$F$504,$A45)*C18</f>
        <v>335590.35573220561</v>
      </c>
      <c r="L45" s="121">
        <f ca="1">SUMIFS('Resultater - Østdanmark'!I$3:I$504,'Resultater - Østdanmark'!$F$3:$F$504,$A45)/SUMIFS('Resultater - Danmark'!I$3:I$504,'Resultater - Danmark'!$F$3:$F$504,$A45)*D18</f>
        <v>0</v>
      </c>
      <c r="M45" s="121">
        <f ca="1">SUMIFS('Resultater - Østdanmark'!J$3:J$504,'Resultater - Østdanmark'!$F$3:$F$504,$A45)/SUMIFS('Resultater - Danmark'!J$3:J$504,'Resultater - Danmark'!$F$3:$F$504,$A45)*E18</f>
        <v>0</v>
      </c>
      <c r="N45" s="122">
        <f>VLOOKUP(I45,[1]Biogasudbytte!$A$2:$C$18,3,FALSE)</f>
        <v>0.28000000000000003</v>
      </c>
      <c r="O45" s="123">
        <f t="shared" si="10"/>
        <v>94.9</v>
      </c>
    </row>
    <row r="46" spans="1:15" hidden="1" x14ac:dyDescent="0.2">
      <c r="A46" s="114" t="str">
        <f t="shared" si="8"/>
        <v>Industriaffald</v>
      </c>
      <c r="B46" s="114" t="s">
        <v>139</v>
      </c>
      <c r="C46" s="121">
        <f>SUMIFS('Resultater - Vestdanmark'!H$3:H$504,'Resultater - Vestdanmark'!$F$3:$F$504,$A46)/SUMIFS('Resultater - Danmark'!H$3:H$504,'Resultater - Danmark'!$F$3:$F$504,$A46)*C19</f>
        <v>716103.75203569303</v>
      </c>
      <c r="D46" s="121">
        <f>SUMIFS('Resultater - Vestdanmark'!I$3:I$504,'Resultater - Vestdanmark'!$F$3:$F$504,$A46)/SUMIFS('Resultater - Danmark'!I$3:I$504,'Resultater - Danmark'!$F$3:$F$504,$A46)*D19</f>
        <v>0</v>
      </c>
      <c r="E46" s="121">
        <f>SUMIFS('Resultater - Vestdanmark'!J$3:J$504,'Resultater - Vestdanmark'!$F$3:$F$504,$A46)/SUMIFS('Resultater - Danmark'!J$3:J$504,'Resultater - Danmark'!$F$3:$F$504,$A46)*E19</f>
        <v>0</v>
      </c>
      <c r="F46" s="122">
        <f>VLOOKUP(A46,[1]Biogasudbytte!$A$2:$C$18,3,FALSE)</f>
        <v>0.42</v>
      </c>
      <c r="G46" s="123">
        <f t="shared" si="9"/>
        <v>102.595</v>
      </c>
      <c r="I46" s="114" t="str">
        <f t="shared" si="11"/>
        <v>Industriaffald</v>
      </c>
      <c r="J46" s="114" t="s">
        <v>139</v>
      </c>
      <c r="K46" s="121">
        <f>SUMIFS('Resultater - Østdanmark'!H$3:H$504,'Resultater - Østdanmark'!$F$3:$F$504,$A46)/SUMIFS('Resultater - Danmark'!H$3:H$504,'Resultater - Danmark'!$F$3:$F$504,$A46)*C19</f>
        <v>279550.24796430691</v>
      </c>
      <c r="L46" s="121">
        <f>SUMIFS('Resultater - Østdanmark'!I$3:I$504,'Resultater - Østdanmark'!$F$3:$F$504,$A46)/SUMIFS('Resultater - Danmark'!I$3:I$504,'Resultater - Danmark'!$F$3:$F$504,$A46)*D19</f>
        <v>0</v>
      </c>
      <c r="M46" s="121">
        <f>SUMIFS('Resultater - Østdanmark'!J$3:J$504,'Resultater - Østdanmark'!$F$3:$F$504,$A46)/SUMIFS('Resultater - Danmark'!J$3:J$504,'Resultater - Danmark'!$F$3:$F$504,$A46)*E19</f>
        <v>0</v>
      </c>
      <c r="N46" s="122">
        <f>VLOOKUP(I46,[1]Biogasudbytte!$A$2:$C$18,3,FALSE)</f>
        <v>0.42</v>
      </c>
      <c r="O46" s="123">
        <f t="shared" si="10"/>
        <v>102.595</v>
      </c>
    </row>
    <row r="47" spans="1:15" hidden="1" x14ac:dyDescent="0.2">
      <c r="A47" s="114" t="str">
        <f t="shared" si="8"/>
        <v>Halm</v>
      </c>
      <c r="B47" s="114" t="s">
        <v>139</v>
      </c>
      <c r="C47" s="121">
        <f>SUMIFS('Resultater - Vestdanmark'!H$3:H$504,'Resultater - Vestdanmark'!$F$3:$F$504,$A47)/SUMIFS('Resultater - Danmark'!H$3:H$504,'Resultater - Danmark'!$F$3:$F$504,$A47)*C20</f>
        <v>53194.904606816119</v>
      </c>
      <c r="D47" s="121">
        <f>SUMIFS('Resultater - Vestdanmark'!I$3:I$504,'Resultater - Vestdanmark'!$F$3:$F$504,$A47)/SUMIFS('Resultater - Danmark'!I$3:I$504,'Resultater - Danmark'!$F$3:$F$504,$A47)*D20</f>
        <v>0</v>
      </c>
      <c r="E47" s="121">
        <f>SUMIFS('Resultater - Vestdanmark'!J$3:J$504,'Resultater - Vestdanmark'!$F$3:$F$504,$A47)/SUMIFS('Resultater - Danmark'!J$3:J$504,'Resultater - Danmark'!$F$3:$F$504,$A47)*E20</f>
        <v>0</v>
      </c>
      <c r="F47" s="122">
        <f>VLOOKUP(A47,[1]Biogasudbytte!$A$2:$C$18,3,FALSE)</f>
        <v>0.85</v>
      </c>
      <c r="G47" s="123">
        <f t="shared" si="9"/>
        <v>160.6</v>
      </c>
      <c r="I47" s="114" t="str">
        <f t="shared" si="11"/>
        <v>Halm</v>
      </c>
      <c r="J47" s="114" t="s">
        <v>139</v>
      </c>
      <c r="K47" s="121">
        <f>SUMIFS('Resultater - Østdanmark'!H$3:H$504,'Resultater - Østdanmark'!$F$3:$F$504,$A47)/SUMIFS('Resultater - Danmark'!H$3:H$504,'Resultater - Danmark'!$F$3:$F$504,$A47)*C20</f>
        <v>22739.095393183845</v>
      </c>
      <c r="L47" s="121">
        <f>SUMIFS('Resultater - Østdanmark'!I$3:I$504,'Resultater - Østdanmark'!$F$3:$F$504,$A47)/SUMIFS('Resultater - Danmark'!I$3:I$504,'Resultater - Danmark'!$F$3:$F$504,$A47)*D20</f>
        <v>0</v>
      </c>
      <c r="M47" s="121">
        <f>SUMIFS('Resultater - Østdanmark'!J$3:J$504,'Resultater - Østdanmark'!$F$3:$F$504,$A47)/SUMIFS('Resultater - Danmark'!J$3:J$504,'Resultater - Danmark'!$F$3:$F$504,$A47)*E20</f>
        <v>0</v>
      </c>
      <c r="N47" s="122">
        <f>VLOOKUP(I47,[1]Biogasudbytte!$A$2:$C$18,3,FALSE)</f>
        <v>0.85</v>
      </c>
      <c r="O47" s="123">
        <f t="shared" si="10"/>
        <v>160.6</v>
      </c>
    </row>
    <row r="48" spans="1:15" hidden="1" x14ac:dyDescent="0.2">
      <c r="A48" s="114" t="str">
        <f t="shared" si="8"/>
        <v>Korn</v>
      </c>
      <c r="B48" s="114" t="s">
        <v>139</v>
      </c>
      <c r="C48" s="121">
        <f>SUMIFS('Resultater - Vestdanmark'!H$3:H$504,'Resultater - Vestdanmark'!$F$3:$F$504,$A48)/SUMIFS('Resultater - Danmark'!H$3:H$504,'Resultater - Danmark'!$F$3:$F$504,$A48)*C21</f>
        <v>2843.3935258054057</v>
      </c>
      <c r="D48" s="121">
        <f>SUMIFS('Resultater - Vestdanmark'!I$3:I$504,'Resultater - Vestdanmark'!$F$3:$F$504,$A48)/SUMIFS('Resultater - Danmark'!I$3:I$504,'Resultater - Danmark'!$F$3:$F$504,$A48)*D21</f>
        <v>0</v>
      </c>
      <c r="E48" s="121">
        <f>SUMIFS('Resultater - Vestdanmark'!J$3:J$504,'Resultater - Vestdanmark'!$F$3:$F$504,$A48)/SUMIFS('Resultater - Danmark'!J$3:J$504,'Resultater - Danmark'!$F$3:$F$504,$A48)*E21</f>
        <v>0</v>
      </c>
      <c r="F48" s="122">
        <f>VLOOKUP(A48,[1]Biogasudbytte!$A$2:$C$18,3,FALSE)</f>
        <v>0.31</v>
      </c>
      <c r="G48" s="123">
        <f t="shared" si="9"/>
        <v>95.4</v>
      </c>
      <c r="I48" s="114" t="str">
        <f t="shared" si="11"/>
        <v>Korn</v>
      </c>
      <c r="J48" s="114" t="s">
        <v>139</v>
      </c>
      <c r="K48" s="121">
        <f>SUMIFS('Resultater - Østdanmark'!H$3:H$504,'Resultater - Østdanmark'!$F$3:$F$504,$A48)/SUMIFS('Resultater - Danmark'!H$3:H$504,'Resultater - Danmark'!$F$3:$F$504,$A48)*C21</f>
        <v>942.6064741945944</v>
      </c>
      <c r="L48" s="121">
        <f>SUMIFS('Resultater - Østdanmark'!I$3:I$504,'Resultater - Østdanmark'!$F$3:$F$504,$A48)/SUMIFS('Resultater - Danmark'!I$3:I$504,'Resultater - Danmark'!$F$3:$F$504,$A48)*D21</f>
        <v>0</v>
      </c>
      <c r="M48" s="121">
        <f>SUMIFS('Resultater - Østdanmark'!J$3:J$504,'Resultater - Østdanmark'!$F$3:$F$504,$A48)/SUMIFS('Resultater - Danmark'!J$3:J$504,'Resultater - Danmark'!$F$3:$F$504,$A48)*E21</f>
        <v>0</v>
      </c>
      <c r="N48" s="122">
        <f>VLOOKUP(I48,[1]Biogasudbytte!$A$2:$C$18,3,FALSE)</f>
        <v>0.31</v>
      </c>
      <c r="O48" s="123">
        <f t="shared" si="10"/>
        <v>95.4</v>
      </c>
    </row>
    <row r="49" spans="1:15" hidden="1" x14ac:dyDescent="0.2">
      <c r="A49" s="114" t="str">
        <f t="shared" si="8"/>
        <v>Græs</v>
      </c>
      <c r="B49" s="114" t="s">
        <v>139</v>
      </c>
      <c r="C49" s="121">
        <f>SUMIFS('Resultater - Vestdanmark'!H$3:H$504,'Resultater - Vestdanmark'!$F$3:$F$504,$A49)/SUMIFS('Resultater - Danmark'!H$3:H$504,'Resultater - Danmark'!$F$3:$F$504,$A49)*C22</f>
        <v>75399.16825098735</v>
      </c>
      <c r="D49" s="121">
        <f>SUMIFS('Resultater - Vestdanmark'!I$3:I$504,'Resultater - Vestdanmark'!$F$3:$F$504,$A49)/SUMIFS('Resultater - Danmark'!I$3:I$504,'Resultater - Danmark'!$F$3:$F$504,$A49)*D22</f>
        <v>0</v>
      </c>
      <c r="E49" s="121">
        <f>SUMIFS('Resultater - Vestdanmark'!J$3:J$504,'Resultater - Vestdanmark'!$F$3:$F$504,$A49)/SUMIFS('Resultater - Danmark'!J$3:J$504,'Resultater - Danmark'!$F$3:$F$504,$A49)*E22</f>
        <v>0</v>
      </c>
      <c r="F49" s="122">
        <f>VLOOKUP(A49,[1]Biogasudbytte!$A$2:$C$18,3,FALSE)</f>
        <v>0.28000000000000003</v>
      </c>
      <c r="G49" s="123">
        <f t="shared" si="9"/>
        <v>51.25</v>
      </c>
      <c r="I49" s="114" t="str">
        <f t="shared" si="11"/>
        <v>Græs</v>
      </c>
      <c r="J49" s="114" t="s">
        <v>139</v>
      </c>
      <c r="K49" s="121">
        <f>SUMIFS('Resultater - Østdanmark'!H$3:H$504,'Resultater - Østdanmark'!$F$3:$F$504,$A49)/SUMIFS('Resultater - Danmark'!H$3:H$504,'Resultater - Danmark'!$F$3:$F$504,$A49)*C22</f>
        <v>10277.831749012612</v>
      </c>
      <c r="L49" s="121">
        <f>SUMIFS('Resultater - Østdanmark'!I$3:I$504,'Resultater - Østdanmark'!$F$3:$F$504,$A49)/SUMIFS('Resultater - Danmark'!I$3:I$504,'Resultater - Danmark'!$F$3:$F$504,$A49)*D22</f>
        <v>0</v>
      </c>
      <c r="M49" s="121">
        <f>SUMIFS('Resultater - Østdanmark'!J$3:J$504,'Resultater - Østdanmark'!$F$3:$F$504,$A49)/SUMIFS('Resultater - Danmark'!J$3:J$504,'Resultater - Danmark'!$F$3:$F$504,$A49)*E22</f>
        <v>0</v>
      </c>
      <c r="N49" s="122">
        <f>VLOOKUP(I49,[1]Biogasudbytte!$A$2:$C$18,3,FALSE)</f>
        <v>0.28000000000000003</v>
      </c>
      <c r="O49" s="123">
        <f t="shared" si="10"/>
        <v>51.25</v>
      </c>
    </row>
    <row r="50" spans="1:15" hidden="1" x14ac:dyDescent="0.2">
      <c r="A50" s="114" t="str">
        <f t="shared" si="8"/>
        <v>Majs</v>
      </c>
      <c r="B50" s="114" t="s">
        <v>139</v>
      </c>
      <c r="C50" s="121">
        <f>SUMIFS('Resultater - Vestdanmark'!H$3:H$504,'Resultater - Vestdanmark'!$F$3:$F$504,$A50)/SUMIFS('Resultater - Danmark'!H$3:H$504,'Resultater - Danmark'!$F$3:$F$504,$A50)*C23</f>
        <v>314874.94627501385</v>
      </c>
      <c r="D50" s="121">
        <f>SUMIFS('Resultater - Vestdanmark'!I$3:I$504,'Resultater - Vestdanmark'!$F$3:$F$504,$A50)/SUMIFS('Resultater - Danmark'!I$3:I$504,'Resultater - Danmark'!$F$3:$F$504,$A50)*D23</f>
        <v>0</v>
      </c>
      <c r="E50" s="121">
        <f>SUMIFS('Resultater - Vestdanmark'!J$3:J$504,'Resultater - Vestdanmark'!$F$3:$F$504,$A50)/SUMIFS('Resultater - Danmark'!J$3:J$504,'Resultater - Danmark'!$F$3:$F$504,$A50)*E23</f>
        <v>0</v>
      </c>
      <c r="F50" s="122">
        <f>VLOOKUP(A50,[1]Biogasudbytte!$A$2:$C$18,3,FALSE)</f>
        <v>0.3</v>
      </c>
      <c r="G50" s="123">
        <f t="shared" si="9"/>
        <v>100</v>
      </c>
      <c r="I50" s="114" t="str">
        <f t="shared" si="11"/>
        <v>Majs</v>
      </c>
      <c r="J50" s="114" t="s">
        <v>139</v>
      </c>
      <c r="K50" s="121">
        <f>SUMIFS('Resultater - Østdanmark'!H$3:H$504,'Resultater - Østdanmark'!$F$3:$F$504,$A50)/SUMIFS('Resultater - Danmark'!H$3:H$504,'Resultater - Danmark'!$F$3:$F$504,$A50)*C23</f>
        <v>15151.053724986185</v>
      </c>
      <c r="L50" s="121">
        <f>SUMIFS('Resultater - Østdanmark'!I$3:I$504,'Resultater - Østdanmark'!$F$3:$F$504,$A50)/SUMIFS('Resultater - Danmark'!I$3:I$504,'Resultater - Danmark'!$F$3:$F$504,$A50)*D23</f>
        <v>0</v>
      </c>
      <c r="M50" s="121">
        <f>SUMIFS('Resultater - Østdanmark'!J$3:J$504,'Resultater - Østdanmark'!$F$3:$F$504,$A50)/SUMIFS('Resultater - Danmark'!J$3:J$504,'Resultater - Danmark'!$F$3:$F$504,$A50)*E23</f>
        <v>0</v>
      </c>
      <c r="N50" s="122">
        <f>VLOOKUP(I50,[1]Biogasudbytte!$A$2:$C$18,3,FALSE)</f>
        <v>0.3</v>
      </c>
      <c r="O50" s="123">
        <f t="shared" si="10"/>
        <v>100</v>
      </c>
    </row>
    <row r="51" spans="1:15" hidden="1" x14ac:dyDescent="0.2">
      <c r="A51" s="114" t="str">
        <f t="shared" si="8"/>
        <v>Roer</v>
      </c>
      <c r="B51" s="114" t="s">
        <v>139</v>
      </c>
      <c r="C51" s="121">
        <f>SUMIFS('Resultater - Vestdanmark'!H$3:H$504,'Resultater - Vestdanmark'!$F$3:$F$504,$A51)/SUMIFS('Resultater - Danmark'!H$3:H$504,'Resultater - Danmark'!$F$3:$F$504,$A51)*C24</f>
        <v>4141.9679702877811</v>
      </c>
      <c r="D51" s="121">
        <f>SUMIFS('Resultater - Vestdanmark'!I$3:I$504,'Resultater - Vestdanmark'!$F$3:$F$504,$A51)/SUMIFS('Resultater - Danmark'!I$3:I$504,'Resultater - Danmark'!$F$3:$F$504,$A51)*D24</f>
        <v>0</v>
      </c>
      <c r="E51" s="121">
        <f>SUMIFS('Resultater - Vestdanmark'!J$3:J$504,'Resultater - Vestdanmark'!$F$3:$F$504,$A51)/SUMIFS('Resultater - Danmark'!J$3:J$504,'Resultater - Danmark'!$F$3:$F$504,$A51)*E24</f>
        <v>0</v>
      </c>
      <c r="F51" s="122">
        <f>VLOOKUP(A51,[1]Biogasudbytte!$A$2:$C$18,3,FALSE)</f>
        <v>0.2</v>
      </c>
      <c r="G51" s="123">
        <f t="shared" si="9"/>
        <v>75.599999999999994</v>
      </c>
      <c r="I51" s="114" t="str">
        <f t="shared" si="11"/>
        <v>Roer</v>
      </c>
      <c r="J51" s="114" t="s">
        <v>139</v>
      </c>
      <c r="K51" s="121">
        <f>SUMIFS('Resultater - Østdanmark'!H$3:H$504,'Resultater - Østdanmark'!$F$3:$F$504,$A51)/SUMIFS('Resultater - Danmark'!H$3:H$504,'Resultater - Danmark'!$F$3:$F$504,$A51)*C24</f>
        <v>24503.032029712213</v>
      </c>
      <c r="L51" s="121">
        <f>SUMIFS('Resultater - Østdanmark'!I$3:I$504,'Resultater - Østdanmark'!$F$3:$F$504,$A51)/SUMIFS('Resultater - Danmark'!I$3:I$504,'Resultater - Danmark'!$F$3:$F$504,$A51)*D24</f>
        <v>0</v>
      </c>
      <c r="M51" s="121">
        <f>SUMIFS('Resultater - Østdanmark'!J$3:J$504,'Resultater - Østdanmark'!$F$3:$F$504,$A51)/SUMIFS('Resultater - Danmark'!J$3:J$504,'Resultater - Danmark'!$F$3:$F$504,$A51)*E24</f>
        <v>0</v>
      </c>
      <c r="N51" s="122">
        <f>VLOOKUP(I51,[1]Biogasudbytte!$A$2:$C$18,3,FALSE)</f>
        <v>0.2</v>
      </c>
      <c r="O51" s="123">
        <f t="shared" si="10"/>
        <v>75.599999999999994</v>
      </c>
    </row>
    <row r="52" spans="1:15" hidden="1" x14ac:dyDescent="0.2">
      <c r="A52" s="114" t="str">
        <f t="shared" si="8"/>
        <v>Have/parkaffald</v>
      </c>
      <c r="B52" s="114" t="s">
        <v>139</v>
      </c>
      <c r="C52" s="121">
        <f>SUMIFS('Resultater - Vestdanmark'!H$3:H$504,'Resultater - Vestdanmark'!$F$3:$F$504,$A52)/SUMIFS('Resultater - Danmark'!H$3:H$504,'Resultater - Danmark'!$F$3:$F$504,$A52)*C25</f>
        <v>42.099811904105366</v>
      </c>
      <c r="D52" s="121">
        <f>SUMIFS('Resultater - Vestdanmark'!I$3:I$504,'Resultater - Vestdanmark'!$F$3:$F$504,$A52)/SUMIFS('Resultater - Danmark'!I$3:I$504,'Resultater - Danmark'!$F$3:$F$504,$A52)*D25</f>
        <v>0</v>
      </c>
      <c r="E52" s="121">
        <f>SUMIFS('Resultater - Vestdanmark'!J$3:J$504,'Resultater - Vestdanmark'!$F$3:$F$504,$A52)/SUMIFS('Resultater - Danmark'!J$3:J$504,'Resultater - Danmark'!$F$3:$F$504,$A52)*E25</f>
        <v>0</v>
      </c>
      <c r="F52" s="122">
        <f>VLOOKUP(A52,[1]Biogasudbytte!$A$2:$C$18,3,FALSE)</f>
        <v>0.3</v>
      </c>
      <c r="G52" s="123">
        <f t="shared" si="9"/>
        <v>47.3</v>
      </c>
      <c r="I52" s="114" t="str">
        <f t="shared" si="11"/>
        <v>Have/parkaffald</v>
      </c>
      <c r="J52" s="114" t="s">
        <v>139</v>
      </c>
      <c r="K52" s="121">
        <f>SUMIFS('Resultater - Østdanmark'!H$3:H$504,'Resultater - Østdanmark'!$F$3:$F$504,$A52)/SUMIFS('Resultater - Danmark'!H$3:H$504,'Resultater - Danmark'!$F$3:$F$504,$A52)*C25</f>
        <v>35.900188095894634</v>
      </c>
      <c r="L52" s="121">
        <f>SUMIFS('Resultater - Østdanmark'!I$3:I$504,'Resultater - Østdanmark'!$F$3:$F$504,$A52)/SUMIFS('Resultater - Danmark'!I$3:I$504,'Resultater - Danmark'!$F$3:$F$504,$A52)*D25</f>
        <v>0</v>
      </c>
      <c r="M52" s="121">
        <f>SUMIFS('Resultater - Østdanmark'!J$3:J$504,'Resultater - Østdanmark'!$F$3:$F$504,$A52)/SUMIFS('Resultater - Danmark'!J$3:J$504,'Resultater - Danmark'!$F$3:$F$504,$A52)*E25</f>
        <v>0</v>
      </c>
      <c r="N52" s="122">
        <f>VLOOKUP(I52,[1]Biogasudbytte!$A$2:$C$18,3,FALSE)</f>
        <v>0.3</v>
      </c>
      <c r="O52" s="123">
        <f t="shared" si="10"/>
        <v>47.3</v>
      </c>
    </row>
    <row r="53" spans="1:15" hidden="1" x14ac:dyDescent="0.2">
      <c r="A53" s="114" t="str">
        <f t="shared" si="8"/>
        <v>Glycerin</v>
      </c>
      <c r="B53" s="114" t="s">
        <v>139</v>
      </c>
      <c r="C53" s="121">
        <f>C26*$B$36</f>
        <v>114193.60000000001</v>
      </c>
      <c r="D53" s="121">
        <f>D26*$B$36</f>
        <v>0</v>
      </c>
      <c r="E53" s="121">
        <f>E26*$B$36</f>
        <v>0</v>
      </c>
      <c r="F53" s="122">
        <f>VLOOKUP(A53,[1]Biogasudbytte!$A$2:$C$18,3,FALSE)</f>
        <v>0.9</v>
      </c>
      <c r="G53" s="123">
        <f t="shared" si="9"/>
        <v>423.36</v>
      </c>
      <c r="I53" s="114" t="str">
        <f t="shared" si="11"/>
        <v>Glycerin</v>
      </c>
      <c r="J53" s="114" t="s">
        <v>139</v>
      </c>
      <c r="K53" s="121">
        <f>C26*$C$36</f>
        <v>28548.400000000001</v>
      </c>
      <c r="L53" s="121">
        <f>D26*$C$36</f>
        <v>0</v>
      </c>
      <c r="M53" s="121">
        <f>E26*$C$36</f>
        <v>0</v>
      </c>
      <c r="N53" s="122">
        <f>VLOOKUP(I53,[1]Biogasudbytte!$A$2:$C$18,3,FALSE)</f>
        <v>0.9</v>
      </c>
      <c r="O53" s="123">
        <f t="shared" si="10"/>
        <v>423.36</v>
      </c>
    </row>
    <row r="54" spans="1:15" hidden="1" x14ac:dyDescent="0.2">
      <c r="A54" s="114" t="str">
        <f t="shared" si="8"/>
        <v>Muslinger</v>
      </c>
      <c r="B54" s="114" t="s">
        <v>139</v>
      </c>
      <c r="C54" s="121">
        <f>SUMIFS('Resultater - Vestdanmark'!H$3:H$504,'Resultater - Vestdanmark'!$F$3:$F$504,$A54)/SUMIFS('Resultater - Danmark'!H$3:H$504,'Resultater - Danmark'!$F$3:$F$504,$A54)*C27</f>
        <v>0</v>
      </c>
      <c r="D54" s="121">
        <f>SUMIFS('Resultater - Vestdanmark'!I$3:I$504,'Resultater - Vestdanmark'!$F$3:$F$504,$A54)/SUMIFS('Resultater - Danmark'!I$3:I$504,'Resultater - Danmark'!$F$3:$F$504,$A54)*D27</f>
        <v>0</v>
      </c>
      <c r="E54" s="121">
        <f>SUMIFS('Resultater - Vestdanmark'!J$3:J$504,'Resultater - Vestdanmark'!$F$3:$F$504,$A54)/SUMIFS('Resultater - Danmark'!J$3:J$504,'Resultater - Danmark'!$F$3:$F$504,$A54)*E27</f>
        <v>0</v>
      </c>
      <c r="F54" s="122">
        <f>VLOOKUP(A54,[1]Biogasudbytte!$A$2:$C$18,3,FALSE)</f>
        <v>0.15</v>
      </c>
      <c r="G54" s="123">
        <f t="shared" si="9"/>
        <v>25</v>
      </c>
      <c r="I54" s="114" t="str">
        <f t="shared" si="11"/>
        <v>Muslinger</v>
      </c>
      <c r="J54" s="114" t="s">
        <v>139</v>
      </c>
      <c r="K54" s="121">
        <f>SUMIFS('Resultater - Østdanmark'!H$3:H$504,'Resultater - Østdanmark'!$F$3:$F$504,$A54)/SUMIFS('Resultater - Danmark'!H$3:H$504,'Resultater - Danmark'!$F$3:$F$504,$A54)*C27</f>
        <v>0</v>
      </c>
      <c r="L54" s="121">
        <f>SUMIFS('Resultater - Østdanmark'!I$3:I$504,'Resultater - Østdanmark'!$F$3:$F$504,$A54)/SUMIFS('Resultater - Danmark'!I$3:I$504,'Resultater - Danmark'!$F$3:$F$504,$A54)*D27</f>
        <v>0</v>
      </c>
      <c r="M54" s="121">
        <f>SUMIFS('Resultater - Østdanmark'!J$3:J$504,'Resultater - Østdanmark'!$F$3:$F$504,$A54)/SUMIFS('Resultater - Danmark'!J$3:J$504,'Resultater - Danmark'!$F$3:$F$504,$A54)*E27</f>
        <v>0</v>
      </c>
      <c r="N54" s="122">
        <f>VLOOKUP(I54,[1]Biogasudbytte!$A$2:$C$18,3,FALSE)</f>
        <v>0.15</v>
      </c>
      <c r="O54" s="123">
        <f t="shared" si="10"/>
        <v>25</v>
      </c>
    </row>
    <row r="55" spans="1:15" ht="12.75" hidden="1" thickBot="1" x14ac:dyDescent="0.25">
      <c r="A55" s="126" t="str">
        <f t="shared" si="8"/>
        <v>Tang</v>
      </c>
      <c r="B55" s="126" t="s">
        <v>139</v>
      </c>
      <c r="C55" s="160">
        <f>SUMIFS('Resultater - Vestdanmark'!H$3:H$504,'Resultater - Vestdanmark'!$F$3:$F$504,$A55)/SUMIFS('Resultater - Danmark'!H$3:H$504,'Resultater - Danmark'!$F$3:$F$504,$A55)*C28</f>
        <v>0</v>
      </c>
      <c r="D55" s="160">
        <f>SUMIFS('Resultater - Vestdanmark'!I$3:I$504,'Resultater - Vestdanmark'!$F$3:$F$504,$A55)/SUMIFS('Resultater - Danmark'!I$3:I$504,'Resultater - Danmark'!$F$3:$F$504,$A55)*D28</f>
        <v>0</v>
      </c>
      <c r="E55" s="160">
        <f>SUMIFS('Resultater - Vestdanmark'!J$3:J$504,'Resultater - Vestdanmark'!$F$3:$F$504,$A55)/SUMIFS('Resultater - Danmark'!J$3:J$504,'Resultater - Danmark'!$F$3:$F$504,$A55)*E28</f>
        <v>0</v>
      </c>
      <c r="F55" s="127">
        <f>VLOOKUP(A55,[1]Biogasudbytte!$A$2:$C$18,3,FALSE)</f>
        <v>0.15</v>
      </c>
      <c r="G55" s="128">
        <f t="shared" si="9"/>
        <v>25</v>
      </c>
      <c r="I55" s="126" t="str">
        <f t="shared" si="11"/>
        <v>Tang</v>
      </c>
      <c r="J55" s="126" t="s">
        <v>139</v>
      </c>
      <c r="K55" s="160">
        <f>SUMIFS('Resultater - Østdanmark'!H$3:H$504,'Resultater - Østdanmark'!$F$3:$F$504,$A55)/SUMIFS('Resultater - Danmark'!H$3:H$504,'Resultater - Danmark'!$F$3:$F$504,$A55)*C28</f>
        <v>0</v>
      </c>
      <c r="L55" s="160">
        <f>SUMIFS('Resultater - Østdanmark'!I$3:I$504,'Resultater - Østdanmark'!$F$3:$F$504,$A55)/SUMIFS('Resultater - Danmark'!I$3:I$504,'Resultater - Danmark'!$F$3:$F$504,$A55)*D28</f>
        <v>0</v>
      </c>
      <c r="M55" s="160">
        <f>SUMIFS('Resultater - Østdanmark'!J$3:J$504,'Resultater - Østdanmark'!$F$3:$F$504,$A55)/SUMIFS('Resultater - Danmark'!J$3:J$504,'Resultater - Danmark'!$F$3:$F$504,$A55)*E28</f>
        <v>0</v>
      </c>
      <c r="N55" s="127">
        <f>VLOOKUP(I55,[1]Biogasudbytte!$A$2:$C$18,3,FALSE)</f>
        <v>0.15</v>
      </c>
      <c r="O55" s="128">
        <f t="shared" si="10"/>
        <v>25</v>
      </c>
    </row>
    <row r="56" spans="1:15" hidden="1" x14ac:dyDescent="0.2">
      <c r="A56" s="114" t="s">
        <v>104</v>
      </c>
      <c r="B56" s="114" t="s">
        <v>139</v>
      </c>
      <c r="C56" s="129">
        <f ca="1">SUM(C39:C55)</f>
        <v>10411125.221732087</v>
      </c>
      <c r="D56" s="129">
        <f ca="1">SUM(D39:D55)</f>
        <v>22384191.322584316</v>
      </c>
      <c r="E56" s="129">
        <f ca="1">SUM(E39:E55)</f>
        <v>15114712.308686804</v>
      </c>
      <c r="F56" s="130"/>
      <c r="G56" s="130"/>
      <c r="I56" s="114" t="s">
        <v>104</v>
      </c>
      <c r="J56" s="114" t="s">
        <v>139</v>
      </c>
      <c r="K56" s="129">
        <f ca="1">SUM(K39:K55)</f>
        <v>2679292.2782679098</v>
      </c>
      <c r="L56" s="129">
        <f ca="1">SUM(L39:L55)</f>
        <v>3889505.548356493</v>
      </c>
      <c r="M56" s="129">
        <f ca="1">SUM(M39:M55)</f>
        <v>3253681.5537728034</v>
      </c>
      <c r="N56" s="130"/>
      <c r="O56" s="130"/>
    </row>
    <row r="57" spans="1:15" hidden="1" x14ac:dyDescent="0.2">
      <c r="A57" s="132" t="s">
        <v>123</v>
      </c>
      <c r="C57" s="133">
        <f ca="1">SUMPRODUCT(C39:C55,$F$39:$F$55)/C56</f>
        <v>0.13459391872775978</v>
      </c>
      <c r="D57" s="133">
        <f ca="1">SUMPRODUCT(D39:D55,$F$39:$F$55)/D56</f>
        <v>7.4384528379710865E-2</v>
      </c>
      <c r="E57" s="133">
        <f ca="1">SUMPRODUCT(E39:E55,$F$39:$F$55)/E56</f>
        <v>0.11296004262251043</v>
      </c>
      <c r="I57" s="132" t="s">
        <v>123</v>
      </c>
      <c r="K57" s="133">
        <f ca="1">SUMPRODUCT(K39:K55,$N$39:$N$55)/K56</f>
        <v>0.15233102307854454</v>
      </c>
      <c r="L57" s="133">
        <f ca="1">SUMPRODUCT(L39:L55,$N$39:$N$55)/L56</f>
        <v>6.9884780127215967E-2</v>
      </c>
      <c r="M57" s="133">
        <f ca="1">SUMPRODUCT(M39:M55,$N$39:$N$55)/M56</f>
        <v>9.5559804913683391E-2</v>
      </c>
    </row>
    <row r="58" spans="1:15" hidden="1" x14ac:dyDescent="0.2">
      <c r="A58" s="132" t="s">
        <v>160</v>
      </c>
      <c r="C58" s="133">
        <f ca="1">SUM(C48:C51)/C56</f>
        <v>3.81572085208291E-2</v>
      </c>
      <c r="D58" s="133">
        <f ca="1">SUM(D48:D51)/D56</f>
        <v>0</v>
      </c>
      <c r="E58" s="133">
        <f ca="1">SUM(E48:E51)/E56</f>
        <v>0</v>
      </c>
      <c r="I58" s="132" t="s">
        <v>160</v>
      </c>
      <c r="K58" s="133">
        <f ca="1">SUM(K48:K51)/K56</f>
        <v>1.898804560837036E-2</v>
      </c>
      <c r="L58" s="133">
        <f ca="1">SUM(L48:L51)/L56</f>
        <v>0</v>
      </c>
      <c r="M58" s="133">
        <f ca="1">SUM(M48:M51)/M56</f>
        <v>0</v>
      </c>
    </row>
    <row r="59" spans="1:15" hidden="1" x14ac:dyDescent="0.2">
      <c r="A59" s="114" t="s">
        <v>142</v>
      </c>
      <c r="B59" s="114" t="s">
        <v>143</v>
      </c>
      <c r="C59" s="114">
        <f ca="1">SUMPRODUCT(C39:C55,$I$12:$I$28)</f>
        <v>352020220.2509163</v>
      </c>
      <c r="D59" s="114">
        <f ca="1">SUMPRODUCT(D39:D55,$I$12:$I$28)</f>
        <v>380214878.24169081</v>
      </c>
      <c r="E59" s="114">
        <f ca="1">SUMPRODUCT(E39:E55,$I$12:$I$28)</f>
        <v>413417890.16546011</v>
      </c>
      <c r="I59" s="114" t="s">
        <v>142</v>
      </c>
      <c r="J59" s="114" t="s">
        <v>143</v>
      </c>
      <c r="K59" s="114">
        <f ca="1">SUMPRODUCT(K39:K55,$I$12:$I$28)</f>
        <v>110817068.59908372</v>
      </c>
      <c r="L59" s="114">
        <f ca="1">SUMPRODUCT(L39:L55,$I$12:$I$28)</f>
        <v>63181225.717150353</v>
      </c>
      <c r="M59" s="114">
        <f ca="1">SUMPRODUCT(M39:M55,$I$12:$I$28)</f>
        <v>74477877.175066754</v>
      </c>
    </row>
    <row r="60" spans="1:15" hidden="1" x14ac:dyDescent="0.2">
      <c r="A60" s="114" t="s">
        <v>142</v>
      </c>
      <c r="B60" s="114" t="s">
        <v>122</v>
      </c>
      <c r="C60" s="114">
        <f ca="1">C59*[1]Energiindhold!$C$10</f>
        <v>12.637525907007896</v>
      </c>
      <c r="D60" s="114">
        <f ca="1">D59*[1]Energiindhold!$C$10</f>
        <v>13.649714128876703</v>
      </c>
      <c r="E60" s="114">
        <f ca="1">E59*[1]Energiindhold!$C$10</f>
        <v>14.841702256940019</v>
      </c>
      <c r="I60" s="114" t="s">
        <v>142</v>
      </c>
      <c r="J60" s="114" t="s">
        <v>122</v>
      </c>
      <c r="K60" s="114">
        <f ca="1">K59*[1]Energiindhold!$C$10</f>
        <v>3.9783327627071059</v>
      </c>
      <c r="L60" s="114">
        <f ca="1">L59*[1]Energiindhold!$C$10</f>
        <v>2.2682060032456981</v>
      </c>
      <c r="M60" s="114">
        <f ca="1">M59*[1]Energiindhold!$C$10</f>
        <v>2.6737557905848965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8" priority="7" operator="greaterThan">
      <formula>13%</formula>
    </cfRule>
  </conditionalFormatting>
  <conditionalFormatting sqref="K57:M57">
    <cfRule type="cellIs" dxfId="17" priority="5" operator="greaterThan">
      <formula>13%</formula>
    </cfRule>
  </conditionalFormatting>
  <conditionalFormatting sqref="C58:E58">
    <cfRule type="cellIs" dxfId="16" priority="2" operator="greaterThan">
      <formula>13%</formula>
    </cfRule>
  </conditionalFormatting>
  <conditionalFormatting sqref="K58:M58">
    <cfRule type="cellIs" dxfId="15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F20"/>
  <sheetViews>
    <sheetView zoomScaleNormal="100"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03" t="s">
        <v>270</v>
      </c>
    </row>
    <row r="2" spans="1:4" ht="15.75" x14ac:dyDescent="0.25">
      <c r="A2" s="201" t="s">
        <v>307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3">
        <v>0</v>
      </c>
      <c r="C4" s="386">
        <v>0</v>
      </c>
      <c r="D4" s="386">
        <v>0</v>
      </c>
    </row>
    <row r="5" spans="1:4" x14ac:dyDescent="0.25">
      <c r="A5" s="283"/>
    </row>
    <row r="6" spans="1:4" x14ac:dyDescent="0.25">
      <c r="A6" s="283"/>
    </row>
    <row r="7" spans="1:4" ht="15.75" x14ac:dyDescent="0.25">
      <c r="A7" s="201" t="s">
        <v>293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4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4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4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4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4">
        <v>0</v>
      </c>
      <c r="C13" s="3">
        <v>0</v>
      </c>
      <c r="D13" s="3">
        <v>0</v>
      </c>
    </row>
    <row r="15" spans="1:4" x14ac:dyDescent="0.25">
      <c r="A15" s="2" t="s">
        <v>245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20">
        <f>SUMIFS('Forbrug af biomasse'!$E$2:$E$403,'Forbrug af biomasse'!$D$2:$D$403,'Forbrug til andet'!B$15,'Forbrug af biomasse'!$C$2:$C$403,'Forbrug til andet'!$A16,'Forbrug af biomasse'!$A$2:$A$403,"Materialer")</f>
        <v>0</v>
      </c>
      <c r="C16" s="320">
        <f>SUMIFS('Forbrug af biomasse'!$E$2:$E$403,'Forbrug af biomasse'!$D$2:$D$403,'Forbrug til andet'!C$15,'Forbrug af biomasse'!$C$2:$C$403,'Forbrug til andet'!$A16,'Forbrug af biomasse'!$A$2:$A$403,"Materialer")</f>
        <v>0</v>
      </c>
      <c r="D16" s="32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6" x14ac:dyDescent="0.25">
      <c r="A17" s="2" t="str">
        <f>A10</f>
        <v>Rapsolie</v>
      </c>
      <c r="B17" s="320">
        <v>0</v>
      </c>
      <c r="C17" s="320">
        <f>SUMIFS('Forbrug af biomasse'!$E$2:$E$403,'Forbrug af biomasse'!$D$2:$D$403,'Forbrug til andet'!C$15,'Forbrug af biomasse'!$C$2:$C$403,'Forbrug til andet'!$A17,'Forbrug af biomasse'!$A$2:$A$403,"Materialer")</f>
        <v>0</v>
      </c>
      <c r="D17" s="320">
        <f>SUMIFS('Forbrug af biomasse'!$E$2:$E$403,'Forbrug af biomasse'!$D$2:$D$403,'Forbrug til andet'!D$15,'Forbrug af biomasse'!$C$2:$C$403,'Forbrug til andet'!$A17,'Forbrug af biomasse'!$A$2:$A$403,"Materialer")</f>
        <v>0</v>
      </c>
      <c r="F17" s="1">
        <f>SUMIFS('Forbrug af biomasse'!$E$2:$E$403,'Forbrug af biomasse'!$D$2:$D$403,'Forbrug til andet'!B$15,'Forbrug af biomasse'!$C$2:$C$403,'Forbrug til andet'!$A17,'Forbrug af biomasse'!$A$2:$A$403,"Materialer")</f>
        <v>104190.75509932752</v>
      </c>
    </row>
    <row r="18" spans="1:6" x14ac:dyDescent="0.25">
      <c r="A18" s="2" t="str">
        <f>A11</f>
        <v>Pil &amp; poppel</v>
      </c>
      <c r="B18" s="320">
        <f>SUMIFS('Forbrug af biomasse'!$E$2:$E$403,'Forbrug af biomasse'!$D$2:$D$403,'Forbrug til andet'!B$15,'Forbrug af biomasse'!$C$2:$C$403,'Forbrug til andet'!$A18,'Forbrug af biomasse'!$A$2:$A$403,"Materialer")</f>
        <v>0</v>
      </c>
      <c r="C18" s="320">
        <f>SUMIFS('Forbrug af biomasse'!$E$2:$E$403,'Forbrug af biomasse'!$D$2:$D$403,'Forbrug til andet'!C$15,'Forbrug af biomasse'!$C$2:$C$403,'Forbrug til andet'!$A18,'Forbrug af biomasse'!$A$2:$A$403,"Materialer")</f>
        <v>0</v>
      </c>
      <c r="D18" s="32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6" x14ac:dyDescent="0.25">
      <c r="A19" s="2" t="str">
        <f>A12</f>
        <v>Have/parkaffald</v>
      </c>
      <c r="B19" s="320">
        <f>SUMIFS('Forbrug af biomasse'!$E$2:$E$403,'Forbrug af biomasse'!$D$2:$D$403,'Forbrug til andet'!B$15,'Forbrug af biomasse'!$C$2:$C$403,'Forbrug til andet'!$A19,'Forbrug af biomasse'!$A$2:$A$403,"Materialer")</f>
        <v>0</v>
      </c>
      <c r="C19" s="320">
        <f>SUMIFS('Forbrug af biomasse'!$E$2:$E$403,'Forbrug af biomasse'!$D$2:$D$403,'Forbrug til andet'!C$15,'Forbrug af biomasse'!$C$2:$C$403,'Forbrug til andet'!$A19,'Forbrug af biomasse'!$A$2:$A$403,"Materialer")</f>
        <v>0</v>
      </c>
      <c r="D19" s="32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6" x14ac:dyDescent="0.25">
      <c r="A20" s="2" t="str">
        <f>A13</f>
        <v>Bioaffald</v>
      </c>
      <c r="B20" s="32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2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2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38" workbookViewId="0">
      <selection activeCell="G173" sqref="G173"/>
    </sheetView>
  </sheetViews>
  <sheetFormatPr defaultRowHeight="15" x14ac:dyDescent="0.25"/>
  <cols>
    <col min="6" max="6" width="21.28515625" customWidth="1"/>
  </cols>
  <sheetData>
    <row r="1" spans="1:9" x14ac:dyDescent="0.25">
      <c r="A1" s="91"/>
      <c r="B1" s="91"/>
      <c r="C1" s="91"/>
      <c r="D1" s="91"/>
      <c r="E1" s="91"/>
      <c r="F1" s="91"/>
      <c r="G1" s="91" t="s">
        <v>85</v>
      </c>
      <c r="H1" s="91"/>
      <c r="I1" s="91"/>
    </row>
    <row r="2" spans="1:9" x14ac:dyDescent="0.25">
      <c r="A2" s="91" t="s">
        <v>64</v>
      </c>
      <c r="B2" s="91" t="s">
        <v>57</v>
      </c>
      <c r="C2" s="91" t="s">
        <v>59</v>
      </c>
      <c r="D2" s="91" t="s">
        <v>63</v>
      </c>
      <c r="E2" s="91"/>
      <c r="F2" s="91" t="s">
        <v>97</v>
      </c>
      <c r="G2" s="91">
        <f>År1</f>
        <v>2019</v>
      </c>
      <c r="H2" s="91">
        <f>År2</f>
        <v>2030</v>
      </c>
      <c r="I2" s="91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2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2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553518.20843543066</v>
      </c>
      <c r="I3" s="92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0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2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2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121069.71545865215</v>
      </c>
      <c r="I4" s="92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0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2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2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143784.0142759982</v>
      </c>
      <c r="I5" s="92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0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2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2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285623.05173795577</v>
      </c>
      <c r="I6" s="92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0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2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2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11928.206902902208</v>
      </c>
      <c r="I7" s="92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0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2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2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50171.146455460723</v>
      </c>
      <c r="I8" s="92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0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2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2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30855.4450029535</v>
      </c>
      <c r="I9" s="92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0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2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2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74922.962243622984</v>
      </c>
      <c r="I10" s="92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0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2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2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49850.106336440978</v>
      </c>
      <c r="I11" s="92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0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2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2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28800.386873616728</v>
      </c>
      <c r="I12" s="92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2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2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41596.560342098521</v>
      </c>
      <c r="I13" s="92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2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2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11437.918624561291</v>
      </c>
      <c r="I14" s="92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0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2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2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31145.785633214087</v>
      </c>
      <c r="I15" s="92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0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2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2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72877.440134040429</v>
      </c>
      <c r="I16" s="92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2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2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11196.260693157685</v>
      </c>
      <c r="I17" s="92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2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2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959.79052447193897</v>
      </c>
      <c r="I18" s="92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2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2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1027.7273757818732</v>
      </c>
      <c r="I19" s="92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2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2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9484.230989471238</v>
      </c>
      <c r="I20" s="92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2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2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44.358105077588014</v>
      </c>
      <c r="I21" s="92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2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2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700.29950715558721</v>
      </c>
      <c r="I22" s="92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2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2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18.37258126009214</v>
      </c>
      <c r="I23" s="92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2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2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2371.6241464994846</v>
      </c>
      <c r="I24" s="92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2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2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40.402656114127915</v>
      </c>
      <c r="I25" s="92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2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2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714.55739207378303</v>
      </c>
      <c r="I26" s="92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2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2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1763.7383660176956</v>
      </c>
      <c r="I27" s="92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2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2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202.64130113199909</v>
      </c>
      <c r="I28" s="92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2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2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332.81173876457098</v>
      </c>
      <c r="I29" s="92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2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2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30452.01387923324</v>
      </c>
      <c r="I30" s="92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2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2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5659.6634285023883</v>
      </c>
      <c r="I31" s="92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2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2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325.87901868990201</v>
      </c>
      <c r="I32" s="92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2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2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421.99857265679589</v>
      </c>
      <c r="I33" s="92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2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2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9732.6192199682846</v>
      </c>
      <c r="I34" s="92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2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2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11.31234505051532</v>
      </c>
      <c r="I35" s="92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2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2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598.76574080415071</v>
      </c>
      <c r="I36" s="92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2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2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6.4750902601840021</v>
      </c>
      <c r="I37" s="92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2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2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805.2408623097682</v>
      </c>
      <c r="I38" s="92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2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2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23.075756148004398</v>
      </c>
      <c r="I39" s="92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2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2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408.11554781624284</v>
      </c>
      <c r="I40" s="92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2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2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1298.4872253048338</v>
      </c>
      <c r="I41" s="92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2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2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115.73747125009459</v>
      </c>
      <c r="I42" s="92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2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2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273.20106069089286</v>
      </c>
      <c r="I43" s="92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2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2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26486.154998052578</v>
      </c>
      <c r="I44" s="92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2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2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70773.67631420336</v>
      </c>
      <c r="I45" s="92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83959.75199188129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2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2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15480.15715245056</v>
      </c>
      <c r="I46" s="92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248745.6103160124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2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2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18384.441795130875</v>
      </c>
      <c r="I47" s="92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219481.42086706977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2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2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36520.195909571652</v>
      </c>
      <c r="I48" s="92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512123.31535649608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2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2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1525.1585972954053</v>
      </c>
      <c r="I49" s="92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18776.293034162631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2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2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6414.9587591488944</v>
      </c>
      <c r="I50" s="92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78974.832963235996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2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2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3945.2239219777639</v>
      </c>
      <c r="I51" s="92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48569.821247314576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2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2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9579.7634070966851</v>
      </c>
      <c r="I52" s="92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11364.600536362441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2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2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6373.9100833851826</v>
      </c>
      <c r="I53" s="92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130950.74461627769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2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2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3682.4610776195564</v>
      </c>
      <c r="I54" s="92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4368.5524745680859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2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2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5318.5991943376657</v>
      </c>
      <c r="I55" s="92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6309.5248481700473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2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2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1462.4695955911445</v>
      </c>
      <c r="I56" s="92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11101.275121357427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2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2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3982.3473146209913</v>
      </c>
      <c r="I57" s="92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77429.401129434642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2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2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9318.2198526644916</v>
      </c>
      <c r="I58" s="92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11054.327944788796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2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2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1431.5708465431917</v>
      </c>
      <c r="I59" s="92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2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2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122.72026985421287</v>
      </c>
      <c r="I60" s="92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2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2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131.4067785383736</v>
      </c>
      <c r="I61" s="92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2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2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1212.6681361310182</v>
      </c>
      <c r="I62" s="92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2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2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5.6716944859797733</v>
      </c>
      <c r="I63" s="92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2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2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89.54135543710359</v>
      </c>
      <c r="I64" s="92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2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2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2.3491460612173207</v>
      </c>
      <c r="I65" s="92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2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2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303.23945468341958</v>
      </c>
      <c r="I66" s="92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2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2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5.1659447918395278</v>
      </c>
      <c r="I67" s="92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2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2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91.364390193228076</v>
      </c>
      <c r="I68" s="92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2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2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225.51425827943592</v>
      </c>
      <c r="I69" s="92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2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2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25.910023619174421</v>
      </c>
      <c r="I70" s="92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2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2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42.553812889858399</v>
      </c>
      <c r="I71" s="92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2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2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3893.6406075896812</v>
      </c>
      <c r="I72" s="92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8725.0625185185199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2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2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723.65313630488879</v>
      </c>
      <c r="I73" s="92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2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2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41.667384803005618</v>
      </c>
      <c r="I74" s="92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2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2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53.957376525494915</v>
      </c>
      <c r="I75" s="92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2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2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1244.4274314126412</v>
      </c>
      <c r="I76" s="92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2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2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1.4464135682595993</v>
      </c>
      <c r="I77" s="92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2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2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76.559094320472624</v>
      </c>
      <c r="I78" s="92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2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2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0.82791484579133123</v>
      </c>
      <c r="I79" s="92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2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2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102.95931601810993</v>
      </c>
      <c r="I80" s="92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2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2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2.9505011243272654</v>
      </c>
      <c r="I81" s="92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2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2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52.182271946542372</v>
      </c>
      <c r="I82" s="92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2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2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166.02654290562981</v>
      </c>
      <c r="I83" s="92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2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2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14.798368333413432</v>
      </c>
      <c r="I84" s="92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2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2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34.931901323874534</v>
      </c>
      <c r="I85" s="92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2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2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3386.5598856061138</v>
      </c>
      <c r="I86" s="92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6791.6965925925906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2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2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170169.83214296759</v>
      </c>
      <c r="I87" s="92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0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2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2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37220.840874287176</v>
      </c>
      <c r="I88" s="92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0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2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2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44203.968724622173</v>
      </c>
      <c r="I89" s="92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0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2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2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87809.987150729692</v>
      </c>
      <c r="I90" s="92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0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2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2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3667.1259147389733</v>
      </c>
      <c r="I91" s="92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0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2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2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15424.272301499061</v>
      </c>
      <c r="I92" s="92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0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2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2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9485.9858570699034</v>
      </c>
      <c r="I93" s="92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0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2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2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23033.800359863864</v>
      </c>
      <c r="I94" s="92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0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2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2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15325.573934702474</v>
      </c>
      <c r="I95" s="92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0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2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2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8854.1929158733292</v>
      </c>
      <c r="I96" s="92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2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2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12788.160503604195</v>
      </c>
      <c r="I97" s="92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2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2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3516.3950575504314</v>
      </c>
      <c r="I98" s="92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0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2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2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9575.2461841246914</v>
      </c>
      <c r="I99" s="92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0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2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2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22404.939107013139</v>
      </c>
      <c r="I100" s="92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2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2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2230.830510672768</v>
      </c>
      <c r="I101" s="92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2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2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60.325222950477325</v>
      </c>
      <c r="I102" s="92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2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2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243.66299910145614</v>
      </c>
      <c r="I103" s="92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2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2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716.47131301367313</v>
      </c>
      <c r="I104" s="92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2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2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13.56919075168542</v>
      </c>
      <c r="I105" s="92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2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2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23.068866162854491</v>
      </c>
      <c r="I106" s="92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2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2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64.449558610774517</v>
      </c>
      <c r="I107" s="92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2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2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68.713175144526659</v>
      </c>
      <c r="I108" s="92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2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2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14.822844383576701</v>
      </c>
      <c r="I109" s="92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2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2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105.84229815168821</v>
      </c>
      <c r="I110" s="92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2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2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768.41006535428994</v>
      </c>
      <c r="I111" s="92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2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2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23.227312797648128</v>
      </c>
      <c r="I112" s="92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2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2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49.297032923373933</v>
      </c>
      <c r="I113" s="92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2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2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4624.9645652760382</v>
      </c>
      <c r="I114" s="92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2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2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1229.7001774151138</v>
      </c>
      <c r="I115" s="92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2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2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22.335410277576099</v>
      </c>
      <c r="I116" s="92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2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2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109.10325291425241</v>
      </c>
      <c r="I117" s="92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2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2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801.75462298516175</v>
      </c>
      <c r="I118" s="92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2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2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3.7735374359053933</v>
      </c>
      <c r="I119" s="92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2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2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21.50871323094557</v>
      </c>
      <c r="I120" s="92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2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2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24.769124387034655</v>
      </c>
      <c r="I121" s="92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2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2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25.441049088005123</v>
      </c>
      <c r="I122" s="92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2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2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9.2319327042333263</v>
      </c>
      <c r="I123" s="92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2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2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65.920477103599382</v>
      </c>
      <c r="I124" s="92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2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2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616.89552694179065</v>
      </c>
      <c r="I125" s="92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2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2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14.466386011962104</v>
      </c>
      <c r="I126" s="92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2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2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44.128542424612569</v>
      </c>
      <c r="I127" s="92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2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2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4022.6412881001361</v>
      </c>
      <c r="I128" s="92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2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2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21758.172423217798</v>
      </c>
      <c r="I129" s="92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27928.63175828362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2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2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4759.1130771022581</v>
      </c>
      <c r="I130" s="92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82743.509683987591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2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2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5651.9863784833815</v>
      </c>
      <c r="I131" s="92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73008.979132930224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2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2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11227.517926332235</v>
      </c>
      <c r="I132" s="92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170354.28464350387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2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2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468.88427252784516</v>
      </c>
      <c r="I133" s="92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6245.8042275715852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2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2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1972.1708131951523</v>
      </c>
      <c r="I134" s="92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26270.432864254519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2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2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1212.8925161595512</v>
      </c>
      <c r="I135" s="92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16156.415663460722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2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2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2945.1365937226469</v>
      </c>
      <c r="I136" s="92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3780.3558958910544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2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2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1959.5510905592043</v>
      </c>
      <c r="I137" s="92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43559.860982137143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2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2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1132.1105139843492</v>
      </c>
      <c r="I138" s="92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1453.1688158243799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2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2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1635.1135668949571</v>
      </c>
      <c r="I139" s="92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2098.8198734951161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2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2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449.61159687842485</v>
      </c>
      <c r="I140" s="92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3692.7625148507746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2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2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1224.3054767422425</v>
      </c>
      <c r="I141" s="92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25756.355635942306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2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2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2864.7294416587538</v>
      </c>
      <c r="I142" s="92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3677.145860735322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2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2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285.23736720509544</v>
      </c>
      <c r="I143" s="92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2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2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7.7132743559551313</v>
      </c>
      <c r="I144" s="92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2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2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31.155120040041375</v>
      </c>
      <c r="I145" s="92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2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2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91.609107022821874</v>
      </c>
      <c r="I146" s="92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2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2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1.7349772771160648</v>
      </c>
      <c r="I147" s="92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2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2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2.9496201603926053</v>
      </c>
      <c r="I148" s="92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2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2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8.2406181588953551</v>
      </c>
      <c r="I149" s="92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2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2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8.7857706252262986</v>
      </c>
      <c r="I150" s="92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2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2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1.8952713288770544</v>
      </c>
      <c r="I151" s="92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2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2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13.533156516950996</v>
      </c>
      <c r="I152" s="92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2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2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98.25007454710375</v>
      </c>
      <c r="I153" s="92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2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2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2.96987938705049</v>
      </c>
      <c r="I154" s="92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2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2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6.3031932792803271</v>
      </c>
      <c r="I155" s="92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2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2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591.35497282505401</v>
      </c>
      <c r="I156" s="92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1325.1374814814808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2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2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157.2313267993388</v>
      </c>
      <c r="I157" s="92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2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2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2.8558393802405542</v>
      </c>
      <c r="I158" s="92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2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2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13.950107130903383</v>
      </c>
      <c r="I159" s="92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2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2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102.51356017891004</v>
      </c>
      <c r="I160" s="92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2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2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0.48249021076142495</v>
      </c>
      <c r="I161" s="92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2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2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2.7501366440044395</v>
      </c>
      <c r="I162" s="92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2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2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3.1670177516097451</v>
      </c>
      <c r="I163" s="92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2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2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3.2529310613605098</v>
      </c>
      <c r="I164" s="92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2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2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1.1804088953292959</v>
      </c>
      <c r="I165" s="92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2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2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8.4286920247759696</v>
      </c>
      <c r="I166" s="92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2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2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78.877196229672492</v>
      </c>
      <c r="I167" s="92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2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2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1.8496940217032787</v>
      </c>
      <c r="I168" s="92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2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2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5.6423422575473294</v>
      </c>
      <c r="I169" s="92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2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2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514.34100651696951</v>
      </c>
      <c r="I170" s="92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1031.5034074074065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2" cm="1">
        <f t="array" ref="G171">(INDEX([1]Dyrehold!$C$14:$E$17,MATCH(1,(A171=[1]Dyrehold!$A$14:$A$17)*(C171=[1]Dyrehold!$B$14:$B$17),0),MATCH($B171,[1]Dyrehold!$C$13:$E$13,0)))</f>
        <v>10266966</v>
      </c>
      <c r="H171" s="92">
        <f>SUMIFS($G$3:$G$182,$A$3:$A$182,$A171,$B$3:$B$182,$B171)*VLOOKUP($B171,Landbrug!$B$11:$E$13,3,FALSE)*IF($C171&lt;&gt;"Økologisk",1-VLOOKUP($B171,Landbrug!$B$6:$E$8,3,FALSE),VLOOKUP($B171,Landbrug!$B$6:$E$8,3,FALSE))</f>
        <v>9581713.4418284856</v>
      </c>
      <c r="I171" s="92">
        <f>SUMIFS($G$3:$G$182,$A$3:$A$182,$A171,$B$3:$B$182,$B171)*VLOOKUP($B171,Landbrug!$B$11:$E$13,4,FALSE)*IF($C171&lt;&gt;"Økologisk",1-VLOOKUP($B171,Landbrug!$B$6:$E$8,4,FALSE),VLOOKUP($B171,Landbrug!$B$6:$E$8,4,FALSE))</f>
        <v>0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2" cm="1">
        <f t="array" ref="G172">(INDEX([1]Dyrehold!$C$14:$E$17,MATCH(1,(A172=[1]Dyrehold!$A$14:$A$17)*(C172=[1]Dyrehold!$B$14:$B$17),0),MATCH($B172,[1]Dyrehold!$C$13:$E$13,0)))</f>
        <v>1541102</v>
      </c>
      <c r="H172" s="92">
        <f>SUMIFS($G$3:$G$182,$A$3:$A$182,$A172,$B$3:$B$182,$B172)*VLOOKUP($B172,Landbrug!$B$11:$E$13,3,FALSE)*IF($C172&lt;&gt;"Økologisk",1-VLOOKUP($B172,Landbrug!$B$6:$E$8,3,FALSE),VLOOKUP($B172,Landbrug!$B$6:$E$8,3,FALSE))</f>
        <v>1388362.6355908697</v>
      </c>
      <c r="I172" s="92">
        <f>SUMIFS($G$3:$G$182,$A$3:$A$182,$A172,$B$3:$B$182,$B172)*VLOOKUP($B172,Landbrug!$B$11:$E$13,4,FALSE)*IF($C172&lt;&gt;"Økologisk",1-VLOOKUP($B172,Landbrug!$B$6:$E$8,4,FALSE),VLOOKUP($B172,Landbrug!$B$6:$E$8,4,FALSE))</f>
        <v>0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2" cm="1">
        <f t="array" ref="G173">(INDEX([1]Dyrehold!$C$14:$E$17,MATCH(1,(A173=[1]Dyrehold!$A$14:$A$17)*(C173=[1]Dyrehold!$B$14:$B$17),0),MATCH($B173,[1]Dyrehold!$C$13:$E$13,0)))</f>
        <v>475477</v>
      </c>
      <c r="H173" s="92">
        <f>SUMIFS($G$3:$G$182,$A$3:$A$182,$A173,$B$3:$B$182,$B173)*VLOOKUP($B173,Landbrug!$B$11:$E$13,3,FALSE)*IF($C173&lt;&gt;"Økologisk",1-VLOOKUP($B173,Landbrug!$B$6:$E$8,3,FALSE),VLOOKUP($B173,Landbrug!$B$6:$E$8,3,FALSE))</f>
        <v>398362.63559086953</v>
      </c>
      <c r="I173" s="92">
        <f>SUMIFS($G$3:$G$182,$A$3:$A$182,$A173,$B$3:$B$182,$B173)*VLOOKUP($B173,Landbrug!$B$11:$E$13,4,FALSE)*IF($C173&lt;&gt;"Økologisk",1-VLOOKUP($B173,Landbrug!$B$6:$E$8,4,FALSE),VLOOKUP($B173,Landbrug!$B$6:$E$8,4,FALSE))</f>
        <v>8593954.4000000004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2" cm="1">
        <f t="array" ref="G174">(INDEX([1]Dyrehold!$C$14:$E$17,MATCH(1,(A174=[1]Dyrehold!$A$14:$A$17)*(C174=[1]Dyrehold!$B$14:$B$17),0),MATCH($B174,[1]Dyrehold!$C$13:$E$13,0)))</f>
        <v>15447</v>
      </c>
      <c r="H174" s="92">
        <f>SUMIFS($G$3:$G$182,$A$3:$A$182,$A174,$B$3:$B$182,$B174)*VLOOKUP($B174,Landbrug!$B$11:$E$13,3,FALSE)*IF($C174&lt;&gt;"Økologisk",1-VLOOKUP($B174,Landbrug!$B$6:$E$8,3,FALSE),VLOOKUP($B174,Landbrug!$B$6:$E$8,3,FALSE))</f>
        <v>57721.596667195008</v>
      </c>
      <c r="I174" s="92">
        <f>SUMIFS($G$3:$G$182,$A$3:$A$182,$A174,$B$3:$B$182,$B174)*VLOOKUP($B174,Landbrug!$B$11:$E$13,4,FALSE)*IF($C174&lt;&gt;"Økologisk",1-VLOOKUP($B174,Landbrug!$B$6:$E$8,4,FALSE),VLOOKUP($B174,Landbrug!$B$6:$E$8,4,FALSE))</f>
        <v>1245239.2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2" cm="1">
        <f t="array" ref="G175">(INDEX([1]Dyrehold!$C$14:$E$17,MATCH(1,(A175=[1]Dyrehold!$A$14:$A$17)*(C175=[1]Dyrehold!$B$14:$B$17),0),MATCH($B175,[1]Dyrehold!$C$13:$E$13,0)))</f>
        <v>1184629</v>
      </c>
      <c r="H175" s="92">
        <f>SUMIFS($G$3:$G$182,$A$3:$A$182,$A175,$B$3:$B$182,$B175)*VLOOKUP($B175,Landbrug!$B$11:$E$13,3,FALSE)*IF($C175&lt;&gt;"Økologisk",1-VLOOKUP($B175,Landbrug!$B$6:$E$8,3,FALSE),VLOOKUP($B175,Landbrug!$B$6:$E$8,3,FALSE))</f>
        <v>791373.67349799909</v>
      </c>
      <c r="I175" s="92">
        <f>SUMIFS($G$3:$G$182,$A$3:$A$182,$A175,$B$3:$B$182,$B175)*VLOOKUP($B175,Landbrug!$B$11:$E$13,4,FALSE)*IF($C175&lt;&gt;"Økologisk",1-VLOOKUP($B175,Landbrug!$B$6:$E$8,4,FALSE),VLOOKUP($B175,Landbrug!$B$6:$E$8,4,FALSE))</f>
        <v>0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2" cm="1">
        <f t="array" ref="G176">(INDEX([1]Dyrehold!$C$14:$E$17,MATCH(1,(A176=[1]Dyrehold!$A$14:$A$17)*(C176=[1]Dyrehold!$B$14:$B$17),0),MATCH($B176,[1]Dyrehold!$C$13:$E$13,0)))</f>
        <v>82455</v>
      </c>
      <c r="H176" s="92">
        <f>SUMIFS($G$3:$G$182,$A$3:$A$182,$A176,$B$3:$B$182,$B176)*VLOOKUP($B176,Landbrug!$B$11:$E$13,3,FALSE)*IF($C176&lt;&gt;"Økologisk",1-VLOOKUP($B176,Landbrug!$B$6:$E$8,3,FALSE),VLOOKUP($B176,Landbrug!$B$6:$E$8,3,FALSE))</f>
        <v>56246.100235804995</v>
      </c>
      <c r="I176" s="92">
        <f>SUMIFS($G$3:$G$182,$A$3:$A$182,$A176,$B$3:$B$182,$B176)*VLOOKUP($B176,Landbrug!$B$11:$E$13,4,FALSE)*IF($C176&lt;&gt;"Økologisk",1-VLOOKUP($B176,Landbrug!$B$6:$E$8,4,FALSE),VLOOKUP($B176,Landbrug!$B$6:$E$8,4,FALSE))</f>
        <v>0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2" cm="1">
        <f t="array" ref="G177">(INDEX([1]Dyrehold!$C$14:$E$17,MATCH(1,(A177=[1]Dyrehold!$A$14:$A$17)*(C177=[1]Dyrehold!$B$14:$B$17),0),MATCH($B177,[1]Dyrehold!$C$13:$E$13,0)))</f>
        <v>207835</v>
      </c>
      <c r="H177" s="92">
        <f>SUMIFS($G$3:$G$182,$A$3:$A$182,$A177,$B$3:$B$182,$B177)*VLOOKUP($B177,Landbrug!$B$11:$E$13,3,FALSE)*IF($C177&lt;&gt;"Økologisk",1-VLOOKUP($B177,Landbrug!$B$6:$E$8,3,FALSE),VLOOKUP($B177,Landbrug!$B$6:$E$8,3,FALSE))</f>
        <v>140119.4403069797</v>
      </c>
      <c r="I177" s="92">
        <f>SUMIFS($G$3:$G$182,$A$3:$A$182,$A177,$B$3:$B$182,$B177)*VLOOKUP($B177,Landbrug!$B$11:$E$13,4,FALSE)*IF($C177&lt;&gt;"Økologisk",1-VLOOKUP($B177,Landbrug!$B$6:$E$8,4,FALSE),VLOOKUP($B177,Landbrug!$B$6:$E$8,4,FALSE))</f>
        <v>93364.229814031074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2" cm="1">
        <f t="array" ref="G178">(INDEX([1]Dyrehold!$C$14:$E$17,MATCH(1,(A178=[1]Dyrehold!$A$14:$A$17)*(C178=[1]Dyrehold!$B$14:$B$17),0),MATCH($B178,[1]Dyrehold!$C$13:$E$13,0)))</f>
        <v>16513</v>
      </c>
      <c r="H178" s="92">
        <f>SUMIFS($G$3:$G$182,$A$3:$A$182,$A178,$B$3:$B$182,$B178)*VLOOKUP($B178,Landbrug!$B$11:$E$13,3,FALSE)*IF($C178&lt;&gt;"Økologisk",1-VLOOKUP($B178,Landbrug!$B$6:$E$8,3,FALSE),VLOOKUP($B178,Landbrug!$B$6:$E$8,3,FALSE))</f>
        <v>9958.8504753452635</v>
      </c>
      <c r="I178" s="92">
        <f>SUMIFS($G$3:$G$182,$A$3:$A$182,$A178,$B$3:$B$182,$B178)*VLOOKUP($B178,Landbrug!$B$11:$E$13,4,FALSE)*IF($C178&lt;&gt;"Økologisk",1-VLOOKUP($B178,Landbrug!$B$6:$E$8,4,FALSE),VLOOKUP($B178,Landbrug!$B$6:$E$8,4,FALSE))</f>
        <v>6635.7701859689205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2" cm="1">
        <f t="array" ref="G179">(INDEX([1]Dyrehold!$C$14:$E$17,MATCH(1,(A179=[1]Dyrehold!$A$14:$A$17)*(C179=[1]Dyrehold!$B$14:$B$17),0),MATCH($B179,[1]Dyrehold!$C$13:$E$13,0)))</f>
        <v>18212034</v>
      </c>
      <c r="H179" s="92">
        <f>SUMIFS($G$3:$G$182,$A$3:$A$182,$A179,$B$3:$B$182,$B179)*VLOOKUP($B179,Landbrug!$B$11:$E$13,3,FALSE)*IF($C179&lt;&gt;"Økologisk",1-VLOOKUP($B179,Landbrug!$B$6:$E$8,3,FALSE),VLOOKUP($B179,Landbrug!$B$6:$E$8,3,FALSE))</f>
        <v>18250810.233686633</v>
      </c>
      <c r="I179" s="92">
        <f>SUMIFS($G$3:$G$182,$A$3:$A$182,$A179,$B$3:$B$182,$B179)*VLOOKUP($B179,Landbrug!$B$11:$E$13,4,FALSE)*IF($C179&lt;&gt;"Økologisk",1-VLOOKUP($B179,Landbrug!$B$6:$E$8,4,FALSE),VLOOKUP($B179,Landbrug!$B$6:$E$8,4,FALSE))</f>
        <v>0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2" cm="1">
        <f t="array" ref="G180">(INDEX([1]Dyrehold!$C$14:$E$17,MATCH(1,(A180=[1]Dyrehold!$A$14:$A$17)*(C180=[1]Dyrehold!$B$14:$B$17),0),MATCH($B180,[1]Dyrehold!$C$13:$E$13,0)))</f>
        <v>1570560</v>
      </c>
      <c r="H180" s="92">
        <f>SUMIFS($G$3:$G$182,$A$3:$A$182,$A180,$B$3:$B$182,$B180)*VLOOKUP($B180,Landbrug!$B$11:$E$13,3,FALSE)*IF($C180&lt;&gt;"Økologisk",1-VLOOKUP($B180,Landbrug!$B$6:$E$8,3,FALSE),VLOOKUP($B180,Landbrug!$B$6:$E$8,3,FALSE))</f>
        <v>1531783.7663133647</v>
      </c>
      <c r="I180" s="92">
        <f>SUMIFS($G$3:$G$182,$A$3:$A$182,$A180,$B$3:$B$182,$B180)*VLOOKUP($B180,Landbrug!$B$11:$E$13,4,FALSE)*IF($C180&lt;&gt;"Økologisk",1-VLOOKUP($B180,Landbrug!$B$6:$E$8,4,FALSE),VLOOKUP($B180,Landbrug!$B$6:$E$8,4,FALSE))</f>
        <v>0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2" cm="1">
        <f t="array" ref="G181">(INDEX([1]Dyrehold!$C$14:$E$17,MATCH(1,(A181=[1]Dyrehold!$A$14:$A$17)*(C181=[1]Dyrehold!$B$14:$B$17),0),MATCH($B181,[1]Dyrehold!$C$13:$E$13,0)))</f>
        <v>3062300</v>
      </c>
      <c r="H181" s="92">
        <f>SUMIFS($G$3:$G$182,$A$3:$A$182,$A181,$B$3:$B$182,$B181)*VLOOKUP($B181,Landbrug!$B$11:$E$13,3,FALSE)*IF($C181&lt;&gt;"Økologisk",1-VLOOKUP($B181,Landbrug!$B$6:$E$8,3,FALSE),VLOOKUP($B181,Landbrug!$B$6:$E$8,3,FALSE))</f>
        <v>3023523.7663133652</v>
      </c>
      <c r="I181" s="92">
        <f>SUMIFS($G$3:$G$182,$A$3:$A$182,$A181,$B$3:$B$182,$B181)*VLOOKUP($B181,Landbrug!$B$11:$E$13,4,FALSE)*IF($C181&lt;&gt;"Økologisk",1-VLOOKUP($B181,Landbrug!$B$6:$E$8,4,FALSE),VLOOKUP($B181,Landbrug!$B$6:$E$8,4,FALSE))</f>
        <v>21274334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2" cm="1">
        <f t="array" ref="G182">(INDEX([1]Dyrehold!$C$14:$E$17,MATCH(1,(A182=[1]Dyrehold!$A$14:$A$17)*(C182=[1]Dyrehold!$B$14:$B$17),0),MATCH($B182,[1]Dyrehold!$C$13:$E$13,0)))</f>
        <v>214987</v>
      </c>
      <c r="H182" s="92">
        <f>SUMIFS($G$3:$G$182,$A$3:$A$182,$A182,$B$3:$B$182,$B182)*VLOOKUP($B182,Landbrug!$B$11:$E$13,3,FALSE)*IF($C182&lt;&gt;"Økologisk",1-VLOOKUP($B182,Landbrug!$B$6:$E$8,3,FALSE),VLOOKUP($B182,Landbrug!$B$6:$E$8,3,FALSE))</f>
        <v>253763.23368663527</v>
      </c>
      <c r="I182" s="92">
        <f>SUMIFS($G$3:$G$182,$A$3:$A$182,$A182,$B$3:$B$182,$B182)*VLOOKUP($B182,Landbrug!$B$11:$E$13,4,FALSE)*IF($C182&lt;&gt;"Økologisk",1-VLOOKUP($B182,Landbrug!$B$6:$E$8,4,FALSE),VLOOKUP($B182,Landbrug!$B$6:$E$8,4,FALSE))</f>
        <v>1785547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2">
        <f>[1]Befolkningstal!B5</f>
        <v>3133781</v>
      </c>
      <c r="H183" s="92">
        <f>[1]Befolkningstal!C5</f>
        <v>3238884</v>
      </c>
      <c r="I183" s="92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2">
        <f>[1]Befolkningstal!B6</f>
        <v>2672300</v>
      </c>
      <c r="H184" s="92">
        <f>[1]Befolkningstal!C6</f>
        <v>2804401</v>
      </c>
      <c r="I184" s="92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39" t="s">
        <v>181</v>
      </c>
      <c r="F185" t="str">
        <f>CONCATENATE("Areal-",LOWER(B185))</f>
        <v>Areal-basisskov</v>
      </c>
      <c r="G185" s="101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1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1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1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1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1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1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1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1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1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1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1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1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1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1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1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1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47934.184879022061</v>
      </c>
      <c r="I190" s="101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30466.135143758769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1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1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4808.9101566784193</v>
      </c>
      <c r="I191" s="101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29977.985977523316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1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1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1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46758.713289500229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1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1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1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4657.3795800273956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1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1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1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1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1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1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1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1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1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1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1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1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1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1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1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1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1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1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1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1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1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1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1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1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1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1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71890.257069489599</v>
      </c>
      <c r="I202" s="101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44042.605081673908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1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1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7224.3854840611129</v>
      </c>
      <c r="I203" s="101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44633.073350989973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1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1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1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71890.257069489599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1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1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1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7224.3854840611129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1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1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1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1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1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1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1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1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1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1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1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1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1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1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1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1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1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8472.4784537125106</v>
      </c>
      <c r="I211" s="101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5736.4434525475253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1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1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852.71481743560128</v>
      </c>
      <c r="I212" s="101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5689.162797083688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1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1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1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8264.6423051714901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1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1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1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825.84545123930332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1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1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1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1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1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1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1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1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1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1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1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1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1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1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1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1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1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1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1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1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1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1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1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1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1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1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12706.763572601465</v>
      </c>
      <c r="I223" s="101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8306.7590997186417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1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1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1281.0263341207046</v>
      </c>
      <c r="I224" s="101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8479.5920026221902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1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1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1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12706.763572601465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1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1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1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1281.0263341207046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0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0">
        <f>SUMIFS(Havbrug!D$4:D$7,Havbrug!$A$4:$A$7,'Direkte input'!$B227,Havbrug!$B$4:$B$7,'Direkte input'!$A227)*SUMIFS(Havbrug!$F$4:$F$7,Havbrug!$A$4:$A$7,'Direkte input'!$B227,Havbrug!$B$4:$B$7,'Direkte input'!$A227)</f>
        <v>440.29999999999995</v>
      </c>
      <c r="I227" s="100">
        <f>SUMIFS(Havbrug!E$4:E$7,Havbrug!$A$4:$A$7,'Direkte input'!$B227,Havbrug!$B$4:$B$7,'Direkte input'!$A227)*SUMIFS(Havbrug!$F$4:$F$7,Havbrug!$A$4:$A$7,'Direkte input'!$B227,Havbrug!$B$4:$B$7,'Direkte input'!$A227)</f>
        <v>440.29999999999995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0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0">
        <f>SUMIFS(Havbrug!D$4:D$7,Havbrug!$A$4:$A$7,'Direkte input'!$B228,Havbrug!$B$4:$B$7,'Direkte input'!$A228)*SUMIFS(Havbrug!$F$4:$F$7,Havbrug!$A$4:$A$7,'Direkte input'!$B228,Havbrug!$B$4:$B$7,'Direkte input'!$A228)</f>
        <v>0.6</v>
      </c>
      <c r="I228" s="100">
        <f>SUMIFS(Havbrug!E$4:E$7,Havbrug!$A$4:$A$7,'Direkte input'!$B228,Havbrug!$B$4:$B$7,'Direkte input'!$A228)*SUMIFS(Havbrug!$F$4:$F$7,Havbrug!$A$4:$A$7,'Direkte input'!$B228,Havbrug!$B$4:$B$7,'Direkte input'!$A228)</f>
        <v>0.6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0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0">
        <f>SUMIFS(Havbrug!D$4:D$7,Havbrug!$A$4:$A$7,'Direkte input'!$B229,Havbrug!$B$4:$B$7,'Direkte input'!$A229)*SUMIFS(Havbrug!$F$4:$F$7,Havbrug!$A$4:$A$7,'Direkte input'!$B229,Havbrug!$B$4:$B$7,'Direkte input'!$A229)</f>
        <v>17</v>
      </c>
      <c r="I229" s="100">
        <f>SUMIFS(Havbrug!E$4:E$7,Havbrug!$A$4:$A$7,'Direkte input'!$B229,Havbrug!$B$4:$B$7,'Direkte input'!$A229)*SUMIFS(Havbrug!$F$4:$F$7,Havbrug!$A$4:$A$7,'Direkte input'!$B229,Havbrug!$B$4:$B$7,'Direkte input'!$A229)</f>
        <v>17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0">
        <f>SUMIFS(Havbrug!C$4:C$7,Havbrug!$A$4:$A$7,'Direkte input'!$B230,Havbrug!$B$4:$B$7,'Direkte input'!$A230)*SUMIFS(Havbrug!$F$4:$F$7,Havbrug!$A$4:$A$7,'Direkte input'!$B230,Havbrug!$B$4:$B$7,'Direkte input'!$A230)</f>
        <v>0</v>
      </c>
      <c r="H230" s="100">
        <f>SUMIFS(Havbrug!D$4:D$7,Havbrug!$A$4:$A$7,'Direkte input'!$B230,Havbrug!$B$4:$B$7,'Direkte input'!$A230)*SUMIFS(Havbrug!$F$4:$F$7,Havbrug!$A$4:$A$7,'Direkte input'!$B230,Havbrug!$B$4:$B$7,'Direkte input'!$A230)</f>
        <v>0</v>
      </c>
      <c r="I230" s="100">
        <f>SUMIFS(Havbrug!E$4:E$7,Havbrug!$A$4:$A$7,'Direkte input'!$B230,Havbrug!$B$4:$B$7,'Direkte input'!$A230)*SUMIFS(Havbrug!$F$4:$F$7,Havbrug!$A$4:$A$7,'Direkte input'!$B230,Havbrug!$B$4:$B$7,'Direkte input'!$A230)</f>
        <v>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124" workbookViewId="0">
      <selection activeCell="E131" sqref="E13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222</v>
      </c>
      <c r="I1" s="140" t="s">
        <v>188</v>
      </c>
      <c r="J1" s="140"/>
      <c r="K1" s="140"/>
      <c r="L1" s="140"/>
      <c r="M1" s="140"/>
    </row>
    <row r="2" spans="1:13" x14ac:dyDescent="0.25">
      <c r="A2" t="s">
        <v>127</v>
      </c>
      <c r="B2" t="s">
        <v>23</v>
      </c>
      <c r="C2" s="1" t="str">
        <f>Adfærd!A17</f>
        <v>Korn</v>
      </c>
      <c r="D2">
        <f t="shared" ref="D2:D15" si="0">År1</f>
        <v>2019</v>
      </c>
      <c r="E2" s="74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" t="str">
        <f>Adfærd!A18</f>
        <v>Grøntsager</v>
      </c>
      <c r="D3">
        <f t="shared" si="0"/>
        <v>2019</v>
      </c>
      <c r="E3" s="74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" t="str">
        <f>Adfærd!A19</f>
        <v>Kartofler</v>
      </c>
      <c r="D4">
        <f t="shared" si="0"/>
        <v>2019</v>
      </c>
      <c r="E4" s="74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" t="str">
        <f>Adfærd!A20</f>
        <v>Svinekød</v>
      </c>
      <c r="D5">
        <f t="shared" si="0"/>
        <v>2019</v>
      </c>
      <c r="E5" s="74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" t="str">
        <f>Adfærd!A21</f>
        <v>Oksekød</v>
      </c>
      <c r="D6">
        <f t="shared" si="0"/>
        <v>2019</v>
      </c>
      <c r="E6" s="74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" t="str">
        <f>Adfærd!A22</f>
        <v>Bælgsæd</v>
      </c>
      <c r="D7">
        <f t="shared" si="0"/>
        <v>2019</v>
      </c>
      <c r="E7" s="74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" t="str">
        <f>Adfærd!A23</f>
        <v>Muslinger</v>
      </c>
      <c r="D8">
        <f t="shared" si="0"/>
        <v>2019</v>
      </c>
      <c r="E8" s="74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" t="str">
        <f>Adfærd!A24</f>
        <v>Tang</v>
      </c>
      <c r="D9">
        <f t="shared" si="0"/>
        <v>2019</v>
      </c>
      <c r="E9" s="74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" t="str">
        <f>Adfærd!A25</f>
        <v>Kunstigt kød</v>
      </c>
      <c r="D10">
        <f t="shared" si="0"/>
        <v>2019</v>
      </c>
      <c r="E10" s="74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" t="str">
        <f>Adfærd!A26</f>
        <v>Mejeriprodukter</v>
      </c>
      <c r="D11">
        <f t="shared" si="0"/>
        <v>2019</v>
      </c>
      <c r="E11" s="74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" t="str">
        <f>Adfærd!A27</f>
        <v>Fjerkrækød</v>
      </c>
      <c r="D12">
        <f t="shared" si="0"/>
        <v>2019</v>
      </c>
      <c r="E12" s="74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" t="str">
        <f>Adfærd!A28</f>
        <v>Æg</v>
      </c>
      <c r="D13">
        <f t="shared" si="0"/>
        <v>2019</v>
      </c>
      <c r="E13" s="74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" t="str">
        <f>Adfærd!A29</f>
        <v>Frugt</v>
      </c>
      <c r="D14">
        <f t="shared" si="0"/>
        <v>2019</v>
      </c>
      <c r="E14" s="74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" t="str">
        <f>Adfærd!A30</f>
        <v>Fisk</v>
      </c>
      <c r="D15">
        <f t="shared" si="0"/>
        <v>2019</v>
      </c>
      <c r="E15" s="74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" t="str">
        <f>Adfærd!A17</f>
        <v>Korn</v>
      </c>
      <c r="D16">
        <f t="shared" ref="D16:D29" si="1">År2</f>
        <v>2030</v>
      </c>
      <c r="E16" s="74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" t="str">
        <f>Adfærd!A18</f>
        <v>Grøntsager</v>
      </c>
      <c r="D17">
        <f t="shared" si="1"/>
        <v>2030</v>
      </c>
      <c r="E17" s="74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" t="str">
        <f>Adfærd!A19</f>
        <v>Kartofler</v>
      </c>
      <c r="D18">
        <f t="shared" si="1"/>
        <v>2030</v>
      </c>
      <c r="E18" s="74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" t="str">
        <f>Adfærd!A20</f>
        <v>Svinekød</v>
      </c>
      <c r="D19">
        <f t="shared" si="1"/>
        <v>2030</v>
      </c>
      <c r="E19" s="74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" t="str">
        <f>Adfærd!A21</f>
        <v>Oksekød</v>
      </c>
      <c r="D20">
        <f t="shared" si="1"/>
        <v>2030</v>
      </c>
      <c r="E20" s="74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" t="str">
        <f>Adfærd!A22</f>
        <v>Bælgsæd</v>
      </c>
      <c r="D21">
        <f t="shared" si="1"/>
        <v>2030</v>
      </c>
      <c r="E21" s="74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" t="str">
        <f>Adfærd!A23</f>
        <v>Muslinger</v>
      </c>
      <c r="D22">
        <f t="shared" si="1"/>
        <v>2030</v>
      </c>
      <c r="E22" s="74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" t="str">
        <f>Adfærd!A24</f>
        <v>Tang</v>
      </c>
      <c r="D23">
        <f t="shared" si="1"/>
        <v>2030</v>
      </c>
      <c r="E23" s="74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" t="str">
        <f>Adfærd!A25</f>
        <v>Kunstigt kød</v>
      </c>
      <c r="D24">
        <f t="shared" si="1"/>
        <v>2030</v>
      </c>
      <c r="E24" s="74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" t="str">
        <f>Adfærd!A26</f>
        <v>Mejeriprodukter</v>
      </c>
      <c r="D25">
        <f t="shared" si="1"/>
        <v>2030</v>
      </c>
      <c r="E25" s="74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" t="str">
        <f>Adfærd!A27</f>
        <v>Fjerkrækød</v>
      </c>
      <c r="D26">
        <f t="shared" si="1"/>
        <v>2030</v>
      </c>
      <c r="E26" s="74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" t="str">
        <f>Adfærd!A28</f>
        <v>Æg</v>
      </c>
      <c r="D27">
        <f t="shared" si="1"/>
        <v>2030</v>
      </c>
      <c r="E27" s="74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" t="str">
        <f>Adfærd!A29</f>
        <v>Frugt</v>
      </c>
      <c r="D28">
        <f t="shared" si="1"/>
        <v>2030</v>
      </c>
      <c r="E28" s="74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" t="str">
        <f>Adfærd!A30</f>
        <v>Fisk</v>
      </c>
      <c r="D29">
        <f t="shared" si="1"/>
        <v>2030</v>
      </c>
      <c r="E29" s="74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" t="str">
        <f>Adfærd!A17</f>
        <v>Korn</v>
      </c>
      <c r="D30">
        <f t="shared" ref="D30:D43" si="2">År3</f>
        <v>2050</v>
      </c>
      <c r="E30" s="74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" t="str">
        <f>Adfærd!A18</f>
        <v>Grøntsager</v>
      </c>
      <c r="D31">
        <f t="shared" si="2"/>
        <v>2050</v>
      </c>
      <c r="E31" s="74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" t="str">
        <f>Adfærd!A19</f>
        <v>Kartofler</v>
      </c>
      <c r="D32">
        <f t="shared" si="2"/>
        <v>2050</v>
      </c>
      <c r="E32" s="74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" t="str">
        <f>Adfærd!A20</f>
        <v>Svinekød</v>
      </c>
      <c r="D33">
        <f t="shared" si="2"/>
        <v>2050</v>
      </c>
      <c r="E33" s="74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" t="str">
        <f>Adfærd!A21</f>
        <v>Oksekød</v>
      </c>
      <c r="D34">
        <f t="shared" si="2"/>
        <v>2050</v>
      </c>
      <c r="E34" s="74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" t="str">
        <f>Adfærd!A22</f>
        <v>Bælgsæd</v>
      </c>
      <c r="D35">
        <f t="shared" si="2"/>
        <v>2050</v>
      </c>
      <c r="E35" s="74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" t="str">
        <f>Adfærd!A23</f>
        <v>Muslinger</v>
      </c>
      <c r="D36">
        <f t="shared" si="2"/>
        <v>2050</v>
      </c>
      <c r="E36" s="74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" t="str">
        <f>Adfærd!A24</f>
        <v>Tang</v>
      </c>
      <c r="D37">
        <f t="shared" si="2"/>
        <v>2050</v>
      </c>
      <c r="E37" s="74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" t="str">
        <f>Adfærd!A25</f>
        <v>Kunstigt kød</v>
      </c>
      <c r="D38">
        <f t="shared" si="2"/>
        <v>2050</v>
      </c>
      <c r="E38" s="74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" t="str">
        <f>Adfærd!A26</f>
        <v>Mejeriprodukter</v>
      </c>
      <c r="D39">
        <f t="shared" si="2"/>
        <v>2050</v>
      </c>
      <c r="E39" s="74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" t="str">
        <f>Adfærd!A27</f>
        <v>Fjerkrækød</v>
      </c>
      <c r="D40">
        <f t="shared" si="2"/>
        <v>2050</v>
      </c>
      <c r="E40" s="74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" t="str">
        <f>Adfærd!A28</f>
        <v>Æg</v>
      </c>
      <c r="D41">
        <f t="shared" si="2"/>
        <v>2050</v>
      </c>
      <c r="E41" s="74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" t="str">
        <f>Adfærd!A29</f>
        <v>Frugt</v>
      </c>
      <c r="D42">
        <f t="shared" si="2"/>
        <v>2050</v>
      </c>
      <c r="E42" s="74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" t="str">
        <f>Adfærd!A30</f>
        <v>Fisk</v>
      </c>
      <c r="D43">
        <f t="shared" si="2"/>
        <v>2050</v>
      </c>
      <c r="E43" s="74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" t="str">
        <f>Adfærd!A17</f>
        <v>Korn</v>
      </c>
      <c r="D44">
        <f t="shared" ref="D44:D57" si="3">År1</f>
        <v>2019</v>
      </c>
      <c r="E44" s="74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" t="str">
        <f>Adfærd!A18</f>
        <v>Grøntsager</v>
      </c>
      <c r="D45">
        <f t="shared" si="3"/>
        <v>2019</v>
      </c>
      <c r="E45" s="74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" t="str">
        <f>Adfærd!A19</f>
        <v>Kartofler</v>
      </c>
      <c r="D46">
        <f t="shared" si="3"/>
        <v>2019</v>
      </c>
      <c r="E46" s="74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" t="str">
        <f>Adfærd!A20</f>
        <v>Svinekød</v>
      </c>
      <c r="D47">
        <f t="shared" si="3"/>
        <v>2019</v>
      </c>
      <c r="E47" s="74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" t="str">
        <f>Adfærd!A21</f>
        <v>Oksekød</v>
      </c>
      <c r="D48">
        <f t="shared" si="3"/>
        <v>2019</v>
      </c>
      <c r="E48" s="74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" t="str">
        <f>Adfærd!A22</f>
        <v>Bælgsæd</v>
      </c>
      <c r="D49">
        <f t="shared" si="3"/>
        <v>2019</v>
      </c>
      <c r="E49" s="74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" t="str">
        <f>Adfærd!A23</f>
        <v>Muslinger</v>
      </c>
      <c r="D50">
        <f t="shared" si="3"/>
        <v>2019</v>
      </c>
      <c r="E50" s="74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" t="str">
        <f>Adfærd!A24</f>
        <v>Tang</v>
      </c>
      <c r="D51">
        <f t="shared" si="3"/>
        <v>2019</v>
      </c>
      <c r="E51" s="74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" t="str">
        <f>Adfærd!A25</f>
        <v>Kunstigt kød</v>
      </c>
      <c r="D52">
        <f t="shared" si="3"/>
        <v>2019</v>
      </c>
      <c r="E52" s="74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" t="str">
        <f>Adfærd!A26</f>
        <v>Mejeriprodukter</v>
      </c>
      <c r="D53">
        <f t="shared" si="3"/>
        <v>2019</v>
      </c>
      <c r="E53" s="74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" t="str">
        <f>Adfærd!A27</f>
        <v>Fjerkrækød</v>
      </c>
      <c r="D54">
        <f t="shared" si="3"/>
        <v>2019</v>
      </c>
      <c r="E54" s="74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" t="str">
        <f>Adfærd!A28</f>
        <v>Æg</v>
      </c>
      <c r="D55">
        <f t="shared" si="3"/>
        <v>2019</v>
      </c>
      <c r="E55" s="74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" t="str">
        <f>Adfærd!A29</f>
        <v>Frugt</v>
      </c>
      <c r="D56">
        <f t="shared" si="3"/>
        <v>2019</v>
      </c>
      <c r="E56" s="74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" t="str">
        <f>Adfærd!A30</f>
        <v>Fisk</v>
      </c>
      <c r="D57">
        <f t="shared" si="3"/>
        <v>2019</v>
      </c>
      <c r="E57" s="74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" t="str">
        <f>Adfærd!A17</f>
        <v>Korn</v>
      </c>
      <c r="D58">
        <f t="shared" ref="D58:D71" si="4">År2</f>
        <v>2030</v>
      </c>
      <c r="E58" s="74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" t="str">
        <f>Adfærd!A18</f>
        <v>Grøntsager</v>
      </c>
      <c r="D59">
        <f t="shared" si="4"/>
        <v>2030</v>
      </c>
      <c r="E59" s="74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" t="str">
        <f>Adfærd!A19</f>
        <v>Kartofler</v>
      </c>
      <c r="D60">
        <f t="shared" si="4"/>
        <v>2030</v>
      </c>
      <c r="E60" s="74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" t="str">
        <f>Adfærd!A20</f>
        <v>Svinekød</v>
      </c>
      <c r="D61">
        <f t="shared" si="4"/>
        <v>2030</v>
      </c>
      <c r="E61" s="74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" t="str">
        <f>Adfærd!A21</f>
        <v>Oksekød</v>
      </c>
      <c r="D62">
        <f t="shared" si="4"/>
        <v>2030</v>
      </c>
      <c r="E62" s="74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" t="str">
        <f>Adfærd!A22</f>
        <v>Bælgsæd</v>
      </c>
      <c r="D63">
        <f t="shared" si="4"/>
        <v>2030</v>
      </c>
      <c r="E63" s="74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" t="str">
        <f>Adfærd!A23</f>
        <v>Muslinger</v>
      </c>
      <c r="D64">
        <f t="shared" si="4"/>
        <v>2030</v>
      </c>
      <c r="E64" s="74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" t="str">
        <f>Adfærd!A24</f>
        <v>Tang</v>
      </c>
      <c r="D65">
        <f t="shared" si="4"/>
        <v>2030</v>
      </c>
      <c r="E65" s="74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" t="str">
        <f>Adfærd!A25</f>
        <v>Kunstigt kød</v>
      </c>
      <c r="D66">
        <f t="shared" si="4"/>
        <v>2030</v>
      </c>
      <c r="E66" s="74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" t="str">
        <f>Adfærd!A26</f>
        <v>Mejeriprodukter</v>
      </c>
      <c r="D67">
        <f t="shared" si="4"/>
        <v>2030</v>
      </c>
      <c r="E67" s="74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" t="str">
        <f>Adfærd!A27</f>
        <v>Fjerkrækød</v>
      </c>
      <c r="D68">
        <f t="shared" si="4"/>
        <v>2030</v>
      </c>
      <c r="E68" s="74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" t="str">
        <f>Adfærd!A28</f>
        <v>Æg</v>
      </c>
      <c r="D69">
        <f t="shared" si="4"/>
        <v>2030</v>
      </c>
      <c r="E69" s="74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" t="str">
        <f>Adfærd!A29</f>
        <v>Frugt</v>
      </c>
      <c r="D70">
        <f t="shared" si="4"/>
        <v>2030</v>
      </c>
      <c r="E70" s="74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" t="str">
        <f>Adfærd!A30</f>
        <v>Fisk</v>
      </c>
      <c r="D71">
        <f t="shared" si="4"/>
        <v>2030</v>
      </c>
      <c r="E71" s="74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" t="str">
        <f>Adfærd!A17</f>
        <v>Korn</v>
      </c>
      <c r="D72">
        <f t="shared" ref="D72:D85" si="5">År3</f>
        <v>2050</v>
      </c>
      <c r="E72" s="74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" t="str">
        <f>Adfærd!A18</f>
        <v>Grøntsager</v>
      </c>
      <c r="D73">
        <f t="shared" si="5"/>
        <v>2050</v>
      </c>
      <c r="E73" s="74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" t="str">
        <f>Adfærd!A19</f>
        <v>Kartofler</v>
      </c>
      <c r="D74">
        <f t="shared" si="5"/>
        <v>2050</v>
      </c>
      <c r="E74" s="74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" t="str">
        <f>Adfærd!A20</f>
        <v>Svinekød</v>
      </c>
      <c r="D75">
        <f t="shared" si="5"/>
        <v>2050</v>
      </c>
      <c r="E75" s="74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" t="str">
        <f>Adfærd!A21</f>
        <v>Oksekød</v>
      </c>
      <c r="D76">
        <f t="shared" si="5"/>
        <v>2050</v>
      </c>
      <c r="E76" s="74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" t="str">
        <f>Adfærd!A22</f>
        <v>Bælgsæd</v>
      </c>
      <c r="D77">
        <f t="shared" si="5"/>
        <v>2050</v>
      </c>
      <c r="E77" s="74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" t="str">
        <f>Adfærd!A23</f>
        <v>Muslinger</v>
      </c>
      <c r="D78">
        <f t="shared" si="5"/>
        <v>2050</v>
      </c>
      <c r="E78" s="74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" t="str">
        <f>Adfærd!A24</f>
        <v>Tang</v>
      </c>
      <c r="D79">
        <f t="shared" si="5"/>
        <v>2050</v>
      </c>
      <c r="E79" s="74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" t="str">
        <f>Adfærd!A25</f>
        <v>Kunstigt kød</v>
      </c>
      <c r="D80">
        <f t="shared" si="5"/>
        <v>2050</v>
      </c>
      <c r="E80" s="74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" t="str">
        <f>Adfærd!A26</f>
        <v>Mejeriprodukter</v>
      </c>
      <c r="D81">
        <f t="shared" si="5"/>
        <v>2050</v>
      </c>
      <c r="E81" s="74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" t="str">
        <f>Adfærd!A27</f>
        <v>Fjerkrækød</v>
      </c>
      <c r="D82">
        <f t="shared" si="5"/>
        <v>2050</v>
      </c>
      <c r="E82" s="74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" t="str">
        <f>Adfærd!A28</f>
        <v>Æg</v>
      </c>
      <c r="D83">
        <f t="shared" si="5"/>
        <v>2050</v>
      </c>
      <c r="E83" s="74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" t="str">
        <f>Adfærd!A29</f>
        <v>Frugt</v>
      </c>
      <c r="D84">
        <f t="shared" si="5"/>
        <v>2050</v>
      </c>
      <c r="E84" s="74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" t="str">
        <f>Adfærd!A30</f>
        <v>Fisk</v>
      </c>
      <c r="D85">
        <f t="shared" si="5"/>
        <v>2050</v>
      </c>
      <c r="E85" s="74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t="str">
        <f>Biogasanlæg!A20</f>
        <v>Halm</v>
      </c>
      <c r="D94">
        <f t="shared" si="6"/>
        <v>2019</v>
      </c>
      <c r="E94" s="284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10745893.035319086</v>
      </c>
    </row>
    <row r="104" spans="1:5" x14ac:dyDescent="0.25">
      <c r="A104" t="s">
        <v>109</v>
      </c>
      <c r="B104" t="s">
        <v>23</v>
      </c>
      <c r="C104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4551096.1446218006</v>
      </c>
    </row>
    <row r="105" spans="1:5" x14ac:dyDescent="0.25">
      <c r="A105" t="s">
        <v>109</v>
      </c>
      <c r="B105" t="s">
        <v>23</v>
      </c>
      <c r="C105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6146.3860846246353</v>
      </c>
    </row>
    <row r="106" spans="1:5" x14ac:dyDescent="0.25">
      <c r="A106" t="s">
        <v>109</v>
      </c>
      <c r="B106" t="s">
        <v>23</v>
      </c>
      <c r="C106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1481053.1985566379</v>
      </c>
    </row>
    <row r="107" spans="1:5" x14ac:dyDescent="0.25">
      <c r="A107" t="s">
        <v>109</v>
      </c>
      <c r="B107" t="s">
        <v>23</v>
      </c>
      <c r="C107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1761545.7522961586</v>
      </c>
    </row>
    <row r="110" spans="1:5" x14ac:dyDescent="0.25">
      <c r="A110" t="s">
        <v>109</v>
      </c>
      <c r="B110" t="s">
        <v>23</v>
      </c>
      <c r="C110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3838456.8057060111</v>
      </c>
    </row>
    <row r="111" spans="1:5" x14ac:dyDescent="0.25">
      <c r="A111" t="s">
        <v>109</v>
      </c>
      <c r="B111" t="s">
        <v>23</v>
      </c>
      <c r="C111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0</v>
      </c>
    </row>
    <row r="118" spans="1:5" x14ac:dyDescent="0.25">
      <c r="A118" t="s">
        <v>109</v>
      </c>
      <c r="B118" t="s">
        <v>23</v>
      </c>
      <c r="C118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96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0</v>
      </c>
    </row>
    <row r="121" spans="1:5" x14ac:dyDescent="0.25">
      <c r="A121" t="s">
        <v>109</v>
      </c>
      <c r="B121" t="s">
        <v>23</v>
      </c>
      <c r="C121" s="96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61870.340176480422</v>
      </c>
    </row>
    <row r="122" spans="1:5" x14ac:dyDescent="0.25">
      <c r="A122" t="s">
        <v>109</v>
      </c>
      <c r="B122" t="s">
        <v>23</v>
      </c>
      <c r="C122" s="96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12641.434133773972</v>
      </c>
    </row>
    <row r="123" spans="1:5" x14ac:dyDescent="0.25">
      <c r="A123" t="s">
        <v>109</v>
      </c>
      <c r="B123" t="s">
        <v>23</v>
      </c>
      <c r="C123" s="96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1517880.3720548805</v>
      </c>
    </row>
    <row r="124" spans="1:5" x14ac:dyDescent="0.25">
      <c r="A124" t="s">
        <v>109</v>
      </c>
      <c r="B124" t="s">
        <v>23</v>
      </c>
      <c r="C124" s="96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96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96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4013919.0937787211</v>
      </c>
    </row>
    <row r="127" spans="1:5" x14ac:dyDescent="0.25">
      <c r="A127" t="s">
        <v>109</v>
      </c>
      <c r="B127" t="s">
        <v>23</v>
      </c>
      <c r="C127" s="96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9508401.068542948</v>
      </c>
    </row>
    <row r="128" spans="1:5" x14ac:dyDescent="0.25">
      <c r="A128" t="s">
        <v>109</v>
      </c>
      <c r="B128" t="s">
        <v>23</v>
      </c>
      <c r="C128" s="96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96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96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96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96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96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96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0</v>
      </c>
    </row>
    <row r="135" spans="1:5" x14ac:dyDescent="0.25">
      <c r="A135" t="s">
        <v>109</v>
      </c>
      <c r="B135" t="s">
        <v>23</v>
      </c>
      <c r="C135" s="96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96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96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96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96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96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96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96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96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96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96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96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96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96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96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96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96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96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96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96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1557048.9001647846</v>
      </c>
    </row>
    <row r="155" spans="1:5" x14ac:dyDescent="0.25">
      <c r="A155" t="s">
        <v>109</v>
      </c>
      <c r="B155" t="s">
        <v>24</v>
      </c>
      <c r="C155" s="96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323464.65204194176</v>
      </c>
    </row>
    <row r="156" spans="1:5" x14ac:dyDescent="0.25">
      <c r="A156" t="s">
        <v>109</v>
      </c>
      <c r="B156" t="s">
        <v>24</v>
      </c>
      <c r="C156" s="96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515.86391537536554</v>
      </c>
    </row>
    <row r="157" spans="1:5" x14ac:dyDescent="0.25">
      <c r="A157" t="s">
        <v>109</v>
      </c>
      <c r="B157" t="s">
        <v>24</v>
      </c>
      <c r="C157" s="96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1266377.3160230415</v>
      </c>
    </row>
    <row r="158" spans="1:5" x14ac:dyDescent="0.25">
      <c r="A158" t="s">
        <v>109</v>
      </c>
      <c r="B158" t="s">
        <v>24</v>
      </c>
      <c r="C158" s="96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96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96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239591.41441688087</v>
      </c>
    </row>
    <row r="161" spans="1:5" x14ac:dyDescent="0.25">
      <c r="A161" t="s">
        <v>109</v>
      </c>
      <c r="B161" t="s">
        <v>24</v>
      </c>
      <c r="C161" s="96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502507.4017944691</v>
      </c>
    </row>
    <row r="162" spans="1:5" x14ac:dyDescent="0.25">
      <c r="A162" t="s">
        <v>109</v>
      </c>
      <c r="B162" t="s">
        <v>24</v>
      </c>
      <c r="C162" s="96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96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96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96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96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96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96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0</v>
      </c>
    </row>
    <row r="169" spans="1:5" x14ac:dyDescent="0.25">
      <c r="A169" t="s">
        <v>109</v>
      </c>
      <c r="B169" t="s">
        <v>24</v>
      </c>
      <c r="C169" s="96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96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96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0</v>
      </c>
    </row>
    <row r="172" spans="1:5" x14ac:dyDescent="0.25">
      <c r="A172" t="s">
        <v>109</v>
      </c>
      <c r="B172" t="s">
        <v>24</v>
      </c>
      <c r="C172" s="96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4397.3731648257435</v>
      </c>
    </row>
    <row r="173" spans="1:5" x14ac:dyDescent="0.25">
      <c r="A173" t="s">
        <v>109</v>
      </c>
      <c r="B173" t="s">
        <v>24</v>
      </c>
      <c r="C173" s="96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1060.9909007378428</v>
      </c>
    </row>
    <row r="174" spans="1:5" x14ac:dyDescent="0.25">
      <c r="A174" t="s">
        <v>109</v>
      </c>
      <c r="B174" t="s">
        <v>24</v>
      </c>
      <c r="C174" s="96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1324256.6444942397</v>
      </c>
    </row>
    <row r="175" spans="1:5" x14ac:dyDescent="0.25">
      <c r="A175" t="s">
        <v>109</v>
      </c>
      <c r="B175" t="s">
        <v>24</v>
      </c>
      <c r="C175" s="96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96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96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578414.57574082457</v>
      </c>
    </row>
    <row r="178" spans="1:18" x14ac:dyDescent="0.25">
      <c r="A178" t="s">
        <v>109</v>
      </c>
      <c r="B178" t="s">
        <v>24</v>
      </c>
      <c r="C178" s="96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1345551.9694721752</v>
      </c>
    </row>
    <row r="179" spans="1:18" x14ac:dyDescent="0.25">
      <c r="A179" t="s">
        <v>109</v>
      </c>
      <c r="B179" t="s">
        <v>24</v>
      </c>
      <c r="C179" s="96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96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96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96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96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96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96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0</v>
      </c>
    </row>
    <row r="186" spans="1:18" x14ac:dyDescent="0.25">
      <c r="A186" t="s">
        <v>109</v>
      </c>
      <c r="B186" t="s">
        <v>24</v>
      </c>
      <c r="C186" s="96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96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95" t="s">
        <v>112</v>
      </c>
      <c r="B188" t="s">
        <v>23</v>
      </c>
      <c r="C188" s="96" t="str">
        <f>Fodersammensætning!A3</f>
        <v>Korn</v>
      </c>
      <c r="D188">
        <f t="shared" ref="D188:D202" si="12">År1</f>
        <v>2019</v>
      </c>
      <c r="E188" s="135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291"/>
    </row>
    <row r="189" spans="1:18" x14ac:dyDescent="0.25">
      <c r="A189" s="95" t="s">
        <v>112</v>
      </c>
      <c r="B189" t="s">
        <v>23</v>
      </c>
      <c r="C189" s="96" t="str">
        <f>Fodersammensætning!A4</f>
        <v>Halm</v>
      </c>
      <c r="D189">
        <f t="shared" si="12"/>
        <v>2019</v>
      </c>
      <c r="E189" s="135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4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95" t="s">
        <v>112</v>
      </c>
      <c r="B190" t="s">
        <v>23</v>
      </c>
      <c r="C190" s="96" t="str">
        <f>Fodersammensætning!A5</f>
        <v>Kartofler</v>
      </c>
      <c r="D190">
        <f t="shared" si="12"/>
        <v>2019</v>
      </c>
      <c r="E190" s="135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95" t="s">
        <v>112</v>
      </c>
      <c r="B191" t="s">
        <v>23</v>
      </c>
      <c r="C191" s="96" t="str">
        <f>Fodersammensætning!A6</f>
        <v>Bælgsæd</v>
      </c>
      <c r="D191">
        <f t="shared" si="12"/>
        <v>2019</v>
      </c>
      <c r="E191" s="135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95" t="s">
        <v>112</v>
      </c>
      <c r="B192" t="s">
        <v>23</v>
      </c>
      <c r="C192" s="96" t="str">
        <f>Fodersammensætning!A7</f>
        <v>Roer</v>
      </c>
      <c r="D192">
        <f t="shared" si="12"/>
        <v>2019</v>
      </c>
      <c r="E192" s="135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95" t="s">
        <v>112</v>
      </c>
      <c r="B193" t="s">
        <v>23</v>
      </c>
      <c r="C193" s="96" t="str">
        <f>Fodersammensætning!A8</f>
        <v>Majs</v>
      </c>
      <c r="D193">
        <f t="shared" si="12"/>
        <v>2019</v>
      </c>
      <c r="E193" s="135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95" t="s">
        <v>112</v>
      </c>
      <c r="B194" t="s">
        <v>23</v>
      </c>
      <c r="C194" s="96" t="str">
        <f>Fodersammensætning!A9</f>
        <v>Rapskage</v>
      </c>
      <c r="D194">
        <f t="shared" si="12"/>
        <v>2019</v>
      </c>
      <c r="E194" s="135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95" t="s">
        <v>112</v>
      </c>
      <c r="B195" t="s">
        <v>23</v>
      </c>
      <c r="C195" s="96" t="str">
        <f>Fodersammensætning!A10</f>
        <v>Tang</v>
      </c>
      <c r="D195">
        <f t="shared" si="12"/>
        <v>2019</v>
      </c>
      <c r="E195" s="135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95" t="s">
        <v>112</v>
      </c>
      <c r="B196" t="s">
        <v>23</v>
      </c>
      <c r="C196" s="96" t="str">
        <f>Fodersammensætning!A11</f>
        <v>Muslinger</v>
      </c>
      <c r="D196">
        <f t="shared" si="12"/>
        <v>2019</v>
      </c>
      <c r="E196" s="135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95" t="s">
        <v>112</v>
      </c>
      <c r="B197" t="s">
        <v>23</v>
      </c>
      <c r="C197" s="96" t="str">
        <f>Fodersammensætning!A12</f>
        <v>Græs</v>
      </c>
      <c r="D197">
        <f t="shared" si="12"/>
        <v>2019</v>
      </c>
      <c r="E197" s="135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95" t="s">
        <v>112</v>
      </c>
      <c r="B198" t="s">
        <v>23</v>
      </c>
      <c r="C198" s="96" t="str">
        <f>Fodersammensætning!A13</f>
        <v>Mælk til foder</v>
      </c>
      <c r="D198">
        <f t="shared" si="12"/>
        <v>2019</v>
      </c>
      <c r="E198" s="135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95" t="s">
        <v>112</v>
      </c>
      <c r="B199" t="s">
        <v>23</v>
      </c>
      <c r="C199" s="96" t="str">
        <f>Fodersammensætning!A14</f>
        <v>Fiberfraktion</v>
      </c>
      <c r="D199">
        <f t="shared" si="12"/>
        <v>2019</v>
      </c>
      <c r="E199" s="135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95" t="s">
        <v>112</v>
      </c>
      <c r="B200" t="s">
        <v>23</v>
      </c>
      <c r="C200" s="96" t="str">
        <f>Fodersammensætning!A15</f>
        <v>Græsprotein</v>
      </c>
      <c r="D200">
        <f t="shared" si="12"/>
        <v>2019</v>
      </c>
      <c r="E200" s="135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95" t="s">
        <v>112</v>
      </c>
      <c r="B201" t="s">
        <v>23</v>
      </c>
      <c r="C201" s="96" t="str">
        <f>Fodersammensætning!A16</f>
        <v>Slagteriaffald til foder</v>
      </c>
      <c r="D201">
        <f t="shared" si="12"/>
        <v>2019</v>
      </c>
      <c r="E201" s="135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95" t="s">
        <v>112</v>
      </c>
      <c r="B202" t="s">
        <v>23</v>
      </c>
      <c r="C202" s="96" t="str">
        <f>Fodersammensætning!A17</f>
        <v>Import af foder</v>
      </c>
      <c r="D202">
        <f t="shared" si="12"/>
        <v>2019</v>
      </c>
      <c r="E202" s="135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95" t="s">
        <v>112</v>
      </c>
      <c r="B203" t="s">
        <v>23</v>
      </c>
      <c r="C203" s="96" t="str">
        <f>C188</f>
        <v>Korn</v>
      </c>
      <c r="D203">
        <f t="shared" ref="D203:D217" si="13">År2</f>
        <v>2030</v>
      </c>
      <c r="E203" s="135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3213850.6503298059</v>
      </c>
      <c r="G203" s="291"/>
    </row>
    <row r="204" spans="1:7" x14ac:dyDescent="0.25">
      <c r="A204" s="95" t="s">
        <v>112</v>
      </c>
      <c r="B204" t="s">
        <v>23</v>
      </c>
      <c r="C204" s="96" t="str">
        <f t="shared" ref="C204:C267" si="14">C189</f>
        <v>Halm</v>
      </c>
      <c r="D204">
        <f t="shared" si="13"/>
        <v>2030</v>
      </c>
      <c r="E204" s="135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499432.74755070958</v>
      </c>
      <c r="G204" s="291"/>
    </row>
    <row r="205" spans="1:7" x14ac:dyDescent="0.25">
      <c r="A205" s="95" t="s">
        <v>112</v>
      </c>
      <c r="B205" t="s">
        <v>23</v>
      </c>
      <c r="C205" s="96" t="str">
        <f t="shared" si="14"/>
        <v>Kartofler</v>
      </c>
      <c r="D205">
        <f t="shared" si="13"/>
        <v>2030</v>
      </c>
      <c r="E205" s="135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753476.59121508116</v>
      </c>
      <c r="G205" s="291"/>
    </row>
    <row r="206" spans="1:7" x14ac:dyDescent="0.25">
      <c r="A206" s="95" t="s">
        <v>112</v>
      </c>
      <c r="B206" t="s">
        <v>23</v>
      </c>
      <c r="C206" s="96" t="str">
        <f t="shared" si="14"/>
        <v>Bælgsæd</v>
      </c>
      <c r="D206">
        <f t="shared" si="13"/>
        <v>2030</v>
      </c>
      <c r="E206" s="135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51766.523378049998</v>
      </c>
      <c r="G206" s="291"/>
    </row>
    <row r="207" spans="1:7" x14ac:dyDescent="0.25">
      <c r="A207" s="95" t="s">
        <v>112</v>
      </c>
      <c r="B207" t="s">
        <v>23</v>
      </c>
      <c r="C207" s="96" t="str">
        <f t="shared" si="14"/>
        <v>Roer</v>
      </c>
      <c r="D207">
        <f t="shared" si="13"/>
        <v>2030</v>
      </c>
      <c r="E207" s="135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675121.74238873541</v>
      </c>
      <c r="G207" s="291"/>
    </row>
    <row r="208" spans="1:7" x14ac:dyDescent="0.25">
      <c r="A208" s="95" t="s">
        <v>112</v>
      </c>
      <c r="B208" t="s">
        <v>23</v>
      </c>
      <c r="C208" s="96" t="str">
        <f t="shared" si="14"/>
        <v>Majs</v>
      </c>
      <c r="D208">
        <f t="shared" si="13"/>
        <v>2030</v>
      </c>
      <c r="E208" s="135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3107018.8030339861</v>
      </c>
      <c r="G208" s="291"/>
    </row>
    <row r="209" spans="1:7" x14ac:dyDescent="0.25">
      <c r="A209" s="95" t="s">
        <v>112</v>
      </c>
      <c r="B209" t="s">
        <v>23</v>
      </c>
      <c r="C209" s="96" t="str">
        <f t="shared" si="14"/>
        <v>Rapskage</v>
      </c>
      <c r="D209">
        <f t="shared" si="13"/>
        <v>2030</v>
      </c>
      <c r="E209" s="135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297667.91735204216</v>
      </c>
      <c r="G209" s="291"/>
    </row>
    <row r="210" spans="1:7" x14ac:dyDescent="0.25">
      <c r="A210" s="95" t="s">
        <v>112</v>
      </c>
      <c r="B210" t="s">
        <v>23</v>
      </c>
      <c r="C210" s="96" t="str">
        <f t="shared" si="14"/>
        <v>Tang</v>
      </c>
      <c r="D210">
        <f t="shared" si="13"/>
        <v>2030</v>
      </c>
      <c r="E210" s="135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291"/>
    </row>
    <row r="211" spans="1:7" x14ac:dyDescent="0.25">
      <c r="A211" s="95" t="s">
        <v>112</v>
      </c>
      <c r="B211" t="s">
        <v>23</v>
      </c>
      <c r="C211" s="96" t="str">
        <f t="shared" si="14"/>
        <v>Muslinger</v>
      </c>
      <c r="D211">
        <f t="shared" si="13"/>
        <v>2030</v>
      </c>
      <c r="E211" s="135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291"/>
    </row>
    <row r="212" spans="1:7" x14ac:dyDescent="0.25">
      <c r="A212" s="95" t="s">
        <v>112</v>
      </c>
      <c r="B212" t="s">
        <v>23</v>
      </c>
      <c r="C212" s="96" t="str">
        <f t="shared" si="14"/>
        <v>Græs</v>
      </c>
      <c r="D212">
        <f t="shared" si="13"/>
        <v>2030</v>
      </c>
      <c r="E212" s="135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9821978.8314936236</v>
      </c>
      <c r="G212" s="291"/>
    </row>
    <row r="213" spans="1:7" x14ac:dyDescent="0.25">
      <c r="A213" s="95" t="s">
        <v>112</v>
      </c>
      <c r="B213" t="s">
        <v>23</v>
      </c>
      <c r="C213" s="96" t="str">
        <f t="shared" si="14"/>
        <v>Mælk til foder</v>
      </c>
      <c r="D213">
        <f t="shared" si="13"/>
        <v>2030</v>
      </c>
      <c r="E213" s="135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784847.28992527397</v>
      </c>
      <c r="G213" s="291"/>
    </row>
    <row r="214" spans="1:7" x14ac:dyDescent="0.25">
      <c r="A214" s="95" t="s">
        <v>112</v>
      </c>
      <c r="B214" t="s">
        <v>23</v>
      </c>
      <c r="C214" s="96" t="str">
        <f t="shared" si="14"/>
        <v>Fiberfraktion</v>
      </c>
      <c r="D214">
        <f t="shared" si="13"/>
        <v>2030</v>
      </c>
      <c r="E214" s="135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3603112.0414954</v>
      </c>
      <c r="G214" s="291"/>
    </row>
    <row r="215" spans="1:7" x14ac:dyDescent="0.25">
      <c r="A215" s="95" t="s">
        <v>112</v>
      </c>
      <c r="B215" t="s">
        <v>23</v>
      </c>
      <c r="C215" s="96" t="str">
        <f t="shared" si="14"/>
        <v>Græsprotein</v>
      </c>
      <c r="D215">
        <f t="shared" si="13"/>
        <v>2030</v>
      </c>
      <c r="E215" s="135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1750884.4374278623</v>
      </c>
      <c r="G215" s="291"/>
    </row>
    <row r="216" spans="1:7" x14ac:dyDescent="0.25">
      <c r="A216" s="95" t="s">
        <v>112</v>
      </c>
      <c r="B216" t="s">
        <v>23</v>
      </c>
      <c r="C216" s="96" t="str">
        <f t="shared" si="14"/>
        <v>Slagteriaffald til foder</v>
      </c>
      <c r="D216">
        <f t="shared" si="13"/>
        <v>2030</v>
      </c>
      <c r="E216" s="135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39589.144539968278</v>
      </c>
      <c r="G216" s="291"/>
    </row>
    <row r="217" spans="1:7" x14ac:dyDescent="0.25">
      <c r="A217" s="95" t="s">
        <v>112</v>
      </c>
      <c r="B217" t="s">
        <v>23</v>
      </c>
      <c r="C217" s="96" t="str">
        <f t="shared" si="14"/>
        <v>Import af foder</v>
      </c>
      <c r="D217">
        <f t="shared" si="13"/>
        <v>2030</v>
      </c>
      <c r="E217" s="135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2500193.1989936335</v>
      </c>
      <c r="G217" s="291"/>
    </row>
    <row r="218" spans="1:7" x14ac:dyDescent="0.25">
      <c r="A218" s="95" t="s">
        <v>112</v>
      </c>
      <c r="B218" t="s">
        <v>23</v>
      </c>
      <c r="C218" s="96" t="str">
        <f t="shared" si="14"/>
        <v>Korn</v>
      </c>
      <c r="D218">
        <f t="shared" ref="D218:D232" si="15">År3</f>
        <v>2050</v>
      </c>
      <c r="E218" s="135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350004.26926330419</v>
      </c>
    </row>
    <row r="219" spans="1:7" x14ac:dyDescent="0.25">
      <c r="A219" s="95" t="s">
        <v>112</v>
      </c>
      <c r="B219" t="s">
        <v>23</v>
      </c>
      <c r="C219" s="96" t="str">
        <f t="shared" si="14"/>
        <v>Halm</v>
      </c>
      <c r="D219">
        <f t="shared" si="15"/>
        <v>2050</v>
      </c>
      <c r="E219" s="135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204619.16541082526</v>
      </c>
    </row>
    <row r="220" spans="1:7" x14ac:dyDescent="0.25">
      <c r="A220" s="95" t="s">
        <v>112</v>
      </c>
      <c r="B220" t="s">
        <v>23</v>
      </c>
      <c r="C220" s="96" t="str">
        <f t="shared" si="14"/>
        <v>Kartofler</v>
      </c>
      <c r="D220">
        <f t="shared" si="15"/>
        <v>2050</v>
      </c>
      <c r="E220" s="135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1555390.1797161226</v>
      </c>
    </row>
    <row r="221" spans="1:7" x14ac:dyDescent="0.25">
      <c r="A221" s="95" t="s">
        <v>112</v>
      </c>
      <c r="B221" t="s">
        <v>23</v>
      </c>
      <c r="C221" s="96" t="str">
        <f t="shared" si="14"/>
        <v>Bælgsæd</v>
      </c>
      <c r="D221">
        <f t="shared" si="15"/>
        <v>2050</v>
      </c>
      <c r="E221" s="135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37918.362883307651</v>
      </c>
    </row>
    <row r="222" spans="1:7" x14ac:dyDescent="0.25">
      <c r="A222" s="95" t="s">
        <v>112</v>
      </c>
      <c r="B222" t="s">
        <v>23</v>
      </c>
      <c r="C222" s="96" t="str">
        <f t="shared" si="14"/>
        <v>Roer</v>
      </c>
      <c r="D222">
        <f t="shared" si="15"/>
        <v>2050</v>
      </c>
      <c r="E222" s="135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494518.64926980395</v>
      </c>
    </row>
    <row r="223" spans="1:7" x14ac:dyDescent="0.25">
      <c r="A223" s="95" t="s">
        <v>112</v>
      </c>
      <c r="B223" t="s">
        <v>23</v>
      </c>
      <c r="C223" s="96" t="str">
        <f t="shared" si="14"/>
        <v>Majs</v>
      </c>
      <c r="D223">
        <f t="shared" si="15"/>
        <v>2050</v>
      </c>
      <c r="E223" s="135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366941.45938834856</v>
      </c>
    </row>
    <row r="224" spans="1:7" x14ac:dyDescent="0.25">
      <c r="A224" s="95" t="s">
        <v>112</v>
      </c>
      <c r="B224" t="s">
        <v>23</v>
      </c>
      <c r="C224" s="96" t="str">
        <f t="shared" si="14"/>
        <v>Rapskage</v>
      </c>
      <c r="D224">
        <f t="shared" si="15"/>
        <v>2050</v>
      </c>
      <c r="E224" s="135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385620.59434870677</v>
      </c>
    </row>
    <row r="225" spans="1:5" x14ac:dyDescent="0.25">
      <c r="A225" s="95" t="s">
        <v>112</v>
      </c>
      <c r="B225" t="s">
        <v>23</v>
      </c>
      <c r="C225" s="96" t="str">
        <f t="shared" si="14"/>
        <v>Tang</v>
      </c>
      <c r="D225">
        <f t="shared" si="15"/>
        <v>2050</v>
      </c>
      <c r="E225" s="135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95" t="s">
        <v>112</v>
      </c>
      <c r="B226" t="s">
        <v>23</v>
      </c>
      <c r="C226" s="96" t="str">
        <f t="shared" si="14"/>
        <v>Muslinger</v>
      </c>
      <c r="D226">
        <f t="shared" si="15"/>
        <v>2050</v>
      </c>
      <c r="E226" s="135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95" t="s">
        <v>112</v>
      </c>
      <c r="B227" t="s">
        <v>23</v>
      </c>
      <c r="C227" s="96" t="str">
        <f t="shared" si="14"/>
        <v>Græs</v>
      </c>
      <c r="D227">
        <f t="shared" si="15"/>
        <v>2050</v>
      </c>
      <c r="E227" s="135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7194482.7131786915</v>
      </c>
    </row>
    <row r="228" spans="1:5" x14ac:dyDescent="0.25">
      <c r="A228" s="95" t="s">
        <v>112</v>
      </c>
      <c r="B228" t="s">
        <v>23</v>
      </c>
      <c r="C228" s="96" t="str">
        <f t="shared" si="14"/>
        <v>Mælk til foder</v>
      </c>
      <c r="D228">
        <f t="shared" si="15"/>
        <v>2050</v>
      </c>
      <c r="E228" s="135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0</v>
      </c>
    </row>
    <row r="229" spans="1:5" x14ac:dyDescent="0.25">
      <c r="A229" s="95" t="s">
        <v>112</v>
      </c>
      <c r="B229" t="s">
        <v>23</v>
      </c>
      <c r="C229" s="96" t="str">
        <f t="shared" si="14"/>
        <v>Fiberfraktion</v>
      </c>
      <c r="D229">
        <f t="shared" si="15"/>
        <v>2050</v>
      </c>
      <c r="E229" s="135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7440134.0206201067</v>
      </c>
    </row>
    <row r="230" spans="1:5" x14ac:dyDescent="0.25">
      <c r="A230" s="95" t="s">
        <v>112</v>
      </c>
      <c r="B230" t="s">
        <v>23</v>
      </c>
      <c r="C230" s="96" t="str">
        <f t="shared" si="14"/>
        <v>Græsprotein</v>
      </c>
      <c r="D230">
        <f t="shared" si="15"/>
        <v>2050</v>
      </c>
      <c r="E230" s="135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3614323.9107155115</v>
      </c>
    </row>
    <row r="231" spans="1:5" x14ac:dyDescent="0.25">
      <c r="A231" s="95" t="s">
        <v>112</v>
      </c>
      <c r="B231" t="s">
        <v>23</v>
      </c>
      <c r="C231" s="96" t="str">
        <f t="shared" si="14"/>
        <v>Slagteriaffald til foder</v>
      </c>
      <c r="D231">
        <f t="shared" si="15"/>
        <v>2050</v>
      </c>
      <c r="E231" s="135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39591.750029137664</v>
      </c>
    </row>
    <row r="232" spans="1:5" x14ac:dyDescent="0.25">
      <c r="A232" s="95" t="s">
        <v>112</v>
      </c>
      <c r="B232" t="s">
        <v>23</v>
      </c>
      <c r="C232" s="96" t="str">
        <f t="shared" si="14"/>
        <v>Import af foder</v>
      </c>
      <c r="D232">
        <f t="shared" si="15"/>
        <v>2050</v>
      </c>
      <c r="E232" s="135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95" t="s">
        <v>112</v>
      </c>
      <c r="B233" t="s">
        <v>24</v>
      </c>
      <c r="C233" s="96" t="str">
        <f t="shared" si="14"/>
        <v>Korn</v>
      </c>
      <c r="D233">
        <f t="shared" ref="D233:D247" si="16">År1</f>
        <v>2019</v>
      </c>
      <c r="E233" s="135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95" t="s">
        <v>112</v>
      </c>
      <c r="B234" t="s">
        <v>24</v>
      </c>
      <c r="C234" s="96" t="str">
        <f t="shared" si="14"/>
        <v>Halm</v>
      </c>
      <c r="D234">
        <f t="shared" si="16"/>
        <v>2019</v>
      </c>
      <c r="E234" s="135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95" t="s">
        <v>112</v>
      </c>
      <c r="B235" t="s">
        <v>24</v>
      </c>
      <c r="C235" s="96" t="str">
        <f t="shared" si="14"/>
        <v>Kartofler</v>
      </c>
      <c r="D235">
        <f t="shared" si="16"/>
        <v>2019</v>
      </c>
      <c r="E235" s="135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95" t="s">
        <v>112</v>
      </c>
      <c r="B236" t="s">
        <v>24</v>
      </c>
      <c r="C236" s="96" t="str">
        <f t="shared" si="14"/>
        <v>Bælgsæd</v>
      </c>
      <c r="D236">
        <f t="shared" si="16"/>
        <v>2019</v>
      </c>
      <c r="E236" s="135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95" t="s">
        <v>112</v>
      </c>
      <c r="B237" t="s">
        <v>24</v>
      </c>
      <c r="C237" s="96" t="str">
        <f t="shared" si="14"/>
        <v>Roer</v>
      </c>
      <c r="D237">
        <f t="shared" si="16"/>
        <v>2019</v>
      </c>
      <c r="E237" s="135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95" t="s">
        <v>112</v>
      </c>
      <c r="B238" t="s">
        <v>24</v>
      </c>
      <c r="C238" s="96" t="str">
        <f t="shared" si="14"/>
        <v>Majs</v>
      </c>
      <c r="D238">
        <f t="shared" si="16"/>
        <v>2019</v>
      </c>
      <c r="E238" s="135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95" t="s">
        <v>112</v>
      </c>
      <c r="B239" t="s">
        <v>24</v>
      </c>
      <c r="C239" s="96" t="str">
        <f t="shared" si="14"/>
        <v>Rapskage</v>
      </c>
      <c r="D239">
        <f t="shared" si="16"/>
        <v>2019</v>
      </c>
      <c r="E239" s="135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95" t="s">
        <v>112</v>
      </c>
      <c r="B240" t="s">
        <v>24</v>
      </c>
      <c r="C240" s="96" t="str">
        <f t="shared" si="14"/>
        <v>Tang</v>
      </c>
      <c r="D240">
        <f t="shared" si="16"/>
        <v>2019</v>
      </c>
      <c r="E240" s="135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95" t="s">
        <v>112</v>
      </c>
      <c r="B241" t="s">
        <v>24</v>
      </c>
      <c r="C241" s="96" t="str">
        <f t="shared" si="14"/>
        <v>Muslinger</v>
      </c>
      <c r="D241">
        <f t="shared" si="16"/>
        <v>2019</v>
      </c>
      <c r="E241" s="135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95" t="s">
        <v>112</v>
      </c>
      <c r="B242" t="s">
        <v>24</v>
      </c>
      <c r="C242" s="96" t="str">
        <f t="shared" si="14"/>
        <v>Græs</v>
      </c>
      <c r="D242">
        <f t="shared" si="16"/>
        <v>2019</v>
      </c>
      <c r="E242" s="135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95" t="s">
        <v>112</v>
      </c>
      <c r="B243" t="s">
        <v>24</v>
      </c>
      <c r="C243" s="96" t="str">
        <f t="shared" si="14"/>
        <v>Mælk til foder</v>
      </c>
      <c r="D243">
        <f t="shared" si="16"/>
        <v>2019</v>
      </c>
      <c r="E243" s="135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95" t="s">
        <v>112</v>
      </c>
      <c r="B244" t="s">
        <v>24</v>
      </c>
      <c r="C244" s="96" t="str">
        <f t="shared" si="14"/>
        <v>Fiberfraktion</v>
      </c>
      <c r="D244">
        <f t="shared" si="16"/>
        <v>2019</v>
      </c>
      <c r="E244" s="135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95" t="s">
        <v>112</v>
      </c>
      <c r="B245" t="s">
        <v>24</v>
      </c>
      <c r="C245" s="96" t="str">
        <f t="shared" si="14"/>
        <v>Græsprotein</v>
      </c>
      <c r="D245">
        <f t="shared" si="16"/>
        <v>2019</v>
      </c>
      <c r="E245" s="135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95" t="s">
        <v>112</v>
      </c>
      <c r="B246" t="s">
        <v>24</v>
      </c>
      <c r="C246" s="96" t="str">
        <f t="shared" si="14"/>
        <v>Slagteriaffald til foder</v>
      </c>
      <c r="D246">
        <f t="shared" si="16"/>
        <v>2019</v>
      </c>
      <c r="E246" s="135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95" t="s">
        <v>112</v>
      </c>
      <c r="B247" t="s">
        <v>24</v>
      </c>
      <c r="C247" s="96" t="str">
        <f t="shared" si="14"/>
        <v>Import af foder</v>
      </c>
      <c r="D247">
        <f t="shared" si="16"/>
        <v>2019</v>
      </c>
      <c r="E247" s="135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95" t="s">
        <v>112</v>
      </c>
      <c r="B248" t="s">
        <v>24</v>
      </c>
      <c r="C248" s="96" t="str">
        <f t="shared" si="14"/>
        <v>Korn</v>
      </c>
      <c r="D248">
        <f t="shared" ref="D248:D262" si="17">År2</f>
        <v>2030</v>
      </c>
      <c r="E248" s="135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420737.76566977677</v>
      </c>
    </row>
    <row r="249" spans="1:5" x14ac:dyDescent="0.25">
      <c r="A249" s="95" t="s">
        <v>112</v>
      </c>
      <c r="B249" t="s">
        <v>24</v>
      </c>
      <c r="C249" s="96" t="str">
        <f t="shared" si="14"/>
        <v>Halm</v>
      </c>
      <c r="D249">
        <f t="shared" si="17"/>
        <v>2030</v>
      </c>
      <c r="E249" s="135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65382.695454513305</v>
      </c>
    </row>
    <row r="250" spans="1:5" x14ac:dyDescent="0.25">
      <c r="A250" s="95" t="s">
        <v>112</v>
      </c>
      <c r="B250" t="s">
        <v>24</v>
      </c>
      <c r="C250" s="96" t="str">
        <f t="shared" si="14"/>
        <v>Kartofler</v>
      </c>
      <c r="D250">
        <f t="shared" si="17"/>
        <v>2030</v>
      </c>
      <c r="E250" s="135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98640.569199997146</v>
      </c>
    </row>
    <row r="251" spans="1:5" x14ac:dyDescent="0.25">
      <c r="A251" s="95" t="s">
        <v>112</v>
      </c>
      <c r="B251" t="s">
        <v>24</v>
      </c>
      <c r="C251" s="96" t="str">
        <f t="shared" si="14"/>
        <v>Bælgsæd</v>
      </c>
      <c r="D251">
        <f t="shared" si="17"/>
        <v>2030</v>
      </c>
      <c r="E251" s="135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6776.9581577594281</v>
      </c>
    </row>
    <row r="252" spans="1:5" x14ac:dyDescent="0.25">
      <c r="A252" s="95" t="s">
        <v>112</v>
      </c>
      <c r="B252" t="s">
        <v>24</v>
      </c>
      <c r="C252" s="96" t="str">
        <f t="shared" si="14"/>
        <v>Roer</v>
      </c>
      <c r="D252">
        <f t="shared" si="17"/>
        <v>2030</v>
      </c>
      <c r="E252" s="135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88382.829307445863</v>
      </c>
    </row>
    <row r="253" spans="1:5" x14ac:dyDescent="0.25">
      <c r="A253" s="95" t="s">
        <v>112</v>
      </c>
      <c r="B253" t="s">
        <v>24</v>
      </c>
      <c r="C253" s="96" t="str">
        <f t="shared" si="14"/>
        <v>Majs</v>
      </c>
      <c r="D253">
        <f t="shared" si="17"/>
        <v>2030</v>
      </c>
      <c r="E253" s="135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406751.99046612647</v>
      </c>
    </row>
    <row r="254" spans="1:5" x14ac:dyDescent="0.25">
      <c r="A254" s="95" t="s">
        <v>112</v>
      </c>
      <c r="B254" t="s">
        <v>24</v>
      </c>
      <c r="C254" s="96" t="str">
        <f t="shared" si="14"/>
        <v>Rapskage</v>
      </c>
      <c r="D254">
        <f t="shared" si="17"/>
        <v>2030</v>
      </c>
      <c r="E254" s="135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38968.871949734763</v>
      </c>
    </row>
    <row r="255" spans="1:5" x14ac:dyDescent="0.25">
      <c r="A255" s="95" t="s">
        <v>112</v>
      </c>
      <c r="B255" t="s">
        <v>24</v>
      </c>
      <c r="C255" s="96" t="str">
        <f t="shared" si="14"/>
        <v>Tang</v>
      </c>
      <c r="D255">
        <f t="shared" si="17"/>
        <v>2030</v>
      </c>
      <c r="E255" s="135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95" t="s">
        <v>112</v>
      </c>
      <c r="B256" t="s">
        <v>24</v>
      </c>
      <c r="C256" s="96" t="str">
        <f t="shared" si="14"/>
        <v>Muslinger</v>
      </c>
      <c r="D256">
        <f t="shared" si="17"/>
        <v>2030</v>
      </c>
      <c r="E256" s="135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95" t="s">
        <v>112</v>
      </c>
      <c r="B257" t="s">
        <v>24</v>
      </c>
      <c r="C257" s="96" t="str">
        <f t="shared" si="14"/>
        <v>Græs</v>
      </c>
      <c r="D257">
        <f t="shared" si="17"/>
        <v>2030</v>
      </c>
      <c r="E257" s="135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1285833.6860159934</v>
      </c>
    </row>
    <row r="258" spans="1:5" x14ac:dyDescent="0.25">
      <c r="A258" s="95" t="s">
        <v>112</v>
      </c>
      <c r="B258" t="s">
        <v>24</v>
      </c>
      <c r="C258" s="96" t="str">
        <f t="shared" si="14"/>
        <v>Mælk til foder</v>
      </c>
      <c r="D258">
        <f t="shared" si="17"/>
        <v>2030</v>
      </c>
      <c r="E258" s="135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102747.43013377195</v>
      </c>
    </row>
    <row r="259" spans="1:5" x14ac:dyDescent="0.25">
      <c r="A259" s="95" t="s">
        <v>112</v>
      </c>
      <c r="B259" t="s">
        <v>24</v>
      </c>
      <c r="C259" s="96" t="str">
        <f t="shared" si="14"/>
        <v>Fiberfraktion</v>
      </c>
      <c r="D259">
        <f t="shared" si="17"/>
        <v>2030</v>
      </c>
      <c r="E259" s="135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471697.49771697511</v>
      </c>
    </row>
    <row r="260" spans="1:5" x14ac:dyDescent="0.25">
      <c r="A260" s="95" t="s">
        <v>112</v>
      </c>
      <c r="B260" t="s">
        <v>24</v>
      </c>
      <c r="C260" s="96" t="str">
        <f t="shared" si="14"/>
        <v>Græsprotein</v>
      </c>
      <c r="D260">
        <f t="shared" si="17"/>
        <v>2030</v>
      </c>
      <c r="E260" s="135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229215.13358867078</v>
      </c>
    </row>
    <row r="261" spans="1:5" x14ac:dyDescent="0.25">
      <c r="A261" s="95" t="s">
        <v>112</v>
      </c>
      <c r="B261" t="s">
        <v>24</v>
      </c>
      <c r="C261" s="96" t="str">
        <f t="shared" si="14"/>
        <v>Slagteriaffald til foder</v>
      </c>
      <c r="D261">
        <f t="shared" si="17"/>
        <v>2030</v>
      </c>
      <c r="E261" s="135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5182.7698392938037</v>
      </c>
    </row>
    <row r="262" spans="1:5" x14ac:dyDescent="0.25">
      <c r="A262" s="95" t="s">
        <v>112</v>
      </c>
      <c r="B262" t="s">
        <v>24</v>
      </c>
      <c r="C262" s="96" t="str">
        <f t="shared" si="14"/>
        <v>Import af foder</v>
      </c>
      <c r="D262">
        <f t="shared" si="17"/>
        <v>2030</v>
      </c>
      <c r="E262" s="135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327310.07589895441</v>
      </c>
    </row>
    <row r="263" spans="1:5" x14ac:dyDescent="0.25">
      <c r="A263" s="95" t="s">
        <v>112</v>
      </c>
      <c r="B263" t="s">
        <v>24</v>
      </c>
      <c r="C263" s="96" t="str">
        <f t="shared" si="14"/>
        <v>Korn</v>
      </c>
      <c r="D263">
        <f t="shared" ref="D263:D277" si="18">År3</f>
        <v>2050</v>
      </c>
      <c r="E263" s="135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49529.771665708242</v>
      </c>
    </row>
    <row r="264" spans="1:5" x14ac:dyDescent="0.25">
      <c r="A264" s="95" t="s">
        <v>112</v>
      </c>
      <c r="B264" t="s">
        <v>24</v>
      </c>
      <c r="C264" s="96" t="str">
        <f t="shared" si="14"/>
        <v>Halm</v>
      </c>
      <c r="D264">
        <f t="shared" si="18"/>
        <v>2050</v>
      </c>
      <c r="E264" s="135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28956.048343518098</v>
      </c>
    </row>
    <row r="265" spans="1:5" x14ac:dyDescent="0.25">
      <c r="A265" s="95" t="s">
        <v>112</v>
      </c>
      <c r="B265" t="s">
        <v>24</v>
      </c>
      <c r="C265" s="96" t="str">
        <f t="shared" si="14"/>
        <v>Kartofler</v>
      </c>
      <c r="D265">
        <f t="shared" si="18"/>
        <v>2050</v>
      </c>
      <c r="E265" s="135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220106.23074563002</v>
      </c>
    </row>
    <row r="266" spans="1:5" x14ac:dyDescent="0.25">
      <c r="A266" s="95" t="s">
        <v>112</v>
      </c>
      <c r="B266" t="s">
        <v>24</v>
      </c>
      <c r="C266" s="96" t="str">
        <f t="shared" si="14"/>
        <v>Bælgsæd</v>
      </c>
      <c r="D266">
        <f t="shared" si="18"/>
        <v>2050</v>
      </c>
      <c r="E266" s="135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5365.8998488810739</v>
      </c>
    </row>
    <row r="267" spans="1:5" x14ac:dyDescent="0.25">
      <c r="A267" s="95" t="s">
        <v>112</v>
      </c>
      <c r="B267" t="s">
        <v>24</v>
      </c>
      <c r="C267" s="96" t="str">
        <f t="shared" si="14"/>
        <v>Roer</v>
      </c>
      <c r="D267">
        <f t="shared" si="18"/>
        <v>2050</v>
      </c>
      <c r="E267" s="135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69980.277195824005</v>
      </c>
    </row>
    <row r="268" spans="1:5" x14ac:dyDescent="0.25">
      <c r="A268" s="95" t="s">
        <v>112</v>
      </c>
      <c r="B268" t="s">
        <v>24</v>
      </c>
      <c r="C268" s="96" t="str">
        <f t="shared" ref="C268:C277" si="19">C253</f>
        <v>Majs</v>
      </c>
      <c r="D268">
        <f t="shared" si="18"/>
        <v>2050</v>
      </c>
      <c r="E268" s="135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51926.585742627525</v>
      </c>
    </row>
    <row r="269" spans="1:5" x14ac:dyDescent="0.25">
      <c r="A269" s="95" t="s">
        <v>112</v>
      </c>
      <c r="B269" t="s">
        <v>24</v>
      </c>
      <c r="C269" s="96" t="str">
        <f t="shared" si="19"/>
        <v>Rapskage</v>
      </c>
      <c r="D269">
        <f t="shared" si="18"/>
        <v>2050</v>
      </c>
      <c r="E269" s="135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54569.905755399974</v>
      </c>
    </row>
    <row r="270" spans="1:5" x14ac:dyDescent="0.25">
      <c r="A270" s="95" t="s">
        <v>112</v>
      </c>
      <c r="B270" t="s">
        <v>24</v>
      </c>
      <c r="C270" s="96" t="str">
        <f t="shared" si="19"/>
        <v>Tang</v>
      </c>
      <c r="D270">
        <f t="shared" si="18"/>
        <v>2050</v>
      </c>
      <c r="E270" s="135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95" t="s">
        <v>112</v>
      </c>
      <c r="B271" t="s">
        <v>24</v>
      </c>
      <c r="C271" s="96" t="str">
        <f t="shared" si="19"/>
        <v>Muslinger</v>
      </c>
      <c r="D271">
        <f t="shared" si="18"/>
        <v>2050</v>
      </c>
      <c r="E271" s="135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95" t="s">
        <v>112</v>
      </c>
      <c r="B272" t="s">
        <v>24</v>
      </c>
      <c r="C272" s="96" t="str">
        <f t="shared" si="19"/>
        <v>Græs</v>
      </c>
      <c r="D272">
        <f t="shared" si="18"/>
        <v>2050</v>
      </c>
      <c r="E272" s="135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1018104.9699383936</v>
      </c>
    </row>
    <row r="273" spans="1:7" x14ac:dyDescent="0.25">
      <c r="A273" s="95" t="s">
        <v>112</v>
      </c>
      <c r="B273" t="s">
        <v>24</v>
      </c>
      <c r="C273" s="96" t="str">
        <f t="shared" si="19"/>
        <v>Mælk til foder</v>
      </c>
      <c r="D273">
        <f t="shared" si="18"/>
        <v>2050</v>
      </c>
      <c r="E273" s="135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0</v>
      </c>
    </row>
    <row r="274" spans="1:7" x14ac:dyDescent="0.25">
      <c r="A274" s="95" t="s">
        <v>112</v>
      </c>
      <c r="B274" t="s">
        <v>24</v>
      </c>
      <c r="C274" s="96" t="str">
        <f t="shared" si="19"/>
        <v>Fiberfraktion</v>
      </c>
      <c r="D274">
        <f t="shared" si="18"/>
        <v>2050</v>
      </c>
      <c r="E274" s="135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1052867.5549564718</v>
      </c>
    </row>
    <row r="275" spans="1:7" x14ac:dyDescent="0.25">
      <c r="A275" s="95" t="s">
        <v>112</v>
      </c>
      <c r="B275" t="s">
        <v>24</v>
      </c>
      <c r="C275" s="96" t="str">
        <f t="shared" si="19"/>
        <v>Græsprotein</v>
      </c>
      <c r="D275">
        <f t="shared" si="18"/>
        <v>2050</v>
      </c>
      <c r="E275" s="135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511469.86978315056</v>
      </c>
    </row>
    <row r="276" spans="1:7" x14ac:dyDescent="0.25">
      <c r="A276" s="95" t="s">
        <v>112</v>
      </c>
      <c r="B276" t="s">
        <v>24</v>
      </c>
      <c r="C276" s="96" t="str">
        <f t="shared" si="19"/>
        <v>Slagteriaffald til foder</v>
      </c>
      <c r="D276">
        <f t="shared" si="18"/>
        <v>2050</v>
      </c>
      <c r="E276" s="135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5602.7040553433098</v>
      </c>
    </row>
    <row r="277" spans="1:7" x14ac:dyDescent="0.25">
      <c r="A277" s="95" t="s">
        <v>112</v>
      </c>
      <c r="B277" t="s">
        <v>24</v>
      </c>
      <c r="C277" s="96" t="str">
        <f t="shared" si="19"/>
        <v>Import af foder</v>
      </c>
      <c r="D277">
        <f t="shared" si="18"/>
        <v>2050</v>
      </c>
      <c r="E277" s="135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>
        <v>1</v>
      </c>
    </row>
    <row r="284" spans="1:7" x14ac:dyDescent="0.25">
      <c r="A284" t="s">
        <v>164</v>
      </c>
      <c r="B284" t="s">
        <v>23</v>
      </c>
      <c r="C284" t="str">
        <f>C278</f>
        <v>Halm</v>
      </c>
      <c r="D284">
        <f t="shared" si="20"/>
        <v>2019</v>
      </c>
      <c r="E284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>C279</f>
        <v>Rapsolie</v>
      </c>
      <c r="D285">
        <f t="shared" si="20"/>
        <v>2019</v>
      </c>
      <c r="E285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>
        <v>1</v>
      </c>
      <c r="G285">
        <v>1</v>
      </c>
    </row>
    <row r="286" spans="1:7" x14ac:dyDescent="0.25">
      <c r="A286" t="s">
        <v>164</v>
      </c>
      <c r="B286" t="s">
        <v>23</v>
      </c>
      <c r="C286" t="str">
        <f>C280</f>
        <v>Pil &amp; poppel</v>
      </c>
      <c r="D286">
        <f t="shared" si="20"/>
        <v>2019</v>
      </c>
      <c r="E286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>
        <v>1</v>
      </c>
      <c r="G286">
        <v>1</v>
      </c>
    </row>
    <row r="287" spans="1:7" x14ac:dyDescent="0.25">
      <c r="A287" t="s">
        <v>164</v>
      </c>
      <c r="B287" t="s">
        <v>23</v>
      </c>
      <c r="C287" t="s">
        <v>118</v>
      </c>
      <c r="D287">
        <f t="shared" si="20"/>
        <v>2019</v>
      </c>
      <c r="E287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>
        <v>1</v>
      </c>
      <c r="G287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>
        <v>1</v>
      </c>
      <c r="G28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>
        <v>1</v>
      </c>
      <c r="G28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>
        <v>1</v>
      </c>
    </row>
    <row r="291" spans="1:7" x14ac:dyDescent="0.25">
      <c r="A291" t="s">
        <v>120</v>
      </c>
      <c r="B291" t="s">
        <v>24</v>
      </c>
      <c r="C291" t="str">
        <f t="shared" ref="C291:C349" si="21">C279</f>
        <v>Rapsolie</v>
      </c>
      <c r="D291">
        <f t="shared" si="20"/>
        <v>2019</v>
      </c>
      <c r="E29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>
        <v>1</v>
      </c>
    </row>
    <row r="292" spans="1:7" x14ac:dyDescent="0.25">
      <c r="A292" t="s">
        <v>120</v>
      </c>
      <c r="B292" t="s">
        <v>24</v>
      </c>
      <c r="C292" t="str">
        <f t="shared" si="21"/>
        <v>Pil &amp; poppel</v>
      </c>
      <c r="D292">
        <f t="shared" si="20"/>
        <v>2019</v>
      </c>
      <c r="E292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>
        <v>1</v>
      </c>
    </row>
    <row r="293" spans="1:7" x14ac:dyDescent="0.25">
      <c r="A293" t="s">
        <v>120</v>
      </c>
      <c r="B293" t="s">
        <v>24</v>
      </c>
      <c r="C293" t="str">
        <f t="shared" si="21"/>
        <v>Træ til energi</v>
      </c>
      <c r="D293">
        <f t="shared" si="20"/>
        <v>2019</v>
      </c>
      <c r="E293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>
        <v>1</v>
      </c>
    </row>
    <row r="294" spans="1:7" x14ac:dyDescent="0.25">
      <c r="A294" t="s">
        <v>120</v>
      </c>
      <c r="B294" t="s">
        <v>24</v>
      </c>
      <c r="C294" t="str">
        <f t="shared" si="21"/>
        <v>Have/parkaffald</v>
      </c>
      <c r="D294">
        <f t="shared" si="20"/>
        <v>2019</v>
      </c>
      <c r="E294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>
        <v>1</v>
      </c>
    </row>
    <row r="295" spans="1:7" x14ac:dyDescent="0.25">
      <c r="A295" t="s">
        <v>120</v>
      </c>
      <c r="B295" t="s">
        <v>24</v>
      </c>
      <c r="C295" t="str">
        <f t="shared" si="21"/>
        <v>Bioaffald</v>
      </c>
      <c r="D295">
        <f t="shared" si="20"/>
        <v>2019</v>
      </c>
      <c r="E295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>
        <v>1</v>
      </c>
    </row>
    <row r="296" spans="1:7" x14ac:dyDescent="0.25">
      <c r="A296" t="s">
        <v>164</v>
      </c>
      <c r="B296" t="s">
        <v>24</v>
      </c>
      <c r="C296" t="str">
        <f t="shared" si="21"/>
        <v>Halm</v>
      </c>
      <c r="D296">
        <f t="shared" si="20"/>
        <v>2019</v>
      </c>
      <c r="E296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>
        <v>1</v>
      </c>
      <c r="G296">
        <v>1</v>
      </c>
    </row>
    <row r="297" spans="1:7" x14ac:dyDescent="0.25">
      <c r="A297" t="s">
        <v>164</v>
      </c>
      <c r="B297" t="s">
        <v>24</v>
      </c>
      <c r="C297" t="str">
        <f t="shared" si="21"/>
        <v>Rapsolie</v>
      </c>
      <c r="D297">
        <f t="shared" si="20"/>
        <v>2019</v>
      </c>
      <c r="E297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>
        <v>1</v>
      </c>
      <c r="G297">
        <v>1</v>
      </c>
    </row>
    <row r="298" spans="1:7" x14ac:dyDescent="0.25">
      <c r="A298" t="s">
        <v>164</v>
      </c>
      <c r="B298" t="s">
        <v>24</v>
      </c>
      <c r="C298" t="str">
        <f t="shared" si="21"/>
        <v>Pil &amp; poppel</v>
      </c>
      <c r="D298">
        <f t="shared" si="20"/>
        <v>2019</v>
      </c>
      <c r="E29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>
        <v>1</v>
      </c>
      <c r="G298">
        <v>1</v>
      </c>
    </row>
    <row r="299" spans="1:7" x14ac:dyDescent="0.25">
      <c r="A299" t="s">
        <v>164</v>
      </c>
      <c r="B299" t="s">
        <v>24</v>
      </c>
      <c r="C299" t="str">
        <f t="shared" si="21"/>
        <v>Træmaterialer</v>
      </c>
      <c r="D299">
        <f t="shared" si="20"/>
        <v>2019</v>
      </c>
      <c r="E29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>
        <v>1</v>
      </c>
      <c r="G299">
        <v>1</v>
      </c>
    </row>
    <row r="300" spans="1:7" x14ac:dyDescent="0.25">
      <c r="A300" t="s">
        <v>164</v>
      </c>
      <c r="B300" t="s">
        <v>24</v>
      </c>
      <c r="C300" t="str">
        <f t="shared" si="21"/>
        <v>Have/parkaffald</v>
      </c>
      <c r="D300">
        <f t="shared" si="20"/>
        <v>2019</v>
      </c>
      <c r="E300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>
        <v>1</v>
      </c>
      <c r="G300">
        <v>1</v>
      </c>
    </row>
    <row r="301" spans="1:7" x14ac:dyDescent="0.25">
      <c r="A301" t="s">
        <v>164</v>
      </c>
      <c r="B301" t="s">
        <v>24</v>
      </c>
      <c r="C301" t="str">
        <f t="shared" si="21"/>
        <v>Bioaffald</v>
      </c>
      <c r="D301">
        <f t="shared" si="20"/>
        <v>2019</v>
      </c>
      <c r="E30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>
        <v>1</v>
      </c>
      <c r="G301">
        <v>1</v>
      </c>
    </row>
    <row r="302" spans="1:7" x14ac:dyDescent="0.25">
      <c r="A302" t="s">
        <v>120</v>
      </c>
      <c r="B302" t="s">
        <v>23</v>
      </c>
      <c r="C302" t="str">
        <f>C290</f>
        <v>Halm</v>
      </c>
      <c r="D302">
        <f t="shared" ref="D302:D325" si="22">År2</f>
        <v>2030</v>
      </c>
      <c r="E302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1040357.0052034357</v>
      </c>
      <c r="F302">
        <v>1</v>
      </c>
    </row>
    <row r="303" spans="1:7" x14ac:dyDescent="0.25">
      <c r="A303" t="s">
        <v>120</v>
      </c>
      <c r="B303" t="s">
        <v>23</v>
      </c>
      <c r="C303" t="str">
        <f t="shared" si="21"/>
        <v>Rapsolie</v>
      </c>
      <c r="D303">
        <f t="shared" si="22"/>
        <v>2030</v>
      </c>
      <c r="E303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235643.20056012695</v>
      </c>
      <c r="F303">
        <v>1</v>
      </c>
    </row>
    <row r="304" spans="1:7" x14ac:dyDescent="0.25">
      <c r="A304" t="s">
        <v>120</v>
      </c>
      <c r="B304" t="s">
        <v>23</v>
      </c>
      <c r="C304" t="str">
        <f t="shared" si="21"/>
        <v>Pil &amp; poppel</v>
      </c>
      <c r="D304">
        <f t="shared" si="22"/>
        <v>2030</v>
      </c>
      <c r="E304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897193.5214277351</v>
      </c>
      <c r="F304">
        <v>1</v>
      </c>
    </row>
    <row r="305" spans="1:7" x14ac:dyDescent="0.25">
      <c r="A305" t="s">
        <v>120</v>
      </c>
      <c r="B305" t="s">
        <v>23</v>
      </c>
      <c r="C305" t="str">
        <f t="shared" si="21"/>
        <v>Træ til energi</v>
      </c>
      <c r="D305">
        <f t="shared" si="22"/>
        <v>2030</v>
      </c>
      <c r="E305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2212209.4819686995</v>
      </c>
      <c r="F305">
        <v>1</v>
      </c>
    </row>
    <row r="306" spans="1:7" x14ac:dyDescent="0.25">
      <c r="A306" t="s">
        <v>120</v>
      </c>
      <c r="B306" t="s">
        <v>23</v>
      </c>
      <c r="C306" t="str">
        <f t="shared" si="21"/>
        <v>Have/parkaffald</v>
      </c>
      <c r="D306">
        <f t="shared" si="22"/>
        <v>2030</v>
      </c>
      <c r="E306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>
        <v>1</v>
      </c>
    </row>
    <row r="307" spans="1:7" x14ac:dyDescent="0.25">
      <c r="A307" t="s">
        <v>120</v>
      </c>
      <c r="B307" t="s">
        <v>23</v>
      </c>
      <c r="C307" t="str">
        <f t="shared" si="21"/>
        <v>Bioaffald</v>
      </c>
      <c r="D307">
        <f t="shared" si="22"/>
        <v>2030</v>
      </c>
      <c r="E307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>
        <v>1</v>
      </c>
    </row>
    <row r="308" spans="1:7" x14ac:dyDescent="0.25">
      <c r="A308" t="s">
        <v>164</v>
      </c>
      <c r="B308" t="s">
        <v>23</v>
      </c>
      <c r="C308" t="str">
        <f t="shared" si="21"/>
        <v>Halm</v>
      </c>
      <c r="D308">
        <f t="shared" si="22"/>
        <v>2030</v>
      </c>
      <c r="E30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>
        <v>1</v>
      </c>
      <c r="G308">
        <v>1</v>
      </c>
    </row>
    <row r="309" spans="1:7" x14ac:dyDescent="0.25">
      <c r="A309" t="s">
        <v>164</v>
      </c>
      <c r="B309" t="s">
        <v>23</v>
      </c>
      <c r="C309" t="str">
        <f t="shared" si="21"/>
        <v>Rapsolie</v>
      </c>
      <c r="D309">
        <f t="shared" si="22"/>
        <v>2030</v>
      </c>
      <c r="E30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>
        <v>1</v>
      </c>
      <c r="G309">
        <v>1</v>
      </c>
    </row>
    <row r="310" spans="1:7" x14ac:dyDescent="0.25">
      <c r="A310" t="s">
        <v>164</v>
      </c>
      <c r="B310" t="s">
        <v>23</v>
      </c>
      <c r="C310" t="str">
        <f t="shared" si="21"/>
        <v>Pil &amp; poppel</v>
      </c>
      <c r="D310">
        <f t="shared" si="22"/>
        <v>2030</v>
      </c>
      <c r="E310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>
        <v>1</v>
      </c>
      <c r="G310">
        <v>1</v>
      </c>
    </row>
    <row r="311" spans="1:7" x14ac:dyDescent="0.25">
      <c r="A311" t="s">
        <v>164</v>
      </c>
      <c r="B311" t="s">
        <v>23</v>
      </c>
      <c r="C311" t="str">
        <f t="shared" si="21"/>
        <v>Træmaterialer</v>
      </c>
      <c r="D311">
        <f t="shared" si="22"/>
        <v>2030</v>
      </c>
      <c r="E311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611213.62991940021</v>
      </c>
      <c r="F311">
        <v>1</v>
      </c>
      <c r="G311">
        <v>1</v>
      </c>
    </row>
    <row r="312" spans="1:7" x14ac:dyDescent="0.25">
      <c r="A312" t="s">
        <v>164</v>
      </c>
      <c r="B312" t="s">
        <v>23</v>
      </c>
      <c r="C312" t="str">
        <f t="shared" si="21"/>
        <v>Have/parkaffald</v>
      </c>
      <c r="D312">
        <f t="shared" si="22"/>
        <v>2030</v>
      </c>
      <c r="E312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>
        <v>1</v>
      </c>
      <c r="G312">
        <v>1</v>
      </c>
    </row>
    <row r="313" spans="1:7" x14ac:dyDescent="0.25">
      <c r="A313" t="s">
        <v>164</v>
      </c>
      <c r="B313" t="s">
        <v>23</v>
      </c>
      <c r="C313" t="str">
        <f t="shared" si="21"/>
        <v>Bioaffald</v>
      </c>
      <c r="D313">
        <f t="shared" si="22"/>
        <v>2030</v>
      </c>
      <c r="E313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>
        <v>1</v>
      </c>
      <c r="G313">
        <v>1</v>
      </c>
    </row>
    <row r="314" spans="1:7" x14ac:dyDescent="0.25">
      <c r="A314" t="s">
        <v>120</v>
      </c>
      <c r="B314" t="s">
        <v>24</v>
      </c>
      <c r="C314" t="str">
        <f>C302</f>
        <v>Halm</v>
      </c>
      <c r="D314">
        <f t="shared" si="22"/>
        <v>2030</v>
      </c>
      <c r="E314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513852.51374389092</v>
      </c>
      <c r="F314">
        <v>1</v>
      </c>
    </row>
    <row r="315" spans="1:7" x14ac:dyDescent="0.25">
      <c r="A315" t="s">
        <v>120</v>
      </c>
      <c r="B315" t="s">
        <v>24</v>
      </c>
      <c r="C315" t="str">
        <f t="shared" si="21"/>
        <v>Rapsolie</v>
      </c>
      <c r="D315">
        <f t="shared" si="22"/>
        <v>2030</v>
      </c>
      <c r="E315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72257.381235283217</v>
      </c>
      <c r="F315">
        <v>1</v>
      </c>
    </row>
    <row r="316" spans="1:7" x14ac:dyDescent="0.25">
      <c r="A316" t="s">
        <v>120</v>
      </c>
      <c r="B316" t="s">
        <v>24</v>
      </c>
      <c r="C316" t="str">
        <f t="shared" si="21"/>
        <v>Pil &amp; poppel</v>
      </c>
      <c r="D316">
        <f t="shared" si="22"/>
        <v>2030</v>
      </c>
      <c r="E316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272470.87062579964</v>
      </c>
      <c r="F316">
        <v>1</v>
      </c>
    </row>
    <row r="317" spans="1:7" x14ac:dyDescent="0.25">
      <c r="A317" t="s">
        <v>120</v>
      </c>
      <c r="B317" t="s">
        <v>24</v>
      </c>
      <c r="C317" t="str">
        <f t="shared" si="21"/>
        <v>Træ til energi</v>
      </c>
      <c r="D317">
        <f t="shared" si="22"/>
        <v>2030</v>
      </c>
      <c r="E317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646548.74657684658</v>
      </c>
      <c r="F317">
        <v>1</v>
      </c>
    </row>
    <row r="318" spans="1:7" x14ac:dyDescent="0.25">
      <c r="A318" t="s">
        <v>120</v>
      </c>
      <c r="B318" t="s">
        <v>24</v>
      </c>
      <c r="C318" t="str">
        <f t="shared" si="21"/>
        <v>Have/parkaffald</v>
      </c>
      <c r="D318">
        <f t="shared" si="22"/>
        <v>2030</v>
      </c>
      <c r="E31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>
        <v>1</v>
      </c>
    </row>
    <row r="319" spans="1:7" x14ac:dyDescent="0.25">
      <c r="A319" t="s">
        <v>120</v>
      </c>
      <c r="B319" t="s">
        <v>24</v>
      </c>
      <c r="C319" t="str">
        <f t="shared" si="21"/>
        <v>Bioaffald</v>
      </c>
      <c r="D319">
        <f t="shared" si="22"/>
        <v>2030</v>
      </c>
      <c r="E31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>
        <v>1</v>
      </c>
    </row>
    <row r="320" spans="1:7" x14ac:dyDescent="0.25">
      <c r="A320" t="s">
        <v>164</v>
      </c>
      <c r="B320" t="s">
        <v>24</v>
      </c>
      <c r="C320" t="str">
        <f t="shared" si="21"/>
        <v>Halm</v>
      </c>
      <c r="D320">
        <f t="shared" si="22"/>
        <v>2030</v>
      </c>
      <c r="E320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>
        <v>1</v>
      </c>
      <c r="G320">
        <v>1</v>
      </c>
    </row>
    <row r="321" spans="1:7" x14ac:dyDescent="0.25">
      <c r="A321" t="s">
        <v>164</v>
      </c>
      <c r="B321" t="s">
        <v>24</v>
      </c>
      <c r="C321" t="str">
        <f t="shared" si="21"/>
        <v>Rapsolie</v>
      </c>
      <c r="D321">
        <f t="shared" si="22"/>
        <v>2030</v>
      </c>
      <c r="E32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>
        <v>1</v>
      </c>
      <c r="G321">
        <v>1</v>
      </c>
    </row>
    <row r="322" spans="1:7" x14ac:dyDescent="0.25">
      <c r="A322" t="s">
        <v>164</v>
      </c>
      <c r="B322" t="s">
        <v>24</v>
      </c>
      <c r="C322" t="str">
        <f t="shared" si="21"/>
        <v>Pil &amp; poppel</v>
      </c>
      <c r="D322">
        <f t="shared" si="22"/>
        <v>2030</v>
      </c>
      <c r="E322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>
        <v>1</v>
      </c>
      <c r="G322">
        <v>1</v>
      </c>
    </row>
    <row r="323" spans="1:7" x14ac:dyDescent="0.25">
      <c r="A323" t="s">
        <v>164</v>
      </c>
      <c r="B323" t="s">
        <v>24</v>
      </c>
      <c r="C323" t="str">
        <f t="shared" si="21"/>
        <v>Træmaterialer</v>
      </c>
      <c r="D323">
        <f t="shared" si="22"/>
        <v>2030</v>
      </c>
      <c r="E323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178296.99682560615</v>
      </c>
      <c r="F323">
        <v>1</v>
      </c>
      <c r="G323">
        <v>1</v>
      </c>
    </row>
    <row r="324" spans="1:7" x14ac:dyDescent="0.25">
      <c r="A324" t="s">
        <v>164</v>
      </c>
      <c r="B324" t="s">
        <v>24</v>
      </c>
      <c r="C324" t="str">
        <f t="shared" si="21"/>
        <v>Have/parkaffald</v>
      </c>
      <c r="D324">
        <f t="shared" si="22"/>
        <v>2030</v>
      </c>
      <c r="E324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>
        <v>1</v>
      </c>
      <c r="G324">
        <v>1</v>
      </c>
    </row>
    <row r="325" spans="1:7" x14ac:dyDescent="0.25">
      <c r="A325" t="s">
        <v>164</v>
      </c>
      <c r="B325" t="s">
        <v>24</v>
      </c>
      <c r="C325" t="str">
        <f t="shared" si="21"/>
        <v>Bioaffald</v>
      </c>
      <c r="D325">
        <f t="shared" si="22"/>
        <v>2030</v>
      </c>
      <c r="E325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>
        <v>1</v>
      </c>
      <c r="G325">
        <v>1</v>
      </c>
    </row>
    <row r="326" spans="1:7" x14ac:dyDescent="0.25">
      <c r="A326" t="s">
        <v>120</v>
      </c>
      <c r="B326" t="s">
        <v>23</v>
      </c>
      <c r="C326" t="str">
        <f>C314</f>
        <v>Halm</v>
      </c>
      <c r="D326">
        <f t="shared" ref="D326:D349" si="23">År3</f>
        <v>2050</v>
      </c>
      <c r="E326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>
        <v>1</v>
      </c>
    </row>
    <row r="327" spans="1:7" x14ac:dyDescent="0.25">
      <c r="A327" t="s">
        <v>120</v>
      </c>
      <c r="B327" t="s">
        <v>23</v>
      </c>
      <c r="C327" t="str">
        <f t="shared" si="21"/>
        <v>Rapsolie</v>
      </c>
      <c r="D327">
        <f t="shared" si="23"/>
        <v>2050</v>
      </c>
      <c r="E327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207773.55150751706</v>
      </c>
      <c r="F327">
        <v>1</v>
      </c>
    </row>
    <row r="328" spans="1:7" x14ac:dyDescent="0.25">
      <c r="A328" t="s">
        <v>120</v>
      </c>
      <c r="B328" t="s">
        <v>23</v>
      </c>
      <c r="C328" t="str">
        <f t="shared" si="21"/>
        <v>Pil &amp; poppel</v>
      </c>
      <c r="D328">
        <f t="shared" si="23"/>
        <v>2050</v>
      </c>
      <c r="E32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1315903.5397993135</v>
      </c>
      <c r="F328">
        <v>1</v>
      </c>
    </row>
    <row r="329" spans="1:7" x14ac:dyDescent="0.25">
      <c r="A329" t="s">
        <v>120</v>
      </c>
      <c r="B329" t="s">
        <v>23</v>
      </c>
      <c r="C329" t="str">
        <f t="shared" si="21"/>
        <v>Træ til energi</v>
      </c>
      <c r="D329">
        <f t="shared" si="23"/>
        <v>2050</v>
      </c>
      <c r="E32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2149322.1793498904</v>
      </c>
      <c r="F329">
        <v>1</v>
      </c>
    </row>
    <row r="330" spans="1:7" x14ac:dyDescent="0.25">
      <c r="A330" t="s">
        <v>120</v>
      </c>
      <c r="B330" t="s">
        <v>23</v>
      </c>
      <c r="C330" t="str">
        <f t="shared" si="21"/>
        <v>Have/parkaffald</v>
      </c>
      <c r="D330">
        <f t="shared" si="23"/>
        <v>2050</v>
      </c>
      <c r="E330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>
        <v>1</v>
      </c>
    </row>
    <row r="331" spans="1:7" x14ac:dyDescent="0.25">
      <c r="A331" t="s">
        <v>120</v>
      </c>
      <c r="B331" t="s">
        <v>23</v>
      </c>
      <c r="C331" t="str">
        <f t="shared" si="21"/>
        <v>Bioaffald</v>
      </c>
      <c r="D331">
        <f t="shared" si="23"/>
        <v>2050</v>
      </c>
      <c r="E33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>
        <v>1</v>
      </c>
    </row>
    <row r="332" spans="1:7" x14ac:dyDescent="0.25">
      <c r="A332" t="s">
        <v>164</v>
      </c>
      <c r="B332" t="s">
        <v>23</v>
      </c>
      <c r="C332" t="str">
        <f t="shared" si="21"/>
        <v>Halm</v>
      </c>
      <c r="D332">
        <f t="shared" si="23"/>
        <v>2050</v>
      </c>
      <c r="E332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>
        <v>1</v>
      </c>
      <c r="G332">
        <v>1</v>
      </c>
    </row>
    <row r="333" spans="1:7" x14ac:dyDescent="0.25">
      <c r="A333" t="s">
        <v>164</v>
      </c>
      <c r="B333" t="s">
        <v>23</v>
      </c>
      <c r="C333" t="str">
        <f t="shared" si="21"/>
        <v>Rapsolie</v>
      </c>
      <c r="D333">
        <f t="shared" si="23"/>
        <v>2050</v>
      </c>
      <c r="E333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>
        <v>1</v>
      </c>
      <c r="G333">
        <v>1</v>
      </c>
    </row>
    <row r="334" spans="1:7" x14ac:dyDescent="0.25">
      <c r="A334" t="s">
        <v>164</v>
      </c>
      <c r="B334" t="s">
        <v>23</v>
      </c>
      <c r="C334" t="str">
        <f t="shared" si="21"/>
        <v>Pil &amp; poppel</v>
      </c>
      <c r="D334">
        <f t="shared" si="23"/>
        <v>2050</v>
      </c>
      <c r="E334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>
        <v>1</v>
      </c>
      <c r="G334">
        <v>1</v>
      </c>
    </row>
    <row r="335" spans="1:7" x14ac:dyDescent="0.25">
      <c r="A335" t="s">
        <v>164</v>
      </c>
      <c r="B335" t="s">
        <v>23</v>
      </c>
      <c r="C335" t="str">
        <f t="shared" si="21"/>
        <v>Træmaterialer</v>
      </c>
      <c r="D335">
        <f t="shared" si="23"/>
        <v>2050</v>
      </c>
      <c r="E335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637679.95429535187</v>
      </c>
      <c r="F335">
        <v>1</v>
      </c>
      <c r="G335">
        <v>1</v>
      </c>
    </row>
    <row r="336" spans="1:7" x14ac:dyDescent="0.25">
      <c r="A336" t="s">
        <v>164</v>
      </c>
      <c r="B336" t="s">
        <v>23</v>
      </c>
      <c r="C336" t="str">
        <f t="shared" si="21"/>
        <v>Have/parkaffald</v>
      </c>
      <c r="D336">
        <f t="shared" si="23"/>
        <v>2050</v>
      </c>
      <c r="E336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>
        <v>1</v>
      </c>
      <c r="G336">
        <v>1</v>
      </c>
    </row>
    <row r="337" spans="1:7" x14ac:dyDescent="0.25">
      <c r="A337" t="s">
        <v>164</v>
      </c>
      <c r="B337" t="s">
        <v>23</v>
      </c>
      <c r="C337" t="str">
        <f t="shared" si="21"/>
        <v>Bioaffald</v>
      </c>
      <c r="D337">
        <f t="shared" si="23"/>
        <v>2050</v>
      </c>
      <c r="E337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>
        <v>1</v>
      </c>
      <c r="G337">
        <v>1</v>
      </c>
    </row>
    <row r="338" spans="1:7" x14ac:dyDescent="0.25">
      <c r="A338" t="s">
        <v>120</v>
      </c>
      <c r="B338" t="s">
        <v>24</v>
      </c>
      <c r="C338" t="str">
        <f>C326</f>
        <v>Halm</v>
      </c>
      <c r="D338">
        <f t="shared" si="23"/>
        <v>2050</v>
      </c>
      <c r="E33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128289.96787416932</v>
      </c>
      <c r="F338">
        <v>1</v>
      </c>
    </row>
    <row r="339" spans="1:7" x14ac:dyDescent="0.25">
      <c r="A339" t="s">
        <v>120</v>
      </c>
      <c r="B339" t="s">
        <v>24</v>
      </c>
      <c r="C339" t="str">
        <f t="shared" si="21"/>
        <v>Rapsolie</v>
      </c>
      <c r="D339">
        <f t="shared" si="23"/>
        <v>2050</v>
      </c>
      <c r="E33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69114.43723327505</v>
      </c>
      <c r="F339">
        <v>1</v>
      </c>
    </row>
    <row r="340" spans="1:7" x14ac:dyDescent="0.25">
      <c r="A340" t="s">
        <v>120</v>
      </c>
      <c r="B340" t="s">
        <v>24</v>
      </c>
      <c r="C340" t="str">
        <f t="shared" si="21"/>
        <v>Pil &amp; poppel</v>
      </c>
      <c r="D340">
        <f t="shared" si="23"/>
        <v>2050</v>
      </c>
      <c r="E340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437726.22620455944</v>
      </c>
      <c r="F340">
        <v>1</v>
      </c>
    </row>
    <row r="341" spans="1:7" x14ac:dyDescent="0.25">
      <c r="A341" t="s">
        <v>120</v>
      </c>
      <c r="B341" t="s">
        <v>24</v>
      </c>
      <c r="C341" t="str">
        <f t="shared" si="21"/>
        <v>Træ til energi</v>
      </c>
      <c r="D341">
        <f t="shared" si="23"/>
        <v>2050</v>
      </c>
      <c r="E341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611742.92957675515</v>
      </c>
      <c r="F341">
        <v>1</v>
      </c>
    </row>
    <row r="342" spans="1:7" x14ac:dyDescent="0.25">
      <c r="A342" t="s">
        <v>120</v>
      </c>
      <c r="B342" t="s">
        <v>24</v>
      </c>
      <c r="C342" t="str">
        <f t="shared" si="21"/>
        <v>Have/parkaffald</v>
      </c>
      <c r="D342">
        <f t="shared" si="23"/>
        <v>2050</v>
      </c>
      <c r="E342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>
        <v>1</v>
      </c>
    </row>
    <row r="343" spans="1:7" x14ac:dyDescent="0.25">
      <c r="A343" t="s">
        <v>120</v>
      </c>
      <c r="B343" t="s">
        <v>24</v>
      </c>
      <c r="C343" t="str">
        <f t="shared" si="21"/>
        <v>Bioaffald</v>
      </c>
      <c r="D343">
        <f t="shared" si="23"/>
        <v>2050</v>
      </c>
      <c r="E343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>
        <v>1</v>
      </c>
    </row>
    <row r="344" spans="1:7" x14ac:dyDescent="0.25">
      <c r="A344" t="s">
        <v>164</v>
      </c>
      <c r="B344" t="s">
        <v>24</v>
      </c>
      <c r="C344" t="str">
        <f t="shared" si="21"/>
        <v>Halm</v>
      </c>
      <c r="D344">
        <f t="shared" si="23"/>
        <v>2050</v>
      </c>
      <c r="E344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>
        <v>1</v>
      </c>
      <c r="G344">
        <v>1</v>
      </c>
    </row>
    <row r="345" spans="1:7" x14ac:dyDescent="0.25">
      <c r="A345" t="s">
        <v>164</v>
      </c>
      <c r="B345" t="s">
        <v>24</v>
      </c>
      <c r="C345" t="str">
        <f t="shared" si="21"/>
        <v>Rapsolie</v>
      </c>
      <c r="D345">
        <f t="shared" si="23"/>
        <v>2050</v>
      </c>
      <c r="E345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>
        <v>1</v>
      </c>
      <c r="G345">
        <v>1</v>
      </c>
    </row>
    <row r="346" spans="1:7" x14ac:dyDescent="0.25">
      <c r="A346" t="s">
        <v>164</v>
      </c>
      <c r="B346" t="s">
        <v>24</v>
      </c>
      <c r="C346" t="str">
        <f t="shared" si="21"/>
        <v>Pil &amp; poppel</v>
      </c>
      <c r="D346">
        <f t="shared" si="23"/>
        <v>2050</v>
      </c>
      <c r="E346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>
        <v>1</v>
      </c>
      <c r="G346">
        <v>1</v>
      </c>
    </row>
    <row r="347" spans="1:7" x14ac:dyDescent="0.25">
      <c r="A347" t="s">
        <v>164</v>
      </c>
      <c r="B347" t="s">
        <v>24</v>
      </c>
      <c r="C347" t="str">
        <f t="shared" si="21"/>
        <v>Træmaterialer</v>
      </c>
      <c r="D347">
        <f t="shared" si="23"/>
        <v>2050</v>
      </c>
      <c r="E347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176699.18645513742</v>
      </c>
      <c r="F347">
        <v>1</v>
      </c>
      <c r="G347">
        <v>1</v>
      </c>
    </row>
    <row r="348" spans="1:7" x14ac:dyDescent="0.25">
      <c r="A348" t="s">
        <v>164</v>
      </c>
      <c r="B348" t="s">
        <v>24</v>
      </c>
      <c r="C348" t="str">
        <f t="shared" si="21"/>
        <v>Have/parkaffald</v>
      </c>
      <c r="D348">
        <f t="shared" si="23"/>
        <v>2050</v>
      </c>
      <c r="E34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>
        <v>1</v>
      </c>
      <c r="G348">
        <v>1</v>
      </c>
    </row>
    <row r="349" spans="1:7" x14ac:dyDescent="0.25">
      <c r="A349" t="s">
        <v>164</v>
      </c>
      <c r="B349" t="s">
        <v>24</v>
      </c>
      <c r="C349" t="str">
        <f t="shared" si="21"/>
        <v>Bioaffald</v>
      </c>
      <c r="D349">
        <f t="shared" si="23"/>
        <v>2050</v>
      </c>
      <c r="E34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>
        <v>1</v>
      </c>
      <c r="G34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4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4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4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4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4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4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5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3581964.3451063624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5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1517032.048207267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5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2048.7953615415449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5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222290.29731356286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5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17741283.594546799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5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708590.7242708815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6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6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6874.4822418311569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6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1404.603792641552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6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168839.45394466043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6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380267.18980249454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6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1043723.475761516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7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7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7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7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7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7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519016.30005492823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107821.55068064725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171.95463845845521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30234.154676415921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3082747.997526899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352682.42266556359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488.59701831397138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117.88787785976028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24330.136916082298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81858.543893972019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351154.23536016268</v>
      </c>
    </row>
    <row r="386" spans="1:7" x14ac:dyDescent="0.25">
      <c r="A386" t="s">
        <v>208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>
        <v>1</v>
      </c>
    </row>
    <row r="387" spans="1:7" x14ac:dyDescent="0.25">
      <c r="A387" t="s">
        <v>208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10473588.922093241</v>
      </c>
      <c r="G387">
        <v>1</v>
      </c>
    </row>
    <row r="388" spans="1:7" x14ac:dyDescent="0.25">
      <c r="A388" t="s">
        <v>208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21620469.097170986</v>
      </c>
      <c r="G388">
        <v>1</v>
      </c>
    </row>
    <row r="389" spans="1:7" x14ac:dyDescent="0.25">
      <c r="A389" t="s">
        <v>208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>
        <v>1</v>
      </c>
    </row>
    <row r="390" spans="1:7" x14ac:dyDescent="0.25">
      <c r="A390" t="s">
        <v>208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1371138.5129775794</v>
      </c>
      <c r="G390">
        <v>1</v>
      </c>
    </row>
    <row r="391" spans="1:7" x14ac:dyDescent="0.25">
      <c r="A391" t="s">
        <v>208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3059553.8161358451</v>
      </c>
      <c r="G391">
        <v>1</v>
      </c>
    </row>
    <row r="392" spans="1:7" x14ac:dyDescent="0.25">
      <c r="A392" t="s">
        <v>236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>
        <v>1</v>
      </c>
    </row>
    <row r="393" spans="1:7" x14ac:dyDescent="0.25">
      <c r="A393" t="s">
        <v>236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736385.00175039668</v>
      </c>
      <c r="G393">
        <v>1</v>
      </c>
    </row>
    <row r="394" spans="1:7" x14ac:dyDescent="0.25">
      <c r="A394" t="s">
        <v>236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649292.34846099082</v>
      </c>
      <c r="G394">
        <v>1</v>
      </c>
    </row>
    <row r="395" spans="1:7" x14ac:dyDescent="0.25">
      <c r="A395" t="s">
        <v>236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>
        <v>1</v>
      </c>
    </row>
    <row r="396" spans="1:7" x14ac:dyDescent="0.25">
      <c r="A396" t="s">
        <v>236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225804.31636026004</v>
      </c>
      <c r="G396">
        <v>1</v>
      </c>
    </row>
    <row r="397" spans="1:7" x14ac:dyDescent="0.25">
      <c r="A397" t="s">
        <v>236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215982.61635398451</v>
      </c>
      <c r="G397">
        <v>1</v>
      </c>
    </row>
    <row r="398" spans="1:7" x14ac:dyDescent="0.25">
      <c r="A398" t="s">
        <v>309</v>
      </c>
      <c r="B398" t="s">
        <v>23</v>
      </c>
      <c r="C398" t="s">
        <v>67</v>
      </c>
      <c r="D39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>
        <v>1</v>
      </c>
    </row>
    <row r="399" spans="1:7" x14ac:dyDescent="0.25">
      <c r="A399" t="s">
        <v>309</v>
      </c>
      <c r="B399" t="s">
        <v>23</v>
      </c>
      <c r="C399" t="s">
        <v>67</v>
      </c>
      <c r="D399">
        <f>År2</f>
        <v>2030</v>
      </c>
      <c r="E39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>
        <v>1</v>
      </c>
    </row>
    <row r="400" spans="1:7" x14ac:dyDescent="0.25">
      <c r="A400" t="s">
        <v>309</v>
      </c>
      <c r="B400" t="s">
        <v>23</v>
      </c>
      <c r="C400" t="s">
        <v>67</v>
      </c>
      <c r="D400">
        <f>År3</f>
        <v>2050</v>
      </c>
      <c r="E400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>
        <v>1</v>
      </c>
    </row>
    <row r="401" spans="1:7" x14ac:dyDescent="0.25">
      <c r="A401" t="s">
        <v>309</v>
      </c>
      <c r="B401" t="s">
        <v>24</v>
      </c>
      <c r="C401" t="s">
        <v>67</v>
      </c>
      <c r="D401">
        <f>År1</f>
        <v>2019</v>
      </c>
      <c r="E40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>
        <v>1</v>
      </c>
    </row>
    <row r="402" spans="1:7" x14ac:dyDescent="0.25">
      <c r="A402" t="s">
        <v>309</v>
      </c>
      <c r="B402" t="s">
        <v>24</v>
      </c>
      <c r="C402" t="s">
        <v>67</v>
      </c>
      <c r="D402">
        <f>År2</f>
        <v>2030</v>
      </c>
      <c r="E402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>
        <v>1</v>
      </c>
    </row>
    <row r="403" spans="1:7" x14ac:dyDescent="0.25">
      <c r="A403" t="s">
        <v>309</v>
      </c>
      <c r="B403" t="s">
        <v>24</v>
      </c>
      <c r="C403" t="s">
        <v>67</v>
      </c>
      <c r="D403">
        <f>År3</f>
        <v>2050</v>
      </c>
      <c r="E403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>
        <v>1</v>
      </c>
    </row>
    <row r="404" spans="1:7" x14ac:dyDescent="0.25">
      <c r="A404" t="s">
        <v>120</v>
      </c>
      <c r="B404" t="s">
        <v>23</v>
      </c>
      <c r="C404" t="s">
        <v>305</v>
      </c>
      <c r="D404">
        <f t="shared" ref="D404:D411" si="30">År1</f>
        <v>2019</v>
      </c>
      <c r="E404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>
        <v>1</v>
      </c>
    </row>
    <row r="405" spans="1:7" x14ac:dyDescent="0.25">
      <c r="A405" t="s">
        <v>120</v>
      </c>
      <c r="B405" t="s">
        <v>23</v>
      </c>
      <c r="C405" t="s">
        <v>306</v>
      </c>
      <c r="D405">
        <f t="shared" si="30"/>
        <v>2019</v>
      </c>
      <c r="E405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>
        <v>1</v>
      </c>
    </row>
    <row r="406" spans="1:7" x14ac:dyDescent="0.25">
      <c r="A406" t="s">
        <v>120</v>
      </c>
      <c r="B406" t="s">
        <v>23</v>
      </c>
      <c r="C406" t="s">
        <v>305</v>
      </c>
      <c r="D406">
        <f>År2</f>
        <v>2030</v>
      </c>
      <c r="E406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>
        <v>1</v>
      </c>
    </row>
    <row r="407" spans="1:7" x14ac:dyDescent="0.25">
      <c r="A407" t="s">
        <v>120</v>
      </c>
      <c r="B407" t="s">
        <v>23</v>
      </c>
      <c r="C407" t="s">
        <v>306</v>
      </c>
      <c r="D407">
        <f>År2</f>
        <v>2030</v>
      </c>
      <c r="E407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>
        <v>1</v>
      </c>
    </row>
    <row r="408" spans="1:7" x14ac:dyDescent="0.25">
      <c r="A408" t="s">
        <v>120</v>
      </c>
      <c r="B408" t="s">
        <v>23</v>
      </c>
      <c r="C408" t="s">
        <v>305</v>
      </c>
      <c r="D408">
        <f>År3</f>
        <v>2050</v>
      </c>
      <c r="E40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>
        <v>1</v>
      </c>
    </row>
    <row r="409" spans="1:7" x14ac:dyDescent="0.25">
      <c r="A409" t="s">
        <v>120</v>
      </c>
      <c r="B409" t="s">
        <v>23</v>
      </c>
      <c r="C409" t="s">
        <v>306</v>
      </c>
      <c r="D409">
        <f>År3</f>
        <v>2050</v>
      </c>
      <c r="E40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>
        <v>1</v>
      </c>
    </row>
    <row r="410" spans="1:7" x14ac:dyDescent="0.25">
      <c r="A410" t="s">
        <v>120</v>
      </c>
      <c r="B410" t="s">
        <v>24</v>
      </c>
      <c r="C410" t="s">
        <v>305</v>
      </c>
      <c r="D410">
        <f t="shared" si="30"/>
        <v>2019</v>
      </c>
      <c r="E410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>
        <v>1</v>
      </c>
    </row>
    <row r="411" spans="1:7" x14ac:dyDescent="0.25">
      <c r="A411" t="s">
        <v>120</v>
      </c>
      <c r="B411" t="s">
        <v>24</v>
      </c>
      <c r="C411" t="s">
        <v>306</v>
      </c>
      <c r="D411">
        <f t="shared" si="30"/>
        <v>2019</v>
      </c>
      <c r="E41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>
        <v>1</v>
      </c>
    </row>
    <row r="412" spans="1:7" x14ac:dyDescent="0.25">
      <c r="A412" t="s">
        <v>120</v>
      </c>
      <c r="B412" t="s">
        <v>24</v>
      </c>
      <c r="C412" t="s">
        <v>305</v>
      </c>
      <c r="D412">
        <f>År2</f>
        <v>2030</v>
      </c>
      <c r="E412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>
        <v>1</v>
      </c>
    </row>
    <row r="413" spans="1:7" x14ac:dyDescent="0.25">
      <c r="A413" t="s">
        <v>120</v>
      </c>
      <c r="B413" t="s">
        <v>24</v>
      </c>
      <c r="C413" t="s">
        <v>306</v>
      </c>
      <c r="D413">
        <f>År2</f>
        <v>2030</v>
      </c>
      <c r="E413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>
        <v>1</v>
      </c>
    </row>
    <row r="414" spans="1:7" x14ac:dyDescent="0.25">
      <c r="A414" t="s">
        <v>120</v>
      </c>
      <c r="B414" t="s">
        <v>24</v>
      </c>
      <c r="C414" t="s">
        <v>305</v>
      </c>
      <c r="D414">
        <f>År3</f>
        <v>2050</v>
      </c>
      <c r="E414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>
        <v>1</v>
      </c>
    </row>
    <row r="415" spans="1:7" x14ac:dyDescent="0.25">
      <c r="A415" t="s">
        <v>120</v>
      </c>
      <c r="B415" t="s">
        <v>24</v>
      </c>
      <c r="C415" t="s">
        <v>306</v>
      </c>
      <c r="D415">
        <f>År3</f>
        <v>2050</v>
      </c>
      <c r="E415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>
        <v>1</v>
      </c>
    </row>
  </sheetData>
  <autoFilter ref="A1:G415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190</v>
      </c>
      <c r="G1" t="s">
        <v>166</v>
      </c>
      <c r="H1" t="s">
        <v>227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>
        <f>SUMIFS('Forbrug af biomasse'!E:E,'Forbrug af biomasse'!F:F,"",'Forbrug af biomasse'!B:B,Restprodukter!$B14,'Forbrug af biomasse'!C:C,Restprodukter!$A14,'Forbrug af biomasse'!D:D,Restprodukter!$C14)</f>
        <v>499432.74755070958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1539789.7527541453</v>
      </c>
      <c r="F14">
        <f>E14-D14</f>
        <v>1040357.0052034357</v>
      </c>
      <c r="G14">
        <f t="shared" si="3"/>
        <v>1040357.0052034357</v>
      </c>
      <c r="H14">
        <f t="shared" si="1"/>
        <v>513852.51374389092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235643.20056012695</v>
      </c>
      <c r="F15">
        <f t="shared" si="2"/>
        <v>235643.20056012695</v>
      </c>
      <c r="G15">
        <f t="shared" si="3"/>
        <v>235643.20056012695</v>
      </c>
      <c r="H15">
        <f t="shared" si="1"/>
        <v>72257.381235283217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897193.5214277351</v>
      </c>
      <c r="F16">
        <f t="shared" si="2"/>
        <v>897193.5214277351</v>
      </c>
      <c r="G16">
        <f t="shared" si="3"/>
        <v>897193.5214277351</v>
      </c>
      <c r="H16">
        <f t="shared" si="1"/>
        <v>272470.87062579964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2212209.4819686995</v>
      </c>
      <c r="F17">
        <f t="shared" ca="1" si="2"/>
        <v>2212209.4819686995</v>
      </c>
      <c r="G17">
        <f t="shared" ca="1" si="3"/>
        <v>2212209.4819686995</v>
      </c>
      <c r="H17">
        <f t="shared" ca="1" si="1"/>
        <v>646548.74657684658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>
        <f>SUMIFS('Forbrug af biomasse'!E:E,'Forbrug af biomasse'!F:F,"",'Forbrug af biomasse'!B:B,Restprodukter!$B20,'Forbrug af biomasse'!C:C,Restprodukter!$A20,'Forbrug af biomasse'!D:D,Restprodukter!$C20)</f>
        <v>65382.695454513305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579235.20919840422</v>
      </c>
      <c r="F20">
        <f t="shared" si="2"/>
        <v>513852.51374389092</v>
      </c>
      <c r="G20">
        <f t="shared" si="3"/>
        <v>513852.51374389092</v>
      </c>
      <c r="H20">
        <f t="shared" si="1"/>
        <v>1040357.0052034357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72257.381235283217</v>
      </c>
      <c r="F21">
        <f t="shared" si="2"/>
        <v>72257.381235283217</v>
      </c>
      <c r="G21">
        <f t="shared" si="3"/>
        <v>72257.381235283217</v>
      </c>
      <c r="H21">
        <f t="shared" si="1"/>
        <v>235643.20056012695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272470.87062579964</v>
      </c>
      <c r="F22">
        <f t="shared" si="2"/>
        <v>272470.87062579964</v>
      </c>
      <c r="G22">
        <f t="shared" si="3"/>
        <v>272470.87062579964</v>
      </c>
      <c r="H22">
        <f t="shared" si="1"/>
        <v>897193.5214277351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646548.74657684658</v>
      </c>
      <c r="F23">
        <f t="shared" ca="1" si="2"/>
        <v>646548.74657684658</v>
      </c>
      <c r="G23">
        <f t="shared" ca="1" si="3"/>
        <v>646548.74657684658</v>
      </c>
      <c r="H23">
        <f t="shared" ca="1" si="1"/>
        <v>2212209.4819686995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>
        <f>SUMIFS('Forbrug af biomasse'!E:E,'Forbrug af biomasse'!F:F,"",'Forbrug af biomasse'!B:B,Restprodukter!$B26,'Forbrug af biomasse'!C:C,Restprodukter!$A26,'Forbrug af biomasse'!D:D,Restprodukter!$C26)</f>
        <v>204619.16541082526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198101.86188095258</v>
      </c>
      <c r="F26">
        <f t="shared" si="2"/>
        <v>-6517.3035298726754</v>
      </c>
      <c r="G26">
        <f t="shared" si="3"/>
        <v>0</v>
      </c>
      <c r="H26">
        <f t="shared" si="1"/>
        <v>134807.271404042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207773.55150751706</v>
      </c>
      <c r="F27">
        <f t="shared" si="2"/>
        <v>207773.55150751706</v>
      </c>
      <c r="G27">
        <f t="shared" si="3"/>
        <v>207773.55150751706</v>
      </c>
      <c r="H27">
        <f t="shared" si="1"/>
        <v>69114.43723327505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1315903.5397993135</v>
      </c>
      <c r="F28">
        <f t="shared" si="2"/>
        <v>1315903.5397993135</v>
      </c>
      <c r="G28">
        <f t="shared" si="3"/>
        <v>1315903.5397993135</v>
      </c>
      <c r="H28">
        <f t="shared" si="1"/>
        <v>437726.22620455944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2149322.1793498904</v>
      </c>
      <c r="F29">
        <f t="shared" ca="1" si="2"/>
        <v>2149322.1793498904</v>
      </c>
      <c r="G29">
        <f t="shared" ca="1" si="3"/>
        <v>2149322.1793498904</v>
      </c>
      <c r="H29">
        <f t="shared" ca="1" si="1"/>
        <v>611742.92957675515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>
        <f>SUMIFS('Forbrug af biomasse'!E:E,'Forbrug af biomasse'!F:F,"",'Forbrug af biomasse'!B:B,Restprodukter!$B32,'Forbrug af biomasse'!C:C,Restprodukter!$A32,'Forbrug af biomasse'!D:D,Restprodukter!$C32)</f>
        <v>28956.048343518098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163763.3197475601</v>
      </c>
      <c r="F32">
        <f t="shared" si="2"/>
        <v>134807.271404042</v>
      </c>
      <c r="G32">
        <f t="shared" si="3"/>
        <v>128289.96787416932</v>
      </c>
      <c r="H32">
        <f t="shared" si="1"/>
        <v>-6517.3035298726754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69114.43723327505</v>
      </c>
      <c r="F33">
        <f t="shared" si="2"/>
        <v>69114.43723327505</v>
      </c>
      <c r="G33">
        <f t="shared" si="3"/>
        <v>69114.43723327505</v>
      </c>
      <c r="H33">
        <f t="shared" si="1"/>
        <v>207773.55150751706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437726.22620455944</v>
      </c>
      <c r="F34">
        <f t="shared" si="2"/>
        <v>437726.22620455944</v>
      </c>
      <c r="G34">
        <f t="shared" si="3"/>
        <v>437726.22620455944</v>
      </c>
      <c r="H34">
        <f t="shared" si="1"/>
        <v>1315903.5397993135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611742.92957675515</v>
      </c>
      <c r="F35">
        <f t="shared" ca="1" si="2"/>
        <v>611742.92957675515</v>
      </c>
      <c r="G35">
        <f t="shared" ca="1" si="3"/>
        <v>611742.92957675515</v>
      </c>
      <c r="H35">
        <f t="shared" ca="1" si="1"/>
        <v>2149322.1793498904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58" zoomScale="80" zoomScaleNormal="80" workbookViewId="0">
      <selection activeCell="J464" sqref="J46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4" width="14.42578125" bestFit="1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>
        <f>SUMIF($F$3:$F$494,"Roer",I3:I494)</f>
        <v>2891451.8691946529</v>
      </c>
      <c r="O3">
        <f>SUMIF($F$3:$F$494,"Roer",J3:J494)</f>
        <v>2749867.8949207771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878.90231344976178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878.90231344976178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-142.38217477886138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-142.38217477886138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76.5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76.5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-15.861000000000001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-15.861000000000001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-599177.3109877758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-380826.68929698464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10980.859033284019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68452.939937709409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2745.2147583210044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17113.234984427349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-76942.562506854709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-479647.77564037306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-69248.30625616925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-431682.99807633582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112914.28199038394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39085.712996671369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-23379.356644750114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-712068.4052372463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5169.7177849391983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2584.8588924695996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-58217.244750342448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-32601.657060191767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-718902.57069489593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-440426.05081673909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-72243.854840611137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-446330.7335098997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-718902.57069489593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-72243.854840611137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14231744.940235101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13281869.424182879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15352538.506892066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14327857.380425449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1968084.6638925183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1836727.93682919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160864.90802355704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150128.23179971761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-8783081404.0200005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-8196868398.0810146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-674539.66619999998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-629518.57312813145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1288169.8408620751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1202192.9632908306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224727.20289902308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188280.2340298667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4061806.0056611616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243586.51339107481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204080.88186990999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4402676.446048676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7449.8701829066958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6241.6266630616092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134651.82256517099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-406756309.19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-340787283.86892116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-7351870170.5680008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-27458.796750000001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-23005.442205372718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-496300.86660000007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65622.565085531067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54979.689830855183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1186087.5120270511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411928.1258385395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335011.67555850605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11953488.544958346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5521996.6554744514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234254.90515230247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156490.48337099882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4474552.90572685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1928489.0964590292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50974.141893857719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34052.512579001894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-3101358722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-1432694098.1203072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/>
      <c r="M114" s="94"/>
      <c r="N114" s="94"/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-12971.687549999999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-8665.5417248030899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3757079.4072644925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2509860.667053218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21677.657032824009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17792.267834927461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15704.824852854279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1171427.2358122203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546131.5373546161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68744.822418311582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9671.5700607984036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6520.4368071249492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4344.6902101132364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447449.07465188007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194621.86242994375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8943.0621574433171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6029.2870023407413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4017.427817781906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-544112030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-253670676.5495379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-31931035.692611322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-2743.422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-1849.5766120521321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-1232.4078335452102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551216.37540002866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371622.34469215496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247618.98789956214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97185929.8774468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97392853.734934688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6185.7778797696892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6198.9483564226302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137099.40658193204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137391.31239695082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202533.97911315371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202965.20524108515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8553.8229892246891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8572.0353997189959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-336558388.31999999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-337274973.11852902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-7976.870891999999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-7993.8548823547444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14555.244181520657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14586.234544801808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1144367.3520506443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1129876.8527963352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7950120.2580481973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2021.8344763254286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1996.233089743549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14046.037926415524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7613.0179455684893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7516.6184540366639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52888.967939789654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14016.013855362682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13838.53672098308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97371.701044186848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1438.3001997417073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1420.0877892473998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9992.1231889663959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-56591304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-55874719.201470993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-393149692.31999999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-2526.3975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-2494.4071072085262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-17551.325550000001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2692.1636914788196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2658.0742918695537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18702.932291151541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6000728.6487308554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4166788.9268308757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1958622.8291241296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1360029.488745281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-136963849.32909226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-88562913.349668905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1946337.0798042775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1165040.2218729297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190413.34522670315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101140.2068452894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62150.439848632843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33011.910663785347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-2942669.3865277474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-1455513.890110499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361986.6881069821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165746.51449420667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112295.35066349972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59646.948486454625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36652.921718189653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19468.614868607576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-1144236.3018493962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-565966.34285023878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468584.15317518299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214555.37644813175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514065.70872799889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356957.20106329449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482048.93054039421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167789.76216454705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116509.93803405669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157339.56580605835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-11733311.468827365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-7586938.1008826001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-9000485.4135296755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248861.6063304602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148963.80697019273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150933.97325128119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16312.180902553693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8664.3998014835215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5324.2550661412697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2828.0384342047178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-252090.28974464818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-124689.82073391201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46284.166091931889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21192.600330489026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9620.0299005188881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5109.7879344430612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3139.9537094546145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1667.8220073323791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-98023.536789473103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-48484.760132427546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59913.879394365205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27433.37533038624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151288.25314661043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263933.23728986969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0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-1467704.1161021357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-2385641.3805804416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0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16685.552909583264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25106.384225342976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0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2218.5848349981225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1177.8043457972026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-17487.700773523011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-8649.8304901296633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1434.1434151806104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656.6657840211866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660.08898837497532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350.42864570990486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-4345.4160226653421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-2149.3455595979108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936.5902571566595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428.84607565201441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11026.048730184528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19235.734932131843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269303.27775411907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-106967.83635905928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-173868.08009167618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-2140497.4058945398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2133.4400616815751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3210.1403052429523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33754.036229770645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161.69282144484706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85.839632894684016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-1274.5222242793175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-630.40884211665173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183.37174876511565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83.962281523299566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48.107987240936367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25.539612254664661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-316.6985395250839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-156.6465894425146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119.75384854349258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54.832908627526329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18287.386999956889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31794.827517235844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0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-15647250.586681526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-25166142.441363655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0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3388.2919548163195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5044.7117791251785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0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1332.8042066416401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2317.2408318650009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32451.574640846669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-1140388.2580028614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-1834135.2163035248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-22475222.761892669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433.23214017838967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645.0244872042058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6750.8072459541299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1856679.0274235527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2288216.1971482248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-6557474.8258948205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-7525671.9683191087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99397.95717709836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105599.78462733394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72157.52731348855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38327.288611215423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-169898.74999687725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-84035.940858670467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22641.407361399019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10367.050713992749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71978.294997334495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38232.087334710362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-108949.33153327699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-53888.916672373562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49573.996961028934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22698.948540915841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135316.74143163557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166767.62914635535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2337126.3206842514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-477915.73683653522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-548478.97390723042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-6752348.2183566764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12709.173321378878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13502.148370492761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141972.61239111444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5258.9173042875573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2793.3335413264108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-12382.401526228334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-6124.6287118978844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2894.9646307445764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1325.5468029479352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5245.854662536889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2786.3951710822694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-7940.3431107291908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-3927.4815386402456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6338.6063205370474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2902.3219330912721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9409787.8886368591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17379735.17861478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0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-29393734.83955488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-50555280.157618172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0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431176.57641327148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601176.8691573746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0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1141734.8185532175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692521.51169247157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-2492703.3187545058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-1407949.3875337623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306634.99709491339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140402.07460723686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1366909.1315970949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829101.43649590458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-2066065.7974563106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-1166972.4400200681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805799.00076710421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368959.35720318544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938456.78825367626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1733315.4210753429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33921972.880353861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-2931495.4086924591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-5041978.2472754624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-86681992.357240528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55130.88998390019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76867.384842848391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920641.19947435334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113867.47539237716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69066.542344095782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-248602.24037701587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-140417.58176549862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39206.815060960464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17952.021867866635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136324.55573438658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82687.928828879376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-206052.83514871012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-116384.47338056176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103030.68044644492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47175.702121172209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228295.83737196182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501850.54239317978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0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67776.181350591316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148988.75846218184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134475.37812254048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254826.46462296922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0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8988.1461515200863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4774.1557181200569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2668.3895360672113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1417.345350980137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31031.020333635548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14208.487854611085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3560.384134370031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1891.1383935308972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1057.0023682721239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561.43879010015519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26980.711121681303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12353.931716052784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16638.443338506684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36575.401067883315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669028.68943321821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4939.6001525197526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10858.45911289455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198620.39669998462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17194.225480632958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32582.497646276894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447168.58260182879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655.06564719629318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347.94554434089747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194.47506626492333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103.29763601846187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3967.6732496296468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1816.718772773379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259.48458090593903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137.82817666872995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77.035456343029438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40.918255911522166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3449.7945804716023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1579.5924165730205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346761.79388166772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2692320.1375496858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-576131.59912925877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-4165485.0753987227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9703.3123842265704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64944.267314780373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3621.7615488648539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1923.7397030149814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-3900.1794783652108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-1929.1210323096748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594.00455425100313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271.98288692785121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1489.163191827615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790.98591051229812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-981.82075140833501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-485.63176951380018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536.0963111377207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245.46785261345931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25272.368195039431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196219.15394258787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2749867.8949207771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-41989.083454102067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-303584.98079618887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-3737447.7449808558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1240.6802150158394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8303.8723629189153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87313.694086073068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263.95783212721415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140.20419476374349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-284.2492268269275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-140.59639176385664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75.95032179799955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34.776143781871255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108.53179661197174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57.64789408828851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-71.556140177280099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-35.393359657579403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68.546086144021544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31.385891343146515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22799.307708789471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454491.06612415396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0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-375960.31557485583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-6979014.8871017369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0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5278.7362480253596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90710.801366298285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0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832.19283099213862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442.02865593009022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-11435.708317520553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-5656.3718559779081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870.88590683653945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398.76135869842392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554.51944988025582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294.53929184350056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-6531.4422836308104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-3230.605860720616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1329.6940839065478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608.84050986411523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1661.6377847126773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33123.792087559821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774671.670329666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-27400.387498206695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-508638.02465413755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-10449869.420378959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674.94721017724225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11598.420424590775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203520.30146642606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60.651098261657197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32.215518383307753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-833.44657995995362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-412.24239438879431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111.35279081652958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50.986231161041111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40.413967040056363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21.466336726575136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-476.0184574800515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-235.44998972131577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170.01669910248501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77.847269548539131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1415136.4303395611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921524.81677847309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-6748143.454119416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-4092054.9682930438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107987.44231752631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60618.799168516896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51653.603137711965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27436.396852504007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-180581.0800621245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-89319.674009222887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23102.379527231336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10578.120712630302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34418.618533530331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18281.839403986196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-89042.384060234079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-44042.469535169541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33789.372952466074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15471.482730770753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103136.64753378094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67161.708358329764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90697.791194463221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-491811.86916932458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-298233.31652371382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-353798.14353408286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13807.437898352086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7750.81145575138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7853.3221775957181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3764.5695117789446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1999.5937713897015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-13160.941098214729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-6509.7128012675003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2953.9052299105738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1352.5345325936096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2508.4655105943393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1332.3998919494152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-6489.5036149866719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-3209.8620031116875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4320.3603924019699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1978.2072101718193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6504856.0144051285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3581163.1385153742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-23382991.73904337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-11987673.958979677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332286.10382513731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157697.18723872851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256100.14280202685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136030.49400380318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-623324.69415606023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-308311.13904493302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76677.061543462041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35108.90347639133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101446.37947259334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53884.394454328009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-162798.69607567054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-80524.086230976827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66668.824451160137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30526.330501248045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690328.21436586988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380051.14168392163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513235.88893477799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-2481521.3277586871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-1272192.5804624397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-1509218.951228932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42486.604410541935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20163.401158637826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20430.078372941003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27178.642215577976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14436.243910241314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-66150.368606776319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-32719.537160340969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9804.0451997782384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4489.0775633347321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10766.002789318034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5718.4844250921078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-17277.020877038922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-8545.6232295031241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8524.3768498453428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3903.1428434169507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437619.52462483628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679383.2767816619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0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233734.77619974819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362862.0050454695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0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-17405322.002124168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-25162202.498299684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0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226139.32914571706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302635.31956316921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0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10970.76631747676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5827.2468942755986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5859.5411439959262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3112.3617024670689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-301280.51440040348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-149020.46948837163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33227.489001172784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15214.207229939157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5255.5335283396789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2791.5362103731677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2807.0067351538642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1490.9734476413607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-98114.66814270505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-48529.835855531528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34938.799154324508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15997.782158030479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30775.08230427558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47776.836001611722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649292.34846099082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16437.125334125107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25517.846992640825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346790.28977475746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-1224008.9552836879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-1769502.5227813469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-21125086.75845547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28914.517063691259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38695.410235104806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394560.5140604371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771.50633681338331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409.79433660416731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412.06539202371204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218.87320415196874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-21187.200537488741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-10479.690588435295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4248.5170595378513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1945.3115750473712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369.58926141650096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196.31152586998664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197.39947246886021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104.85096752478921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-6899.7995231976638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-3412.8040652375539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4467.3277671290516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2045.5006519079377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713868.47629670356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638273.17946717015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118594.54840773206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106035.94638659336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-7493968.4308534022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-6239484.0513147777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113593.29207563492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87552.071732365337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61141.787199729049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32476.153375220714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10157.449001543764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5395.2441821422517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-481385.54750765581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-238104.67941238891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57023.485545682102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26109.921397756731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52515.612858242159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27894.263087316875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8724.3877521914255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4634.0574543480379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-315024.29205221619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-155818.46703658006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107506.48772046529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49225.085370860783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52027.493495891315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46518.027894438084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62819.759709472717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8643.2967707723092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7728.0125038974793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10436.209583697457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-546168.3863913751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-454740.23111587035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-539464.37451853894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14524.210337271257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11194.540470383032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11342.597281064849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4456.0784535034427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2366.8965847409099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740.28568204070768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393.21113190391725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-35083.890483435673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-17353.322174602592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7291.109211610591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3338.4540877478453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3827.3936966497154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2032.9635493595774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635.84265464065186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337.73503393287814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-22959.305320245483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-11356.215534745077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13745.942315270115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6293.9939562669833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673444.82878693647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614141.68784566643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0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-1481578.6233312604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-1258171.048701742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0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26475.734135173829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20813.250776117358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0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24581.270876446844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13056.620679626971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-40968.78479407807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-20264.13011319991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4367.9666208174622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2000.0051565806962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16379.368213872083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8700.0871035265063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-21059.187703549822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-10416.372412508514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6669.1392394898348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3053.6663914428159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49081.375089311769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44759.299129866427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386762.96576702269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-107979.02519648591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-91696.84364356476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-696049.95010911056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3385.2274582982932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2661.2137614025846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17253.318153943164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1791.5091548510034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951.58039616988913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-2985.8485914183389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-1476.8713462929418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558.49482647875982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255.72368789579173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1193.7457690173312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634.0715975309181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-1534.8159887365687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-759.15629550410904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852.72624213059839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390.44640892738795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120836.39776565302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815768.63788652851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0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-594515.07700701291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-3737494.2759856903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0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9738.6244854822507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56675.088211526934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0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19693.41996083039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10460.383257056563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-80743.02183940461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-39937.408651748519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7173.811842991131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3284.7459524855012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18860.433776221762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10017.933202359605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-66280.952985007927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-32784.127282907146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15742.662203036411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7208.2523328642947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8806.6851353812599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59454.085606874774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1315903.5397993135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-43328.890866075802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-272392.55632007576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-5296171.0372533286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1245.1952737549332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7246.5626008930758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120338.79689958273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1435.277383642456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762.36385264453747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-5884.6372729340701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-2910.680801666314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917.25444543181561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419.99259152233856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1374.5684649257814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730.11762227109386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-4830.6263195963184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-2389.342050553018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2012.8806281383841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921.65805861967374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1646745.8486558588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1079217.4205066829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-5970797.1307319021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-3643872.0067020217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234735.24578556098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132612.97682028596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314716.31243677461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541144.31803642598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-950919.48403666483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-1522600.693961662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202768.25813771781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300551.68638628541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394392.38835482521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549114.345303435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-1021424.3974796053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-1324307.7499026288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582246.51992913405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698821.91551711666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210555.41784967913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137990.37362742776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186347.58406281925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-763435.1626166756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-465910.99263322458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-552716.39723943977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30013.603981918917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16956.096029922595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17180.354051629402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40240.104277975639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69191.531950205026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176498.58002153359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-121586.00519088602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-194682.03037948406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-436253.12592592603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25926.25653417455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38428.993741896498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73549.300726273679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50427.60799704762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70210.591705447863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160286.79095227332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-130600.87018814778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-169327.99428030569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-339584.8296296295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74446.921724604632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89352.428332715674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153049.78603004583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611213.62991940021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637679.95429535187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662148.09907935024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690819.95048663113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>SUMIFS(H3:H424,$F$3:$F$424,$D$425)*H423/SUM(H423:H424)*'[1]Processer - data'!H$425</f>
        <v>-93826.565102358349</v>
      </c>
      <c r="I425" s="314">
        <f ca="1">SUMIFS(I3:I424,$F$3:$F$424,$D$425)*I423/SUM(I423:I424)*'[1]Processer - data'!I$425</f>
        <v>-95441.036993373244</v>
      </c>
      <c r="J425" s="315">
        <f ca="1">SUMIFS(J3:J424,$F$3:$F$424,$D$425)*J423/SUM(J423:J424)*'[1]Processer - data'!J$425</f>
        <v>-357518.33254056162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1363412.0539430196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53077.773972224328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6974.419499950277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706621.13097372942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1299242.7527710649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391775.30687639397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24891.451100815881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7505.799722816877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115871.46606187582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34940.028780447668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114330.42693122388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34475.341887230818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87951.528514645848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3915.1017916004403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42657.204064842423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1898.8560958451085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5630.6083895113643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250.6426592677754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57874.101421306659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2576.2258142459946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185939.47423661887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15004.062230929063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685.83468496617968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55.342236152970784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2892122800.6777139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314966511.39251482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94909583.543819666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38884754.492903061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188369147.8037703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388847544.92903066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56080400.326220825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41078226.456916615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102814067.26473819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75310081.837680474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823126279.88532996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97211886.232257664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300158862.26712203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388847544.92903066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3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1633521404.374022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1196535006.5399303</v>
      </c>
    </row>
    <row r="450" spans="1:13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75608811.027080178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3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1114802865.6386769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2301977465.9798613</v>
      </c>
    </row>
    <row r="452" spans="1:13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346675118.61071676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715636134.32167125</v>
      </c>
    </row>
    <row r="453" spans="1:13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108870147.48491277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108877312.58012858</v>
      </c>
    </row>
    <row r="454" spans="1:13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1858214091.8679955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3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17"/>
      <c r="M455" s="114"/>
    </row>
    <row r="456" spans="1:13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14"/>
      <c r="M456" s="114"/>
    </row>
    <row r="457" spans="1:13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14"/>
      <c r="M457" s="114"/>
    </row>
    <row r="458" spans="1:13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128950716.42382903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  <c r="L458" s="114"/>
      <c r="M458" s="114"/>
    </row>
    <row r="459" spans="1:13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-136769.42868137624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  <c r="L459" s="114"/>
      <c r="M459" s="114"/>
    </row>
    <row r="460" spans="1:13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64170455.639167391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872371.79648837389</v>
      </c>
      <c r="L460" s="114"/>
      <c r="M460" s="114"/>
    </row>
    <row r="461" spans="1:13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-133922.16962965202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-1820.6185782189057</v>
      </c>
      <c r="L461" s="114"/>
      <c r="M461" s="114"/>
    </row>
    <row r="462" spans="1:13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80517.657708582716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165602.78715243904</v>
      </c>
      <c r="L462" s="114"/>
      <c r="M462" s="114"/>
    </row>
    <row r="463" spans="1:13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105692745.13776952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240835145.62672326</v>
      </c>
      <c r="L463" s="114"/>
      <c r="M463" s="114"/>
    </row>
    <row r="464" spans="1:13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14"/>
      <c r="M464" s="114"/>
    </row>
    <row r="465" spans="1:13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14"/>
      <c r="M465" s="114"/>
    </row>
    <row r="466" spans="1:13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14"/>
      <c r="M466" s="114"/>
    </row>
    <row r="467" spans="1:13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14"/>
      <c r="M467" s="114"/>
    </row>
    <row r="468" spans="1:13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14"/>
      <c r="M468" s="114"/>
    </row>
    <row r="469" spans="1:13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14"/>
      <c r="M469" s="114"/>
    </row>
    <row r="470" spans="1:13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14"/>
      <c r="M470" s="114"/>
    </row>
    <row r="471" spans="1:13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60733803.923278973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150446232.78353316</v>
      </c>
      <c r="L471" s="114"/>
      <c r="M471" s="114"/>
    </row>
    <row r="472" spans="1:13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  <c r="L472" s="114"/>
      <c r="M472" s="114"/>
    </row>
    <row r="473" spans="1:13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20586639.459937267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21098537.171562839</v>
      </c>
      <c r="L473" s="126"/>
      <c r="M473" s="114"/>
    </row>
    <row r="474" spans="1:13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59">
        <f ca="1">SUMIFS('Forbrug af biomasse'!$E$1:$E$425,'Forbrug af biomasse'!$A$1:$A$425,"Biogas",'Forbrug af biomasse'!$B$1:$B$425,$A$1,'Forbrug af biomasse'!$D$1:$D$425,I$2)*'[1]Processer - data'!I474</f>
        <v>20577787.082851764</v>
      </c>
      <c r="J474" s="260">
        <f ca="1">SUMIFS('Forbrug af biomasse'!$E$1:$E$425,'Forbrug af biomasse'!$A$1:$A$425,"Biogas",'Forbrug af biomasse'!$B$1:$B$425,$A$1,'Forbrug af biomasse'!$D$1:$D$425,J$2)*'[1]Processer - data'!J474</f>
        <v>13894955.02537578</v>
      </c>
    </row>
    <row r="475" spans="1:13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59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18984411.02906372</v>
      </c>
      <c r="J475" s="260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3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59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12136256.385658136</v>
      </c>
      <c r="J476" s="260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54995.857934649255</v>
      </c>
    </row>
    <row r="477" spans="1:13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59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14341.567530790815</v>
      </c>
      <c r="J477" s="260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9832.2265484908639</v>
      </c>
    </row>
    <row r="478" spans="1:13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59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3112064.16238988</v>
      </c>
      <c r="J478" s="260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2363752.3552252459</v>
      </c>
    </row>
    <row r="479" spans="1:13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49011407.308287665</v>
      </c>
      <c r="I479" s="259">
        <f ca="1">I474*'[1]Processer - data'!I$479*Biogasanlæg!AB$3</f>
        <v>124188985.16182759</v>
      </c>
      <c r="J479" s="260">
        <f ca="1">J474*'[1]Processer - data'!J$479*Biogasanlæg!AC$3</f>
        <v>2661870.328617462</v>
      </c>
    </row>
    <row r="480" spans="1:13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Vestdanmark'!H$3:H$504,'Resultater - Vestdanmark'!$F$3:$F$504,"Gødning",'Resultater - Vestdanmark'!$A$3:$A$504,"&lt;&gt;Gødning")-SUM(H475:H479)</f>
        <v>91199509.604784429</v>
      </c>
      <c r="I480" s="259">
        <f ca="1">-SUMIFS('Resultater - Vestdanmark'!I$3:I$504,'Resultater - Vestdanmark'!$F$3:$F$504,"Gødning",'Resultater - Vestdanmark'!$A$3:$A$504,"&lt;&gt;Gødning")-SUM(I475:I479)</f>
        <v>113374515.88334104</v>
      </c>
      <c r="J480" s="260">
        <f ca="1">-SUMIFS('Resultater - Vestdanmark'!J$3:J$504,'Resultater - Vestdanmark'!$F$3:$F$504,"Gødning",'Resultater - Vestdanmark'!$A$3:$A$504,"&lt;&gt;Gødning")-SUM(J475:J479)</f>
        <v>166995756.12184256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10.752928529344514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0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8.2475120196044429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7.2720743027630963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16.508360794270324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24.212625132307366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32.062810549861823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31.151349096372208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12.632071606880629</v>
      </c>
      <c r="I489" s="259">
        <f ca="1">SUM(I455:I473)*'[1]Processer - data'!$H$489</f>
        <v>13.639996300497334</v>
      </c>
      <c r="J489" s="260">
        <f ca="1">SUM(J455:J473)*'[1]Processer - data'!$H$489</f>
        <v>14.841636896733061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1750884.4374278621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3614323.9107155115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3604762.0770573635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7441255.1102966424</v>
      </c>
    </row>
    <row r="492" spans="1:10" x14ac:dyDescent="0.25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5117942.4076080145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10564890.076158831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4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75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368192.50087519834</v>
      </c>
      <c r="J493" s="276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324646.17423049541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235643.20056012695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207773.55150751706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autoFilter ref="A2:U497" xr:uid="{909A89E6-B9A6-46D5-83F7-24899AA46FB2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90" zoomScale="80" zoomScaleNormal="80" workbookViewId="0">
      <selection activeCell="H103" sqref="H1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4.42578125" bestFit="1" customWidth="1"/>
    <col min="13" max="14" width="13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277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278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279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>
        <f>SUMIF($F$3:$F$494,"Roer",H3:H494)</f>
        <v>2233316.4654569654</v>
      </c>
      <c r="N3">
        <f>SUMIF($F$3:$F$494,"Roer",I3:I494)</f>
        <v>898519.08431343141</v>
      </c>
      <c r="O3">
        <f>SUMIF($F$3:$F$494,"Roer",J3:J494)</f>
        <v>914724.5674164847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74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75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76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>
        <f ca="1">SUMIF($F$3:$F$494,"Bioaffald",H3:H494)</f>
        <v>165083.0224523381</v>
      </c>
      <c r="N4">
        <f ca="1">SUMIF($F$3:$F$494,"Bioaffald",I3:I494)</f>
        <v>168912.745758362</v>
      </c>
      <c r="O4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74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75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76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x14ac:dyDescent="0.25">
      <c r="A6" t="str">
        <f>IF('[1]Processer - data'!A6&lt;&gt;"",'[1]Processer - data'!A6,"")</f>
        <v>Bioaffaldsproduktion</v>
      </c>
      <c r="B6" t="str">
        <f>IF('[1]Processer - data'!B6&lt;&gt;"",'[1]Processer - data'!B6,"")</f>
        <v/>
      </c>
      <c r="C6" t="str">
        <f>IF('[1]Processer - data'!C6&lt;&gt;"",'[1]Processer - data'!C6,"")</f>
        <v/>
      </c>
      <c r="D6" t="str">
        <f>IF('[1]Processer - data'!D6&lt;&gt;"",'[1]Processer - data'!D6,"")</f>
        <v>Befolkning</v>
      </c>
      <c r="E6" t="str">
        <f>IF('[1]Processer - data'!E6&lt;&gt;"",'[1]Processer - data'!E6,"")</f>
        <v>Antal</v>
      </c>
      <c r="F6" t="str">
        <f>IF('[1]Processer - data'!F6&lt;&gt;"",'[1]Processer - data'!F6,"")</f>
        <v>Industriaffald</v>
      </c>
      <c r="G6" t="str">
        <f>IF('[1]Processer - data'!G6&lt;&gt;"",'[1]Processer - data'!G6,"")</f>
        <v>Ton</v>
      </c>
      <c r="H6" s="274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75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76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74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75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1.1976865502381491</v>
      </c>
      <c r="J7" s="276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1.1976865502381491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74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75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-0.19402522113858015</v>
      </c>
      <c r="J8" s="276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-0.19402522113858015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74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75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0</v>
      </c>
      <c r="J9" s="276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74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75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0</v>
      </c>
      <c r="J10" s="276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0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74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75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76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74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75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76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74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75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76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Basisskov</v>
      </c>
      <c r="D14" t="str">
        <f>IF('[1]Processer - data'!D14&lt;&gt;"",'[1]Processer - data'!D14,"")</f>
        <v>Areal-basisskov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CO2 - HWP</v>
      </c>
      <c r="G14" t="str">
        <f>IF('[1]Processer - data'!G14&lt;&gt;"",'[1]Processer - data'!G14,"")</f>
        <v>t CO2-ækvivalenter</v>
      </c>
      <c r="H14" s="274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75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76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Træer</v>
      </c>
      <c r="G15" t="str">
        <f>IF('[1]Processer - data'!G15&lt;&gt;"",'[1]Processer - data'!G15,"")</f>
        <v>m3</v>
      </c>
      <c r="H15" s="274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75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76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Træ til energi</v>
      </c>
      <c r="G16" t="str">
        <f>IF('[1]Processer - data'!G16&lt;&gt;"",'[1]Processer - data'!G16,"")</f>
        <v>m3</v>
      </c>
      <c r="H16" s="274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75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76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Areal-skovtype1-10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CO2 - atmosfære</v>
      </c>
      <c r="G17" t="str">
        <f>IF('[1]Processer - data'!G17&lt;&gt;"",'[1]Processer - data'!G17,"")</f>
        <v>t CO2-ækvivalenter</v>
      </c>
      <c r="H17" s="274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75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76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Areal-skovtype1-10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CO2 - HWP</v>
      </c>
      <c r="G18" t="str">
        <f>IF('[1]Processer - data'!G18&lt;&gt;"",'[1]Processer - data'!G18,"")</f>
        <v>t CO2-ækvivalenter</v>
      </c>
      <c r="H18" s="274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75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76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Træer</v>
      </c>
      <c r="G19" t="str">
        <f>IF('[1]Processer - data'!G19&lt;&gt;"",'[1]Processer - data'!G19,"")</f>
        <v>m3</v>
      </c>
      <c r="H19" s="274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75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76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Areal-skovtype1-20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 til energi</v>
      </c>
      <c r="G20" t="str">
        <f>IF('[1]Processer - data'!G20&lt;&gt;"",'[1]Processer - data'!G20,"")</f>
        <v>m3</v>
      </c>
      <c r="H20" s="274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75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76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Areal-skovtype1-20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CO2 - atmosfære</v>
      </c>
      <c r="G21" t="str">
        <f>IF('[1]Processer - data'!G21&lt;&gt;"",'[1]Processer - data'!G21,"")</f>
        <v>t CO2-ækvivalenter</v>
      </c>
      <c r="H21" s="274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75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76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Areal-skovtype1-20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HWP</v>
      </c>
      <c r="G22" t="str">
        <f>IF('[1]Processer - data'!G22&lt;&gt;"",'[1]Processer - data'!G22,"")</f>
        <v>t CO2-ækvivalenter</v>
      </c>
      <c r="H22" s="274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75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76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Areal-skovtype1-30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274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75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76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Areal-skovtype1-30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274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75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76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Areal-skovtype1-30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274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75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76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Skovtype1</v>
      </c>
      <c r="D26" t="str">
        <f>IF('[1]Processer - data'!D26&lt;&gt;"",'[1]Processer - data'!D26,"")</f>
        <v>Areal-skovtype1-30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CO2 - HWP</v>
      </c>
      <c r="G26" t="str">
        <f>IF('[1]Processer - data'!G26&lt;&gt;"",'[1]Processer - data'!G26,"")</f>
        <v>t CO2-ækvivalenter</v>
      </c>
      <c r="H26" s="274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75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76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Skovtype1</v>
      </c>
      <c r="D27" t="str">
        <f>IF('[1]Processer - data'!D27&lt;&gt;"",'[1]Processer - data'!D27,"")</f>
        <v>Areal-skovtype1-40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Træer</v>
      </c>
      <c r="G27" t="str">
        <f>IF('[1]Processer - data'!G27&lt;&gt;"",'[1]Processer - data'!G27,"")</f>
        <v>m3</v>
      </c>
      <c r="H27" s="274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75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76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Skovtype1</v>
      </c>
      <c r="D28" t="str">
        <f>IF('[1]Processer - data'!D28&lt;&gt;"",'[1]Processer - data'!D28,"")</f>
        <v>Areal-skovtype1-40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Træ til energi</v>
      </c>
      <c r="G28" t="str">
        <f>IF('[1]Processer - data'!G28&lt;&gt;"",'[1]Processer - data'!G28,"")</f>
        <v>m3</v>
      </c>
      <c r="H28" s="274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75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76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Skovtype1</v>
      </c>
      <c r="D29" t="str">
        <f>IF('[1]Processer - data'!D29&lt;&gt;"",'[1]Processer - data'!D29,"")</f>
        <v>Areal-skovtype1-40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CO2 - atmosfære</v>
      </c>
      <c r="G29" t="str">
        <f>IF('[1]Processer - data'!G29&lt;&gt;"",'[1]Processer - data'!G29,"")</f>
        <v>t CO2-ækvivalenter</v>
      </c>
      <c r="H29" s="274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75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76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Skovtype1</v>
      </c>
      <c r="D30" t="str">
        <f>IF('[1]Processer - data'!D30&lt;&gt;"",'[1]Processer - data'!D30,"")</f>
        <v>Areal-skovtype1-40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CO2 - HWP</v>
      </c>
      <c r="G30" t="str">
        <f>IF('[1]Processer - data'!G30&lt;&gt;"",'[1]Processer - data'!G30,"")</f>
        <v>t CO2-ækvivalenter</v>
      </c>
      <c r="H30" s="274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75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76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Areal-skovtype2-10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Træer</v>
      </c>
      <c r="G31" t="str">
        <f>IF('[1]Processer - data'!G31&lt;&gt;"",'[1]Processer - data'!G31,"")</f>
        <v>m3</v>
      </c>
      <c r="H31" s="274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75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76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Areal-skovtype2-10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 til energi</v>
      </c>
      <c r="G32" t="str">
        <f>IF('[1]Processer - data'!G32&lt;&gt;"",'[1]Processer - data'!G32,"")</f>
        <v>m3</v>
      </c>
      <c r="H32" s="274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75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76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Areal-skovtype2-10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CO2 - atmosfære</v>
      </c>
      <c r="G33" t="str">
        <f>IF('[1]Processer - data'!G33&lt;&gt;"",'[1]Processer - data'!G33,"")</f>
        <v>t CO2-ækvivalenter</v>
      </c>
      <c r="H33" s="274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75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-105905.98067140639</v>
      </c>
      <c r="J33" s="276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-71705.543156844069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Areal-skovtype2-10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HWP</v>
      </c>
      <c r="G34" t="str">
        <f>IF('[1]Processer - data'!G34&lt;&gt;"",'[1]Processer - data'!G34,"")</f>
        <v>t CO2-ækvivalenter</v>
      </c>
      <c r="H34" s="274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75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76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Areal-skovtype2-20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274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75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1947.1233399628293</v>
      </c>
      <c r="J35" s="276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12990.863346744243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Areal-skovtype2-20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274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75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486.78083499070721</v>
      </c>
      <c r="J36" s="276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3247.7158366860604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Areal-skovtype2-20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274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75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-13643.43707896962</v>
      </c>
      <c r="J37" s="276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-91026.604753339008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Skovtype2</v>
      </c>
      <c r="D38" t="str">
        <f>IF('[1]Processer - data'!D38&lt;&gt;"",'[1]Processer - data'!D38,"")</f>
        <v>Areal-skovtype2-20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CO2 - HWP</v>
      </c>
      <c r="G38" t="str">
        <f>IF('[1]Processer - data'!G38&lt;&gt;"",'[1]Processer - data'!G38,"")</f>
        <v>t CO2-ækvivalenter</v>
      </c>
      <c r="H38" s="274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75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-12279.09337107266</v>
      </c>
      <c r="J38" s="276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-81923.944278005118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Skovtype2</v>
      </c>
      <c r="D39" t="str">
        <f>IF('[1]Processer - data'!D39&lt;&gt;"",'[1]Processer - data'!D39,"")</f>
        <v>Areal-skovtype2-30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Træer</v>
      </c>
      <c r="G39" t="str">
        <f>IF('[1]Processer - data'!G39&lt;&gt;"",'[1]Processer - data'!G39,"")</f>
        <v>m3</v>
      </c>
      <c r="H39" s="274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75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76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19957.69528596805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Skovtype2</v>
      </c>
      <c r="D40" t="str">
        <f>IF('[1]Processer - data'!D40&lt;&gt;"",'[1]Processer - data'!D40,"")</f>
        <v>Areal-skovtype2-30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Træ til energi</v>
      </c>
      <c r="G40" t="str">
        <f>IF('[1]Processer - data'!G40&lt;&gt;"",'[1]Processer - data'!G40,"")</f>
        <v>m3</v>
      </c>
      <c r="H40" s="274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75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76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6908.4329836043262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Skovtype2</v>
      </c>
      <c r="D41" t="str">
        <f>IF('[1]Processer - data'!D41&lt;&gt;"",'[1]Processer - data'!D41,"")</f>
        <v>Areal-skovtype2-30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CO2 - atmosfære</v>
      </c>
      <c r="G41" t="str">
        <f>IF('[1]Processer - data'!G41&lt;&gt;"",'[1]Processer - data'!G41,"")</f>
        <v>t CO2-ækvivalenter</v>
      </c>
      <c r="H41" s="274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75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76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-4132.321152585745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Skovtype2</v>
      </c>
      <c r="D42" t="str">
        <f>IF('[1]Processer - data'!D42&lt;&gt;"",'[1]Processer - data'!D42,"")</f>
        <v>Areal-skovtype2-30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CO2 - HWP</v>
      </c>
      <c r="G42" t="str">
        <f>IF('[1]Processer - data'!G42&lt;&gt;"",'[1]Processer - data'!G42,"")</f>
        <v>t CO2-ækvivalenter</v>
      </c>
      <c r="H42" s="274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75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76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-125858.69567589725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Skovtype2</v>
      </c>
      <c r="D43" t="str">
        <f>IF('[1]Processer - data'!D43&lt;&gt;"",'[1]Processer - data'!D43,"")</f>
        <v>Areal-skovtype2-40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Træer</v>
      </c>
      <c r="G43" t="str">
        <f>IF('[1]Processer - data'!G43&lt;&gt;"",'[1]Processer - data'!G43,"")</f>
        <v>m3</v>
      </c>
      <c r="H43" s="274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75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76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916.69314118001319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Skovtype2</v>
      </c>
      <c r="D44" t="str">
        <f>IF('[1]Processer - data'!D44&lt;&gt;"",'[1]Processer - data'!D44,"")</f>
        <v>Areal-skovtype2-40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 til energi</v>
      </c>
      <c r="G44" t="str">
        <f>IF('[1]Processer - data'!G44&lt;&gt;"",'[1]Processer - data'!G44,"")</f>
        <v>m3</v>
      </c>
      <c r="H44" s="274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75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76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458.34657059000665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Skovtype2</v>
      </c>
      <c r="D45" t="str">
        <f>IF('[1]Processer - data'!D45&lt;&gt;"",'[1]Processer - data'!D45,"")</f>
        <v>Areal-skovtype2-40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CO2 - atmosfære</v>
      </c>
      <c r="G45" t="str">
        <f>IF('[1]Processer - data'!G45&lt;&gt;"",'[1]Processer - data'!G45,"")</f>
        <v>t CO2-ækvivalenter</v>
      </c>
      <c r="H45" s="274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75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76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-10323.068140491292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Skovtype2</v>
      </c>
      <c r="D46" t="str">
        <f>IF('[1]Processer - data'!D46&lt;&gt;"",'[1]Processer - data'!D46,"")</f>
        <v>Areal-skovtype2-40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HWP</v>
      </c>
      <c r="G46" t="str">
        <f>IF('[1]Processer - data'!G46&lt;&gt;"",'[1]Processer - data'!G46,"")</f>
        <v>t CO2-ækvivalenter</v>
      </c>
      <c r="H46" s="274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75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76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-5780.9181586751229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Areal-skovtype3-10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274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75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76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Areal-skovtype3-10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274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75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76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Areal-skovtype3-10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274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75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76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Skovtype3</v>
      </c>
      <c r="D50" t="str">
        <f>IF('[1]Processer - data'!D50&lt;&gt;"",'[1]Processer - data'!D50,"")</f>
        <v>Areal-skovtype3-10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CO2 - HWP</v>
      </c>
      <c r="G50" t="str">
        <f>IF('[1]Processer - data'!G50&lt;&gt;"",'[1]Processer - data'!G50,"")</f>
        <v>t CO2-ækvivalenter</v>
      </c>
      <c r="H50" s="274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75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76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Skovtype3</v>
      </c>
      <c r="D51" t="str">
        <f>IF('[1]Processer - data'!D51&lt;&gt;"",'[1]Processer - data'!D51,"")</f>
        <v>Areal-skovtype3-20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Træer</v>
      </c>
      <c r="G51" t="str">
        <f>IF('[1]Processer - data'!G51&lt;&gt;"",'[1]Processer - data'!G51,"")</f>
        <v>m3</v>
      </c>
      <c r="H51" s="274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75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76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Skovtype3</v>
      </c>
      <c r="D52" t="str">
        <f>IF('[1]Processer - data'!D52&lt;&gt;"",'[1]Processer - data'!D52,"")</f>
        <v>Areal-skovtype3-20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Træ til energi</v>
      </c>
      <c r="G52" t="str">
        <f>IF('[1]Processer - data'!G52&lt;&gt;"",'[1]Processer - data'!G52,"")</f>
        <v>m3</v>
      </c>
      <c r="H52" s="274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75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76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Skovtype3</v>
      </c>
      <c r="D53" t="str">
        <f>IF('[1]Processer - data'!D53&lt;&gt;"",'[1]Processer - data'!D53,"")</f>
        <v>Areal-skovtype3-20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CO2 - atmosfære</v>
      </c>
      <c r="G53" t="str">
        <f>IF('[1]Processer - data'!G53&lt;&gt;"",'[1]Processer - data'!G53,"")</f>
        <v>t CO2-ækvivalenter</v>
      </c>
      <c r="H53" s="274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75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76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Skovtype3</v>
      </c>
      <c r="D54" t="str">
        <f>IF('[1]Processer - data'!D54&lt;&gt;"",'[1]Processer - data'!D54,"")</f>
        <v>Areal-skovtype3-20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CO2 - HWP</v>
      </c>
      <c r="G54" t="str">
        <f>IF('[1]Processer - data'!G54&lt;&gt;"",'[1]Processer - data'!G54,"")</f>
        <v>t CO2-ækvivalenter</v>
      </c>
      <c r="H54" s="274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75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76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Skovtype3</v>
      </c>
      <c r="D55" t="str">
        <f>IF('[1]Processer - data'!D55&lt;&gt;"",'[1]Processer - data'!D55,"")</f>
        <v>Areal-skovtype3-30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Træer</v>
      </c>
      <c r="G55" t="str">
        <f>IF('[1]Processer - data'!G55&lt;&gt;"",'[1]Processer - data'!G55,"")</f>
        <v>m3</v>
      </c>
      <c r="H55" s="274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75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76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Skovtype3</v>
      </c>
      <c r="D56" t="str">
        <f>IF('[1]Processer - data'!D56&lt;&gt;"",'[1]Processer - data'!D56,"")</f>
        <v>Areal-skovtype3-30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 til energi</v>
      </c>
      <c r="G56" t="str">
        <f>IF('[1]Processer - data'!G56&lt;&gt;"",'[1]Processer - data'!G56,"")</f>
        <v>m3</v>
      </c>
      <c r="H56" s="274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75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76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Skovtype3</v>
      </c>
      <c r="D57" t="str">
        <f>IF('[1]Processer - data'!D57&lt;&gt;"",'[1]Processer - data'!D57,"")</f>
        <v>Areal-skovtype3-30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CO2 - atmosfære</v>
      </c>
      <c r="G57" t="str">
        <f>IF('[1]Processer - data'!G57&lt;&gt;"",'[1]Processer - data'!G57,"")</f>
        <v>t CO2-ækvivalenter</v>
      </c>
      <c r="H57" s="274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75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76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Skovtype3</v>
      </c>
      <c r="D58" t="str">
        <f>IF('[1]Processer - data'!D58&lt;&gt;"",'[1]Processer - data'!D58,"")</f>
        <v>Areal-skovtype3-30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HWP</v>
      </c>
      <c r="G58" t="str">
        <f>IF('[1]Processer - data'!G58&lt;&gt;"",'[1]Processer - data'!G58,"")</f>
        <v>t CO2-ækvivalenter</v>
      </c>
      <c r="H58" s="274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75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76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Skovtype3</v>
      </c>
      <c r="D59" t="str">
        <f>IF('[1]Processer - data'!D59&lt;&gt;"",'[1]Processer - data'!D59,"")</f>
        <v>Areal-skovtype3-40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274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75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76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Skovtype3</v>
      </c>
      <c r="D60" t="str">
        <f>IF('[1]Processer - data'!D60&lt;&gt;"",'[1]Processer - data'!D60,"")</f>
        <v>Areal-skovtype3-40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274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75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76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Skovtype3</v>
      </c>
      <c r="D61" t="str">
        <f>IF('[1]Processer - data'!D61&lt;&gt;"",'[1]Processer - data'!D61,"")</f>
        <v>Areal-skovtype3-40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274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75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76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Skovtype3</v>
      </c>
      <c r="D62" t="str">
        <f>IF('[1]Processer - data'!D62&lt;&gt;"",'[1]Processer - data'!D62,"")</f>
        <v>Areal-skovtype3-40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CO2 - HWP</v>
      </c>
      <c r="G62" t="str">
        <f>IF('[1]Processer - data'!G62&lt;&gt;"",'[1]Processer - data'!G62,"")</f>
        <v>t CO2-ækvivalenter</v>
      </c>
      <c r="H62" s="274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75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76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Skovtype4</v>
      </c>
      <c r="D63" t="str">
        <f>IF('[1]Processer - data'!D63&lt;&gt;"",'[1]Processer - data'!D63,"")</f>
        <v>Areal-skovtype4-10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Træer</v>
      </c>
      <c r="G63" t="str">
        <f>IF('[1]Processer - data'!G63&lt;&gt;"",'[1]Processer - data'!G63,"")</f>
        <v>m3</v>
      </c>
      <c r="H63" s="274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75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76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Skovtype4</v>
      </c>
      <c r="D64" t="str">
        <f>IF('[1]Processer - data'!D64&lt;&gt;"",'[1]Processer - data'!D64,"")</f>
        <v>Areal-skovtype4-10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Træ til energi</v>
      </c>
      <c r="G64" t="str">
        <f>IF('[1]Processer - data'!G64&lt;&gt;"",'[1]Processer - data'!G64,"")</f>
        <v>m3</v>
      </c>
      <c r="H64" s="274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75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76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Skovtype4</v>
      </c>
      <c r="D65" t="str">
        <f>IF('[1]Processer - data'!D65&lt;&gt;"",'[1]Processer - data'!D65,"")</f>
        <v>Areal-skovtype4-10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CO2 - atmosfære</v>
      </c>
      <c r="G65" t="str">
        <f>IF('[1]Processer - data'!G65&lt;&gt;"",'[1]Processer - data'!G65,"")</f>
        <v>t CO2-ækvivalenter</v>
      </c>
      <c r="H65" s="274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75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76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Skovtype4</v>
      </c>
      <c r="D66" t="str">
        <f>IF('[1]Processer - data'!D66&lt;&gt;"",'[1]Processer - data'!D66,"")</f>
        <v>Areal-skovtype4-10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CO2 - HWP</v>
      </c>
      <c r="G66" t="str">
        <f>IF('[1]Processer - data'!G66&lt;&gt;"",'[1]Processer - data'!G66,"")</f>
        <v>t CO2-ækvivalenter</v>
      </c>
      <c r="H66" s="274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75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76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Skovtype4</v>
      </c>
      <c r="D67" t="str">
        <f>IF('[1]Processer - data'!D67&lt;&gt;"",'[1]Processer - data'!D67,"")</f>
        <v>Areal-skovtype4-20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Træer</v>
      </c>
      <c r="G67" t="str">
        <f>IF('[1]Processer - data'!G67&lt;&gt;"",'[1]Processer - data'!G67,"")</f>
        <v>m3</v>
      </c>
      <c r="H67" s="274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75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76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Skovtype4</v>
      </c>
      <c r="D68" t="str">
        <f>IF('[1]Processer - data'!D68&lt;&gt;"",'[1]Processer - data'!D68,"")</f>
        <v>Areal-skovtype4-20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 til energi</v>
      </c>
      <c r="G68" t="str">
        <f>IF('[1]Processer - data'!G68&lt;&gt;"",'[1]Processer - data'!G68,"")</f>
        <v>m3</v>
      </c>
      <c r="H68" s="274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75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76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Skovtype4</v>
      </c>
      <c r="D69" t="str">
        <f>IF('[1]Processer - data'!D69&lt;&gt;"",'[1]Processer - data'!D69,"")</f>
        <v>Areal-skovtype4-20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CO2 - atmosfære</v>
      </c>
      <c r="G69" t="str">
        <f>IF('[1]Processer - data'!G69&lt;&gt;"",'[1]Processer - data'!G69,"")</f>
        <v>t CO2-ækvivalenter</v>
      </c>
      <c r="H69" s="274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75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76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Skovtype4</v>
      </c>
      <c r="D70" t="str">
        <f>IF('[1]Processer - data'!D70&lt;&gt;"",'[1]Processer - data'!D70,"")</f>
        <v>Areal-skovtype4-20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HWP</v>
      </c>
      <c r="G70" t="str">
        <f>IF('[1]Processer - data'!G70&lt;&gt;"",'[1]Processer - data'!G70,"")</f>
        <v>t CO2-ækvivalenter</v>
      </c>
      <c r="H70" s="274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75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76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Skovtype4</v>
      </c>
      <c r="D71" t="str">
        <f>IF('[1]Processer - data'!D71&lt;&gt;"",'[1]Processer - data'!D71,"")</f>
        <v>Areal-skovtype4-30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274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75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76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Skovtype4</v>
      </c>
      <c r="D72" t="str">
        <f>IF('[1]Processer - data'!D72&lt;&gt;"",'[1]Processer - data'!D72,"")</f>
        <v>Areal-skovtype4-30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274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75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76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Skovtype4</v>
      </c>
      <c r="D73" t="str">
        <f>IF('[1]Processer - data'!D73&lt;&gt;"",'[1]Processer - data'!D73,"")</f>
        <v>Areal-skovtype4-30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274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75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76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Skovproduktion</v>
      </c>
      <c r="B74" t="str">
        <f>IF('[1]Processer - data'!B74&lt;&gt;"",'[1]Processer - data'!B74,"")</f>
        <v/>
      </c>
      <c r="C74" t="str">
        <f>IF('[1]Processer - data'!C74&lt;&gt;"",'[1]Processer - data'!C74,"")</f>
        <v>Skovtype4</v>
      </c>
      <c r="D74" t="str">
        <f>IF('[1]Processer - data'!D74&lt;&gt;"",'[1]Processer - data'!D74,"")</f>
        <v>Areal-skovtype4-30</v>
      </c>
      <c r="E74" t="str">
        <f>IF('[1]Processer - data'!E74&lt;&gt;"",'[1]Processer - data'!E74,"")</f>
        <v>Hektar</v>
      </c>
      <c r="F74" t="str">
        <f>IF('[1]Processer - data'!F74&lt;&gt;"",'[1]Processer - data'!F74,"")</f>
        <v>CO2 - HWP</v>
      </c>
      <c r="G74" t="str">
        <f>IF('[1]Processer - data'!G74&lt;&gt;"",'[1]Processer - data'!G74,"")</f>
        <v>t CO2-ækvivalenter</v>
      </c>
      <c r="H74" s="274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75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76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t="str">
        <f>IF('[1]Processer - data'!A75&lt;&gt;"",'[1]Processer - data'!A75,"")</f>
        <v>Skovproduktion</v>
      </c>
      <c r="B75" t="str">
        <f>IF('[1]Processer - data'!B75&lt;&gt;"",'[1]Processer - data'!B75,"")</f>
        <v/>
      </c>
      <c r="C75" t="str">
        <f>IF('[1]Processer - data'!C75&lt;&gt;"",'[1]Processer - data'!C75,"")</f>
        <v>Skovtype4</v>
      </c>
      <c r="D75" t="str">
        <f>IF('[1]Processer - data'!D75&lt;&gt;"",'[1]Processer - data'!D75,"")</f>
        <v>Areal-skovtype4-40</v>
      </c>
      <c r="E75" t="str">
        <f>IF('[1]Processer - data'!E75&lt;&gt;"",'[1]Processer - data'!E75,"")</f>
        <v>Hektar</v>
      </c>
      <c r="F75" t="str">
        <f>IF('[1]Processer - data'!F75&lt;&gt;"",'[1]Processer - data'!F75,"")</f>
        <v>Træer</v>
      </c>
      <c r="G75" t="str">
        <f>IF('[1]Processer - data'!G75&lt;&gt;"",'[1]Processer - data'!G75,"")</f>
        <v>m3</v>
      </c>
      <c r="H75" s="274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75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76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t="str">
        <f>IF('[1]Processer - data'!A76&lt;&gt;"",'[1]Processer - data'!A76,"")</f>
        <v>Skovproduktion</v>
      </c>
      <c r="B76" t="str">
        <f>IF('[1]Processer - data'!B76&lt;&gt;"",'[1]Processer - data'!B76,"")</f>
        <v/>
      </c>
      <c r="C76" t="str">
        <f>IF('[1]Processer - data'!C76&lt;&gt;"",'[1]Processer - data'!C76,"")</f>
        <v>Skovtype4</v>
      </c>
      <c r="D76" t="str">
        <f>IF('[1]Processer - data'!D76&lt;&gt;"",'[1]Processer - data'!D76,"")</f>
        <v>Areal-skovtype4-40</v>
      </c>
      <c r="E76" t="str">
        <f>IF('[1]Processer - data'!E76&lt;&gt;"",'[1]Processer - data'!E76,"")</f>
        <v>Hektar</v>
      </c>
      <c r="F76" t="str">
        <f>IF('[1]Processer - data'!F76&lt;&gt;"",'[1]Processer - data'!F76,"")</f>
        <v>Træ til energi</v>
      </c>
      <c r="G76" t="str">
        <f>IF('[1]Processer - data'!G76&lt;&gt;"",'[1]Processer - data'!G76,"")</f>
        <v>m3</v>
      </c>
      <c r="H76" s="274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75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76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t="str">
        <f>IF('[1]Processer - data'!A77&lt;&gt;"",'[1]Processer - data'!A77,"")</f>
        <v>Skovproduktion</v>
      </c>
      <c r="B77" t="str">
        <f>IF('[1]Processer - data'!B77&lt;&gt;"",'[1]Processer - data'!B77,"")</f>
        <v/>
      </c>
      <c r="C77" t="str">
        <f>IF('[1]Processer - data'!C77&lt;&gt;"",'[1]Processer - data'!C77,"")</f>
        <v>Skovtype4</v>
      </c>
      <c r="D77" t="str">
        <f>IF('[1]Processer - data'!D77&lt;&gt;"",'[1]Processer - data'!D77,"")</f>
        <v>Areal-skovtype4-40</v>
      </c>
      <c r="E77" t="str">
        <f>IF('[1]Processer - data'!E77&lt;&gt;"",'[1]Processer - data'!E77,"")</f>
        <v>Hektar</v>
      </c>
      <c r="F77" t="str">
        <f>IF('[1]Processer - data'!F77&lt;&gt;"",'[1]Processer - data'!F77,"")</f>
        <v>CO2 - atmosfære</v>
      </c>
      <c r="G77" t="str">
        <f>IF('[1]Processer - data'!G77&lt;&gt;"",'[1]Processer - data'!G77,"")</f>
        <v>t CO2-ækvivalenter</v>
      </c>
      <c r="H77" s="274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75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76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x14ac:dyDescent="0.25">
      <c r="A78" t="str">
        <f>IF('[1]Processer - data'!A78&lt;&gt;"",'[1]Processer - data'!A78,"")</f>
        <v>Skovproduktion</v>
      </c>
      <c r="B78" t="str">
        <f>IF('[1]Processer - data'!B78&lt;&gt;"",'[1]Processer - data'!B78,"")</f>
        <v/>
      </c>
      <c r="C78" t="str">
        <f>IF('[1]Processer - data'!C78&lt;&gt;"",'[1]Processer - data'!C78,"")</f>
        <v>Skovtype4</v>
      </c>
      <c r="D78" t="str">
        <f>IF('[1]Processer - data'!D78&lt;&gt;"",'[1]Processer - data'!D78,"")</f>
        <v>Areal-skovtype4-40</v>
      </c>
      <c r="E78" t="str">
        <f>IF('[1]Processer - data'!E78&lt;&gt;"",'[1]Processer - data'!E78,"")</f>
        <v>Hektar</v>
      </c>
      <c r="F78" t="str">
        <f>IF('[1]Processer - data'!F78&lt;&gt;"",'[1]Processer - data'!F78,"")</f>
        <v>CO2 - HWP</v>
      </c>
      <c r="G78" t="str">
        <f>IF('[1]Processer - data'!G78&lt;&gt;"",'[1]Processer - data'!G78,"")</f>
        <v>t CO2-ækvivalenter</v>
      </c>
      <c r="H78" s="274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75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76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t="str">
        <f>IF('[1]Processer - data'!A79&lt;&gt;"",'[1]Processer - data'!A79,"")</f>
        <v>Skovproduktion</v>
      </c>
      <c r="B79" t="str">
        <f>IF('[1]Processer - data'!B79&lt;&gt;"",'[1]Processer - data'!B79,"")</f>
        <v/>
      </c>
      <c r="C79" t="str">
        <f>IF('[1]Processer - data'!C79&lt;&gt;"",'[1]Processer - data'!C79,"")</f>
        <v>Skovtype5</v>
      </c>
      <c r="D79" t="str">
        <f>IF('[1]Processer - data'!D79&lt;&gt;"",'[1]Processer - data'!D79,"")</f>
        <v>Areal-skovtype5-10</v>
      </c>
      <c r="E79" t="str">
        <f>IF('[1]Processer - data'!E79&lt;&gt;"",'[1]Processer - data'!E79,"")</f>
        <v>Hektar</v>
      </c>
      <c r="F79" t="str">
        <f>IF('[1]Processer - data'!F79&lt;&gt;"",'[1]Processer - data'!F79,"")</f>
        <v>Træer</v>
      </c>
      <c r="G79" t="str">
        <f>IF('[1]Processer - data'!G79&lt;&gt;"",'[1]Processer - data'!G79,"")</f>
        <v>m3</v>
      </c>
      <c r="H79" s="274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75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76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t="str">
        <f>IF('[1]Processer - data'!A80&lt;&gt;"",'[1]Processer - data'!A80,"")</f>
        <v>Skovproduktion</v>
      </c>
      <c r="B80" t="str">
        <f>IF('[1]Processer - data'!B80&lt;&gt;"",'[1]Processer - data'!B80,"")</f>
        <v/>
      </c>
      <c r="C80" t="str">
        <f>IF('[1]Processer - data'!C80&lt;&gt;"",'[1]Processer - data'!C80,"")</f>
        <v>Skovtype5</v>
      </c>
      <c r="D80" t="str">
        <f>IF('[1]Processer - data'!D80&lt;&gt;"",'[1]Processer - data'!D80,"")</f>
        <v>Areal-skovtype5-10</v>
      </c>
      <c r="E80" t="str">
        <f>IF('[1]Processer - data'!E80&lt;&gt;"",'[1]Processer - data'!E80,"")</f>
        <v>Hektar</v>
      </c>
      <c r="F80" t="str">
        <f>IF('[1]Processer - data'!F80&lt;&gt;"",'[1]Processer - data'!F80,"")</f>
        <v>Træ til energi</v>
      </c>
      <c r="G80" t="str">
        <f>IF('[1]Processer - data'!G80&lt;&gt;"",'[1]Processer - data'!G80,"")</f>
        <v>m3</v>
      </c>
      <c r="H80" s="274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75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76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t="str">
        <f>IF('[1]Processer - data'!A81&lt;&gt;"",'[1]Processer - data'!A81,"")</f>
        <v>Skovproduktion</v>
      </c>
      <c r="B81" t="str">
        <f>IF('[1]Processer - data'!B81&lt;&gt;"",'[1]Processer - data'!B81,"")</f>
        <v/>
      </c>
      <c r="C81" t="str">
        <f>IF('[1]Processer - data'!C81&lt;&gt;"",'[1]Processer - data'!C81,"")</f>
        <v>Skovtype5</v>
      </c>
      <c r="D81" t="str">
        <f>IF('[1]Processer - data'!D81&lt;&gt;"",'[1]Processer - data'!D81,"")</f>
        <v>Areal-skovtype5-10</v>
      </c>
      <c r="E81" t="str">
        <f>IF('[1]Processer - data'!E81&lt;&gt;"",'[1]Processer - data'!E81,"")</f>
        <v>Hektar</v>
      </c>
      <c r="F81" t="str">
        <f>IF('[1]Processer - data'!F81&lt;&gt;"",'[1]Processer - data'!F81,"")</f>
        <v>CO2 - atmosfære</v>
      </c>
      <c r="G81" t="str">
        <f>IF('[1]Processer - data'!G81&lt;&gt;"",'[1]Processer - data'!G81,"")</f>
        <v>t CO2-ækvivalenter</v>
      </c>
      <c r="H81" s="274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75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-127067.63572601465</v>
      </c>
      <c r="J81" s="276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-83067.590997186417</v>
      </c>
    </row>
    <row r="82" spans="1:10" x14ac:dyDescent="0.25">
      <c r="A82" t="str">
        <f>IF('[1]Processer - data'!A82&lt;&gt;"",'[1]Processer - data'!A82,"")</f>
        <v>Skovproduktion</v>
      </c>
      <c r="B82" t="str">
        <f>IF('[1]Processer - data'!B82&lt;&gt;"",'[1]Processer - data'!B82,"")</f>
        <v/>
      </c>
      <c r="C82" t="str">
        <f>IF('[1]Processer - data'!C82&lt;&gt;"",'[1]Processer - data'!C82,"")</f>
        <v>Skovtype5</v>
      </c>
      <c r="D82" t="str">
        <f>IF('[1]Processer - data'!D82&lt;&gt;"",'[1]Processer - data'!D82,"")</f>
        <v>Areal-skovtype5-10</v>
      </c>
      <c r="E82" t="str">
        <f>IF('[1]Processer - data'!E82&lt;&gt;"",'[1]Processer - data'!E82,"")</f>
        <v>Hektar</v>
      </c>
      <c r="F82" t="str">
        <f>IF('[1]Processer - data'!F82&lt;&gt;"",'[1]Processer - data'!F82,"")</f>
        <v>CO2 - HWP</v>
      </c>
      <c r="G82" t="str">
        <f>IF('[1]Processer - data'!G82&lt;&gt;"",'[1]Processer - data'!G82,"")</f>
        <v>t CO2-ækvivalenter</v>
      </c>
      <c r="H82" s="274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75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76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Skovproduktion</v>
      </c>
      <c r="B83" t="str">
        <f>IF('[1]Processer - data'!B83&lt;&gt;"",'[1]Processer - data'!B83,"")</f>
        <v/>
      </c>
      <c r="C83" t="str">
        <f>IF('[1]Processer - data'!C83&lt;&gt;"",'[1]Processer - data'!C83,"")</f>
        <v>Skovtype5</v>
      </c>
      <c r="D83" t="str">
        <f>IF('[1]Processer - data'!D83&lt;&gt;"",'[1]Processer - data'!D83,"")</f>
        <v>Areal-skovtype5-20</v>
      </c>
      <c r="E83" t="str">
        <f>IF('[1]Processer - data'!E83&lt;&gt;"",'[1]Processer - data'!E83,"")</f>
        <v>Hektar</v>
      </c>
      <c r="F83" t="str">
        <f>IF('[1]Processer - data'!F83&lt;&gt;"",'[1]Processer - data'!F83,"")</f>
        <v>Træer</v>
      </c>
      <c r="G83" t="str">
        <f>IF('[1]Processer - data'!G83&lt;&gt;"",'[1]Processer - data'!G83,"")</f>
        <v>m3</v>
      </c>
      <c r="H83" s="274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75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76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t="str">
        <f>IF('[1]Processer - data'!A84&lt;&gt;"",'[1]Processer - data'!A84,"")</f>
        <v>Skovproduktion</v>
      </c>
      <c r="B84" t="str">
        <f>IF('[1]Processer - data'!B84&lt;&gt;"",'[1]Processer - data'!B84,"")</f>
        <v/>
      </c>
      <c r="C84" t="str">
        <f>IF('[1]Processer - data'!C84&lt;&gt;"",'[1]Processer - data'!C84,"")</f>
        <v>Skovtype5</v>
      </c>
      <c r="D84" t="str">
        <f>IF('[1]Processer - data'!D84&lt;&gt;"",'[1]Processer - data'!D84,"")</f>
        <v>Areal-skovtype5-20</v>
      </c>
      <c r="E84" t="str">
        <f>IF('[1]Processer - data'!E84&lt;&gt;"",'[1]Processer - data'!E84,"")</f>
        <v>Hektar</v>
      </c>
      <c r="F84" t="str">
        <f>IF('[1]Processer - data'!F84&lt;&gt;"",'[1]Processer - data'!F84,"")</f>
        <v>Træ til energi</v>
      </c>
      <c r="G84" t="str">
        <f>IF('[1]Processer - data'!G84&lt;&gt;"",'[1]Processer - data'!G84,"")</f>
        <v>m3</v>
      </c>
      <c r="H84" s="274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75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76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t="str">
        <f>IF('[1]Processer - data'!A85&lt;&gt;"",'[1]Processer - data'!A85,"")</f>
        <v>Skovproduktion</v>
      </c>
      <c r="B85" t="str">
        <f>IF('[1]Processer - data'!B85&lt;&gt;"",'[1]Processer - data'!B85,"")</f>
        <v/>
      </c>
      <c r="C85" t="str">
        <f>IF('[1]Processer - data'!C85&lt;&gt;"",'[1]Processer - data'!C85,"")</f>
        <v>Skovtype5</v>
      </c>
      <c r="D85" t="str">
        <f>IF('[1]Processer - data'!D85&lt;&gt;"",'[1]Processer - data'!D85,"")</f>
        <v>Areal-skovtype5-20</v>
      </c>
      <c r="E85" t="str">
        <f>IF('[1]Processer - data'!E85&lt;&gt;"",'[1]Processer - data'!E85,"")</f>
        <v>Hektar</v>
      </c>
      <c r="F85" t="str">
        <f>IF('[1]Processer - data'!F85&lt;&gt;"",'[1]Processer - data'!F85,"")</f>
        <v>CO2 - atmosfære</v>
      </c>
      <c r="G85" t="str">
        <f>IF('[1]Processer - data'!G85&lt;&gt;"",'[1]Processer - data'!G85,"")</f>
        <v>t CO2-ækvivalenter</v>
      </c>
      <c r="H85" s="274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75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-12810.263341207046</v>
      </c>
      <c r="J85" s="276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-84795.920026221895</v>
      </c>
    </row>
    <row r="86" spans="1:10" x14ac:dyDescent="0.25">
      <c r="A86" t="str">
        <f>IF('[1]Processer - data'!A86&lt;&gt;"",'[1]Processer - data'!A86,"")</f>
        <v>Skovproduktion</v>
      </c>
      <c r="B86" t="str">
        <f>IF('[1]Processer - data'!B86&lt;&gt;"",'[1]Processer - data'!B86,"")</f>
        <v/>
      </c>
      <c r="C86" t="str">
        <f>IF('[1]Processer - data'!C86&lt;&gt;"",'[1]Processer - data'!C86,"")</f>
        <v>Skovtype5</v>
      </c>
      <c r="D86" t="str">
        <f>IF('[1]Processer - data'!D86&lt;&gt;"",'[1]Processer - data'!D86,"")</f>
        <v>Areal-skovtype5-20</v>
      </c>
      <c r="E86" t="str">
        <f>IF('[1]Processer - data'!E86&lt;&gt;"",'[1]Processer - data'!E86,"")</f>
        <v>Hektar</v>
      </c>
      <c r="F86" t="str">
        <f>IF('[1]Processer - data'!F86&lt;&gt;"",'[1]Processer - data'!F86,"")</f>
        <v>CO2 - HWP</v>
      </c>
      <c r="G86" t="str">
        <f>IF('[1]Processer - data'!G86&lt;&gt;"",'[1]Processer - data'!G86,"")</f>
        <v>t CO2-ækvivalenter</v>
      </c>
      <c r="H86" s="274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75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76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t="str">
        <f>IF('[1]Processer - data'!A87&lt;&gt;"",'[1]Processer - data'!A87,"")</f>
        <v>Skovproduktion</v>
      </c>
      <c r="B87" t="str">
        <f>IF('[1]Processer - data'!B87&lt;&gt;"",'[1]Processer - data'!B87,"")</f>
        <v/>
      </c>
      <c r="C87" t="str">
        <f>IF('[1]Processer - data'!C87&lt;&gt;"",'[1]Processer - data'!C87,"")</f>
        <v>Skovtype5</v>
      </c>
      <c r="D87" t="str">
        <f>IF('[1]Processer - data'!D87&lt;&gt;"",'[1]Processer - data'!D87,"")</f>
        <v>Areal-skovtype5-30</v>
      </c>
      <c r="E87" t="str">
        <f>IF('[1]Processer - data'!E87&lt;&gt;"",'[1]Processer - data'!E87,"")</f>
        <v>Hektar</v>
      </c>
      <c r="F87" t="str">
        <f>IF('[1]Processer - data'!F87&lt;&gt;"",'[1]Processer - data'!F87,"")</f>
        <v>Træer</v>
      </c>
      <c r="G87" t="str">
        <f>IF('[1]Processer - data'!G87&lt;&gt;"",'[1]Processer - data'!G87,"")</f>
        <v>m3</v>
      </c>
      <c r="H87" s="274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75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76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t="str">
        <f>IF('[1]Processer - data'!A88&lt;&gt;"",'[1]Processer - data'!A88,"")</f>
        <v>Skovproduktion</v>
      </c>
      <c r="B88" t="str">
        <f>IF('[1]Processer - data'!B88&lt;&gt;"",'[1]Processer - data'!B88,"")</f>
        <v/>
      </c>
      <c r="C88" t="str">
        <f>IF('[1]Processer - data'!C88&lt;&gt;"",'[1]Processer - data'!C88,"")</f>
        <v>Skovtype5</v>
      </c>
      <c r="D88" t="str">
        <f>IF('[1]Processer - data'!D88&lt;&gt;"",'[1]Processer - data'!D88,"")</f>
        <v>Areal-skovtype5-30</v>
      </c>
      <c r="E88" t="str">
        <f>IF('[1]Processer - data'!E88&lt;&gt;"",'[1]Processer - data'!E88,"")</f>
        <v>Hektar</v>
      </c>
      <c r="F88" t="str">
        <f>IF('[1]Processer - data'!F88&lt;&gt;"",'[1]Processer - data'!F88,"")</f>
        <v>Træ til energi</v>
      </c>
      <c r="G88" t="str">
        <f>IF('[1]Processer - data'!G88&lt;&gt;"",'[1]Processer - data'!G88,"")</f>
        <v>m3</v>
      </c>
      <c r="H88" s="274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75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76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t="str">
        <f>IF('[1]Processer - data'!A89&lt;&gt;"",'[1]Processer - data'!A89,"")</f>
        <v>Skovproduktion</v>
      </c>
      <c r="B89" t="str">
        <f>IF('[1]Processer - data'!B89&lt;&gt;"",'[1]Processer - data'!B89,"")</f>
        <v/>
      </c>
      <c r="C89" t="str">
        <f>IF('[1]Processer - data'!C89&lt;&gt;"",'[1]Processer - data'!C89,"")</f>
        <v>Skovtype5</v>
      </c>
      <c r="D89" t="str">
        <f>IF('[1]Processer - data'!D89&lt;&gt;"",'[1]Processer - data'!D89,"")</f>
        <v>Areal-skovtype5-30</v>
      </c>
      <c r="E89" t="str">
        <f>IF('[1]Processer - data'!E89&lt;&gt;"",'[1]Processer - data'!E89,"")</f>
        <v>Hektar</v>
      </c>
      <c r="F89" t="str">
        <f>IF('[1]Processer - data'!F89&lt;&gt;"",'[1]Processer - data'!F89,"")</f>
        <v>CO2 - atmosfære</v>
      </c>
      <c r="G89" t="str">
        <f>IF('[1]Processer - data'!G89&lt;&gt;"",'[1]Processer - data'!G89,"")</f>
        <v>t CO2-ækvivalenter</v>
      </c>
      <c r="H89" s="274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75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76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-127067.63572601465</v>
      </c>
    </row>
    <row r="90" spans="1:10" x14ac:dyDescent="0.25">
      <c r="A90" t="str">
        <f>IF('[1]Processer - data'!A90&lt;&gt;"",'[1]Processer - data'!A90,"")</f>
        <v>Skovproduktion</v>
      </c>
      <c r="B90" t="str">
        <f>IF('[1]Processer - data'!B90&lt;&gt;"",'[1]Processer - data'!B90,"")</f>
        <v/>
      </c>
      <c r="C90" t="str">
        <f>IF('[1]Processer - data'!C90&lt;&gt;"",'[1]Processer - data'!C90,"")</f>
        <v>Skovtype5</v>
      </c>
      <c r="D90" t="str">
        <f>IF('[1]Processer - data'!D90&lt;&gt;"",'[1]Processer - data'!D90,"")</f>
        <v>Areal-skovtype5-30</v>
      </c>
      <c r="E90" t="str">
        <f>IF('[1]Processer - data'!E90&lt;&gt;"",'[1]Processer - data'!E90,"")</f>
        <v>Hektar</v>
      </c>
      <c r="F90" t="str">
        <f>IF('[1]Processer - data'!F90&lt;&gt;"",'[1]Processer - data'!F90,"")</f>
        <v>CO2 - HWP</v>
      </c>
      <c r="G90" t="str">
        <f>IF('[1]Processer - data'!G90&lt;&gt;"",'[1]Processer - data'!G90,"")</f>
        <v>t CO2-ækvivalenter</v>
      </c>
      <c r="H90" s="274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75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76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t="str">
        <f>IF('[1]Processer - data'!A91&lt;&gt;"",'[1]Processer - data'!A91,"")</f>
        <v>Skovproduktion</v>
      </c>
      <c r="B91" t="str">
        <f>IF('[1]Processer - data'!B91&lt;&gt;"",'[1]Processer - data'!B91,"")</f>
        <v/>
      </c>
      <c r="C91" t="str">
        <f>IF('[1]Processer - data'!C91&lt;&gt;"",'[1]Processer - data'!C91,"")</f>
        <v>Skovtype5</v>
      </c>
      <c r="D91" t="str">
        <f>IF('[1]Processer - data'!D91&lt;&gt;"",'[1]Processer - data'!D91,"")</f>
        <v>Areal-skovtype5-40</v>
      </c>
      <c r="E91" t="str">
        <f>IF('[1]Processer - data'!E91&lt;&gt;"",'[1]Processer - data'!E91,"")</f>
        <v>Hektar</v>
      </c>
      <c r="F91" t="str">
        <f>IF('[1]Processer - data'!F91&lt;&gt;"",'[1]Processer - data'!F91,"")</f>
        <v>Træer</v>
      </c>
      <c r="G91" t="str">
        <f>IF('[1]Processer - data'!G91&lt;&gt;"",'[1]Processer - data'!G91,"")</f>
        <v>m3</v>
      </c>
      <c r="H91" s="274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75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76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t="str">
        <f>IF('[1]Processer - data'!A92&lt;&gt;"",'[1]Processer - data'!A92,"")</f>
        <v>Skovproduktion</v>
      </c>
      <c r="B92" t="str">
        <f>IF('[1]Processer - data'!B92&lt;&gt;"",'[1]Processer - data'!B92,"")</f>
        <v/>
      </c>
      <c r="C92" t="str">
        <f>IF('[1]Processer - data'!C92&lt;&gt;"",'[1]Processer - data'!C92,"")</f>
        <v>Skovtype5</v>
      </c>
      <c r="D92" t="str">
        <f>IF('[1]Processer - data'!D92&lt;&gt;"",'[1]Processer - data'!D92,"")</f>
        <v>Areal-skovtype5-40</v>
      </c>
      <c r="E92" t="str">
        <f>IF('[1]Processer - data'!E92&lt;&gt;"",'[1]Processer - data'!E92,"")</f>
        <v>Hektar</v>
      </c>
      <c r="F92" t="str">
        <f>IF('[1]Processer - data'!F92&lt;&gt;"",'[1]Processer - data'!F92,"")</f>
        <v>Træ til energi</v>
      </c>
      <c r="G92" t="str">
        <f>IF('[1]Processer - data'!G92&lt;&gt;"",'[1]Processer - data'!G92,"")</f>
        <v>m3</v>
      </c>
      <c r="H92" s="274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75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76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t="str">
        <f>IF('[1]Processer - data'!A93&lt;&gt;"",'[1]Processer - data'!A93,"")</f>
        <v>Skovproduktion</v>
      </c>
      <c r="B93" t="str">
        <f>IF('[1]Processer - data'!B93&lt;&gt;"",'[1]Processer - data'!B93,"")</f>
        <v/>
      </c>
      <c r="C93" t="str">
        <f>IF('[1]Processer - data'!C93&lt;&gt;"",'[1]Processer - data'!C93,"")</f>
        <v>Skovtype5</v>
      </c>
      <c r="D93" t="str">
        <f>IF('[1]Processer - data'!D93&lt;&gt;"",'[1]Processer - data'!D93,"")</f>
        <v>Areal-skovtype5-40</v>
      </c>
      <c r="E93" t="str">
        <f>IF('[1]Processer - data'!E93&lt;&gt;"",'[1]Processer - data'!E93,"")</f>
        <v>Hektar</v>
      </c>
      <c r="F93" t="str">
        <f>IF('[1]Processer - data'!F93&lt;&gt;"",'[1]Processer - data'!F93,"")</f>
        <v>CO2 - atmosfære</v>
      </c>
      <c r="G93" t="str">
        <f>IF('[1]Processer - data'!G93&lt;&gt;"",'[1]Processer - data'!G93,"")</f>
        <v>t CO2-ækvivalenter</v>
      </c>
      <c r="H93" s="274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75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76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-12810.263341207046</v>
      </c>
    </row>
    <row r="94" spans="1:10" x14ac:dyDescent="0.25">
      <c r="A94" t="str">
        <f>IF('[1]Processer - data'!A94&lt;&gt;"",'[1]Processer - data'!A94,"")</f>
        <v>Skovproduktion</v>
      </c>
      <c r="B94" t="str">
        <f>IF('[1]Processer - data'!B94&lt;&gt;"",'[1]Processer - data'!B94,"")</f>
        <v/>
      </c>
      <c r="C94" t="str">
        <f>IF('[1]Processer - data'!C94&lt;&gt;"",'[1]Processer - data'!C94,"")</f>
        <v>Skovtype5</v>
      </c>
      <c r="D94" t="str">
        <f>IF('[1]Processer - data'!D94&lt;&gt;"",'[1]Processer - data'!D94,"")</f>
        <v>Areal-skovtype5-40</v>
      </c>
      <c r="E94" t="str">
        <f>IF('[1]Processer - data'!E94&lt;&gt;"",'[1]Processer - data'!E94,"")</f>
        <v>Hektar</v>
      </c>
      <c r="F94" t="str">
        <f>IF('[1]Processer - data'!F94&lt;&gt;"",'[1]Processer - data'!F94,"")</f>
        <v>CO2 - HWP</v>
      </c>
      <c r="G94" t="str">
        <f>IF('[1]Processer - data'!G94&lt;&gt;"",'[1]Processer - data'!G94,"")</f>
        <v>t CO2-ækvivalenter</v>
      </c>
      <c r="H94" s="274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75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76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402">
        <f>IFERROR(VLOOKUP($D95&amp;$F95,Landbrugsproduktivititet!$D$3:$G$31,MATCH(H$2,Landbrugsproduktivititet!$D$2:$G$2,0),FALSE),1)*IF($A95&lt;&gt;"",IF(VLOOKUP($A95,[1]!Table1[#All],2,FALSE)="Direkte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403">
        <f>IFERROR(VLOOKUP($D95&amp;$F95,Landbrugsproduktivititet!$D$3:$G$31,MATCH(I$2,Landbrugsproduktivititet!$D$2:$G$2,0),FALSE),1)*IF($A95&lt;&gt;"",IF(VLOOKUP($A95,[1]!Table1[#All],2,FALSE)="Direkte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1924504.5629138958</v>
      </c>
      <c r="J95" s="404">
        <f>IFERROR(VLOOKUP($D95&amp;$F95,Landbrugsproduktivititet!$D$3:$G$31,MATCH(J$2,Landbrugsproduktivititet!$D$2:$G$2,0),FALSE),1)*IF($A95&lt;&gt;"",IF(VLOOKUP($A95,[1]!Table1[#All],2,FALSE)="Direkte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0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402">
        <f>IFERROR(VLOOKUP($D96&amp;$F96,Landbrugsproduktivititet!$D$3:$G$31,MATCH(H$2,Landbrugsproduktivititet!$D$2:$G$2,0),FALSE),1)*IF($A96&lt;&gt;"",IF(VLOOKUP($A96,[1]!Table1[#All],2,FALSE)="Direkte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input'!$A$3:$A$230,$A$1)),IF(VLOOKUP($A96,[1]!Table1[#All],2,FALSE)="Resultat",SUMIF($F$1:$F34,$D96,H$1:H34)+SUMIF($F97:$F$512,$D96,H97:H$512),0))*'[1]Processer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403">
        <f>IFERROR(VLOOKUP($D96&amp;$F96,Landbrugsproduktivititet!$D$3:$G$31,MATCH(I$2,Landbrugsproduktivititet!$D$2:$G$2,0),FALSE),1)*IF($A96&lt;&gt;"",IF(VLOOKUP($A96,[1]!Table1[#All],2,FALSE)="Direkte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input'!$A$3:$A$230,$A$1)),IF(VLOOKUP($A96,[1]!Table1[#All],2,FALSE)="Resultat",SUMIF($F$1:$F34,$D96,I$1:I34)+SUMIF($F97:$F$512,$D96,I97:I$512),0))*'[1]Processer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2076065.2002197129</v>
      </c>
      <c r="J96" s="404">
        <f>IFERROR(VLOOKUP($D96&amp;$F96,Landbrugsproduktivititet!$D$3:$G$31,MATCH(J$2,Landbrugsproduktivititet!$D$2:$G$2,0),FALSE),1)*IF($A96&lt;&gt;"",IF(VLOOKUP($A96,[1]!Table1[#All],2,FALSE)="Direkte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input'!$A$3:$A$230,$A$1)),IF(VLOOKUP($A96,[1]!Table1[#All],2,FALSE)="Resultat",SUMIF($F$1:$F34,$D96,J$1:J34)+SUMIF($F97:$F$512,$D96,J97:J$512),0))*'[1]Processer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0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402">
        <f>IFERROR(VLOOKUP($D97&amp;$F97,Landbrugsproduktivititet!$D$3:$G$31,MATCH(H$2,Landbrugsproduktivititet!$D$2:$G$2,0),FALSE),1)*IF($A97&lt;&gt;"",IF(VLOOKUP($A97,[1]!Table1[#All],2,FALSE)="Direkte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input'!$A$3:$A$230,$A$1)),IF(VLOOKUP($A97,[1]!Table1[#All],2,FALSE)="Resultat",SUMIF($F$1:$F35,$D97,H$1:H35)+SUMIF($F98:$F$512,$D97,H98:H$512),0))*'[1]Processer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403">
        <f>IFERROR(VLOOKUP($D97&amp;$F97,Landbrugsproduktivititet!$D$3:$G$31,MATCH(I$2,Landbrugsproduktivititet!$D$2:$G$2,0),FALSE),1)*IF($A97&lt;&gt;"",IF(VLOOKUP($A97,[1]!Table1[#All],2,FALSE)="Direkte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input'!$A$3:$A$230,$A$1)),IF(VLOOKUP($A97,[1]!Table1[#All],2,FALSE)="Resultat",SUMIF($F$1:$F35,$D97,I$1:I35)+SUMIF($F98:$F$512,$D97,I98:I$512),0))*'[1]Processer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266136.57929984259</v>
      </c>
      <c r="J97" s="404">
        <f>IFERROR(VLOOKUP($D97&amp;$F97,Landbrugsproduktivititet!$D$3:$G$31,MATCH(J$2,Landbrugsproduktivititet!$D$2:$G$2,0),FALSE),1)*IF($A97&lt;&gt;"",IF(VLOOKUP($A97,[1]!Table1[#All],2,FALSE)="Direkte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input'!$A$3:$A$230,$A$1)),IF(VLOOKUP($A97,[1]!Table1[#All],2,FALSE)="Resultat",SUMIF($F$1:$F35,$D97,J$1:J35)+SUMIF($F98:$F$512,$D97,J98:J$512),0))*'[1]Processer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0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402">
        <f>IFERROR(VLOOKUP($D98&amp;$F98,Landbrugsproduktivititet!$D$3:$G$31,MATCH(H$2,Landbrugsproduktivititet!$D$2:$G$2,0),FALSE),1)*IF($A98&lt;&gt;"",IF(VLOOKUP($A98,[1]!Table1[#All],2,FALSE)="Direkte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input'!$A$3:$A$230,$A$1)),IF(VLOOKUP($A98,[1]!Table1[#All],2,FALSE)="Resultat",SUMIF($F$1:$F36,$D98,H$1:H36)+SUMIF($F99:$F$512,$D98,H99:H$512),0))*'[1]Processer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403">
        <f>IFERROR(VLOOKUP($D98&amp;$F98,Landbrugsproduktivititet!$D$3:$G$31,MATCH(I$2,Landbrugsproduktivititet!$D$2:$G$2,0),FALSE),1)*IF($A98&lt;&gt;"",IF(VLOOKUP($A98,[1]!Table1[#All],2,FALSE)="Direkte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input'!$A$3:$A$230,$A$1)),IF(VLOOKUP($A98,[1]!Table1[#All],2,FALSE)="Resultat",SUMIF($F$1:$F36,$D98,I$1:I36)+SUMIF($F99:$F$512,$D98,I99:I$512),0))*'[1]Processer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21753.147685272212</v>
      </c>
      <c r="J98" s="404">
        <f>IFERROR(VLOOKUP($D98&amp;$F98,Landbrugsproduktivititet!$D$3:$G$31,MATCH(J$2,Landbrugsproduktivititet!$D$2:$G$2,0),FALSE),1)*IF($A98&lt;&gt;"",IF(VLOOKUP($A98,[1]!Table1[#All],2,FALSE)="Direkte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input'!$A$3:$A$230,$A$1)),IF(VLOOKUP($A98,[1]!Table1[#All],2,FALSE)="Resultat",SUMIF($F$1:$F36,$D98,J$1:J36)+SUMIF($F99:$F$512,$D98,J99:J$512),0))*'[1]Processer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0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402">
        <f>IFERROR(VLOOKUP($D99&amp;$F99,Landbrugsproduktivititet!$D$3:$G$31,MATCH(H$2,Landbrugsproduktivititet!$D$2:$G$2,0),FALSE),1)*IF($A99&lt;&gt;"",IF(VLOOKUP($A99,[1]!Table1[#All],2,FALSE)="Direkte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input'!$A$3:$A$230,$A$1)),IF(VLOOKUP($A99,[1]!Table1[#All],2,FALSE)="Resultat",SUMIF($F$1:$F37,$D99,H$1:H37)+SUMIF($F100:$F$512,$D99,H100:H$512),0))*'[1]Processer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403">
        <f>IFERROR(VLOOKUP($D99&amp;$F99,Landbrugsproduktivititet!$D$3:$G$31,MATCH(I$2,Landbrugsproduktivititet!$D$2:$G$2,0),FALSE),1)*IF($A99&lt;&gt;"",IF(VLOOKUP($A99,[1]!Table1[#All],2,FALSE)="Direkte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input'!$A$3:$A$230,$A$1)),IF(VLOOKUP($A99,[1]!Table1[#All],2,FALSE)="Resultat",SUMIF($F$1:$F37,$D99,I$1:I37)+SUMIF($F100:$F$512,$D99,I100:I$512),0))*'[1]Processer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-1187702583.8689213</v>
      </c>
      <c r="J99" s="404">
        <f>IFERROR(VLOOKUP($D99&amp;$F99,Landbrugsproduktivititet!$D$3:$G$31,MATCH(J$2,Landbrugsproduktivititet!$D$2:$G$2,0),FALSE),1)*IF($A99&lt;&gt;"",IF(VLOOKUP($A99,[1]!Table1[#All],2,FALSE)="Direkte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input'!$A$3:$A$230,$A$1)),IF(VLOOKUP($A99,[1]!Table1[#All],2,FALSE)="Resultat",SUMIF($F$1:$F37,$D99,J$1:J37)+SUMIF($F100:$F$512,$D99,J100:J$512),0))*'[1]Processer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0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402">
        <f>IFERROR(VLOOKUP($D100&amp;$F100,Landbrugsproduktivititet!$D$3:$G$31,MATCH(H$2,Landbrugsproduktivititet!$D$2:$G$2,0),FALSE),1)*IF($A100&lt;&gt;"",IF(VLOOKUP($A100,[1]!Table1[#All],2,FALSE)="Direkte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input'!$A$3:$A$230,$A$1)),IF(VLOOKUP($A100,[1]!Table1[#All],2,FALSE)="Resultat",SUMIF($F$1:$F38,$D100,H$1:H38)+SUMIF($F101:$F$512,$D100,H101:H$512),0))*'[1]Processer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403">
        <f>IFERROR(VLOOKUP($D100&amp;$F100,Landbrugsproduktivititet!$D$3:$G$31,MATCH(I$2,Landbrugsproduktivititet!$D$2:$G$2,0),FALSE),1)*IF($A100&lt;&gt;"",IF(VLOOKUP($A100,[1]!Table1[#All],2,FALSE)="Direkte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input'!$A$3:$A$230,$A$1)),IF(VLOOKUP($A100,[1]!Table1[#All],2,FALSE)="Resultat",SUMIF($F$1:$F38,$D100,I$1:I38)+SUMIF($F101:$F$512,$D100,I101:I$512),0))*'[1]Processer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-91215.425158320126</v>
      </c>
      <c r="J100" s="404">
        <f>IFERROR(VLOOKUP($D100&amp;$F100,Landbrugsproduktivititet!$D$3:$G$31,MATCH(J$2,Landbrugsproduktivititet!$D$2:$G$2,0),FALSE),1)*IF($A100&lt;&gt;"",IF(VLOOKUP($A100,[1]!Table1[#All],2,FALSE)="Direkte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input'!$A$3:$A$230,$A$1)),IF(VLOOKUP($A100,[1]!Table1[#All],2,FALSE)="Resultat",SUMIF($F$1:$F38,$D100,J$1:J38)+SUMIF($F101:$F$512,$D100,J101:J$512),0))*'[1]Processer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0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402">
        <f>IFERROR(VLOOKUP($D101&amp;$F101,Landbrugsproduktivititet!$D$3:$G$31,MATCH(H$2,Landbrugsproduktivititet!$D$2:$G$2,0),FALSE),1)*IF($A101&lt;&gt;"",IF(VLOOKUP($A101,[1]!Table1[#All],2,FALSE)="Direkte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input'!$A$3:$A$230,$A$1)),IF(VLOOKUP($A101,[1]!Table1[#All],2,FALSE)="Resultat",SUMIF($F$1:$F39,$D101,H$1:H39)+SUMIF($F102:$F$512,$D101,H102:H$512),0))*'[1]Processer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193358.10774986746</v>
      </c>
      <c r="I101" s="403">
        <f>IFERROR(VLOOKUP($D101&amp;$F101,Landbrugsproduktivititet!$D$3:$G$31,MATCH(I$2,Landbrugsproduktivititet!$D$2:$G$2,0),FALSE),1)*IF($A101&lt;&gt;"",IF(VLOOKUP($A101,[1]!Table1[#All],2,FALSE)="Direkte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input'!$A$3:$A$230,$A$1)),IF(VLOOKUP($A101,[1]!Table1[#All],2,FALSE)="Resultat",SUMIF($F$1:$F39,$D101,I$1:I39)+SUMIF($F102:$F$512,$D101,I102:I$512),0))*'[1]Processer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174194.29219381284</v>
      </c>
      <c r="J101" s="404">
        <f>IFERROR(VLOOKUP($D101&amp;$F101,Landbrugsproduktivititet!$D$3:$G$31,MATCH(J$2,Landbrugsproduktivititet!$D$2:$G$2,0),FALSE),1)*IF($A101&lt;&gt;"",IF(VLOOKUP($A101,[1]!Table1[#All],2,FALSE)="Direkte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input'!$A$3:$A$230,$A$1)),IF(VLOOKUP($A101,[1]!Table1[#All],2,FALSE)="Resultat",SUMIF($F$1:$F39,$D101,J$1:J39)+SUMIF($F102:$F$512,$D101,J102:J$512),0))*'[1]Processer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0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402">
        <f>IFERROR(VLOOKUP($D102&amp;$F102,Landbrugsproduktivititet!$D$3:$G$31,MATCH(H$2,Landbrugsproduktivititet!$D$2:$G$2,0),FALSE),1)*IF($A102&lt;&gt;"",IF(VLOOKUP($A102,[1]!Table1[#All],2,FALSE)="Direkte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input'!$A$3:$A$230,$A$1)),IF(VLOOKUP($A102,[1]!Table1[#All],2,FALSE)="Resultat",SUMIF($F$1:$F40,$D102,H$1:H40)+SUMIF($F103:$F$512,$D102,H103:H$512),0))*'[1]Processer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403">
        <f>IFERROR(VLOOKUP($D102&amp;$F102,Landbrugsproduktivititet!$D$3:$G$31,MATCH(I$2,Landbrugsproduktivititet!$D$2:$G$2,0),FALSE),1)*IF($A102&lt;&gt;"",IF(VLOOKUP($A102,[1]!Table1[#All],2,FALSE)="Direkte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input'!$A$3:$A$230,$A$1)),IF(VLOOKUP($A102,[1]!Table1[#All],2,FALSE)="Resultat",SUMIF($F$1:$F40,$D102,I$1:I40)+SUMIF($F103:$F$512,$D102,I103:I$512),0))*'[1]Processer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27281.262744326868</v>
      </c>
      <c r="J102" s="404">
        <f>IFERROR(VLOOKUP($D102&amp;$F102,Landbrugsproduktivititet!$D$3:$G$31,MATCH(J$2,Landbrugsproduktivititet!$D$2:$G$2,0),FALSE),1)*IF($A102&lt;&gt;"",IF(VLOOKUP($A102,[1]!Table1[#All],2,FALSE)="Direkte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input'!$A$3:$A$230,$A$1)),IF(VLOOKUP($A102,[1]!Table1[#All],2,FALSE)="Resultat",SUMIF($F$1:$F40,$D102,J$1:J40)+SUMIF($F103:$F$512,$D102,J103:J$512),0))*'[1]Processer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588543.97238187573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402">
        <f>IFERROR(VLOOKUP($D103&amp;$F103,Landbrugsproduktivititet!$D$3:$G$31,MATCH(H$2,Landbrugsproduktivititet!$D$2:$G$2,0),FALSE),1)*IF($A103&lt;&gt;"",IF(VLOOKUP($A103,[1]!Table1[#All],2,FALSE)="Direkte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input'!$A$3:$A$230,$A$1)),IF(VLOOKUP($A103,[1]!Table1[#All],2,FALSE)="Resultat",SUMIF($F$1:$F41,$D103,H$1:H41)+SUMIF($F104:$F$512,$D103,H104:H$512),0))*'[1]Processer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403">
        <f>IFERROR(VLOOKUP($D103&amp;$F103,Landbrugsproduktivititet!$D$3:$G$31,MATCH(I$2,Landbrugsproduktivititet!$D$2:$G$2,0),FALSE),1)*IF($A103&lt;&gt;"",IF(VLOOKUP($A103,[1]!Table1[#All],2,FALSE)="Direkte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input'!$A$3:$A$230,$A$1)),IF(VLOOKUP($A103,[1]!Table1[#All],2,FALSE)="Resultat",SUMIF($F$1:$F41,$D103,I$1:I41)+SUMIF($F104:$F$512,$D103,I104:I$512),0))*'[1]Processer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404">
        <f>IFERROR(VLOOKUP($D103&amp;$F103,Landbrugsproduktivititet!$D$3:$G$31,MATCH(J$2,Landbrugsproduktivititet!$D$2:$G$2,0),FALSE),1)*IF($A103&lt;&gt;"",IF(VLOOKUP($A103,[1]!Table1[#All],2,FALSE)="Direkte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input'!$A$3:$A$230,$A$1)),IF(VLOOKUP($A103,[1]!Table1[#All],2,FALSE)="Resultat",SUMIF($F$1:$F41,$D103,J$1:J41)+SUMIF($F104:$F$512,$D103,J104:J$512),0))*'[1]Processer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402">
        <f>IFERROR(VLOOKUP($D104&amp;$F104,Landbrugsproduktivititet!$D$3:$G$31,MATCH(H$2,Landbrugsproduktivititet!$D$2:$G$2,0),FALSE),1)*IF($A104&lt;&gt;"",IF(VLOOKUP($A104,[1]!Table1[#All],2,FALSE)="Direkte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input'!$A$3:$A$230,$A$1)),IF(VLOOKUP($A104,[1]!Table1[#All],2,FALSE)="Resultat",SUMIF($F$1:$F42,$D104,H$1:H42)+SUMIF($F105:$F$512,$D104,H105:H$512),0))*'[1]Processer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403">
        <f>IFERROR(VLOOKUP($D104&amp;$F104,Landbrugsproduktivititet!$D$3:$G$31,MATCH(I$2,Landbrugsproduktivititet!$D$2:$G$2,0),FALSE),1)*IF($A104&lt;&gt;"",IF(VLOOKUP($A104,[1]!Table1[#All],2,FALSE)="Direkte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input'!$A$3:$A$230,$A$1)),IF(VLOOKUP($A104,[1]!Table1[#All],2,FALSE)="Resultat",SUMIF($F$1:$F42,$D104,I$1:I42)+SUMIF($F105:$F$512,$D104,I105:I$512),0))*'[1]Processer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29570.731033315838</v>
      </c>
      <c r="J104" s="404">
        <f>IFERROR(VLOOKUP($D104&amp;$F104,Landbrugsproduktivititet!$D$3:$G$31,MATCH(J$2,Landbrugsproduktivititet!$D$2:$G$2,0),FALSE),1)*IF($A104&lt;&gt;"",IF(VLOOKUP($A104,[1]!Table1[#All],2,FALSE)="Direkte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input'!$A$3:$A$230,$A$1)),IF(VLOOKUP($A104,[1]!Table1[#All],2,FALSE)="Resultat",SUMIF($F$1:$F42,$D104,J$1:J42)+SUMIF($F105:$F$512,$D104,J105:J$512),0))*'[1]Processer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637935.11582240835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402">
        <f>IFERROR(VLOOKUP($D105&amp;$F105,Landbrugsproduktivititet!$D$3:$G$31,MATCH(H$2,Landbrugsproduktivititet!$D$2:$G$2,0),FALSE),1)*IF($A105&lt;&gt;"",IF(VLOOKUP($A105,[1]!Table1[#All],2,FALSE)="Direkte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input'!$A$3:$A$230,$A$1)),IF(VLOOKUP($A105,[1]!Table1[#All],2,FALSE)="Resultat",SUMIF($F$1:$F43,$D105,H$1:H43)+SUMIF($F106:$F$512,$D105,H106:H$512),0))*'[1]Processer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403">
        <f>IFERROR(VLOOKUP($D105&amp;$F105,Landbrugsproduktivititet!$D$3:$G$31,MATCH(I$2,Landbrugsproduktivititet!$D$2:$G$2,0),FALSE),1)*IF($A105&lt;&gt;"",IF(VLOOKUP($A105,[1]!Table1[#All],2,FALSE)="Direkte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input'!$A$3:$A$230,$A$1)),IF(VLOOKUP($A105,[1]!Table1[#All],2,FALSE)="Resultat",SUMIF($F$1:$F43,$D105,I$1:I43)+SUMIF($F106:$F$512,$D105,I106:I$512),0))*'[1]Processer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904.39369710985522</v>
      </c>
      <c r="J105" s="404">
        <f>IFERROR(VLOOKUP($D105&amp;$F105,Landbrugsproduktivititet!$D$3:$G$31,MATCH(J$2,Landbrugsproduktivititet!$D$2:$G$2,0),FALSE),1)*IF($A105&lt;&gt;"",IF(VLOOKUP($A105,[1]!Table1[#All],2,FALSE)="Direkte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input'!$A$3:$A$230,$A$1)),IF(VLOOKUP($A105,[1]!Table1[#All],2,FALSE)="Resultat",SUMIF($F$1:$F43,$D105,J$1:J43)+SUMIF($F106:$F$512,$D105,J106:J$512),0))*'[1]Processer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19510.660634828997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402">
        <f>IFERROR(VLOOKUP($D106&amp;$F106,Landbrugsproduktivititet!$D$3:$G$31,MATCH(H$2,Landbrugsproduktivititet!$D$2:$G$2,0),FALSE),1)*IF($A106&lt;&gt;"",IF(VLOOKUP($A106,[1]!Table1[#All],2,FALSE)="Direkte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input'!$A$3:$A$230,$A$1)),IF(VLOOKUP($A106,[1]!Table1[#All],2,FALSE)="Resultat",SUMIF($F$1:$F44,$D106,H$1:H44)+SUMIF($F107:$F$512,$D106,H107:H$512),0))*'[1]Processer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403">
        <f>IFERROR(VLOOKUP($D106&amp;$F106,Landbrugsproduktivititet!$D$3:$G$31,MATCH(I$2,Landbrugsproduktivititet!$D$2:$G$2,0),FALSE),1)*IF($A106&lt;&gt;"",IF(VLOOKUP($A106,[1]!Table1[#All],2,FALSE)="Direkte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input'!$A$3:$A$230,$A$1)),IF(VLOOKUP($A106,[1]!Table1[#All],2,FALSE)="Resultat",SUMIF($F$1:$F44,$D106,I$1:I44)+SUMIF($F107:$F$512,$D106,I107:I$512),0))*'[1]Processer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-49379094.300885312</v>
      </c>
      <c r="J106" s="404">
        <f>IFERROR(VLOOKUP($D106&amp;$F106,Landbrugsproduktivititet!$D$3:$G$31,MATCH(J$2,Landbrugsproduktivititet!$D$2:$G$2,0),FALSE),1)*IF($A106&lt;&gt;"",IF(VLOOKUP($A106,[1]!Table1[#All],2,FALSE)="Direkte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input'!$A$3:$A$230,$A$1)),IF(VLOOKUP($A106,[1]!Table1[#All],2,FALSE)="Resultat",SUMIF($F$1:$F44,$D106,J$1:J44)+SUMIF($F107:$F$512,$D106,J107:J$512),0))*'[1]Processer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-1065264778.424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402">
        <f>IFERROR(VLOOKUP($D107&amp;$F107,Landbrugsproduktivititet!$D$3:$G$31,MATCH(H$2,Landbrugsproduktivititet!$D$2:$G$2,0),FALSE),1)*IF($A107&lt;&gt;"",IF(VLOOKUP($A107,[1]!Table1[#All],2,FALSE)="Direkte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input'!$A$3:$A$230,$A$1)),IF(VLOOKUP($A107,[1]!Table1[#All],2,FALSE)="Resultat",SUMIF($F$1:$F45,$D107,H$1:H45)+SUMIF($F108:$F$512,$D107,H108:H$512),0))*'[1]Processer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403">
        <f>IFERROR(VLOOKUP($D107&amp;$F107,Landbrugsproduktivititet!$D$3:$G$31,MATCH(I$2,Landbrugsproduktivititet!$D$2:$G$2,0),FALSE),1)*IF($A107&lt;&gt;"",IF(VLOOKUP($A107,[1]!Table1[#All],2,FALSE)="Direkte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input'!$A$3:$A$230,$A$1)),IF(VLOOKUP($A107,[1]!Table1[#All],2,FALSE)="Resultat",SUMIF($F$1:$F45,$D107,I$1:I45)+SUMIF($F108:$F$512,$D107,I108:I$512),0))*'[1]Processer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-3333.422207530512</v>
      </c>
      <c r="J107" s="404">
        <f>IFERROR(VLOOKUP($D107&amp;$F107,Landbrugsproduktivititet!$D$3:$G$31,MATCH(J$2,Landbrugsproduktivititet!$D$2:$G$2,0),FALSE),1)*IF($A107&lt;&gt;"",IF(VLOOKUP($A107,[1]!Table1[#All],2,FALSE)="Direkte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input'!$A$3:$A$230,$A$1)),IF(VLOOKUP($A107,[1]!Table1[#All],2,FALSE)="Resultat",SUMIF($F$1:$F45,$D107,J$1:J45)+SUMIF($F108:$F$512,$D107,J108:J$512),0))*'[1]Processer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-71912.563800000004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402">
        <f>IFERROR(VLOOKUP($D108&amp;$F108,Landbrugsproduktivititet!$D$3:$G$31,MATCH(H$2,Landbrugsproduktivititet!$D$2:$G$2,0),FALSE),1)*IF($A108&lt;&gt;"",IF(VLOOKUP($A108,[1]!Table1[#All],2,FALSE)="Direkte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input'!$A$3:$A$230,$A$1)),IF(VLOOKUP($A108,[1]!Table1[#All],2,FALSE)="Resultat",SUMIF($F$1:$F46,$D108,H$1:H46)+SUMIF($F109:$F$512,$D108,H109:H$512),0))*'[1]Processer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2131.9049352044335</v>
      </c>
      <c r="I108" s="403">
        <f>IFERROR(VLOOKUP($D108&amp;$F108,Landbrugsproduktivititet!$D$3:$G$31,MATCH(I$2,Landbrugsproduktivititet!$D$2:$G$2,0),FALSE),1)*IF($A108&lt;&gt;"",IF(VLOOKUP($A108,[1]!Table1[#All],2,FALSE)="Direkte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input'!$A$3:$A$230,$A$1)),IF(VLOOKUP($A108,[1]!Table1[#All],2,FALSE)="Resultat",SUMIF($F$1:$F46,$D108,I$1:I46)+SUMIF($F109:$F$512,$D108,I109:I$512),0))*'[1]Processer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7966.3984464732839</v>
      </c>
      <c r="J108" s="404">
        <f>IFERROR(VLOOKUP($D108&amp;$F108,Landbrugsproduktivititet!$D$3:$G$31,MATCH(J$2,Landbrugsproduktivititet!$D$2:$G$2,0),FALSE),1)*IF($A108&lt;&gt;"",IF(VLOOKUP($A108,[1]!Table1[#All],2,FALSE)="Direkte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input'!$A$3:$A$230,$A$1)),IF(VLOOKUP($A108,[1]!Table1[#All],2,FALSE)="Resultat",SUMIF($F$1:$F46,$D108,J$1:J46)+SUMIF($F109:$F$512,$D108,J109:J$512),0))*'[1]Processer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171860.65876804688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402">
        <f>IFERROR(VLOOKUP($D109&amp;$F109,Landbrugsproduktivititet!$D$3:$G$31,MATCH(H$2,Landbrugsproduktivititet!$D$2:$G$2,0),FALSE),1)*IF($A109&lt;&gt;"",IF(VLOOKUP($A109,[1]!Table1[#All],2,FALSE)="Direkte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input'!$A$3:$A$230,$A$1)),IF(VLOOKUP($A109,[1]!Table1[#All],2,FALSE)="Resultat",SUMIF($F$1:$F47,$D109,H$1:H47)+SUMIF($F110:$F$512,$D109,H110:H$512),0))*'[1]Processer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403">
        <f>IFERROR(VLOOKUP($D109&amp;$F109,Landbrugsproduktivititet!$D$3:$G$31,MATCH(I$2,Landbrugsproduktivititet!$D$2:$G$2,0),FALSE),1)*IF($A109&lt;&gt;"",IF(VLOOKUP($A109,[1]!Table1[#All],2,FALSE)="Direkte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input'!$A$3:$A$230,$A$1)),IF(VLOOKUP($A109,[1]!Table1[#All],2,FALSE)="Resultat",SUMIF($F$1:$F47,$D109,I$1:I47)+SUMIF($F110:$F$512,$D109,I110:I$512),0))*'[1]Processer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23810.623116054863</v>
      </c>
      <c r="J109" s="404">
        <f>IFERROR(VLOOKUP($D109&amp;$F109,Landbrugsproduktivititet!$D$3:$G$31,MATCH(J$2,Landbrugsproduktivititet!$D$2:$G$2,0),FALSE),1)*IF($A109&lt;&gt;"",IF(VLOOKUP($A109,[1]!Table1[#All],2,FALSE)="Direkte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input'!$A$3:$A$230,$A$1)),IF(VLOOKUP($A109,[1]!Table1[#All],2,FALSE)="Resultat",SUMIF($F$1:$F47,$D109,J$1:J47)+SUMIF($F110:$F$512,$D109,J110:J$512),0))*'[1]Processer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0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402">
        <f>IFERROR(VLOOKUP($D110&amp;$F110,Landbrugsproduktivititet!$D$3:$G$31,MATCH(H$2,Landbrugsproduktivititet!$D$2:$G$2,0),FALSE),1)*IF($A110&lt;&gt;"",IF(VLOOKUP($A110,[1]!Table1[#All],2,FALSE)="Direkte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input'!$A$3:$A$230,$A$1)),IF(VLOOKUP($A110,[1]!Table1[#All],2,FALSE)="Resultat",SUMIF($F$1:$F48,$D110,H$1:H48)+SUMIF($F111:$F$512,$D110,H111:H$512),0))*'[1]Processer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403">
        <f>IFERROR(VLOOKUP($D110&amp;$F110,Landbrugsproduktivititet!$D$3:$G$31,MATCH(I$2,Landbrugsproduktivititet!$D$2:$G$2,0),FALSE),1)*IF($A110&lt;&gt;"",IF(VLOOKUP($A110,[1]!Table1[#All],2,FALSE)="Direkte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input'!$A$3:$A$230,$A$1)),IF(VLOOKUP($A110,[1]!Table1[#All],2,FALSE)="Resultat",SUMIF($F$1:$F48,$D110,I$1:I48)+SUMIF($F111:$F$512,$D110,I111:I$512),0))*'[1]Processer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392470.44447755598</v>
      </c>
      <c r="J110" s="404">
        <f>IFERROR(VLOOKUP($D110&amp;$F110,Landbrugsproduktivititet!$D$3:$G$31,MATCH(J$2,Landbrugsproduktivititet!$D$2:$G$2,0),FALSE),1)*IF($A110&lt;&gt;"",IF(VLOOKUP($A110,[1]!Table1[#All],2,FALSE)="Direkte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input'!$A$3:$A$230,$A$1)),IF(VLOOKUP($A110,[1]!Table1[#All],2,FALSE)="Resultat",SUMIF($F$1:$F48,$D110,J$1:J48)+SUMIF($F111:$F$512,$D110,J111:J$512),0))*'[1]Processer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0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402">
        <f>IFERROR(VLOOKUP($D111&amp;$F111,Landbrugsproduktivititet!$D$3:$G$31,MATCH(H$2,Landbrugsproduktivititet!$D$2:$G$2,0),FALSE),1)*IF($A111&lt;&gt;"",IF(VLOOKUP($A111,[1]!Table1[#All],2,FALSE)="Direkte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input'!$A$3:$A$230,$A$1)),IF(VLOOKUP($A111,[1]!Table1[#All],2,FALSE)="Resultat",SUMIF($F$1:$F49,$D111,H$1:H49)+SUMIF($F112:$F$512,$D111,H112:H$512),0))*'[1]Processer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403">
        <f>IFERROR(VLOOKUP($D111&amp;$F111,Landbrugsproduktivititet!$D$3:$G$31,MATCH(I$2,Landbrugsproduktivititet!$D$2:$G$2,0),FALSE),1)*IF($A111&lt;&gt;"",IF(VLOOKUP($A111,[1]!Table1[#All],2,FALSE)="Direkte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input'!$A$3:$A$230,$A$1)),IF(VLOOKUP($A111,[1]!Table1[#All],2,FALSE)="Resultat",SUMIF($F$1:$F49,$D111,I$1:I49)+SUMIF($F112:$F$512,$D111,I112:I$512),0))*'[1]Processer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11122.406150723473</v>
      </c>
      <c r="J111" s="404">
        <f>IFERROR(VLOOKUP($D111&amp;$F111,Landbrugsproduktivititet!$D$3:$G$31,MATCH(J$2,Landbrugsproduktivititet!$D$2:$G$2,0),FALSE),1)*IF($A111&lt;&gt;"",IF(VLOOKUP($A111,[1]!Table1[#All],2,FALSE)="Direkte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input'!$A$3:$A$230,$A$1)),IF(VLOOKUP($A111,[1]!Table1[#All],2,FALSE)="Resultat",SUMIF($F$1:$F49,$D111,J$1:J49)+SUMIF($F112:$F$512,$D111,J112:J$512),0))*'[1]Processer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0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402">
        <f>IFERROR(VLOOKUP($D112&amp;$F112,Landbrugsproduktivititet!$D$3:$G$31,MATCH(H$2,Landbrugsproduktivititet!$D$2:$G$2,0),FALSE),1)*IF($A112&lt;&gt;"",IF(VLOOKUP($A112,[1]!Table1[#All],2,FALSE)="Direkte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input'!$A$3:$A$230,$A$1)),IF(VLOOKUP($A112,[1]!Table1[#All],2,FALSE)="Resultat",SUMIF($F$1:$F50,$D112,H$1:H50)+SUMIF($F113:$F$512,$D112,H113:H$512),0))*'[1]Processer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403">
        <f>IFERROR(VLOOKUP($D112&amp;$F112,Landbrugsproduktivititet!$D$3:$G$31,MATCH(I$2,Landbrugsproduktivititet!$D$2:$G$2,0),FALSE),1)*IF($A112&lt;&gt;"",IF(VLOOKUP($A112,[1]!Table1[#All],2,FALSE)="Direkte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input'!$A$3:$A$230,$A$1)),IF(VLOOKUP($A112,[1]!Table1[#All],2,FALSE)="Resultat",SUMIF($F$1:$F50,$D112,I$1:I50)+SUMIF($F113:$F$512,$D112,I113:I$512),0))*'[1]Processer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137065.45296564736</v>
      </c>
      <c r="J112" s="404">
        <f>IFERROR(VLOOKUP($D112&amp;$F112,Landbrugsproduktivititet!$D$3:$G$31,MATCH(J$2,Landbrugsproduktivititet!$D$2:$G$2,0),FALSE),1)*IF($A112&lt;&gt;"",IF(VLOOKUP($A112,[1]!Table1[#All],2,FALSE)="Direkte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input'!$A$3:$A$230,$A$1)),IF(VLOOKUP($A112,[1]!Table1[#All],2,FALSE)="Resultat",SUMIF($F$1:$F50,$D112,J$1:J50)+SUMIF($F113:$F$512,$D112,J113:J$512),0))*'[1]Processer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0</v>
      </c>
    </row>
    <row r="113" spans="1:14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402">
        <f>IFERROR(VLOOKUP($D113&amp;$F113,Landbrugsproduktivititet!$D$3:$G$31,MATCH(H$2,Landbrugsproduktivititet!$D$2:$G$2,0),FALSE),1)*IF($A113&lt;&gt;"",IF(VLOOKUP($A113,[1]!Table1[#All],2,FALSE)="Direkte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input'!$A$3:$A$230,$A$1)),IF(VLOOKUP($A113,[1]!Table1[#All],2,FALSE)="Resultat",SUMIF($F$1:$F51,$D113,H$1:H51)+SUMIF($F114:$F$512,$D113,H114:H$512),0))*'[1]Processer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403">
        <f>IFERROR(VLOOKUP($D113&amp;$F113,Landbrugsproduktivititet!$D$3:$G$31,MATCH(I$2,Landbrugsproduktivititet!$D$2:$G$2,0),FALSE),1)*IF($A113&lt;&gt;"",IF(VLOOKUP($A113,[1]!Table1[#All],2,FALSE)="Direkte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input'!$A$3:$A$230,$A$1)),IF(VLOOKUP($A113,[1]!Table1[#All],2,FALSE)="Resultat",SUMIF($F$1:$F51,$D113,I$1:I51)+SUMIF($F114:$F$512,$D113,I114:I$512),0))*'[1]Processer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2420.2486131911915</v>
      </c>
      <c r="J113" s="404">
        <f>IFERROR(VLOOKUP($D113&amp;$F113,Landbrugsproduktivititet!$D$3:$G$31,MATCH(J$2,Landbrugsproduktivititet!$D$2:$G$2,0),FALSE),1)*IF($A113&lt;&gt;"",IF(VLOOKUP($A113,[1]!Table1[#All],2,FALSE)="Direkte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input'!$A$3:$A$230,$A$1)),IF(VLOOKUP($A113,[1]!Table1[#All],2,FALSE)="Resultat",SUMIF($F$1:$F51,$D113,J$1:J51)+SUMIF($F114:$F$512,$D113,J114:J$512),0))*'[1]Processer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0</v>
      </c>
    </row>
    <row r="114" spans="1:14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402">
        <f>IFERROR(VLOOKUP($D114&amp;$F114,Landbrugsproduktivititet!$D$3:$G$31,MATCH(H$2,Landbrugsproduktivititet!$D$2:$G$2,0),FALSE),1)*IF($A114&lt;&gt;"",IF(VLOOKUP($A114,[1]!Table1[#All],2,FALSE)="Direkte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input'!$A$3:$A$230,$A$1)),IF(VLOOKUP($A114,[1]!Table1[#All],2,FALSE)="Resultat",SUMIF($F$1:$F52,$D114,H$1:H52)+SUMIF($F115:$F$512,$D114,H115:H$512),0))*'[1]Processer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403">
        <f>IFERROR(VLOOKUP($D114&amp;$F114,Landbrugsproduktivititet!$D$3:$G$31,MATCH(I$2,Landbrugsproduktivititet!$D$2:$G$2,0),FALSE),1)*IF($A114&lt;&gt;"",IF(VLOOKUP($A114,[1]!Table1[#All],2,FALSE)="Direkte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input'!$A$3:$A$230,$A$1)),IF(VLOOKUP($A114,[1]!Table1[#All],2,FALSE)="Resultat",SUMIF($F$1:$F52,$D114,I$1:I52)+SUMIF($F115:$F$512,$D114,I115:I$512),0))*'[1]Processer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-101827314.38857347</v>
      </c>
      <c r="J114" s="404">
        <f>IFERROR(VLOOKUP($D114&amp;$F114,Landbrugsproduktivititet!$D$3:$G$31,MATCH(J$2,Landbrugsproduktivititet!$D$2:$G$2,0),FALSE),1)*IF($A114&lt;&gt;"",IF(VLOOKUP($A114,[1]!Table1[#All],2,FALSE)="Direkte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input'!$A$3:$A$230,$A$1)),IF(VLOOKUP($A114,[1]!Table1[#All],2,FALSE)="Resultat",SUMIF($F$1:$F52,$D114,J$1:J52)+SUMIF($F115:$F$512,$D114,J115:J$512),0))*'[1]Processer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0</v>
      </c>
      <c r="L114" s="94">
        <f>SUM(H114,H122)</f>
        <v>-259098224</v>
      </c>
      <c r="M114" s="94">
        <f>SUM(I114,I122)</f>
        <v>-119856706.54288027</v>
      </c>
      <c r="N114" s="94">
        <f>SUM(J114,J122)</f>
        <v>-2269466.7441501948</v>
      </c>
    </row>
    <row r="115" spans="1:14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402">
        <f>IFERROR(VLOOKUP($D115&amp;$F115,Landbrugsproduktivititet!$D$3:$G$31,MATCH(H$2,Landbrugsproduktivititet!$D$2:$G$2,0),FALSE),1)*IF($A115&lt;&gt;"",IF(VLOOKUP($A115,[1]!Table1[#All],2,FALSE)="Direkte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input'!$A$3:$A$230,$A$1)),IF(VLOOKUP($A115,[1]!Table1[#All],2,FALSE)="Resultat",SUMIF($F$1:$F53,$D115,H$1:H53)+SUMIF($F116:$F$512,$D115,H116:H$512),0))*'[1]Processer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403">
        <f>IFERROR(VLOOKUP($D115&amp;$F115,Landbrugsproduktivititet!$D$3:$G$31,MATCH(I$2,Landbrugsproduktivititet!$D$2:$G$2,0),FALSE),1)*IF($A115&lt;&gt;"",IF(VLOOKUP($A115,[1]!Table1[#All],2,FALSE)="Direkte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input'!$A$3:$A$230,$A$1)),IF(VLOOKUP($A115,[1]!Table1[#All],2,FALSE)="Resultat",SUMIF($F$1:$F53,$D115,I$1:I53)+SUMIF($F116:$F$512,$D115,I116:I$512),0))*'[1]Processer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-615.89479758206471</v>
      </c>
      <c r="J115" s="404">
        <f>IFERROR(VLOOKUP($D115&amp;$F115,Landbrugsproduktivititet!$D$3:$G$31,MATCH(J$2,Landbrugsproduktivititet!$D$2:$G$2,0),FALSE),1)*IF($A115&lt;&gt;"",IF(VLOOKUP($A115,[1]!Table1[#All],2,FALSE)="Direkte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input'!$A$3:$A$230,$A$1)),IF(VLOOKUP($A115,[1]!Table1[#All],2,FALSE)="Resultat",SUMIF($F$1:$F53,$D115,J$1:J53)+SUMIF($F116:$F$512,$D115,J116:J$512),0))*'[1]Processer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0</v>
      </c>
    </row>
    <row r="116" spans="1:14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402">
        <f>IFERROR(VLOOKUP($D116&amp;$F116,Landbrugsproduktivititet!$D$3:$G$31,MATCH(H$2,Landbrugsproduktivititet!$D$2:$G$2,0),FALSE),1)*IF($A116&lt;&gt;"",IF(VLOOKUP($A116,[1]!Table1[#All],2,FALSE)="Direkte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input'!$A$3:$A$230,$A$1)),IF(VLOOKUP($A116,[1]!Table1[#All],2,FALSE)="Resultat",SUMIF($F$1:$F54,$D116,H$1:H54)+SUMIF($F117:$F$512,$D116,H117:H$512),0))*'[1]Processer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261508.01856614495</v>
      </c>
      <c r="I116" s="403">
        <f>IFERROR(VLOOKUP($D116&amp;$F116,Landbrugsproduktivititet!$D$3:$G$31,MATCH(I$2,Landbrugsproduktivititet!$D$2:$G$2,0),FALSE),1)*IF($A116&lt;&gt;"",IF(VLOOKUP($A116,[1]!Table1[#All],2,FALSE)="Direkte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input'!$A$3:$A$230,$A$1)),IF(VLOOKUP($A116,[1]!Table1[#All],2,FALSE)="Resultat",SUMIF($F$1:$F54,$D116,I$1:I54)+SUMIF($F117:$F$512,$D116,I117:I$512),0))*'[1]Processer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178385.86167895389</v>
      </c>
      <c r="J116" s="404">
        <f>IFERROR(VLOOKUP($D116&amp;$F116,Landbrugsproduktivititet!$D$3:$G$31,MATCH(J$2,Landbrugsproduktivititet!$D$2:$G$2,0),FALSE),1)*IF($A116&lt;&gt;"",IF(VLOOKUP($A116,[1]!Table1[#All],2,FALSE)="Direkte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input'!$A$3:$A$230,$A$1)),IF(VLOOKUP($A116,[1]!Table1[#All],2,FALSE)="Resultat",SUMIF($F$1:$F54,$D116,J$1:J54)+SUMIF($F117:$F$512,$D116,J117:J$512),0))*'[1]Processer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0</v>
      </c>
    </row>
    <row r="117" spans="1:14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402">
        <f>IFERROR(VLOOKUP($D117&amp;$F117,Landbrugsproduktivititet!$D$3:$G$31,MATCH(H$2,Landbrugsproduktivititet!$D$2:$G$2,0),FALSE),1)*IF($A117&lt;&gt;"",IF(VLOOKUP($A117,[1]!Table1[#All],2,FALSE)="Direkte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input'!$A$3:$A$230,$A$1)),IF(VLOOKUP($A117,[1]!Table1[#All],2,FALSE)="Resultat",SUMIF($F$1:$F55,$D117,H$1:H55)+SUMIF($F118:$F$512,$D117,H118:H$512),0))*'[1]Processer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403">
        <f>IFERROR(VLOOKUP($D117&amp;$F117,Landbrugsproduktivititet!$D$3:$G$31,MATCH(I$2,Landbrugsproduktivititet!$D$2:$G$2,0),FALSE),1)*IF($A117&lt;&gt;"",IF(VLOOKUP($A117,[1]!Table1[#All],2,FALSE)="Direkte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input'!$A$3:$A$230,$A$1)),IF(VLOOKUP($A117,[1]!Table1[#All],2,FALSE)="Resultat",SUMIF($F$1:$F55,$D117,I$1:I55)+SUMIF($F118:$F$512,$D117,I118:I$512),0))*'[1]Processer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1264.567818691974</v>
      </c>
      <c r="J117" s="404">
        <f>IFERROR(VLOOKUP($D117&amp;$F117,Landbrugsproduktivititet!$D$3:$G$31,MATCH(J$2,Landbrugsproduktivititet!$D$2:$G$2,0),FALSE),1)*IF($A117&lt;&gt;"",IF(VLOOKUP($A117,[1]!Table1[#All],2,FALSE)="Direkte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input'!$A$3:$A$230,$A$1)),IF(VLOOKUP($A117,[1]!Table1[#All],2,FALSE)="Resultat",SUMIF($F$1:$F55,$D117,J$1:J55)+SUMIF($F118:$F$512,$D117,J118:J$512),0))*'[1]Processer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1116.2048757004002</v>
      </c>
    </row>
    <row r="118" spans="1:14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402">
        <f>IFERROR(VLOOKUP($D118&amp;$F118,Landbrugsproduktivititet!$D$3:$G$31,MATCH(H$2,Landbrugsproduktivititet!$D$2:$G$2,0),FALSE),1)*IF($A118&lt;&gt;"",IF(VLOOKUP($A118,[1]!Table1[#All],2,FALSE)="Direkte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input'!$A$3:$A$230,$A$1)),IF(VLOOKUP($A118,[1]!Table1[#All],2,FALSE)="Resultat",SUMIF($F$1:$F56,$D118,H$1:H56)+SUMIF($F119:$F$512,$D118,H119:H$512),0))*'[1]Processer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403">
        <f>IFERROR(VLOOKUP($D118&amp;$F118,Landbrugsproduktivititet!$D$3:$G$31,MATCH(I$2,Landbrugsproduktivititet!$D$2:$G$2,0),FALSE),1)*IF($A118&lt;&gt;"",IF(VLOOKUP($A118,[1]!Table1[#All],2,FALSE)="Direkte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input'!$A$3:$A$230,$A$1)),IF(VLOOKUP($A118,[1]!Table1[#All],2,FALSE)="Resultat",SUMIF($F$1:$F56,$D118,I$1:I56)+SUMIF($F119:$F$512,$D118,I119:I$512),0))*'[1]Processer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38815.758245033008</v>
      </c>
      <c r="J118" s="404">
        <f>IFERROR(VLOOKUP($D118&amp;$F118,Landbrugsproduktivititet!$D$3:$G$31,MATCH(J$2,Landbrugsproduktivititet!$D$2:$G$2,0),FALSE),1)*IF($A118&lt;&gt;"",IF(VLOOKUP($A118,[1]!Table1[#All],2,FALSE)="Direkte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input'!$A$3:$A$230,$A$1)),IF(VLOOKUP($A118,[1]!Table1[#All],2,FALSE)="Resultat",SUMIF($F$1:$F56,$D118,J$1:J56)+SUMIF($F119:$F$512,$D118,J119:J$512),0))*'[1]Processer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4885.9701831397151</v>
      </c>
    </row>
    <row r="119" spans="1:14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402">
        <f>IFERROR(VLOOKUP($D119&amp;$F119,Landbrugsproduktivititet!$D$3:$G$31,MATCH(H$2,Landbrugsproduktivititet!$D$2:$G$2,0),FALSE),1)*IF($A119&lt;&gt;"",IF(VLOOKUP($A119,[1]!Table1[#All],2,FALSE)="Direkte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input'!$A$3:$A$230,$A$1)),IF(VLOOKUP($A119,[1]!Table1[#All],2,FALSE)="Resultat",SUMIF($F$1:$F57,$D119,H$1:H57)+SUMIF($F120:$F$512,$D119,H120:H$512),0))*'[1]Processer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403">
        <f>IFERROR(VLOOKUP($D119&amp;$F119,Landbrugsproduktivititet!$D$3:$G$31,MATCH(I$2,Landbrugsproduktivititet!$D$2:$G$2,0),FALSE),1)*IF($A119&lt;&gt;"",IF(VLOOKUP($A119,[1]!Table1[#All],2,FALSE)="Direkte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input'!$A$3:$A$230,$A$1)),IF(VLOOKUP($A119,[1]!Table1[#All],2,FALSE)="Resultat",SUMIF($F$1:$F57,$D119,I$1:I57)+SUMIF($F120:$F$512,$D119,I120:I$512),0))*'[1]Processer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463.43358961347798</v>
      </c>
      <c r="J119" s="404">
        <f>IFERROR(VLOOKUP($D119&amp;$F119,Landbrugsproduktivititet!$D$3:$G$31,MATCH(J$2,Landbrugsproduktivititet!$D$2:$G$2,0),FALSE),1)*IF($A119&lt;&gt;"",IF(VLOOKUP($A119,[1]!Table1[#All],2,FALSE)="Direkte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input'!$A$3:$A$230,$A$1)),IF(VLOOKUP($A119,[1]!Table1[#All],2,FALSE)="Resultat",SUMIF($F$1:$F57,$D119,J$1:J57)+SUMIF($F120:$F$512,$D119,J120:J$512),0))*'[1]Processer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308.79455462725559</v>
      </c>
    </row>
    <row r="120" spans="1:14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402">
        <f>IFERROR(VLOOKUP($D120&amp;$F120,Landbrugsproduktivititet!$D$3:$G$31,MATCH(H$2,Landbrugsproduktivititet!$D$2:$G$2,0),FALSE),1)*IF($A120&lt;&gt;"",IF(VLOOKUP($A120,[1]!Table1[#All],2,FALSE)="Direkte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input'!$A$3:$A$230,$A$1)),IF(VLOOKUP($A120,[1]!Table1[#All],2,FALSE)="Resultat",SUMIF($F$1:$F58,$D120,H$1:H58)+SUMIF($F121:$F$512,$D120,H121:H$512),0))*'[1]Processer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403">
        <f>IFERROR(VLOOKUP($D120&amp;$F120,Landbrugsproduktivititet!$D$3:$G$31,MATCH(I$2,Landbrugsproduktivititet!$D$2:$G$2,0),FALSE),1)*IF($A120&lt;&gt;"",IF(VLOOKUP($A120,[1]!Table1[#All],2,FALSE)="Direkte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input'!$A$3:$A$230,$A$1)),IF(VLOOKUP($A120,[1]!Table1[#All],2,FALSE)="Resultat",SUMIF($F$1:$F58,$D120,I$1:I58)+SUMIF($F121:$F$512,$D120,I121:I$512),0))*'[1]Processer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13832.556160135324</v>
      </c>
      <c r="J120" s="404">
        <f>IFERROR(VLOOKUP($D120&amp;$F120,Landbrugsproduktivititet!$D$3:$G$31,MATCH(J$2,Landbrugsproduktivititet!$D$2:$G$2,0),FALSE),1)*IF($A120&lt;&gt;"",IF(VLOOKUP($A120,[1]!Table1[#All],2,FALSE)="Direkte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input'!$A$3:$A$230,$A$1)),IF(VLOOKUP($A120,[1]!Table1[#All],2,FALSE)="Resultat",SUMIF($F$1:$F58,$D120,J$1:J58)+SUMIF($F121:$F$512,$D120,J121:J$512),0))*'[1]Processer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0</v>
      </c>
    </row>
    <row r="121" spans="1:14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402">
        <f>IFERROR(VLOOKUP($D121&amp;$F121,Landbrugsproduktivititet!$D$3:$G$31,MATCH(H$2,Landbrugsproduktivititet!$D$2:$G$2,0),FALSE),1)*IF($A121&lt;&gt;"",IF(VLOOKUP($A121,[1]!Table1[#All],2,FALSE)="Direkte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input'!$A$3:$A$230,$A$1)),IF(VLOOKUP($A121,[1]!Table1[#All],2,FALSE)="Resultat",SUMIF($F$1:$F59,$D121,H$1:H59)+SUMIF($F122:$F$512,$D121,H122:H$512),0))*'[1]Processer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403">
        <f>IFERROR(VLOOKUP($D121&amp;$F121,Landbrugsproduktivititet!$D$3:$G$31,MATCH(I$2,Landbrugsproduktivititet!$D$2:$G$2,0),FALSE),1)*IF($A121&lt;&gt;"",IF(VLOOKUP($A121,[1]!Table1[#All],2,FALSE)="Direkte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input'!$A$3:$A$230,$A$1)),IF(VLOOKUP($A121,[1]!Table1[#All],2,FALSE)="Resultat",SUMIF($F$1:$F59,$D121,I$1:I59)+SUMIF($F122:$F$512,$D121,I122:I$512),0))*'[1]Processer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428.52560356868003</v>
      </c>
      <c r="J121" s="404">
        <f>IFERROR(VLOOKUP($D121&amp;$F121,Landbrugsproduktivititet!$D$3:$G$31,MATCH(J$2,Landbrugsproduktivititet!$D$2:$G$2,0),FALSE),1)*IF($A121&lt;&gt;"",IF(VLOOKUP($A121,[1]!Table1[#All],2,FALSE)="Direkte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input'!$A$3:$A$230,$A$1)),IF(VLOOKUP($A121,[1]!Table1[#All],2,FALSE)="Resultat",SUMIF($F$1:$F59,$D121,J$1:J59)+SUMIF($F122:$F$512,$D121,J122:J$512),0))*'[1]Processer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285.53470414333128</v>
      </c>
    </row>
    <row r="122" spans="1:14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402">
        <f>IFERROR(VLOOKUP($D122&amp;$F122,Landbrugsproduktivititet!$D$3:$G$31,MATCH(H$2,Landbrugsproduktivititet!$D$2:$G$2,0),FALSE),1)*IF($A122&lt;&gt;"",IF(VLOOKUP($A122,[1]!Table1[#All],2,FALSE)="Direkte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input'!$A$3:$A$230,$A$1)),IF(VLOOKUP($A122,[1]!Table1[#All],2,FALSE)="Resultat",SUMIF($F$1:$F60,$D122,H$1:H60)+SUMIF($F123:$F$512,$D122,H123:H$512),0))*'[1]Processer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403">
        <f>IFERROR(VLOOKUP($D122&amp;$F122,Landbrugsproduktivititet!$D$3:$G$31,MATCH(I$2,Landbrugsproduktivititet!$D$2:$G$2,0),FALSE),1)*IF($A122&lt;&gt;"",IF(VLOOKUP($A122,[1]!Table1[#All],2,FALSE)="Direkte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input'!$A$3:$A$230,$A$1)),IF(VLOOKUP($A122,[1]!Table1[#All],2,FALSE)="Resultat",SUMIF($F$1:$F60,$D122,I$1:I60)+SUMIF($F123:$F$512,$D122,I123:I$512),0))*'[1]Processer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-18029392.154306799</v>
      </c>
      <c r="J122" s="404">
        <f>IFERROR(VLOOKUP($D122&amp;$F122,Landbrugsproduktivititet!$D$3:$G$31,MATCH(J$2,Landbrugsproduktivititet!$D$2:$G$2,0),FALSE),1)*IF($A122&lt;&gt;"",IF(VLOOKUP($A122,[1]!Table1[#All],2,FALSE)="Direkte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input'!$A$3:$A$230,$A$1)),IF(VLOOKUP($A122,[1]!Table1[#All],2,FALSE)="Resultat",SUMIF($F$1:$F60,$D122,J$1:J60)+SUMIF($F123:$F$512,$D122,J123:J$512),0))*'[1]Processer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-2269466.7441501948</v>
      </c>
    </row>
    <row r="123" spans="1:14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402">
        <f>IFERROR(VLOOKUP($D123&amp;$F123,Landbrugsproduktivititet!$D$3:$G$31,MATCH(H$2,Landbrugsproduktivititet!$D$2:$G$2,0),FALSE),1)*IF($A123&lt;&gt;"",IF(VLOOKUP($A123,[1]!Table1[#All],2,FALSE)="Direkte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input'!$A$3:$A$230,$A$1)),IF(VLOOKUP($A123,[1]!Table1[#All],2,FALSE)="Resultat",SUMIF($F$1:$F61,$D123,H$1:H61)+SUMIF($F124:$F$512,$D123,H124:H$512),0))*'[1]Processer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403">
        <f>IFERROR(VLOOKUP($D123&amp;$F123,Landbrugsproduktivititet!$D$3:$G$31,MATCH(I$2,Landbrugsproduktivititet!$D$2:$G$2,0),FALSE),1)*IF($A123&lt;&gt;"",IF(VLOOKUP($A123,[1]!Table1[#All],2,FALSE)="Direkte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input'!$A$3:$A$230,$A$1)),IF(VLOOKUP($A123,[1]!Table1[#All],2,FALSE)="Resultat",SUMIF($F$1:$F61,$D123,I$1:I61)+SUMIF($F124:$F$512,$D123,I124:I$512),0))*'[1]Processer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-131.45682627455747</v>
      </c>
      <c r="J123" s="404">
        <f>IFERROR(VLOOKUP($D123&amp;$F123,Landbrugsproduktivititet!$D$3:$G$31,MATCH(J$2,Landbrugsproduktivititet!$D$2:$G$2,0),FALSE),1)*IF($A123&lt;&gt;"",IF(VLOOKUP($A123,[1]!Table1[#All],2,FALSE)="Direkte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input'!$A$3:$A$230,$A$1)),IF(VLOOKUP($A123,[1]!Table1[#All],2,FALSE)="Resultat",SUMIF($F$1:$F61,$D123,J$1:J61)+SUMIF($F124:$F$512,$D123,J124:J$512),0))*'[1]Processer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-87.592166454789748</v>
      </c>
    </row>
    <row r="124" spans="1:14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402">
        <f>IFERROR(VLOOKUP($D124&amp;$F124,Landbrugsproduktivititet!$D$3:$G$31,MATCH(H$2,Landbrugsproduktivititet!$D$2:$G$2,0),FALSE),1)*IF($A124&lt;&gt;"",IF(VLOOKUP($A124,[1]!Table1[#All],2,FALSE)="Direkte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input'!$A$3:$A$230,$A$1)),IF(VLOOKUP($A124,[1]!Table1[#All],2,FALSE)="Resultat",SUMIF($F$1:$F62,$D124,H$1:H62)+SUMIF($F125:$F$512,$D124,H125:H$512),0))*'[1]Processer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43795.491649532909</v>
      </c>
      <c r="I124" s="403">
        <f>IFERROR(VLOOKUP($D124&amp;$F124,Landbrugsproduktivititet!$D$3:$G$31,MATCH(I$2,Landbrugsproduktivititet!$D$2:$G$2,0),FALSE),1)*IF($A124&lt;&gt;"",IF(VLOOKUP($A124,[1]!Table1[#All],2,FALSE)="Direkte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input'!$A$3:$A$230,$A$1)),IF(VLOOKUP($A124,[1]!Table1[#All],2,FALSE)="Resultat",SUMIF($F$1:$F62,$D124,I$1:I62)+SUMIF($F125:$F$512,$D124,I125:I$512),0))*'[1]Processer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26412.690173313775</v>
      </c>
      <c r="J124" s="404">
        <f>IFERROR(VLOOKUP($D124&amp;$F124,Landbrugsproduktivititet!$D$3:$G$31,MATCH(J$2,Landbrugsproduktivititet!$D$2:$G$2,0),FALSE),1)*IF($A124&lt;&gt;"",IF(VLOOKUP($A124,[1]!Table1[#All],2,FALSE)="Direkte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input'!$A$3:$A$230,$A$1)),IF(VLOOKUP($A124,[1]!Table1[#All],2,FALSE)="Resultat",SUMIF($F$1:$F62,$D124,J$1:J62)+SUMIF($F125:$F$512,$D124,J125:J$512),0))*'[1]Processer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17599.274375814286</v>
      </c>
    </row>
    <row r="125" spans="1:14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402">
        <f>IFERROR(VLOOKUP($D125&amp;$F125,Landbrugsproduktivititet!$D$3:$G$31,MATCH(H$2,Landbrugsproduktivititet!$D$2:$G$2,0),FALSE),1)*IF($A125&lt;&gt;"",IF(VLOOKUP($A125,[1]!Table1[#All],2,FALSE)="Direkte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input'!$A$3:$A$230,$A$1)),IF(VLOOKUP($A125,[1]!Table1[#All],2,FALSE)="Resultat",SUMIF($F$1:$F63,$D125,H$1:H63)+SUMIF($F126:$F$512,$D125,H126:H$512),0))*'[1]Processer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403">
        <f>IFERROR(VLOOKUP($D125&amp;$F125,Landbrugsproduktivititet!$D$3:$G$31,MATCH(I$2,Landbrugsproduktivititet!$D$2:$G$2,0),FALSE),1)*IF($A125&lt;&gt;"",IF(VLOOKUP($A125,[1]!Table1[#All],2,FALSE)="Direkte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input'!$A$3:$A$230,$A$1)),IF(VLOOKUP($A125,[1]!Table1[#All],2,FALSE)="Resultat",SUMIF($F$1:$F63,$D125,I$1:I63)+SUMIF($F126:$F$512,$D125,I126:I$512),0))*'[1]Processer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8174146.2650652872</v>
      </c>
      <c r="J125" s="404">
        <f>IFERROR(VLOOKUP($D125&amp;$F125,Landbrugsproduktivititet!$D$3:$G$31,MATCH(J$2,Landbrugsproduktivititet!$D$2:$G$2,0),FALSE),1)*IF($A125&lt;&gt;"",IF(VLOOKUP($A125,[1]!Table1[#All],2,FALSE)="Direkte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input'!$A$3:$A$230,$A$1)),IF(VLOOKUP($A125,[1]!Table1[#All],2,FALSE)="Resultat",SUMIF($F$1:$F63,$D125,J$1:J63)+SUMIF($F126:$F$512,$D125,J126:J$512),0))*'[1]Processer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0</v>
      </c>
    </row>
    <row r="126" spans="1:14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402">
        <f>IFERROR(VLOOKUP($D126&amp;$F126,Landbrugsproduktivititet!$D$3:$G$31,MATCH(H$2,Landbrugsproduktivititet!$D$2:$G$2,0),FALSE),1)*IF($A126&lt;&gt;"",IF(VLOOKUP($A126,[1]!Table1[#All],2,FALSE)="Direkte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input'!$A$3:$A$230,$A$1)),IF(VLOOKUP($A126,[1]!Table1[#All],2,FALSE)="Resultat",SUMIF($F$1:$F64,$D126,H$1:H64)+SUMIF($F127:$F$512,$D126,H127:H$512),0))*'[1]Processer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403">
        <f>IFERROR(VLOOKUP($D126&amp;$F126,Landbrugsproduktivititet!$D$3:$G$31,MATCH(I$2,Landbrugsproduktivititet!$D$2:$G$2,0),FALSE),1)*IF($A126&lt;&gt;"",IF(VLOOKUP($A126,[1]!Table1[#All],2,FALSE)="Direkte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input'!$A$3:$A$230,$A$1)),IF(VLOOKUP($A126,[1]!Table1[#All],2,FALSE)="Resultat",SUMIF($F$1:$F64,$D126,I$1:I64)+SUMIF($F127:$F$512,$D126,I127:I$512),0))*'[1]Processer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520.27544744598629</v>
      </c>
      <c r="J126" s="404">
        <f>IFERROR(VLOOKUP($D126&amp;$F126,Landbrugsproduktivititet!$D$3:$G$31,MATCH(J$2,Landbrugsproduktivititet!$D$2:$G$2,0),FALSE),1)*IF($A126&lt;&gt;"",IF(VLOOKUP($A126,[1]!Table1[#All],2,FALSE)="Direkte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input'!$A$3:$A$230,$A$1)),IF(VLOOKUP($A126,[1]!Table1[#All],2,FALSE)="Resultat",SUMIF($F$1:$F64,$D126,J$1:J64)+SUMIF($F127:$F$512,$D126,J127:J$512),0))*'[1]Processer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0</v>
      </c>
    </row>
    <row r="127" spans="1:14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402">
        <f>IFERROR(VLOOKUP($D127&amp;$F127,Landbrugsproduktivititet!$D$3:$G$31,MATCH(H$2,Landbrugsproduktivititet!$D$2:$G$2,0),FALSE),1)*IF($A127&lt;&gt;"",IF(VLOOKUP($A127,[1]!Table1[#All],2,FALSE)="Direkte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input'!$A$3:$A$230,$A$1)),IF(VLOOKUP($A127,[1]!Table1[#All],2,FALSE)="Resultat",SUMIF($F$1:$F65,$D127,H$1:H65)+SUMIF($F128:$F$512,$D127,H128:H$512),0))*'[1]Processer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403">
        <f>IFERROR(VLOOKUP($D127&amp;$F127,Landbrugsproduktivititet!$D$3:$G$31,MATCH(I$2,Landbrugsproduktivititet!$D$2:$G$2,0),FALSE),1)*IF($A127&lt;&gt;"",IF(VLOOKUP($A127,[1]!Table1[#All],2,FALSE)="Direkte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input'!$A$3:$A$230,$A$1)),IF(VLOOKUP($A127,[1]!Table1[#All],2,FALSE)="Resultat",SUMIF($F$1:$F65,$D127,I$1:I65)+SUMIF($F128:$F$512,$D127,I128:I$512),0))*'[1]Processer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11531.202136642132</v>
      </c>
      <c r="J127" s="404">
        <f>IFERROR(VLOOKUP($D127&amp;$F127,Landbrugsproduktivititet!$D$3:$G$31,MATCH(J$2,Landbrugsproduktivititet!$D$2:$G$2,0),FALSE),1)*IF($A127&lt;&gt;"",IF(VLOOKUP($A127,[1]!Table1[#All],2,FALSE)="Direkte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input'!$A$3:$A$230,$A$1)),IF(VLOOKUP($A127,[1]!Table1[#All],2,FALSE)="Resultat",SUMIF($F$1:$F65,$D127,J$1:J65)+SUMIF($F128:$F$512,$D127,J128:J$512),0))*'[1]Processer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0</v>
      </c>
    </row>
    <row r="128" spans="1:14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402">
        <f>IFERROR(VLOOKUP($D128&amp;$F128,Landbrugsproduktivititet!$D$3:$G$31,MATCH(H$2,Landbrugsproduktivititet!$D$2:$G$2,0),FALSE),1)*IF($A128&lt;&gt;"",IF(VLOOKUP($A128,[1]!Table1[#All],2,FALSE)="Direkte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input'!$A$3:$A$230,$A$1)),IF(VLOOKUP($A128,[1]!Table1[#All],2,FALSE)="Resultat",SUMIF($F$1:$F66,$D128,H$1:H66)+SUMIF($F129:$F$512,$D128,H129:H$512),0))*'[1]Processer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403">
        <f>IFERROR(VLOOKUP($D128&amp;$F128,Landbrugsproduktivititet!$D$3:$G$31,MATCH(I$2,Landbrugsproduktivititet!$D$2:$G$2,0),FALSE),1)*IF($A128&lt;&gt;"",IF(VLOOKUP($A128,[1]!Table1[#All],2,FALSE)="Direkte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input'!$A$3:$A$230,$A$1)),IF(VLOOKUP($A128,[1]!Table1[#All],2,FALSE)="Resultat",SUMIF($F$1:$F66,$D128,I$1:I66)+SUMIF($F129:$F$512,$D128,I129:I$512),0))*'[1]Processer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17034.794758914846</v>
      </c>
      <c r="J128" s="404">
        <f>IFERROR(VLOOKUP($D128&amp;$F128,Landbrugsproduktivititet!$D$3:$G$31,MATCH(J$2,Landbrugsproduktivititet!$D$2:$G$2,0),FALSE),1)*IF($A128&lt;&gt;"",IF(VLOOKUP($A128,[1]!Table1[#All],2,FALSE)="Direkte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input'!$A$3:$A$230,$A$1)),IF(VLOOKUP($A128,[1]!Table1[#All],2,FALSE)="Resultat",SUMIF($F$1:$F66,$D128,J$1:J66)+SUMIF($F129:$F$512,$D128,J129:J$512),0))*'[1]Processer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0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402">
        <f>IFERROR(VLOOKUP($D129&amp;$F129,Landbrugsproduktivititet!$D$3:$G$31,MATCH(H$2,Landbrugsproduktivititet!$D$2:$G$2,0),FALSE),1)*IF($A129&lt;&gt;"",IF(VLOOKUP($A129,[1]!Table1[#All],2,FALSE)="Direkte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input'!$A$3:$A$230,$A$1)),IF(VLOOKUP($A129,[1]!Table1[#All],2,FALSE)="Resultat",SUMIF($F$1:$F67,$D129,H$1:H67)+SUMIF($F130:$F$512,$D129,H130:H$512),0))*'[1]Processer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403">
        <f>IFERROR(VLOOKUP($D129&amp;$F129,Landbrugsproduktivititet!$D$3:$G$31,MATCH(I$2,Landbrugsproduktivititet!$D$2:$G$2,0),FALSE),1)*IF($A129&lt;&gt;"",IF(VLOOKUP($A129,[1]!Table1[#All],2,FALSE)="Direkte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input'!$A$3:$A$230,$A$1)),IF(VLOOKUP($A129,[1]!Table1[#All],2,FALSE)="Resultat",SUMIF($F$1:$F67,$D129,I$1:I67)+SUMIF($F130:$F$512,$D129,I130:I$512),0))*'[1]Processer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719.44776705405002</v>
      </c>
      <c r="J129" s="404">
        <f>IFERROR(VLOOKUP($D129&amp;$F129,Landbrugsproduktivititet!$D$3:$G$31,MATCH(J$2,Landbrugsproduktivititet!$D$2:$G$2,0),FALSE),1)*IF($A129&lt;&gt;"",IF(VLOOKUP($A129,[1]!Table1[#All],2,FALSE)="Direkte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input'!$A$3:$A$230,$A$1)),IF(VLOOKUP($A129,[1]!Table1[#All],2,FALSE)="Resultat",SUMIF($F$1:$F67,$D129,J$1:J67)+SUMIF($F130:$F$512,$D129,J130:J$512),0))*'[1]Processer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0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402">
        <f>IFERROR(VLOOKUP($D130&amp;$F130,Landbrugsproduktivititet!$D$3:$G$31,MATCH(H$2,Landbrugsproduktivititet!$D$2:$G$2,0),FALSE),1)*IF($A130&lt;&gt;"",IF(VLOOKUP($A130,[1]!Table1[#All],2,FALSE)="Direkte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input'!$A$3:$A$230,$A$1)),IF(VLOOKUP($A130,[1]!Table1[#All],2,FALSE)="Resultat",SUMIF($F$1:$F68,$D130,H$1:H68)+SUMIF($F131:$F$512,$D130,H131:H$512),0))*'[1]Processer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403">
        <f>IFERROR(VLOOKUP($D130&amp;$F130,Landbrugsproduktivititet!$D$3:$G$31,MATCH(I$2,Landbrugsproduktivititet!$D$2:$G$2,0),FALSE),1)*IF($A130&lt;&gt;"",IF(VLOOKUP($A130,[1]!Table1[#All],2,FALSE)="Direkte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input'!$A$3:$A$230,$A$1)),IF(VLOOKUP($A130,[1]!Table1[#All],2,FALSE)="Resultat",SUMIF($F$1:$F68,$D130,I$1:I68)+SUMIF($F131:$F$512,$D130,I131:I$512),0))*'[1]Processer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-28307364.001470979</v>
      </c>
      <c r="J130" s="404">
        <f>IFERROR(VLOOKUP($D130&amp;$F130,Landbrugsproduktivititet!$D$3:$G$31,MATCH(J$2,Landbrugsproduktivititet!$D$2:$G$2,0),FALSE),1)*IF($A130&lt;&gt;"",IF(VLOOKUP($A130,[1]!Table1[#All],2,FALSE)="Direkte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input'!$A$3:$A$230,$A$1)),IF(VLOOKUP($A130,[1]!Table1[#All],2,FALSE)="Resultat",SUMIF($F$1:$F68,$D130,J$1:J68)+SUMIF($F131:$F$512,$D130,J131:J$512),0))*'[1]Processer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0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402">
        <f>IFERROR(VLOOKUP($D131&amp;$F131,Landbrugsproduktivititet!$D$3:$G$31,MATCH(H$2,Landbrugsproduktivititet!$D$2:$G$2,0),FALSE),1)*IF($A131&lt;&gt;"",IF(VLOOKUP($A131,[1]!Table1[#All],2,FALSE)="Direkte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input'!$A$3:$A$230,$A$1)),IF(VLOOKUP($A131,[1]!Table1[#All],2,FALSE)="Resultat",SUMIF($F$1:$F69,$D131,H$1:H69)+SUMIF($F132:$F$512,$D131,H132:H$512),0))*'[1]Processer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403">
        <f>IFERROR(VLOOKUP($D131&amp;$F131,Landbrugsproduktivititet!$D$3:$G$31,MATCH(I$2,Landbrugsproduktivititet!$D$2:$G$2,0),FALSE),1)*IF($A131&lt;&gt;"",IF(VLOOKUP($A131,[1]!Table1[#All],2,FALSE)="Direkte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input'!$A$3:$A$230,$A$1)),IF(VLOOKUP($A131,[1]!Table1[#All],2,FALSE)="Resultat",SUMIF($F$1:$F69,$D131,I$1:I69)+SUMIF($F132:$F$512,$D131,I132:I$512),0))*'[1]Processer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-670.92128964525375</v>
      </c>
      <c r="J131" s="404">
        <f>IFERROR(VLOOKUP($D131&amp;$F131,Landbrugsproduktivititet!$D$3:$G$31,MATCH(J$2,Landbrugsproduktivititet!$D$2:$G$2,0),FALSE),1)*IF($A131&lt;&gt;"",IF(VLOOKUP($A131,[1]!Table1[#All],2,FALSE)="Direkte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input'!$A$3:$A$230,$A$1)),IF(VLOOKUP($A131,[1]!Table1[#All],2,FALSE)="Resultat",SUMIF($F$1:$F69,$D131,J$1:J69)+SUMIF($F132:$F$512,$D131,J132:J$512),0))*'[1]Processer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0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402">
        <f>IFERROR(VLOOKUP($D132&amp;$F132,Landbrugsproduktivititet!$D$3:$G$31,MATCH(H$2,Landbrugsproduktivititet!$D$2:$G$2,0),FALSE),1)*IF($A132&lt;&gt;"",IF(VLOOKUP($A132,[1]!Table1[#All],2,FALSE)="Direkte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input'!$A$3:$A$230,$A$1)),IF(VLOOKUP($A132,[1]!Table1[#All],2,FALSE)="Resultat",SUMIF($F$1:$F70,$D132,H$1:H70)+SUMIF($F133:$F$512,$D132,H133:H$512),0))*'[1]Processer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1255.2076446666574</v>
      </c>
      <c r="I132" s="403">
        <f>IFERROR(VLOOKUP($D132&amp;$F132,Landbrugsproduktivititet!$D$3:$G$31,MATCH(I$2,Landbrugsproduktivititet!$D$2:$G$2,0),FALSE),1)*IF($A132&lt;&gt;"",IF(VLOOKUP($A132,[1]!Table1[#All],2,FALSE)="Direkte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input'!$A$3:$A$230,$A$1)),IF(VLOOKUP($A132,[1]!Table1[#All],2,FALSE)="Resultat",SUMIF($F$1:$F70,$D132,I$1:I70)+SUMIF($F133:$F$512,$D132,I133:I$512),0))*'[1]Processer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1224.2172813855059</v>
      </c>
      <c r="J132" s="404">
        <f>IFERROR(VLOOKUP($D132&amp;$F132,Landbrugsproduktivititet!$D$3:$G$31,MATCH(J$2,Landbrugsproduktivititet!$D$2:$G$2,0),FALSE),1)*IF($A132&lt;&gt;"",IF(VLOOKUP($A132,[1]!Table1[#All],2,FALSE)="Direkte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input'!$A$3:$A$230,$A$1)),IF(VLOOKUP($A132,[1]!Table1[#All],2,FALSE)="Resultat",SUMIF($F$1:$F70,$D132,J$1:J70)+SUMIF($F133:$F$512,$D132,J133:J$512),0))*'[1]Processer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0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402">
        <f>IFERROR(VLOOKUP($D133&amp;$F133,Landbrugsproduktivititet!$D$3:$G$31,MATCH(H$2,Landbrugsproduktivititet!$D$2:$G$2,0),FALSE),1)*IF($A133&lt;&gt;"",IF(VLOOKUP($A133,[1]!Table1[#All],2,FALSE)="Direkte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input'!$A$3:$A$230,$A$1)),IF(VLOOKUP($A133,[1]!Table1[#All],2,FALSE)="Resultat",SUMIF($F$1:$F71,$D133,H$1:H71)+SUMIF($F134:$F$512,$D133,H134:H$512),0))*'[1]Processer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403">
        <f>IFERROR(VLOOKUP($D133&amp;$F133,Landbrugsproduktivititet!$D$3:$G$31,MATCH(I$2,Landbrugsproduktivititet!$D$2:$G$2,0),FALSE),1)*IF($A133&lt;&gt;"",IF(VLOOKUP($A133,[1]!Table1[#All],2,FALSE)="Direkte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input'!$A$3:$A$230,$A$1)),IF(VLOOKUP($A133,[1]!Table1[#All],2,FALSE)="Resultat",SUMIF($F$1:$F71,$D133,I$1:I71)+SUMIF($F134:$F$512,$D133,I134:I$512),0))*'[1]Processer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94830.147203665125</v>
      </c>
      <c r="J133" s="404">
        <f>IFERROR(VLOOKUP($D133&amp;$F133,Landbrugsproduktivititet!$D$3:$G$31,MATCH(J$2,Landbrugsproduktivititet!$D$2:$G$2,0),FALSE),1)*IF($A133&lt;&gt;"",IF(VLOOKUP($A133,[1]!Table1[#All],2,FALSE)="Direkte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input'!$A$3:$A$230,$A$1)),IF(VLOOKUP($A133,[1]!Table1[#All],2,FALSE)="Resultat",SUMIF($F$1:$F71,$D133,J$1:J71)+SUMIF($F134:$F$512,$D133,J134:J$512),0))*'[1]Processer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667250.65877019626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402">
        <f>IFERROR(VLOOKUP($D134&amp;$F134,Landbrugsproduktivititet!$D$3:$G$31,MATCH(H$2,Landbrugsproduktivititet!$D$2:$G$2,0),FALSE),1)*IF($A134&lt;&gt;"",IF(VLOOKUP($A134,[1]!Table1[#All],2,FALSE)="Direkte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input'!$A$3:$A$230,$A$1)),IF(VLOOKUP($A134,[1]!Table1[#All],2,FALSE)="Resultat",SUMIF($F$1:$F72,$D134,H$1:H72)+SUMIF($F135:$F$512,$D134,H135:H$512),0))*'[1]Processer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403">
        <f>IFERROR(VLOOKUP($D134&amp;$F134,Landbrugsproduktivititet!$D$3:$G$31,MATCH(I$2,Landbrugsproduktivititet!$D$2:$G$2,0),FALSE),1)*IF($A134&lt;&gt;"",IF(VLOOKUP($A134,[1]!Table1[#All],2,FALSE)="Direkte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input'!$A$3:$A$230,$A$1)),IF(VLOOKUP($A134,[1]!Table1[#All],2,FALSE)="Resultat",SUMIF($F$1:$F72,$D134,I$1:I72)+SUMIF($F135:$F$512,$D134,I135:I$512),0))*'[1]Processer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167.54310638783448</v>
      </c>
      <c r="J134" s="404">
        <f>IFERROR(VLOOKUP($D134&amp;$F134,Landbrugsproduktivititet!$D$3:$G$31,MATCH(J$2,Landbrugsproduktivititet!$D$2:$G$2,0),FALSE),1)*IF($A134&lt;&gt;"",IF(VLOOKUP($A134,[1]!Table1[#All],2,FALSE)="Direkte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input'!$A$3:$A$230,$A$1)),IF(VLOOKUP($A134,[1]!Table1[#All],2,FALSE)="Resultat",SUMIF($F$1:$F72,$D134,J$1:J72)+SUMIF($F135:$F$512,$D134,J135:J$512),0))*'[1]Processer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1178.8787785976031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402">
        <f>IFERROR(VLOOKUP($D135&amp;$F135,Landbrugsproduktivititet!$D$3:$G$31,MATCH(H$2,Landbrugsproduktivititet!$D$2:$G$2,0),FALSE),1)*IF($A135&lt;&gt;"",IF(VLOOKUP($A135,[1]!Table1[#All],2,FALSE)="Direkte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input'!$A$3:$A$230,$A$1)),IF(VLOOKUP($A135,[1]!Table1[#All],2,FALSE)="Resultat",SUMIF($F$1:$F73,$D135,H$1:H73)+SUMIF($F136:$F$512,$D135,H136:H$512),0))*'[1]Processer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403">
        <f>IFERROR(VLOOKUP($D135&amp;$F135,Landbrugsproduktivititet!$D$3:$G$31,MATCH(I$2,Landbrugsproduktivititet!$D$2:$G$2,0),FALSE),1)*IF($A135&lt;&gt;"",IF(VLOOKUP($A135,[1]!Table1[#All],2,FALSE)="Direkte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input'!$A$3:$A$230,$A$1)),IF(VLOOKUP($A135,[1]!Table1[#All],2,FALSE)="Resultat",SUMIF($F$1:$F73,$D135,I$1:I73)+SUMIF($F136:$F$512,$D135,I136:I$512),0))*'[1]Processer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630.86701237038972</v>
      </c>
      <c r="J135" s="404">
        <f>IFERROR(VLOOKUP($D135&amp;$F135,Landbrugsproduktivititet!$D$3:$G$31,MATCH(J$2,Landbrugsproduktivititet!$D$2:$G$2,0),FALSE),1)*IF($A135&lt;&gt;"",IF(VLOOKUP($A135,[1]!Table1[#All],2,FALSE)="Direkte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input'!$A$3:$A$230,$A$1)),IF(VLOOKUP($A135,[1]!Table1[#All],2,FALSE)="Resultat",SUMIF($F$1:$F73,$D135,J$1:J73)+SUMIF($F136:$F$512,$D135,J136:J$512),0))*'[1]Processer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4438.9515572138516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402">
        <f>IFERROR(VLOOKUP($D136&amp;$F136,Landbrugsproduktivititet!$D$3:$G$31,MATCH(H$2,Landbrugsproduktivititet!$D$2:$G$2,0),FALSE),1)*IF($A136&lt;&gt;"",IF(VLOOKUP($A136,[1]!Table1[#All],2,FALSE)="Direkte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input'!$A$3:$A$230,$A$1)),IF(VLOOKUP($A136,[1]!Table1[#All],2,FALSE)="Resultat",SUMIF($F$1:$F74,$D136,H$1:H74)+SUMIF($F137:$F$512,$D136,H137:H$512),0))*'[1]Processer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403">
        <f>IFERROR(VLOOKUP($D136&amp;$F136,Landbrugsproduktivititet!$D$3:$G$31,MATCH(I$2,Landbrugsproduktivititet!$D$2:$G$2,0),FALSE),1)*IF($A136&lt;&gt;"",IF(VLOOKUP($A136,[1]!Table1[#All],2,FALSE)="Direkte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input'!$A$3:$A$230,$A$1)),IF(VLOOKUP($A136,[1]!Table1[#All],2,FALSE)="Resultat",SUMIF($F$1:$F74,$D136,I$1:I74)+SUMIF($F137:$F$512,$D136,I137:I$512),0))*'[1]Processer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1161.4632790169212</v>
      </c>
      <c r="J136" s="404">
        <f>IFERROR(VLOOKUP($D136&amp;$F136,Landbrugsproduktivititet!$D$3:$G$31,MATCH(J$2,Landbrugsproduktivititet!$D$2:$G$2,0),FALSE),1)*IF($A136&lt;&gt;"",IF(VLOOKUP($A136,[1]!Table1[#All],2,FALSE)="Direkte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input'!$A$3:$A$230,$A$1)),IF(VLOOKUP($A136,[1]!Table1[#All],2,FALSE)="Resultat",SUMIF($F$1:$F74,$D136,J$1:J74)+SUMIF($F137:$F$512,$D136,J137:J$512),0))*'[1]Processer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8172.3709275385399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402">
        <f>IFERROR(VLOOKUP($D137&amp;$F137,Landbrugsproduktivititet!$D$3:$G$31,MATCH(H$2,Landbrugsproduktivititet!$D$2:$G$2,0),FALSE),1)*IF($A137&lt;&gt;"",IF(VLOOKUP($A137,[1]!Table1[#All],2,FALSE)="Direkte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input'!$A$3:$A$230,$A$1)),IF(VLOOKUP($A137,[1]!Table1[#All],2,FALSE)="Resultat",SUMIF($F$1:$F75,$D137,H$1:H75)+SUMIF($F138:$F$512,$D137,H138:H$512),0))*'[1]Processer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403">
        <f>IFERROR(VLOOKUP($D137&amp;$F137,Landbrugsproduktivititet!$D$3:$G$31,MATCH(I$2,Landbrugsproduktivititet!$D$2:$G$2,0),FALSE),1)*IF($A137&lt;&gt;"",IF(VLOOKUP($A137,[1]!Table1[#All],2,FALSE)="Direkte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input'!$A$3:$A$230,$A$1)),IF(VLOOKUP($A137,[1]!Table1[#All],2,FALSE)="Resultat",SUMIF($F$1:$F75,$D137,I$1:I75)+SUMIF($F138:$F$512,$D137,I138:I$512),0))*'[1]Processer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119.18744397955427</v>
      </c>
      <c r="J137" s="404">
        <f>IFERROR(VLOOKUP($D137&amp;$F137,Landbrugsproduktivititet!$D$3:$G$31,MATCH(J$2,Landbrugsproduktivititet!$D$2:$G$2,0),FALSE),1)*IF($A137&lt;&gt;"",IF(VLOOKUP($A137,[1]!Table1[#All],2,FALSE)="Direkte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input'!$A$3:$A$230,$A$1)),IF(VLOOKUP($A137,[1]!Table1[#All],2,FALSE)="Resultat",SUMIF($F$1:$F75,$D137,J$1:J75)+SUMIF($F138:$F$512,$D137,J138:J$512),0))*'[1]Processer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838.63521103360426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402">
        <f>IFERROR(VLOOKUP($D138&amp;$F138,Landbrugsproduktivititet!$D$3:$G$31,MATCH(H$2,Landbrugsproduktivititet!$D$2:$G$2,0),FALSE),1)*IF($A138&lt;&gt;"",IF(VLOOKUP($A138,[1]!Table1[#All],2,FALSE)="Direkte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input'!$A$3:$A$230,$A$1)),IF(VLOOKUP($A138,[1]!Table1[#All],2,FALSE)="Resultat",SUMIF($F$1:$F76,$D138,H$1:H76)+SUMIF($F139:$F$512,$D138,H139:H$512),0))*'[1]Processer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403">
        <f>IFERROR(VLOOKUP($D138&amp;$F138,Landbrugsproduktivititet!$D$3:$G$31,MATCH(I$2,Landbrugsproduktivititet!$D$2:$G$2,0),FALSE),1)*IF($A138&lt;&gt;"",IF(VLOOKUP($A138,[1]!Table1[#All],2,FALSE)="Direkte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input'!$A$3:$A$230,$A$1)),IF(VLOOKUP($A138,[1]!Table1[#All],2,FALSE)="Resultat",SUMIF($F$1:$F76,$D138,I$1:I76)+SUMIF($F139:$F$512,$D138,I139:I$512),0))*'[1]Processer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-4689544.5585290203</v>
      </c>
      <c r="J138" s="404">
        <f>IFERROR(VLOOKUP($D138&amp;$F138,Landbrugsproduktivititet!$D$3:$G$31,MATCH(J$2,Landbrugsproduktivititet!$D$2:$G$2,0),FALSE),1)*IF($A138&lt;&gt;"",IF(VLOOKUP($A138,[1]!Table1[#All],2,FALSE)="Direkte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input'!$A$3:$A$230,$A$1)),IF(VLOOKUP($A138,[1]!Table1[#All],2,FALSE)="Resultat",SUMIF($F$1:$F76,$D138,J$1:J76)+SUMIF($F139:$F$512,$D138,J139:J$512),0))*'[1]Processer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-32996908.560000002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402">
        <f>IFERROR(VLOOKUP($D139&amp;$F139,Landbrugsproduktivititet!$D$3:$G$31,MATCH(H$2,Landbrugsproduktivititet!$D$2:$G$2,0),FALSE),1)*IF($A139&lt;&gt;"",IF(VLOOKUP($A139,[1]!Table1[#All],2,FALSE)="Direkte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input'!$A$3:$A$230,$A$1)),IF(VLOOKUP($A139,[1]!Table1[#All],2,FALSE)="Resultat",SUMIF($F$1:$F77,$D139,H$1:H77)+SUMIF($F140:$F$512,$D139,H140:H$512),0))*'[1]Processer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403">
        <f>IFERROR(VLOOKUP($D139&amp;$F139,Landbrugsproduktivititet!$D$3:$G$31,MATCH(I$2,Landbrugsproduktivititet!$D$2:$G$2,0),FALSE),1)*IF($A139&lt;&gt;"",IF(VLOOKUP($A139,[1]!Table1[#All],2,FALSE)="Direkte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input'!$A$3:$A$230,$A$1)),IF(VLOOKUP($A139,[1]!Table1[#All],2,FALSE)="Resultat",SUMIF($F$1:$F77,$D139,I$1:I77)+SUMIF($F140:$F$512,$D139,I140:I$512),0))*'[1]Processer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-209.3546677914741</v>
      </c>
      <c r="J139" s="404">
        <f>IFERROR(VLOOKUP($D139&amp;$F139,Landbrugsproduktivititet!$D$3:$G$31,MATCH(J$2,Landbrugsproduktivititet!$D$2:$G$2,0),FALSE),1)*IF($A139&lt;&gt;"",IF(VLOOKUP($A139,[1]!Table1[#All],2,FALSE)="Direkte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input'!$A$3:$A$230,$A$1)),IF(VLOOKUP($A139,[1]!Table1[#All],2,FALSE)="Resultat",SUMIF($F$1:$F77,$D139,J$1:J77)+SUMIF($F140:$F$512,$D139,J140:J$512),0))*'[1]Processer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-1473.0762749999999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402">
        <f>IFERROR(VLOOKUP($D140&amp;$F140,Landbrugsproduktivititet!$D$3:$G$31,MATCH(H$2,Landbrugsproduktivititet!$D$2:$G$2,0),FALSE),1)*IF($A140&lt;&gt;"",IF(VLOOKUP($A140,[1]!Table1[#All],2,FALSE)="Direkte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input'!$A$3:$A$230,$A$1)),IF(VLOOKUP($A140,[1]!Table1[#All],2,FALSE)="Resultat",SUMIF($F$1:$F78,$D140,H$1:H78)+SUMIF($F141:$F$512,$D140,H141:H$512),0))*'[1]Processer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189.0017945792238</v>
      </c>
      <c r="I140" s="403">
        <f>IFERROR(VLOOKUP($D140&amp;$F140,Landbrugsproduktivititet!$D$3:$G$31,MATCH(I$2,Landbrugsproduktivititet!$D$2:$G$2,0),FALSE),1)*IF($A140&lt;&gt;"",IF(VLOOKUP($A140,[1]!Table1[#All],2,FALSE)="Direkte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input'!$A$3:$A$230,$A$1)),IF(VLOOKUP($A140,[1]!Table1[#All],2,FALSE)="Resultat",SUMIF($F$1:$F78,$D140,I$1:I78)+SUMIF($F141:$F$512,$D140,I141:I$512),0))*'[1]Processer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223.09119418849048</v>
      </c>
      <c r="J140" s="404">
        <f>IFERROR(VLOOKUP($D140&amp;$F140,Landbrugsproduktivititet!$D$3:$G$31,MATCH(J$2,Landbrugsproduktivititet!$D$2:$G$2,0),FALSE),1)*IF($A140&lt;&gt;"",IF(VLOOKUP($A140,[1]!Table1[#All],2,FALSE)="Direkte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input'!$A$3:$A$230,$A$1)),IF(VLOOKUP($A140,[1]!Table1[#All],2,FALSE)="Resultat",SUMIF($F$1:$F78,$D140,J$1:J78)+SUMIF($F141:$F$512,$D140,J141:J$512),0))*'[1]Processer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1569.7302037125469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402">
        <f>IFERROR(VLOOKUP($D141&amp;$F141,Landbrugsproduktivititet!$D$3:$G$31,MATCH(H$2,Landbrugsproduktivititet!$D$2:$G$2,0),FALSE),1)*IF($A141&lt;&gt;"",IF(VLOOKUP($A141,[1]!Table1[#All],2,FALSE)="Direkte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input'!$A$3:$A$230,$A$1)),IF(VLOOKUP($A141,[1]!Table1[#All],2,FALSE)="Resultat",SUMIF($F$1:$F79,$D141,H$1:H79)+SUMIF($F142:$F$512,$D141,H142:H$512),0))*'[1]Processer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403">
        <f>IFERROR(VLOOKUP($D141&amp;$F141,Landbrugsproduktivititet!$D$3:$G$31,MATCH(I$2,Landbrugsproduktivititet!$D$2:$G$2,0),FALSE),1)*IF($A141&lt;&gt;"",IF(VLOOKUP($A141,[1]!Table1[#All],2,FALSE)="Direkte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input'!$A$3:$A$230,$A$1)),IF(VLOOKUP($A141,[1]!Table1[#All],2,FALSE)="Resultat",SUMIF($F$1:$F79,$D141,I$1:I79)+SUMIF($F142:$F$512,$D141,I142:I$512),0))*'[1]Processer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1281008.9378237682</v>
      </c>
      <c r="J141" s="404">
        <f>IFERROR(VLOOKUP($D141&amp;$F141,Landbrugsproduktivititet!$D$3:$G$31,MATCH(J$2,Landbrugsproduktivititet!$D$2:$G$2,0),FALSE),1)*IF($A141&lt;&gt;"",IF(VLOOKUP($A141,[1]!Table1[#All],2,FALSE)="Direkte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input'!$A$3:$A$230,$A$1)),IF(VLOOKUP($A141,[1]!Table1[#All],2,FALSE)="Resultat",SUMIF($F$1:$F79,$D141,J$1:J79)+SUMIF($F142:$F$512,$D141,J142:J$512),0))*'[1]Processer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0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402">
        <f>IFERROR(VLOOKUP($D142&amp;$F142,Landbrugsproduktivititet!$D$3:$G$31,MATCH(H$2,Landbrugsproduktivititet!$D$2:$G$2,0),FALSE),1)*IF($A142&lt;&gt;"",IF(VLOOKUP($A142,[1]!Table1[#All],2,FALSE)="Direkte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input'!$A$3:$A$230,$A$1)),IF(VLOOKUP($A142,[1]!Table1[#All],2,FALSE)="Resultat",SUMIF($F$1:$F80,$D142,H$1:H80)+SUMIF($F143:$F$512,$D142,H143:H$512),0))*'[1]Processer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403">
        <f>IFERROR(VLOOKUP($D142&amp;$F142,Landbrugsproduktivititet!$D$3:$G$31,MATCH(I$2,Landbrugsproduktivititet!$D$2:$G$2,0),FALSE),1)*IF($A142&lt;&gt;"",IF(VLOOKUP($A142,[1]!Table1[#All],2,FALSE)="Direkte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input'!$A$3:$A$230,$A$1)),IF(VLOOKUP($A142,[1]!Table1[#All],2,FALSE)="Resultat",SUMIF($F$1:$F80,$D142,I$1:I80)+SUMIF($F143:$F$512,$D142,I143:I$512),0))*'[1]Processer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418118.11478333344</v>
      </c>
      <c r="J142" s="404">
        <f>IFERROR(VLOOKUP($D142&amp;$F142,Landbrugsproduktivititet!$D$3:$G$31,MATCH(J$2,Landbrugsproduktivititet!$D$2:$G$2,0),FALSE),1)*IF($A142&lt;&gt;"",IF(VLOOKUP($A142,[1]!Table1[#All],2,FALSE)="Direkte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input'!$A$3:$A$230,$A$1)),IF(VLOOKUP($A142,[1]!Table1[#All],2,FALSE)="Resultat",SUMIF($F$1:$F80,$D142,J$1:J80)+SUMIF($F143:$F$512,$D142,J143:J$512),0))*'[1]Processer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0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402">
        <f>IFERROR(VLOOKUP($D143&amp;$F143,Landbrugsproduktivititet!$D$3:$G$31,MATCH(H$2,Landbrugsproduktivititet!$D$2:$G$2,0),FALSE),1)*IF($A143&lt;&gt;"",IF(VLOOKUP($A143,[1]!Table1[#All],2,FALSE)="Direkte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input'!$A$3:$A$230,$A$1)),IF(VLOOKUP($A143,[1]!Table1[#All],2,FALSE)="Resultat",SUMIF($F$1:$F81,$D143,H$1:H81)+SUMIF($F144:$F$512,$D143,H144:H$512),0))*'[1]Processer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403">
        <f>IFERROR(VLOOKUP($D143&amp;$F143,Landbrugsproduktivititet!$D$3:$G$31,MATCH(I$2,Landbrugsproduktivititet!$D$2:$G$2,0),FALSE),1)*IF($A143&lt;&gt;"",IF(VLOOKUP($A143,[1]!Table1[#All],2,FALSE)="Direkte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input'!$A$3:$A$230,$A$1)),IF(VLOOKUP($A143,[1]!Table1[#All],2,FALSE)="Resultat",SUMIF($F$1:$F81,$D143,I$1:I81)+SUMIF($F144:$F$512,$D143,I144:I$512),0))*'[1]Processer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-27227173.142874815</v>
      </c>
      <c r="J143" s="404">
        <f>IFERROR(VLOOKUP($D143&amp;$F143,Landbrugsproduktivititet!$D$3:$G$31,MATCH(J$2,Landbrugsproduktivititet!$D$2:$G$2,0),FALSE),1)*IF($A143&lt;&gt;"",IF(VLOOKUP($A143,[1]!Table1[#All],2,FALSE)="Direkte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input'!$A$3:$A$230,$A$1)),IF(VLOOKUP($A143,[1]!Table1[#All],2,FALSE)="Resultat",SUMIF($F$1:$F81,$D143,J$1:J81)+SUMIF($F144:$F$512,$D143,J144:J$512),0))*'[1]Processer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0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402">
        <f>IFERROR(VLOOKUP($D144&amp;$F144,Landbrugsproduktivititet!$D$3:$G$31,MATCH(H$2,Landbrugsproduktivititet!$D$2:$G$2,0),FALSE),1)*IF($A144&lt;&gt;"",IF(VLOOKUP($A144,[1]!Table1[#All],2,FALSE)="Direkte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input'!$A$3:$A$230,$A$1)),IF(VLOOKUP($A144,[1]!Table1[#All],2,FALSE)="Resultat",SUMIF($F$1:$F82,$D144,H$1:H82)+SUMIF($F145:$F$512,$D144,H145:H$512),0))*'[1]Processer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403">
        <f>IFERROR(VLOOKUP($D144&amp;$F144,Landbrugsproduktivititet!$D$3:$G$31,MATCH(I$2,Landbrugsproduktivititet!$D$2:$G$2,0),FALSE),1)*IF($A144&lt;&gt;"",IF(VLOOKUP($A144,[1]!Table1[#All],2,FALSE)="Direkte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input'!$A$3:$A$230,$A$1)),IF(VLOOKUP($A144,[1]!Table1[#All],2,FALSE)="Resultat",SUMIF($F$1:$F82,$D144,I$1:I82)+SUMIF($F145:$F$512,$D144,I145:I$512),0))*'[1]Processer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358171.95527552208</v>
      </c>
      <c r="J144" s="404">
        <f>IFERROR(VLOOKUP($D144&amp;$F144,Landbrugsproduktivititet!$D$3:$G$31,MATCH(J$2,Landbrugsproduktivititet!$D$2:$G$2,0),FALSE),1)*IF($A144&lt;&gt;"",IF(VLOOKUP($A144,[1]!Table1[#All],2,FALSE)="Direkte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input'!$A$3:$A$230,$A$1)),IF(VLOOKUP($A144,[1]!Table1[#All],2,FALSE)="Resultat",SUMIF($F$1:$F82,$D144,J$1:J82)+SUMIF($F145:$F$512,$D144,J145:J$512),0))*'[1]Processer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0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402">
        <f>IFERROR(VLOOKUP($D145&amp;$F145,Landbrugsproduktivititet!$D$3:$G$31,MATCH(H$2,Landbrugsproduktivititet!$D$2:$G$2,0),FALSE),1)*IF($A145&lt;&gt;"",IF(VLOOKUP($A145,[1]!Table1[#All],2,FALSE)="Direkte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input'!$A$3:$A$230,$A$1)),IF(VLOOKUP($A145,[1]!Table1[#All],2,FALSE)="Resultat",SUMIF($F$1:$F83,$D145,H$1:H83)+SUMIF($F146:$F$512,$D145,H146:H$512),0))*'[1]Processer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403">
        <f>IFERROR(VLOOKUP($D145&amp;$F145,Landbrugsproduktivititet!$D$3:$G$31,MATCH(I$2,Landbrugsproduktivititet!$D$2:$G$2,0),FALSE),1)*IF($A145&lt;&gt;"",IF(VLOOKUP($A145,[1]!Table1[#All],2,FALSE)="Direkte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input'!$A$3:$A$230,$A$1)),IF(VLOOKUP($A145,[1]!Table1[#All],2,FALSE)="Resultat",SUMIF($F$1:$F83,$D145,I$1:I83)+SUMIF($F146:$F$512,$D145,I146:I$512),0))*'[1]Processer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20151.965506136567</v>
      </c>
      <c r="J145" s="404">
        <f>IFERROR(VLOOKUP($D145&amp;$F145,Landbrugsproduktivititet!$D$3:$G$31,MATCH(J$2,Landbrugsproduktivititet!$D$2:$G$2,0),FALSE),1)*IF($A145&lt;&gt;"",IF(VLOOKUP($A145,[1]!Table1[#All],2,FALSE)="Direkte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input'!$A$3:$A$230,$A$1)),IF(VLOOKUP($A145,[1]!Table1[#All],2,FALSE)="Resultat",SUMIF($F$1:$F83,$D145,J$1:J83)+SUMIF($F146:$F$512,$D145,J146:J$512),0))*'[1]Processer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402">
        <f>IFERROR(VLOOKUP($D146&amp;$F146,Landbrugsproduktivititet!$D$3:$G$31,MATCH(H$2,Landbrugsproduktivititet!$D$2:$G$2,0),FALSE),1)*IF($A146&lt;&gt;"",IF(VLOOKUP($A146,[1]!Table1[#All],2,FALSE)="Direkte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input'!$A$3:$A$230,$A$1)),IF(VLOOKUP($A146,[1]!Table1[#All],2,FALSE)="Resultat",SUMIF($F$1:$F84,$D146,H$1:H84)+SUMIF($F147:$F$512,$D146,H147:H$512),0))*'[1]Processer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403">
        <f>IFERROR(VLOOKUP($D146&amp;$F146,Landbrugsproduktivititet!$D$3:$G$31,MATCH(I$2,Landbrugsproduktivititet!$D$2:$G$2,0),FALSE),1)*IF($A146&lt;&gt;"",IF(VLOOKUP($A146,[1]!Table1[#All],2,FALSE)="Direkte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input'!$A$3:$A$230,$A$1)),IF(VLOOKUP($A146,[1]!Table1[#All],2,FALSE)="Resultat",SUMIF($F$1:$F84,$D146,I$1:I84)+SUMIF($F147:$F$512,$D146,I147:I$512),0))*'[1]Processer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6577.5511612892105</v>
      </c>
      <c r="J146" s="404">
        <f>IFERROR(VLOOKUP($D146&amp;$F146,Landbrugsproduktivititet!$D$3:$G$31,MATCH(J$2,Landbrugsproduktivititet!$D$2:$G$2,0),FALSE),1)*IF($A146&lt;&gt;"",IF(VLOOKUP($A146,[1]!Table1[#All],2,FALSE)="Direkte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input'!$A$3:$A$230,$A$1)),IF(VLOOKUP($A146,[1]!Table1[#All],2,FALSE)="Resultat",SUMIF($F$1:$F84,$D146,J$1:J84)+SUMIF($F147:$F$512,$D146,J147:J$512),0))*'[1]Processer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402">
        <f>IFERROR(VLOOKUP($D147&amp;$F147,Landbrugsproduktivititet!$D$3:$G$31,MATCH(H$2,Landbrugsproduktivititet!$D$2:$G$2,0),FALSE),1)*IF($A147&lt;&gt;"",IF(VLOOKUP($A147,[1]!Table1[#All],2,FALSE)="Direkte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input'!$A$3:$A$230,$A$1)),IF(VLOOKUP($A147,[1]!Table1[#All],2,FALSE)="Resultat",SUMIF($F$1:$F85,$D147,H$1:H85)+SUMIF($F148:$F$512,$D147,H148:H$512),0))*'[1]Processer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403">
        <f>IFERROR(VLOOKUP($D147&amp;$F147,Landbrugsproduktivititet!$D$3:$G$31,MATCH(I$2,Landbrugsproduktivititet!$D$2:$G$2,0),FALSE),1)*IF($A147&lt;&gt;"",IF(VLOOKUP($A147,[1]!Table1[#All],2,FALSE)="Direkte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input'!$A$3:$A$230,$A$1)),IF(VLOOKUP($A147,[1]!Table1[#All],2,FALSE)="Resultat",SUMIF($F$1:$F85,$D147,I$1:I85)+SUMIF($F148:$F$512,$D147,I148:I$512),0))*'[1]Processer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-290007.96638745983</v>
      </c>
      <c r="J147" s="404">
        <f>IFERROR(VLOOKUP($D147&amp;$F147,Landbrugsproduktivititet!$D$3:$G$31,MATCH(J$2,Landbrugsproduktivititet!$D$2:$G$2,0),FALSE),1)*IF($A147&lt;&gt;"",IF(VLOOKUP($A147,[1]!Table1[#All],2,FALSE)="Direkte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input'!$A$3:$A$230,$A$1)),IF(VLOOKUP($A147,[1]!Table1[#All],2,FALSE)="Resultat",SUMIF($F$1:$F85,$D147,J$1:J85)+SUMIF($F148:$F$512,$D147,J148:J$512),0))*'[1]Processer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402">
        <f>IFERROR(VLOOKUP($D148&amp;$F148,Landbrugsproduktivititet!$D$3:$G$31,MATCH(H$2,Landbrugsproduktivititet!$D$2:$G$2,0),FALSE),1)*IF($A148&lt;&gt;"",IF(VLOOKUP($A148,[1]!Table1[#All],2,FALSE)="Direkte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input'!$A$3:$A$230,$A$1)),IF(VLOOKUP($A148,[1]!Table1[#All],2,FALSE)="Resultat",SUMIF($F$1:$F86,$D148,H$1:H86)+SUMIF($F149:$F$512,$D148,H149:H$512),0))*'[1]Processer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403">
        <f>IFERROR(VLOOKUP($D148&amp;$F148,Landbrugsproduktivititet!$D$3:$G$31,MATCH(I$2,Landbrugsproduktivititet!$D$2:$G$2,0),FALSE),1)*IF($A148&lt;&gt;"",IF(VLOOKUP($A148,[1]!Table1[#All],2,FALSE)="Direkte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input'!$A$3:$A$230,$A$1)),IF(VLOOKUP($A148,[1]!Table1[#All],2,FALSE)="Resultat",SUMIF($F$1:$F86,$D148,I$1:I86)+SUMIF($F149:$F$512,$D148,I149:I$512),0))*'[1]Processer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33024.631321536435</v>
      </c>
      <c r="J148" s="404">
        <f>IFERROR(VLOOKUP($D148&amp;$F148,Landbrugsproduktivititet!$D$3:$G$31,MATCH(J$2,Landbrugsproduktivititet!$D$2:$G$2,0),FALSE),1)*IF($A148&lt;&gt;"",IF(VLOOKUP($A148,[1]!Table1[#All],2,FALSE)="Direkte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input'!$A$3:$A$230,$A$1)),IF(VLOOKUP($A148,[1]!Table1[#All],2,FALSE)="Resultat",SUMIF($F$1:$F86,$D148,J$1:J86)+SUMIF($F149:$F$512,$D148,J149:J$512),0))*'[1]Processer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402">
        <f>IFERROR(VLOOKUP($D149&amp;$F149,Landbrugsproduktivititet!$D$3:$G$31,MATCH(H$2,Landbrugsproduktivititet!$D$2:$G$2,0),FALSE),1)*IF($A149&lt;&gt;"",IF(VLOOKUP($A149,[1]!Table1[#All],2,FALSE)="Direkte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input'!$A$3:$A$230,$A$1)),IF(VLOOKUP($A149,[1]!Table1[#All],2,FALSE)="Resultat",SUMIF($F$1:$F87,$D149,H$1:H87)+SUMIF($F150:$F$512,$D149,H150:H$512),0))*'[1]Processer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403">
        <f>IFERROR(VLOOKUP($D149&amp;$F149,Landbrugsproduktivititet!$D$3:$G$31,MATCH(I$2,Landbrugsproduktivititet!$D$2:$G$2,0),FALSE),1)*IF($A149&lt;&gt;"",IF(VLOOKUP($A149,[1]!Table1[#All],2,FALSE)="Direkte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input'!$A$3:$A$230,$A$1)),IF(VLOOKUP($A149,[1]!Table1[#All],2,FALSE)="Resultat",SUMIF($F$1:$F87,$D149,I$1:I87)+SUMIF($F150:$F$512,$D149,I150:I$512),0))*'[1]Processer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12959.757070832053</v>
      </c>
      <c r="J149" s="404">
        <f>IFERROR(VLOOKUP($D149&amp;$F149,Landbrugsproduktivititet!$D$3:$G$31,MATCH(J$2,Landbrugsproduktivititet!$D$2:$G$2,0),FALSE),1)*IF($A149&lt;&gt;"",IF(VLOOKUP($A149,[1]!Table1[#All],2,FALSE)="Direkte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input'!$A$3:$A$230,$A$1)),IF(VLOOKUP($A149,[1]!Table1[#All],2,FALSE)="Resultat",SUMIF($F$1:$F87,$D149,J$1:J87)+SUMIF($F150:$F$512,$D149,J150:J$512),0))*'[1]Processer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402">
        <f>IFERROR(VLOOKUP($D150&amp;$F150,Landbrugsproduktivititet!$D$3:$G$31,MATCH(H$2,Landbrugsproduktivititet!$D$2:$G$2,0),FALSE),1)*IF($A150&lt;&gt;"",IF(VLOOKUP($A150,[1]!Table1[#All],2,FALSE)="Direkte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input'!$A$3:$A$230,$A$1)),IF(VLOOKUP($A150,[1]!Table1[#All],2,FALSE)="Resultat",SUMIF($F$1:$F88,$D150,H$1:H88)+SUMIF($F151:$F$512,$D150,H151:H$512),0))*'[1]Processer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403">
        <f>IFERROR(VLOOKUP($D150&amp;$F150,Landbrugsproduktivititet!$D$3:$G$31,MATCH(I$2,Landbrugsproduktivititet!$D$2:$G$2,0),FALSE),1)*IF($A150&lt;&gt;"",IF(VLOOKUP($A150,[1]!Table1[#All],2,FALSE)="Direkte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input'!$A$3:$A$230,$A$1)),IF(VLOOKUP($A150,[1]!Table1[#All],2,FALSE)="Resultat",SUMIF($F$1:$F88,$D150,I$1:I88)+SUMIF($F151:$F$512,$D150,I151:I$512),0))*'[1]Processer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4230.0323085269056</v>
      </c>
      <c r="J150" s="404">
        <f>IFERROR(VLOOKUP($D150&amp;$F150,Landbrugsproduktivititet!$D$3:$G$31,MATCH(J$2,Landbrugsproduktivititet!$D$2:$G$2,0),FALSE),1)*IF($A150&lt;&gt;"",IF(VLOOKUP($A150,[1]!Table1[#All],2,FALSE)="Direkte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input'!$A$3:$A$230,$A$1)),IF(VLOOKUP($A150,[1]!Table1[#All],2,FALSE)="Resultat",SUMIF($F$1:$F88,$D150,J$1:J88)+SUMIF($F151:$F$512,$D150,J151:J$512),0))*'[1]Processer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402">
        <f>IFERROR(VLOOKUP($D151&amp;$F151,Landbrugsproduktivititet!$D$3:$G$31,MATCH(H$2,Landbrugsproduktivititet!$D$2:$G$2,0),FALSE),1)*IF($A151&lt;&gt;"",IF(VLOOKUP($A151,[1]!Table1[#All],2,FALSE)="Direkte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input'!$A$3:$A$230,$A$1)),IF(VLOOKUP($A151,[1]!Table1[#All],2,FALSE)="Resultat",SUMIF($F$1:$F89,$D151,H$1:H89)+SUMIF($F152:$F$512,$D151,H152:H$512),0))*'[1]Processer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403">
        <f>IFERROR(VLOOKUP($D151&amp;$F151,Landbrugsproduktivititet!$D$3:$G$31,MATCH(I$2,Landbrugsproduktivititet!$D$2:$G$2,0),FALSE),1)*IF($A151&lt;&gt;"",IF(VLOOKUP($A151,[1]!Table1[#All],2,FALSE)="Direkte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input'!$A$3:$A$230,$A$1)),IF(VLOOKUP($A151,[1]!Table1[#All],2,FALSE)="Resultat",SUMIF($F$1:$F89,$D151,I$1:I89)+SUMIF($F152:$F$512,$D151,I152:I$512),0))*'[1]Processer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-122970.01774151137</v>
      </c>
      <c r="J151" s="404">
        <f>IFERROR(VLOOKUP($D151&amp;$F151,Landbrugsproduktivititet!$D$3:$G$31,MATCH(J$2,Landbrugsproduktivititet!$D$2:$G$2,0),FALSE),1)*IF($A151&lt;&gt;"",IF(VLOOKUP($A151,[1]!Table1[#All],2,FALSE)="Direkte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input'!$A$3:$A$230,$A$1)),IF(VLOOKUP($A151,[1]!Table1[#All],2,FALSE)="Resultat",SUMIF($F$1:$F89,$D151,J$1:J89)+SUMIF($F152:$F$512,$D151,J152:J$512),0))*'[1]Processer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402">
        <f>IFERROR(VLOOKUP($D152&amp;$F152,Landbrugsproduktivititet!$D$3:$G$31,MATCH(H$2,Landbrugsproduktivititet!$D$2:$G$2,0),FALSE),1)*IF($A152&lt;&gt;"",IF(VLOOKUP($A152,[1]!Table1[#All],2,FALSE)="Direkte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input'!$A$3:$A$230,$A$1)),IF(VLOOKUP($A152,[1]!Table1[#All],2,FALSE)="Resultat",SUMIF($F$1:$F90,$D152,H$1:H90)+SUMIF($F153:$F$512,$D152,H153:H$512),0))*'[1]Processer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403">
        <f>IFERROR(VLOOKUP($D152&amp;$F152,Landbrugsproduktivititet!$D$3:$G$31,MATCH(I$2,Landbrugsproduktivititet!$D$2:$G$2,0),FALSE),1)*IF($A152&lt;&gt;"",IF(VLOOKUP($A152,[1]!Table1[#All],2,FALSE)="Direkte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input'!$A$3:$A$230,$A$1)),IF(VLOOKUP($A152,[1]!Table1[#All],2,FALSE)="Resultat",SUMIF($F$1:$F90,$D152,I$1:I90)+SUMIF($F153:$F$512,$D152,I153:I$512),0))*'[1]Processer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46617.398334135374</v>
      </c>
      <c r="J152" s="404">
        <f>IFERROR(VLOOKUP($D152&amp;$F152,Landbrugsproduktivititet!$D$3:$G$31,MATCH(J$2,Landbrugsproduktivititet!$D$2:$G$2,0),FALSE),1)*IF($A152&lt;&gt;"",IF(VLOOKUP($A152,[1]!Table1[#All],2,FALSE)="Direkte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input'!$A$3:$A$230,$A$1)),IF(VLOOKUP($A152,[1]!Table1[#All],2,FALSE)="Resultat",SUMIF($F$1:$F90,$D152,J$1:J90)+SUMIF($F153:$F$512,$D152,J153:J$512),0))*'[1]Processer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402">
        <f>IFERROR(VLOOKUP($D153&amp;$F153,Landbrugsproduktivititet!$D$3:$G$31,MATCH(H$2,Landbrugsproduktivititet!$D$2:$G$2,0),FALSE),1)*IF($A153&lt;&gt;"",IF(VLOOKUP($A153,[1]!Table1[#All],2,FALSE)="Direkte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input'!$A$3:$A$230,$A$1)),IF(VLOOKUP($A153,[1]!Table1[#All],2,FALSE)="Resultat",SUMIF($F$1:$F91,$D153,H$1:H91)+SUMIF($F154:$F$512,$D153,H154:H$512),0))*'[1]Processer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403">
        <f>IFERROR(VLOOKUP($D153&amp;$F153,Landbrugsproduktivititet!$D$3:$G$31,MATCH(I$2,Landbrugsproduktivititet!$D$2:$G$2,0),FALSE),1)*IF($A153&lt;&gt;"",IF(VLOOKUP($A153,[1]!Table1[#All],2,FALSE)="Direkte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input'!$A$3:$A$230,$A$1)),IF(VLOOKUP($A153,[1]!Table1[#All],2,FALSE)="Resultat",SUMIF($F$1:$F91,$D153,I$1:I91)+SUMIF($F154:$F$512,$D153,I154:I$512),0))*'[1]Processer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109740.46754281298</v>
      </c>
      <c r="J153" s="404">
        <f>IFERROR(VLOOKUP($D153&amp;$F153,Landbrugsproduktivititet!$D$3:$G$31,MATCH(J$2,Landbrugsproduktivititet!$D$2:$G$2,0),FALSE),1)*IF($A153&lt;&gt;"",IF(VLOOKUP($A153,[1]!Table1[#All],2,FALSE)="Direkte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input'!$A$3:$A$230,$A$1)),IF(VLOOKUP($A153,[1]!Table1[#All],2,FALSE)="Resultat",SUMIF($F$1:$F91,$D153,J$1:J91)+SUMIF($F154:$F$512,$D153,J154:J$512),0))*'[1]Processer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160350.24819795735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402">
        <f>IFERROR(VLOOKUP($D154&amp;$F154,Landbrugsproduktivititet!$D$3:$G$31,MATCH(H$2,Landbrugsproduktivititet!$D$2:$G$2,0),FALSE),1)*IF($A154&lt;&gt;"",IF(VLOOKUP($A154,[1]!Table1[#All],2,FALSE)="Direkte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input'!$A$3:$A$230,$A$1)),IF(VLOOKUP($A154,[1]!Table1[#All],2,FALSE)="Resultat",SUMIF($F$1:$F92,$D154,H$1:H92)+SUMIF($F155:$F$512,$D154,H155:H$512),0))*'[1]Processer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403">
        <f>IFERROR(VLOOKUP($D154&amp;$F154,Landbrugsproduktivititet!$D$3:$G$31,MATCH(I$2,Landbrugsproduktivititet!$D$2:$G$2,0),FALSE),1)*IF($A154&lt;&gt;"",IF(VLOOKUP($A154,[1]!Table1[#All],2,FALSE)="Direkte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input'!$A$3:$A$230,$A$1)),IF(VLOOKUP($A154,[1]!Table1[#All],2,FALSE)="Resultat",SUMIF($F$1:$F92,$D154,I$1:I92)+SUMIF($F155:$F$512,$D154,I155:I$512),0))*'[1]Processer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35819.014254805305</v>
      </c>
      <c r="J154" s="404">
        <f>IFERROR(VLOOKUP($D154&amp;$F154,Landbrugsproduktivititet!$D$3:$G$31,MATCH(J$2,Landbrugsproduktivititet!$D$2:$G$2,0),FALSE),1)*IF($A154&lt;&gt;"",IF(VLOOKUP($A154,[1]!Table1[#All],2,FALSE)="Direkte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input'!$A$3:$A$230,$A$1)),IF(VLOOKUP($A154,[1]!Table1[#All],2,FALSE)="Resultat",SUMIF($F$1:$F92,$D154,J$1:J92)+SUMIF($F155:$F$512,$D154,J155:J$512),0))*'[1]Processer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52337.920136192799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402">
        <f>IFERROR(VLOOKUP($D155&amp;$F155,Landbrugsproduktivititet!$D$3:$G$31,MATCH(H$2,Landbrugsproduktivititet!$D$2:$G$2,0),FALSE),1)*IF($A155&lt;&gt;"",IF(VLOOKUP($A155,[1]!Table1[#All],2,FALSE)="Direkte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input'!$A$3:$A$230,$A$1)),IF(VLOOKUP($A155,[1]!Table1[#All],2,FALSE)="Resultat",SUMIF($F$1:$F93,$D155,H$1:H93)+SUMIF($F156:$F$512,$D155,H156:H$512),0))*'[1]Processer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403">
        <f>IFERROR(VLOOKUP($D155&amp;$F155,Landbrugsproduktivititet!$D$3:$G$31,MATCH(I$2,Landbrugsproduktivititet!$D$2:$G$2,0),FALSE),1)*IF($A155&lt;&gt;"",IF(VLOOKUP($A155,[1]!Table1[#All],2,FALSE)="Direkte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input'!$A$3:$A$230,$A$1)),IF(VLOOKUP($A155,[1]!Table1[#All],2,FALSE)="Resultat",SUMIF($F$1:$F93,$D155,I$1:I93)+SUMIF($F156:$F$512,$D155,I156:I$512),0))*'[1]Processer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-2332476.083768948</v>
      </c>
      <c r="J155" s="404">
        <f>IFERROR(VLOOKUP($D155&amp;$F155,Landbrugsproduktivititet!$D$3:$G$31,MATCH(J$2,Landbrugsproduktivititet!$D$2:$G$2,0),FALSE),1)*IF($A155&lt;&gt;"",IF(VLOOKUP($A155,[1]!Table1[#All],2,FALSE)="Direkte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input'!$A$3:$A$230,$A$1)),IF(VLOOKUP($A155,[1]!Table1[#All],2,FALSE)="Resultat",SUMIF($F$1:$F93,$D155,J$1:J93)+SUMIF($F156:$F$512,$D155,J156:J$512),0))*'[1]Processer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-2993949.3244880042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402">
        <f>IFERROR(VLOOKUP($D156&amp;$F156,Landbrugsproduktivititet!$D$3:$G$31,MATCH(H$2,Landbrugsproduktivititet!$D$2:$G$2,0),FALSE),1)*IF($A156&lt;&gt;"",IF(VLOOKUP($A156,[1]!Table1[#All],2,FALSE)="Direkte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input'!$A$3:$A$230,$A$1)),IF(VLOOKUP($A156,[1]!Table1[#All],2,FALSE)="Resultat",SUMIF($F$1:$F94,$D156,H$1:H94)+SUMIF($F157:$F$512,$D156,H157:H$512),0))*'[1]Processer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403">
        <f>IFERROR(VLOOKUP($D156&amp;$F156,Landbrugsproduktivititet!$D$3:$G$31,MATCH(I$2,Landbrugsproduktivititet!$D$2:$G$2,0),FALSE),1)*IF($A156&lt;&gt;"",IF(VLOOKUP($A156,[1]!Table1[#All],2,FALSE)="Direkte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input'!$A$3:$A$230,$A$1)),IF(VLOOKUP($A156,[1]!Table1[#All],2,FALSE)="Resultat",SUMIF($F$1:$F94,$D156,I$1:I94)+SUMIF($F157:$F$512,$D156,I157:I$512),0))*'[1]Processer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45796.40857551332</v>
      </c>
      <c r="J156" s="404">
        <f>IFERROR(VLOOKUP($D156&amp;$F156,Landbrugsproduktivititet!$D$3:$G$31,MATCH(J$2,Landbrugsproduktivititet!$D$2:$G$2,0),FALSE),1)*IF($A156&lt;&gt;"",IF(VLOOKUP($A156,[1]!Table1[#All],2,FALSE)="Direkte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input'!$A$3:$A$230,$A$1)),IF(VLOOKUP($A156,[1]!Table1[#All],2,FALSE)="Resultat",SUMIF($F$1:$F94,$D156,J$1:J94)+SUMIF($F157:$F$512,$D156,J157:J$512),0))*'[1]Processer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50207.144003442016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402">
        <f>IFERROR(VLOOKUP($D157&amp;$F157,Landbrugsproduktivititet!$D$3:$G$31,MATCH(H$2,Landbrugsproduktivititet!$D$2:$G$2,0),FALSE),1)*IF($A157&lt;&gt;"",IF(VLOOKUP($A157,[1]!Table1[#All],2,FALSE)="Direkte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input'!$A$3:$A$230,$A$1)),IF(VLOOKUP($A157,[1]!Table1[#All],2,FALSE)="Resultat",SUMIF($F$1:$F95,$D157,H$1:H95)+SUMIF($F158:$F$512,$D157,H158:H$512),0))*'[1]Processer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403">
        <f>IFERROR(VLOOKUP($D157&amp;$F157,Landbrugsproduktivititet!$D$3:$G$31,MATCH(I$2,Landbrugsproduktivititet!$D$2:$G$2,0),FALSE),1)*IF($A157&lt;&gt;"",IF(VLOOKUP($A157,[1]!Table1[#All],2,FALSE)="Direkte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input'!$A$3:$A$230,$A$1)),IF(VLOOKUP($A157,[1]!Table1[#All],2,FALSE)="Resultat",SUMIF($F$1:$F95,$D157,I$1:I95)+SUMIF($F158:$F$512,$D157,I158:I$512),0))*'[1]Processer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1726.3627530242154</v>
      </c>
      <c r="J157" s="404">
        <f>IFERROR(VLOOKUP($D157&amp;$F157,Landbrugsproduktivititet!$D$3:$G$31,MATCH(J$2,Landbrugsproduktivititet!$D$2:$G$2,0),FALSE),1)*IF($A157&lt;&gt;"",IF(VLOOKUP($A157,[1]!Table1[#All],2,FALSE)="Direkte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input'!$A$3:$A$230,$A$1)),IF(VLOOKUP($A157,[1]!Table1[#All],2,FALSE)="Resultat",SUMIF($F$1:$F95,$D157,J$1:J95)+SUMIF($F158:$F$512,$D157,J158:J$512),0))*'[1]Processer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402">
        <f>IFERROR(VLOOKUP($D158&amp;$F158,Landbrugsproduktivititet!$D$3:$G$31,MATCH(H$2,Landbrugsproduktivititet!$D$2:$G$2,0),FALSE),1)*IF($A158&lt;&gt;"",IF(VLOOKUP($A158,[1]!Table1[#All],2,FALSE)="Direkte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input'!$A$3:$A$230,$A$1)),IF(VLOOKUP($A158,[1]!Table1[#All],2,FALSE)="Resultat",SUMIF($F$1:$F96,$D158,H$1:H96)+SUMIF($F159:$F$512,$D158,H159:H$512),0))*'[1]Processer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403">
        <f>IFERROR(VLOOKUP($D158&amp;$F158,Landbrugsproduktivititet!$D$3:$G$31,MATCH(I$2,Landbrugsproduktivititet!$D$2:$G$2,0),FALSE),1)*IF($A158&lt;&gt;"",IF(VLOOKUP($A158,[1]!Table1[#All],2,FALSE)="Direkte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input'!$A$3:$A$230,$A$1)),IF(VLOOKUP($A158,[1]!Table1[#All],2,FALSE)="Resultat",SUMIF($F$1:$F96,$D158,I$1:I96)+SUMIF($F159:$F$512,$D158,I159:I$512),0))*'[1]Processer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563.48048668022147</v>
      </c>
      <c r="J158" s="404">
        <f>IFERROR(VLOOKUP($D158&amp;$F158,Landbrugsproduktivititet!$D$3:$G$31,MATCH(J$2,Landbrugsproduktivititet!$D$2:$G$2,0),FALSE),1)*IF($A158&lt;&gt;"",IF(VLOOKUP($A158,[1]!Table1[#All],2,FALSE)="Direkte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input'!$A$3:$A$230,$A$1)),IF(VLOOKUP($A158,[1]!Table1[#All],2,FALSE)="Resultat",SUMIF($F$1:$F96,$D158,J$1:J96)+SUMIF($F159:$F$512,$D158,J159:J$512),0))*'[1]Processer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402">
        <f>IFERROR(VLOOKUP($D159&amp;$F159,Landbrugsproduktivititet!$D$3:$G$31,MATCH(H$2,Landbrugsproduktivititet!$D$2:$G$2,0),FALSE),1)*IF($A159&lt;&gt;"",IF(VLOOKUP($A159,[1]!Table1[#All],2,FALSE)="Direkte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input'!$A$3:$A$230,$A$1)),IF(VLOOKUP($A159,[1]!Table1[#All],2,FALSE)="Resultat",SUMIF($F$1:$F97,$D159,H$1:H97)+SUMIF($F160:$F$512,$D159,H160:H$512),0))*'[1]Processer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403">
        <f>IFERROR(VLOOKUP($D159&amp;$F159,Landbrugsproduktivititet!$D$3:$G$31,MATCH(I$2,Landbrugsproduktivititet!$D$2:$G$2,0),FALSE),1)*IF($A159&lt;&gt;"",IF(VLOOKUP($A159,[1]!Table1[#All],2,FALSE)="Direkte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input'!$A$3:$A$230,$A$1)),IF(VLOOKUP($A159,[1]!Table1[#All],2,FALSE)="Resultat",SUMIF($F$1:$F97,$D159,I$1:I97)+SUMIF($F160:$F$512,$D159,I160:I$512),0))*'[1]Processer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-24844.174683563815</v>
      </c>
      <c r="J159" s="404">
        <f>IFERROR(VLOOKUP($D159&amp;$F159,Landbrugsproduktivititet!$D$3:$G$31,MATCH(J$2,Landbrugsproduktivititet!$D$2:$G$2,0),FALSE),1)*IF($A159&lt;&gt;"",IF(VLOOKUP($A159,[1]!Table1[#All],2,FALSE)="Direkte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input'!$A$3:$A$230,$A$1)),IF(VLOOKUP($A159,[1]!Table1[#All],2,FALSE)="Resultat",SUMIF($F$1:$F97,$D159,J$1:J97)+SUMIF($F160:$F$512,$D159,J160:J$512),0))*'[1]Processer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402">
        <f>IFERROR(VLOOKUP($D160&amp;$F160,Landbrugsproduktivititet!$D$3:$G$31,MATCH(H$2,Landbrugsproduktivititet!$D$2:$G$2,0),FALSE),1)*IF($A160&lt;&gt;"",IF(VLOOKUP($A160,[1]!Table1[#All],2,FALSE)="Direkte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input'!$A$3:$A$230,$A$1)),IF(VLOOKUP($A160,[1]!Table1[#All],2,FALSE)="Resultat",SUMIF($F$1:$F98,$D160,H$1:H98)+SUMIF($F161:$F$512,$D160,H161:H$512),0))*'[1]Processer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403">
        <f>IFERROR(VLOOKUP($D160&amp;$F160,Landbrugsproduktivititet!$D$3:$G$31,MATCH(I$2,Landbrugsproduktivititet!$D$2:$G$2,0),FALSE),1)*IF($A160&lt;&gt;"",IF(VLOOKUP($A160,[1]!Table1[#All],2,FALSE)="Direkte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input'!$A$3:$A$230,$A$1)),IF(VLOOKUP($A160,[1]!Table1[#All],2,FALSE)="Resultat",SUMIF($F$1:$F98,$D160,I$1:I98)+SUMIF($F161:$F$512,$D160,I161:I$512),0))*'[1]Processer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4222.5793694354506</v>
      </c>
      <c r="J160" s="404">
        <f>IFERROR(VLOOKUP($D160&amp;$F160,Landbrugsproduktivititet!$D$3:$G$31,MATCH(J$2,Landbrugsproduktivititet!$D$2:$G$2,0),FALSE),1)*IF($A160&lt;&gt;"",IF(VLOOKUP($A160,[1]!Table1[#All],2,FALSE)="Direkte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input'!$A$3:$A$230,$A$1)),IF(VLOOKUP($A160,[1]!Table1[#All],2,FALSE)="Resultat",SUMIF($F$1:$F98,$D160,J$1:J98)+SUMIF($F161:$F$512,$D160,J161:J$512),0))*'[1]Processer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402">
        <f>IFERROR(VLOOKUP($D161&amp;$F161,Landbrugsproduktivititet!$D$3:$G$31,MATCH(H$2,Landbrugsproduktivititet!$D$2:$G$2,0),FALSE),1)*IF($A161&lt;&gt;"",IF(VLOOKUP($A161,[1]!Table1[#All],2,FALSE)="Direkte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input'!$A$3:$A$230,$A$1)),IF(VLOOKUP($A161,[1]!Table1[#All],2,FALSE)="Resultat",SUMIF($F$1:$F99,$D161,H$1:H99)+SUMIF($F162:$F$512,$D161,H162:H$512),0))*'[1]Processer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403">
        <f>IFERROR(VLOOKUP($D161&amp;$F161,Landbrugsproduktivititet!$D$3:$G$31,MATCH(I$2,Landbrugsproduktivititet!$D$2:$G$2,0),FALSE),1)*IF($A161&lt;&gt;"",IF(VLOOKUP($A161,[1]!Table1[#All],2,FALSE)="Direkte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input'!$A$3:$A$230,$A$1)),IF(VLOOKUP($A161,[1]!Table1[#All],2,FALSE)="Resultat",SUMIF($F$1:$F99,$D161,I$1:I99)+SUMIF($F162:$F$512,$D161,I162:I$512),0))*'[1]Processer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1110.2262897638293</v>
      </c>
      <c r="J161" s="404">
        <f>IFERROR(VLOOKUP($D161&amp;$F161,Landbrugsproduktivititet!$D$3:$G$31,MATCH(J$2,Landbrugsproduktivititet!$D$2:$G$2,0),FALSE),1)*IF($A161&lt;&gt;"",IF(VLOOKUP($A161,[1]!Table1[#All],2,FALSE)="Direkte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input'!$A$3:$A$230,$A$1)),IF(VLOOKUP($A161,[1]!Table1[#All],2,FALSE)="Resultat",SUMIF($F$1:$F99,$D161,J$1:J99)+SUMIF($F162:$F$512,$D161,J162:J$512),0))*'[1]Processer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402">
        <f>IFERROR(VLOOKUP($D162&amp;$F162,Landbrugsproduktivititet!$D$3:$G$31,MATCH(H$2,Landbrugsproduktivititet!$D$2:$G$2,0),FALSE),1)*IF($A162&lt;&gt;"",IF(VLOOKUP($A162,[1]!Table1[#All],2,FALSE)="Direkte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input'!$A$3:$A$230,$A$1)),IF(VLOOKUP($A162,[1]!Table1[#All],2,FALSE)="Resultat",SUMIF($F$1:$F100,$D162,H$1:H100)+SUMIF($F163:$F$512,$D162,H163:H$512),0))*'[1]Processer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403">
        <f>IFERROR(VLOOKUP($D162&amp;$F162,Landbrugsproduktivititet!$D$3:$G$31,MATCH(I$2,Landbrugsproduktivititet!$D$2:$G$2,0),FALSE),1)*IF($A162&lt;&gt;"",IF(VLOOKUP($A162,[1]!Table1[#All],2,FALSE)="Direkte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input'!$A$3:$A$230,$A$1)),IF(VLOOKUP($A162,[1]!Table1[#All],2,FALSE)="Resultat",SUMIF($F$1:$F100,$D162,I$1:I100)+SUMIF($F163:$F$512,$D162,I163:I$512),0))*'[1]Processer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362.37508541318954</v>
      </c>
      <c r="J162" s="404">
        <f>IFERROR(VLOOKUP($D162&amp;$F162,Landbrugsproduktivititet!$D$3:$G$31,MATCH(J$2,Landbrugsproduktivititet!$D$2:$G$2,0),FALSE),1)*IF($A162&lt;&gt;"",IF(VLOOKUP($A162,[1]!Table1[#All],2,FALSE)="Direkte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input'!$A$3:$A$230,$A$1)),IF(VLOOKUP($A162,[1]!Table1[#All],2,FALSE)="Resultat",SUMIF($F$1:$F100,$D162,J$1:J100)+SUMIF($F163:$F$512,$D162,J163:J$512),0))*'[1]Processer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402">
        <f>IFERROR(VLOOKUP($D163&amp;$F163,Landbrugsproduktivititet!$D$3:$G$31,MATCH(H$2,Landbrugsproduktivititet!$D$2:$G$2,0),FALSE),1)*IF($A163&lt;&gt;"",IF(VLOOKUP($A163,[1]!Table1[#All],2,FALSE)="Direkte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input'!$A$3:$A$230,$A$1)),IF(VLOOKUP($A163,[1]!Table1[#All],2,FALSE)="Resultat",SUMIF($F$1:$F101,$D163,H$1:H101)+SUMIF($F164:$F$512,$D163,H164:H$512),0))*'[1]Processer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403">
        <f>IFERROR(VLOOKUP($D163&amp;$F163,Landbrugsproduktivititet!$D$3:$G$31,MATCH(I$2,Landbrugsproduktivititet!$D$2:$G$2,0),FALSE),1)*IF($A163&lt;&gt;"",IF(VLOOKUP($A163,[1]!Table1[#All],2,FALSE)="Direkte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input'!$A$3:$A$230,$A$1)),IF(VLOOKUP($A163,[1]!Table1[#All],2,FALSE)="Resultat",SUMIF($F$1:$F101,$D163,I$1:I101)+SUMIF($F164:$F$512,$D163,I164:I$512),0))*'[1]Processer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-10534.4988955557</v>
      </c>
      <c r="J163" s="404">
        <f>IFERROR(VLOOKUP($D163&amp;$F163,Landbrugsproduktivititet!$D$3:$G$31,MATCH(J$2,Landbrugsproduktivititet!$D$2:$G$2,0),FALSE),1)*IF($A163&lt;&gt;"",IF(VLOOKUP($A163,[1]!Table1[#All],2,FALSE)="Direkte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input'!$A$3:$A$230,$A$1)),IF(VLOOKUP($A163,[1]!Table1[#All],2,FALSE)="Resultat",SUMIF($F$1:$F101,$D163,J$1:J101)+SUMIF($F164:$F$512,$D163,J164:J$512),0))*'[1]Processer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402">
        <f>IFERROR(VLOOKUP($D164&amp;$F164,Landbrugsproduktivititet!$D$3:$G$31,MATCH(H$2,Landbrugsproduktivititet!$D$2:$G$2,0),FALSE),1)*IF($A164&lt;&gt;"",IF(VLOOKUP($A164,[1]!Table1[#All],2,FALSE)="Direkte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input'!$A$3:$A$230,$A$1)),IF(VLOOKUP($A164,[1]!Table1[#All],2,FALSE)="Resultat",SUMIF($F$1:$F102,$D164,H$1:H102)+SUMIF($F165:$F$512,$D164,H165:H$512),0))*'[1]Processer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403">
        <f>IFERROR(VLOOKUP($D164&amp;$F164,Landbrugsproduktivititet!$D$3:$G$31,MATCH(I$2,Landbrugsproduktivititet!$D$2:$G$2,0),FALSE),1)*IF($A164&lt;&gt;"",IF(VLOOKUP($A164,[1]!Table1[#All],2,FALSE)="Direkte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input'!$A$3:$A$230,$A$1)),IF(VLOOKUP($A164,[1]!Table1[#All],2,FALSE)="Resultat",SUMIF($F$1:$F102,$D164,I$1:I102)+SUMIF($F165:$F$512,$D164,I165:I$512),0))*'[1]Processer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5960.57114297307</v>
      </c>
      <c r="J164" s="404">
        <f>IFERROR(VLOOKUP($D164&amp;$F164,Landbrugsproduktivititet!$D$3:$G$31,MATCH(J$2,Landbrugsproduktivititet!$D$2:$G$2,0),FALSE),1)*IF($A164&lt;&gt;"",IF(VLOOKUP($A164,[1]!Table1[#All],2,FALSE)="Direkte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input'!$A$3:$A$230,$A$1)),IF(VLOOKUP($A164,[1]!Table1[#All],2,FALSE)="Resultat",SUMIF($F$1:$F102,$D164,J$1:J102)+SUMIF($F165:$F$512,$D164,J165:J$512),0))*'[1]Processer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402">
        <f>IFERROR(VLOOKUP($D165&amp;$F165,Landbrugsproduktivititet!$D$3:$G$31,MATCH(H$2,Landbrugsproduktivititet!$D$2:$G$2,0),FALSE),1)*IF($A165&lt;&gt;"",IF(VLOOKUP($A165,[1]!Table1[#All],2,FALSE)="Direkte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input'!$A$3:$A$230,$A$1)),IF(VLOOKUP($A165,[1]!Table1[#All],2,FALSE)="Resultat",SUMIF($F$1:$F103,$D165,H$1:H103)+SUMIF($F166:$F$512,$D165,H166:H$512),0))*'[1]Processer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403">
        <f>IFERROR(VLOOKUP($D165&amp;$F165,Landbrugsproduktivititet!$D$3:$G$31,MATCH(I$2,Landbrugsproduktivititet!$D$2:$G$2,0),FALSE),1)*IF($A165&lt;&gt;"",IF(VLOOKUP($A165,[1]!Table1[#All],2,FALSE)="Direkte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input'!$A$3:$A$230,$A$1)),IF(VLOOKUP($A165,[1]!Table1[#All],2,FALSE)="Resultat",SUMIF($F$1:$F103,$D165,I$1:I103)+SUMIF($F166:$F$512,$D165,I166:I$512),0))*'[1]Processer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81141.819730771225</v>
      </c>
      <c r="J165" s="404">
        <f>IFERROR(VLOOKUP($D165&amp;$F165,Landbrugsproduktivititet!$D$3:$G$31,MATCH(J$2,Landbrugsproduktivititet!$D$2:$G$2,0),FALSE),1)*IF($A165&lt;&gt;"",IF(VLOOKUP($A165,[1]!Table1[#All],2,FALSE)="Direkte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input'!$A$3:$A$230,$A$1)),IF(VLOOKUP($A165,[1]!Table1[#All],2,FALSE)="Resultat",SUMIF($F$1:$F103,$D165,J$1:J103)+SUMIF($F166:$F$512,$D165,J166:J$512),0))*'[1]Processer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0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402">
        <f>IFERROR(VLOOKUP($D166&amp;$F166,Landbrugsproduktivititet!$D$3:$G$31,MATCH(H$2,Landbrugsproduktivititet!$D$2:$G$2,0),FALSE),1)*IF($A166&lt;&gt;"",IF(VLOOKUP($A166,[1]!Table1[#All],2,FALSE)="Direkte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input'!$A$3:$A$230,$A$1)),IF(VLOOKUP($A166,[1]!Table1[#All],2,FALSE)="Resultat",SUMIF($F$1:$F104,$D166,H$1:H104)+SUMIF($F167:$F$512,$D166,H167:H$512),0))*'[1]Processer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403">
        <f>IFERROR(VLOOKUP($D166&amp;$F166,Landbrugsproduktivititet!$D$3:$G$31,MATCH(I$2,Landbrugsproduktivititet!$D$2:$G$2,0),FALSE),1)*IF($A166&lt;&gt;"",IF(VLOOKUP($A166,[1]!Table1[#All],2,FALSE)="Direkte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input'!$A$3:$A$230,$A$1)),IF(VLOOKUP($A166,[1]!Table1[#All],2,FALSE)="Resultat",SUMIF($F$1:$F104,$D166,I$1:I104)+SUMIF($F167:$F$512,$D166,I167:I$512),0))*'[1]Processer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-733425.18294779467</v>
      </c>
      <c r="J166" s="404">
        <f>IFERROR(VLOOKUP($D166&amp;$F166,Landbrugsproduktivititet!$D$3:$G$31,MATCH(J$2,Landbrugsproduktivititet!$D$2:$G$2,0),FALSE),1)*IF($A166&lt;&gt;"",IF(VLOOKUP($A166,[1]!Table1[#All],2,FALSE)="Direkte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input'!$A$3:$A$230,$A$1)),IF(VLOOKUP($A166,[1]!Table1[#All],2,FALSE)="Resultat",SUMIF($F$1:$F104,$D166,J$1:J104)+SUMIF($F167:$F$512,$D166,J167:J$512),0))*'[1]Processer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0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402">
        <f>IFERROR(VLOOKUP($D167&amp;$F167,Landbrugsproduktivititet!$D$3:$G$31,MATCH(H$2,Landbrugsproduktivititet!$D$2:$G$2,0),FALSE),1)*IF($A167&lt;&gt;"",IF(VLOOKUP($A167,[1]!Table1[#All],2,FALSE)="Direkte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input'!$A$3:$A$230,$A$1)),IF(VLOOKUP($A167,[1]!Table1[#All],2,FALSE)="Resultat",SUMIF($F$1:$F105,$D167,H$1:H105)+SUMIF($F168:$F$512,$D167,H168:H$512),0))*'[1]Processer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403">
        <f>IFERROR(VLOOKUP($D167&amp;$F167,Landbrugsproduktivititet!$D$3:$G$31,MATCH(I$2,Landbrugsproduktivititet!$D$2:$G$2,0),FALSE),1)*IF($A167&lt;&gt;"",IF(VLOOKUP($A167,[1]!Table1[#All],2,FALSE)="Direkte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input'!$A$3:$A$230,$A$1)),IF(VLOOKUP($A167,[1]!Table1[#All],2,FALSE)="Resultat",SUMIF($F$1:$F105,$D167,I$1:I105)+SUMIF($F168:$F$512,$D167,I168:I$512),0))*'[1]Processer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7718.5341407641235</v>
      </c>
      <c r="J167" s="404">
        <f>IFERROR(VLOOKUP($D167&amp;$F167,Landbrugsproduktivititet!$D$3:$G$31,MATCH(J$2,Landbrugsproduktivititet!$D$2:$G$2,0),FALSE),1)*IF($A167&lt;&gt;"",IF(VLOOKUP($A167,[1]!Table1[#All],2,FALSE)="Direkte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input'!$A$3:$A$230,$A$1)),IF(VLOOKUP($A167,[1]!Table1[#All],2,FALSE)="Resultat",SUMIF($F$1:$F105,$D167,J$1:J105)+SUMIF($F168:$F$512,$D167,J168:J$512),0))*'[1]Processer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0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402">
        <f>IFERROR(VLOOKUP($D168&amp;$F168,Landbrugsproduktivititet!$D$3:$G$31,MATCH(H$2,Landbrugsproduktivititet!$D$2:$G$2,0),FALSE),1)*IF($A168&lt;&gt;"",IF(VLOOKUP($A168,[1]!Table1[#All],2,FALSE)="Direkte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input'!$A$3:$A$230,$A$1)),IF(VLOOKUP($A168,[1]!Table1[#All],2,FALSE)="Resultat",SUMIF($F$1:$F106,$D168,H$1:H106)+SUMIF($F169:$F$512,$D168,H169:H$512),0))*'[1]Processer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403">
        <f>IFERROR(VLOOKUP($D168&amp;$F168,Landbrugsproduktivititet!$D$3:$G$31,MATCH(I$2,Landbrugsproduktivititet!$D$2:$G$2,0),FALSE),1)*IF($A168&lt;&gt;"",IF(VLOOKUP($A168,[1]!Table1[#All],2,FALSE)="Direkte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input'!$A$3:$A$230,$A$1)),IF(VLOOKUP($A168,[1]!Table1[#All],2,FALSE)="Resultat",SUMIF($F$1:$F106,$D168,I$1:I106)+SUMIF($F169:$F$512,$D168,I169:I$512),0))*'[1]Processer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360.29158162486851</v>
      </c>
      <c r="J168" s="404">
        <f>IFERROR(VLOOKUP($D168&amp;$F168,Landbrugsproduktivititet!$D$3:$G$31,MATCH(J$2,Landbrugsproduktivititet!$D$2:$G$2,0),FALSE),1)*IF($A168&lt;&gt;"",IF(VLOOKUP($A168,[1]!Table1[#All],2,FALSE)="Direkte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input'!$A$3:$A$230,$A$1)),IF(VLOOKUP($A168,[1]!Table1[#All],2,FALSE)="Resultat",SUMIF($F$1:$F106,$D168,J$1:J106)+SUMIF($F169:$F$512,$D168,J169:J$512),0))*'[1]Processer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402">
        <f>IFERROR(VLOOKUP($D169&amp;$F169,Landbrugsproduktivititet!$D$3:$G$31,MATCH(H$2,Landbrugsproduktivititet!$D$2:$G$2,0),FALSE),1)*IF($A169&lt;&gt;"",IF(VLOOKUP($A169,[1]!Table1[#All],2,FALSE)="Direkte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input'!$A$3:$A$230,$A$1)),IF(VLOOKUP($A169,[1]!Table1[#All],2,FALSE)="Resultat",SUMIF($F$1:$F107,$D169,H$1:H107)+SUMIF($F170:$F$512,$D169,H170:H$512),0))*'[1]Processer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403">
        <f>IFERROR(VLOOKUP($D169&amp;$F169,Landbrugsproduktivititet!$D$3:$G$31,MATCH(I$2,Landbrugsproduktivititet!$D$2:$G$2,0),FALSE),1)*IF($A169&lt;&gt;"",IF(VLOOKUP($A169,[1]!Table1[#All],2,FALSE)="Direkte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input'!$A$3:$A$230,$A$1)),IF(VLOOKUP($A169,[1]!Table1[#All],2,FALSE)="Resultat",SUMIF($F$1:$F107,$D169,I$1:I107)+SUMIF($F170:$F$512,$D169,I170:I$512),0))*'[1]Processer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-2645.9921965786571</v>
      </c>
      <c r="J169" s="404">
        <f>IFERROR(VLOOKUP($D169&amp;$F169,Landbrugsproduktivititet!$D$3:$G$31,MATCH(J$2,Landbrugsproduktivititet!$D$2:$G$2,0),FALSE),1)*IF($A169&lt;&gt;"",IF(VLOOKUP($A169,[1]!Table1[#All],2,FALSE)="Direkte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input'!$A$3:$A$230,$A$1)),IF(VLOOKUP($A169,[1]!Table1[#All],2,FALSE)="Resultat",SUMIF($F$1:$F107,$D169,J$1:J107)+SUMIF($F170:$F$512,$D169,J170:J$512),0))*'[1]Processer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402">
        <f>IFERROR(VLOOKUP($D170&amp;$F170,Landbrugsproduktivititet!$D$3:$G$31,MATCH(H$2,Landbrugsproduktivititet!$D$2:$G$2,0),FALSE),1)*IF($A170&lt;&gt;"",IF(VLOOKUP($A170,[1]!Table1[#All],2,FALSE)="Direkte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input'!$A$3:$A$230,$A$1)),IF(VLOOKUP($A170,[1]!Table1[#All],2,FALSE)="Resultat",SUMIF($F$1:$F108,$D170,H$1:H108)+SUMIF($F171:$F$512,$D170,H171:H$512),0))*'[1]Processer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403">
        <f>IFERROR(VLOOKUP($D170&amp;$F170,Landbrugsproduktivititet!$D$3:$G$31,MATCH(I$2,Landbrugsproduktivititet!$D$2:$G$2,0),FALSE),1)*IF($A170&lt;&gt;"",IF(VLOOKUP($A170,[1]!Table1[#All],2,FALSE)="Direkte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input'!$A$3:$A$230,$A$1)),IF(VLOOKUP($A170,[1]!Table1[#All],2,FALSE)="Resultat",SUMIF($F$1:$F108,$D170,I$1:I108)+SUMIF($F171:$F$512,$D170,I171:I$512),0))*'[1]Processer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200.87475035065336</v>
      </c>
      <c r="J170" s="404">
        <f>IFERROR(VLOOKUP($D170&amp;$F170,Landbrugsproduktivititet!$D$3:$G$31,MATCH(J$2,Landbrugsproduktivititet!$D$2:$G$2,0),FALSE),1)*IF($A170&lt;&gt;"",IF(VLOOKUP($A170,[1]!Table1[#All],2,FALSE)="Direkte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input'!$A$3:$A$230,$A$1)),IF(VLOOKUP($A170,[1]!Table1[#All],2,FALSE)="Resultat",SUMIF($F$1:$F108,$D170,J$1:J108)+SUMIF($F171:$F$512,$D170,J171:J$512),0))*'[1]Processer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402">
        <f>IFERROR(VLOOKUP($D171&amp;$F171,Landbrugsproduktivititet!$D$3:$G$31,MATCH(H$2,Landbrugsproduktivititet!$D$2:$G$2,0),FALSE),1)*IF($A171&lt;&gt;"",IF(VLOOKUP($A171,[1]!Table1[#All],2,FALSE)="Direkte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input'!$A$3:$A$230,$A$1)),IF(VLOOKUP($A171,[1]!Table1[#All],2,FALSE)="Resultat",SUMIF($F$1:$F109,$D171,H$1:H109)+SUMIF($F172:$F$512,$D171,H172:H$512),0))*'[1]Processer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403">
        <f>IFERROR(VLOOKUP($D171&amp;$F171,Landbrugsproduktivititet!$D$3:$G$31,MATCH(I$2,Landbrugsproduktivititet!$D$2:$G$2,0),FALSE),1)*IF($A171&lt;&gt;"",IF(VLOOKUP($A171,[1]!Table1[#All],2,FALSE)="Direkte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input'!$A$3:$A$230,$A$1)),IF(VLOOKUP($A171,[1]!Table1[#All],2,FALSE)="Resultat",SUMIF($F$1:$F109,$D171,I$1:I109)+SUMIF($F172:$F$512,$D171,I172:I$512),0))*'[1]Processer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116.89491500612559</v>
      </c>
      <c r="J171" s="404">
        <f>IFERROR(VLOOKUP($D171&amp;$F171,Landbrugsproduktivititet!$D$3:$G$31,MATCH(J$2,Landbrugsproduktivititet!$D$2:$G$2,0),FALSE),1)*IF($A171&lt;&gt;"",IF(VLOOKUP($A171,[1]!Table1[#All],2,FALSE)="Direkte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input'!$A$3:$A$230,$A$1)),IF(VLOOKUP($A171,[1]!Table1[#All],2,FALSE)="Resultat",SUMIF($F$1:$F109,$D171,J$1:J109)+SUMIF($F172:$F$512,$D171,J172:J$512),0))*'[1]Processer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402">
        <f>IFERROR(VLOOKUP($D172&amp;$F172,Landbrugsproduktivititet!$D$3:$G$31,MATCH(H$2,Landbrugsproduktivititet!$D$2:$G$2,0),FALSE),1)*IF($A172&lt;&gt;"",IF(VLOOKUP($A172,[1]!Table1[#All],2,FALSE)="Direkte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input'!$A$3:$A$230,$A$1)),IF(VLOOKUP($A172,[1]!Table1[#All],2,FALSE)="Resultat",SUMIF($F$1:$F110,$D172,H$1:H110)+SUMIF($F173:$F$512,$D172,H173:H$512),0))*'[1]Processer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403">
        <f>IFERROR(VLOOKUP($D172&amp;$F172,Landbrugsproduktivititet!$D$3:$G$31,MATCH(I$2,Landbrugsproduktivititet!$D$2:$G$2,0),FALSE),1)*IF($A172&lt;&gt;"",IF(VLOOKUP($A172,[1]!Table1[#All],2,FALSE)="Direkte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input'!$A$3:$A$230,$A$1)),IF(VLOOKUP($A172,[1]!Table1[#All],2,FALSE)="Resultat",SUMIF($F$1:$F110,$D172,I$1:I110)+SUMIF($F173:$F$512,$D172,I173:I$512),0))*'[1]Processer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-716.97211282202477</v>
      </c>
      <c r="J172" s="404">
        <f>IFERROR(VLOOKUP($D172&amp;$F172,Landbrugsproduktivititet!$D$3:$G$31,MATCH(J$2,Landbrugsproduktivititet!$D$2:$G$2,0),FALSE),1)*IF($A172&lt;&gt;"",IF(VLOOKUP($A172,[1]!Table1[#All],2,FALSE)="Direkte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input'!$A$3:$A$230,$A$1)),IF(VLOOKUP($A172,[1]!Table1[#All],2,FALSE)="Resultat",SUMIF($F$1:$F110,$D172,J$1:J110)+SUMIF($F173:$F$512,$D172,J173:J$512),0))*'[1]Processer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402">
        <f>IFERROR(VLOOKUP($D173&amp;$F173,Landbrugsproduktivititet!$D$3:$G$31,MATCH(H$2,Landbrugsproduktivititet!$D$2:$G$2,0),FALSE),1)*IF($A173&lt;&gt;"",IF(VLOOKUP($A173,[1]!Table1[#All],2,FALSE)="Direkte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input'!$A$3:$A$230,$A$1)),IF(VLOOKUP($A173,[1]!Table1[#All],2,FALSE)="Resultat",SUMIF($F$1:$F111,$D173,H$1:H111)+SUMIF($F174:$F$512,$D173,H174:H$512),0))*'[1]Processer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403">
        <f>IFERROR(VLOOKUP($D173&amp;$F173,Landbrugsproduktivititet!$D$3:$G$31,MATCH(I$2,Landbrugsproduktivititet!$D$2:$G$2,0),FALSE),1)*IF($A173&lt;&gt;"",IF(VLOOKUP($A173,[1]!Table1[#All],2,FALSE)="Direkte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input'!$A$3:$A$230,$A$1)),IF(VLOOKUP($A173,[1]!Table1[#All],2,FALSE)="Resultat",SUMIF($F$1:$F111,$D173,I$1:I111)+SUMIF($F174:$F$512,$D173,I174:I$512),0))*'[1]Processer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143.05316125768942</v>
      </c>
      <c r="J173" s="404">
        <f>IFERROR(VLOOKUP($D173&amp;$F173,Landbrugsproduktivititet!$D$3:$G$31,MATCH(J$2,Landbrugsproduktivititet!$D$2:$G$2,0),FALSE),1)*IF($A173&lt;&gt;"",IF(VLOOKUP($A173,[1]!Table1[#All],2,FALSE)="Direkte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input'!$A$3:$A$230,$A$1)),IF(VLOOKUP($A173,[1]!Table1[#All],2,FALSE)="Resultat",SUMIF($F$1:$F111,$D173,J$1:J111)+SUMIF($F174:$F$512,$D173,J174:J$512),0))*'[1]Processer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402">
        <f>IFERROR(VLOOKUP($D174&amp;$F174,Landbrugsproduktivititet!$D$3:$G$31,MATCH(H$2,Landbrugsproduktivititet!$D$2:$G$2,0),FALSE),1)*IF($A174&lt;&gt;"",IF(VLOOKUP($A174,[1]!Table1[#All],2,FALSE)="Direkte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input'!$A$3:$A$230,$A$1)),IF(VLOOKUP($A174,[1]!Table1[#All],2,FALSE)="Resultat",SUMIF($F$1:$F112,$D174,H$1:H112)+SUMIF($F175:$F$512,$D174,H175:H$512),0))*'[1]Processer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403">
        <f>IFERROR(VLOOKUP($D174&amp;$F174,Landbrugsproduktivititet!$D$3:$G$31,MATCH(I$2,Landbrugsproduktivititet!$D$2:$G$2,0),FALSE),1)*IF($A174&lt;&gt;"",IF(VLOOKUP($A174,[1]!Table1[#All],2,FALSE)="Direkte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input'!$A$3:$A$230,$A$1)),IF(VLOOKUP($A174,[1]!Table1[#All],2,FALSE)="Resultat",SUMIF($F$1:$F112,$D174,I$1:I112)+SUMIF($F175:$F$512,$D174,I175:I$512),0))*'[1]Processer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5913.7020872355597</v>
      </c>
      <c r="J174" s="404">
        <f>IFERROR(VLOOKUP($D174&amp;$F174,Landbrugsproduktivititet!$D$3:$G$31,MATCH(J$2,Landbrugsproduktivititet!$D$2:$G$2,0),FALSE),1)*IF($A174&lt;&gt;"",IF(VLOOKUP($A174,[1]!Table1[#All],2,FALSE)="Direkte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input'!$A$3:$A$230,$A$1)),IF(VLOOKUP($A174,[1]!Table1[#All],2,FALSE)="Resultat",SUMIF($F$1:$F112,$D174,J$1:J112)+SUMIF($F175:$F$512,$D174,J175:J$512),0))*'[1]Processer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89581.875806646669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402">
        <f>IFERROR(VLOOKUP($D175&amp;$F175,Landbrugsproduktivititet!$D$3:$G$31,MATCH(H$2,Landbrugsproduktivititet!$D$2:$G$2,0),FALSE),1)*IF($A175&lt;&gt;"",IF(VLOOKUP($A175,[1]!Table1[#All],2,FALSE)="Direkte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input'!$A$3:$A$230,$A$1)),IF(VLOOKUP($A175,[1]!Table1[#All],2,FALSE)="Resultat",SUMIF($F$1:$F113,$D175,H$1:H113)+SUMIF($F176:$F$512,$D175,H176:H$512),0))*'[1]Processer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403">
        <f>IFERROR(VLOOKUP($D175&amp;$F175,Landbrugsproduktivititet!$D$3:$G$31,MATCH(I$2,Landbrugsproduktivititet!$D$2:$G$2,0),FALSE),1)*IF($A175&lt;&gt;"",IF(VLOOKUP($A175,[1]!Table1[#All],2,FALSE)="Direkte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input'!$A$3:$A$230,$A$1)),IF(VLOOKUP($A175,[1]!Table1[#All],2,FALSE)="Resultat",SUMIF($F$1:$F113,$D175,I$1:I113)+SUMIF($F176:$F$512,$D175,I176:I$512),0))*'[1]Processer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-53452.807068174341</v>
      </c>
      <c r="J175" s="404">
        <f>IFERROR(VLOOKUP($D175&amp;$F175,Landbrugsproduktivititet!$D$3:$G$31,MATCH(J$2,Landbrugsproduktivititet!$D$2:$G$2,0),FALSE),1)*IF($A175&lt;&gt;"",IF(VLOOKUP($A175,[1]!Table1[#All],2,FALSE)="Direkte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input'!$A$3:$A$230,$A$1)),IF(VLOOKUP($A175,[1]!Table1[#All],2,FALSE)="Resultat",SUMIF($F$1:$F113,$D175,J$1:J113)+SUMIF($F176:$F$512,$D175,J176:J$512),0))*'[1]Processer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-712021.6819431606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402">
        <f>IFERROR(VLOOKUP($D176&amp;$F176,Landbrugsproduktivititet!$D$3:$G$31,MATCH(H$2,Landbrugsproduktivititet!$D$2:$G$2,0),FALSE),1)*IF($A176&lt;&gt;"",IF(VLOOKUP($A176,[1]!Table1[#All],2,FALSE)="Direkte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input'!$A$3:$A$230,$A$1)),IF(VLOOKUP($A176,[1]!Table1[#All],2,FALSE)="Resultat",SUMIF($F$1:$F114,$D176,H$1:H114)+SUMIF($F177:$F$512,$D176,H177:H$512),0))*'[1]Processer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403">
        <f>IFERROR(VLOOKUP($D176&amp;$F176,Landbrugsproduktivititet!$D$3:$G$31,MATCH(I$2,Landbrugsproduktivititet!$D$2:$G$2,0),FALSE),1)*IF($A176&lt;&gt;"",IF(VLOOKUP($A176,[1]!Table1[#All],2,FALSE)="Direkte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input'!$A$3:$A$230,$A$1)),IF(VLOOKUP($A176,[1]!Table1[#All],2,FALSE)="Resultat",SUMIF($F$1:$F114,$D176,I$1:I114)+SUMIF($F177:$F$512,$D176,I177:I$512),0))*'[1]Processer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986.90346328921487</v>
      </c>
      <c r="J176" s="404">
        <f>IFERROR(VLOOKUP($D176&amp;$F176,Landbrugsproduktivititet!$D$3:$G$31,MATCH(J$2,Landbrugsproduktivititet!$D$2:$G$2,0),FALSE),1)*IF($A176&lt;&gt;"",IF(VLOOKUP($A176,[1]!Table1[#All],2,FALSE)="Direkte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input'!$A$3:$A$230,$A$1)),IF(VLOOKUP($A176,[1]!Table1[#All],2,FALSE)="Resultat",SUMIF($F$1:$F114,$D176,J$1:J114)+SUMIF($F177:$F$512,$D176,J177:J$512),0))*'[1]Processer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11228.047080322316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402">
        <f>IFERROR(VLOOKUP($D177&amp;$F177,Landbrugsproduktivititet!$D$3:$G$31,MATCH(H$2,Landbrugsproduktivititet!$D$2:$G$2,0),FALSE),1)*IF($A177&lt;&gt;"",IF(VLOOKUP($A177,[1]!Table1[#All],2,FALSE)="Direkte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input'!$A$3:$A$230,$A$1)),IF(VLOOKUP($A177,[1]!Table1[#All],2,FALSE)="Resultat",SUMIF($F$1:$F115,$D177,H$1:H115)+SUMIF($F178:$F$512,$D177,H178:H$512),0))*'[1]Processer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403">
        <f>IFERROR(VLOOKUP($D177&amp;$F177,Landbrugsproduktivititet!$D$3:$G$31,MATCH(I$2,Landbrugsproduktivititet!$D$2:$G$2,0),FALSE),1)*IF($A177&lt;&gt;"",IF(VLOOKUP($A177,[1]!Table1[#All],2,FALSE)="Direkte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input'!$A$3:$A$230,$A$1)),IF(VLOOKUP($A177,[1]!Table1[#All],2,FALSE)="Resultat",SUMIF($F$1:$F115,$D177,I$1:I115)+SUMIF($F178:$F$512,$D177,I178:I$512),0))*'[1]Processer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26.258433509846245</v>
      </c>
      <c r="J177" s="404">
        <f>IFERROR(VLOOKUP($D177&amp;$F177,Landbrugsproduktivititet!$D$3:$G$31,MATCH(J$2,Landbrugsproduktivititet!$D$2:$G$2,0),FALSE),1)*IF($A177&lt;&gt;"",IF(VLOOKUP($A177,[1]!Table1[#All],2,FALSE)="Direkte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input'!$A$3:$A$230,$A$1)),IF(VLOOKUP($A177,[1]!Table1[#All],2,FALSE)="Resultat",SUMIF($F$1:$F115,$D177,J$1:J115)+SUMIF($F178:$F$512,$D177,J178:J$512),0))*'[1]Processer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402">
        <f>IFERROR(VLOOKUP($D178&amp;$F178,Landbrugsproduktivititet!$D$3:$G$31,MATCH(H$2,Landbrugsproduktivititet!$D$2:$G$2,0),FALSE),1)*IF($A178&lt;&gt;"",IF(VLOOKUP($A178,[1]!Table1[#All],2,FALSE)="Direkte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input'!$A$3:$A$230,$A$1)),IF(VLOOKUP($A178,[1]!Table1[#All],2,FALSE)="Resultat",SUMIF($F$1:$F116,$D178,H$1:H116)+SUMIF($F179:$F$512,$D178,H179:H$512),0))*'[1]Processer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403">
        <f>IFERROR(VLOOKUP($D178&amp;$F178,Landbrugsproduktivititet!$D$3:$G$31,MATCH(I$2,Landbrugsproduktivititet!$D$2:$G$2,0),FALSE),1)*IF($A178&lt;&gt;"",IF(VLOOKUP($A178,[1]!Table1[#All],2,FALSE)="Direkte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input'!$A$3:$A$230,$A$1)),IF(VLOOKUP($A178,[1]!Table1[#All],2,FALSE)="Resultat",SUMIF($F$1:$F116,$D178,I$1:I116)+SUMIF($F179:$F$512,$D178,I179:I$512),0))*'[1]Processer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-192.84272435145058</v>
      </c>
      <c r="J178" s="404">
        <f>IFERROR(VLOOKUP($D178&amp;$F178,Landbrugsproduktivititet!$D$3:$G$31,MATCH(J$2,Landbrugsproduktivititet!$D$2:$G$2,0),FALSE),1)*IF($A178&lt;&gt;"",IF(VLOOKUP($A178,[1]!Table1[#All],2,FALSE)="Direkte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input'!$A$3:$A$230,$A$1)),IF(VLOOKUP($A178,[1]!Table1[#All],2,FALSE)="Resultat",SUMIF($F$1:$F116,$D178,J$1:J116)+SUMIF($F179:$F$512,$D178,J179:J$512),0))*'[1]Processer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402">
        <f>IFERROR(VLOOKUP($D179&amp;$F179,Landbrugsproduktivititet!$D$3:$G$31,MATCH(H$2,Landbrugsproduktivititet!$D$2:$G$2,0),FALSE),1)*IF($A179&lt;&gt;"",IF(VLOOKUP($A179,[1]!Table1[#All],2,FALSE)="Direkte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input'!$A$3:$A$230,$A$1)),IF(VLOOKUP($A179,[1]!Table1[#All],2,FALSE)="Resultat",SUMIF($F$1:$F117,$D179,H$1:H117)+SUMIF($F180:$F$512,$D179,H180:H$512),0))*'[1]Processer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403">
        <f>IFERROR(VLOOKUP($D179&amp;$F179,Landbrugsproduktivititet!$D$3:$G$31,MATCH(I$2,Landbrugsproduktivititet!$D$2:$G$2,0),FALSE),1)*IF($A179&lt;&gt;"",IF(VLOOKUP($A179,[1]!Table1[#All],2,FALSE)="Direkte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input'!$A$3:$A$230,$A$1)),IF(VLOOKUP($A179,[1]!Table1[#All],2,FALSE)="Resultat",SUMIF($F$1:$F117,$D179,I$1:I117)+SUMIF($F180:$F$512,$D179,I180:I$512),0))*'[1]Processer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25.684149761212339</v>
      </c>
      <c r="J179" s="404">
        <f>IFERROR(VLOOKUP($D179&amp;$F179,Landbrugsproduktivititet!$D$3:$G$31,MATCH(J$2,Landbrugsproduktivititet!$D$2:$G$2,0),FALSE),1)*IF($A179&lt;&gt;"",IF(VLOOKUP($A179,[1]!Table1[#All],2,FALSE)="Direkte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input'!$A$3:$A$230,$A$1)),IF(VLOOKUP($A179,[1]!Table1[#All],2,FALSE)="Resultat",SUMIF($F$1:$F117,$D179,J$1:J117)+SUMIF($F180:$F$512,$D179,J180:J$512),0))*'[1]Processer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402">
        <f>IFERROR(VLOOKUP($D180&amp;$F180,Landbrugsproduktivititet!$D$3:$G$31,MATCH(H$2,Landbrugsproduktivititet!$D$2:$G$2,0),FALSE),1)*IF($A180&lt;&gt;"",IF(VLOOKUP($A180,[1]!Table1[#All],2,FALSE)="Direkte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input'!$A$3:$A$230,$A$1)),IF(VLOOKUP($A180,[1]!Table1[#All],2,FALSE)="Resultat",SUMIF($F$1:$F118,$D180,H$1:H118)+SUMIF($F181:$F$512,$D180,H181:H$512),0))*'[1]Processer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403">
        <f>IFERROR(VLOOKUP($D180&amp;$F180,Landbrugsproduktivititet!$D$3:$G$31,MATCH(I$2,Landbrugsproduktivititet!$D$2:$G$2,0),FALSE),1)*IF($A180&lt;&gt;"",IF(VLOOKUP($A180,[1]!Table1[#All],2,FALSE)="Direkte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input'!$A$3:$A$230,$A$1)),IF(VLOOKUP($A180,[1]!Table1[#All],2,FALSE)="Resultat",SUMIF($F$1:$F118,$D180,I$1:I118)+SUMIF($F181:$F$512,$D180,I181:I$512),0))*'[1]Processer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8.5194256815119882</v>
      </c>
      <c r="J180" s="404">
        <f>IFERROR(VLOOKUP($D180&amp;$F180,Landbrugsproduktivititet!$D$3:$G$31,MATCH(J$2,Landbrugsproduktivititet!$D$2:$G$2,0),FALSE),1)*IF($A180&lt;&gt;"",IF(VLOOKUP($A180,[1]!Table1[#All],2,FALSE)="Direkte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input'!$A$3:$A$230,$A$1)),IF(VLOOKUP($A180,[1]!Table1[#All],2,FALSE)="Resultat",SUMIF($F$1:$F118,$D180,J$1:J118)+SUMIF($F181:$F$512,$D180,J181:J$512),0))*'[1]Processer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402">
        <f>IFERROR(VLOOKUP($D181&amp;$F181,Landbrugsproduktivititet!$D$3:$G$31,MATCH(H$2,Landbrugsproduktivititet!$D$2:$G$2,0),FALSE),1)*IF($A181&lt;&gt;"",IF(VLOOKUP($A181,[1]!Table1[#All],2,FALSE)="Direkte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input'!$A$3:$A$230,$A$1)),IF(VLOOKUP($A181,[1]!Table1[#All],2,FALSE)="Resultat",SUMIF($F$1:$F119,$D181,H$1:H119)+SUMIF($F182:$F$512,$D181,H182:H$512),0))*'[1]Processer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403">
        <f>IFERROR(VLOOKUP($D181&amp;$F181,Landbrugsproduktivititet!$D$3:$G$31,MATCH(I$2,Landbrugsproduktivititet!$D$2:$G$2,0),FALSE),1)*IF($A181&lt;&gt;"",IF(VLOOKUP($A181,[1]!Table1[#All],2,FALSE)="Direkte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input'!$A$3:$A$230,$A$1)),IF(VLOOKUP($A181,[1]!Table1[#All],2,FALSE)="Resultat",SUMIF($F$1:$F119,$D181,I$1:I119)+SUMIF($F182:$F$512,$D181,I182:I$512),0))*'[1]Processer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-52.253689825462324</v>
      </c>
      <c r="J181" s="404">
        <f>IFERROR(VLOOKUP($D181&amp;$F181,Landbrugsproduktivititet!$D$3:$G$31,MATCH(J$2,Landbrugsproduktivititet!$D$2:$G$2,0),FALSE),1)*IF($A181&lt;&gt;"",IF(VLOOKUP($A181,[1]!Table1[#All],2,FALSE)="Direkte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input'!$A$3:$A$230,$A$1)),IF(VLOOKUP($A181,[1]!Table1[#All],2,FALSE)="Resultat",SUMIF($F$1:$F119,$D181,J$1:J119)+SUMIF($F182:$F$512,$D181,J182:J$512),0))*'[1]Processer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402">
        <f>IFERROR(VLOOKUP($D182&amp;$F182,Landbrugsproduktivititet!$D$3:$G$31,MATCH(H$2,Landbrugsproduktivititet!$D$2:$G$2,0),FALSE),1)*IF($A182&lt;&gt;"",IF(VLOOKUP($A182,[1]!Table1[#All],2,FALSE)="Direkte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input'!$A$3:$A$230,$A$1)),IF(VLOOKUP($A182,[1]!Table1[#All],2,FALSE)="Resultat",SUMIF($F$1:$F120,$D182,H$1:H120)+SUMIF($F183:$F$512,$D182,H183:H$512),0))*'[1]Processer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403">
        <f>IFERROR(VLOOKUP($D182&amp;$F182,Landbrugsproduktivititet!$D$3:$G$31,MATCH(I$2,Landbrugsproduktivititet!$D$2:$G$2,0),FALSE),1)*IF($A182&lt;&gt;"",IF(VLOOKUP($A182,[1]!Table1[#All],2,FALSE)="Direkte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input'!$A$3:$A$230,$A$1)),IF(VLOOKUP($A182,[1]!Table1[#All],2,FALSE)="Resultat",SUMIF($F$1:$F120,$D182,I$1:I120)+SUMIF($F183:$F$512,$D182,I183:I$512),0))*'[1]Processer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18.290993821491039</v>
      </c>
      <c r="J182" s="404">
        <f>IFERROR(VLOOKUP($D182&amp;$F182,Landbrugsproduktivititet!$D$3:$G$31,MATCH(J$2,Landbrugsproduktivititet!$D$2:$G$2,0),FALSE),1)*IF($A182&lt;&gt;"",IF(VLOOKUP($A182,[1]!Table1[#All],2,FALSE)="Direkte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input'!$A$3:$A$230,$A$1)),IF(VLOOKUP($A182,[1]!Table1[#All],2,FALSE)="Resultat",SUMIF($F$1:$F120,$D182,J$1:J120)+SUMIF($F183:$F$512,$D182,J183:J$512),0))*'[1]Processer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402">
        <f>IFERROR(VLOOKUP($D183&amp;$F183,Landbrugsproduktivititet!$D$3:$G$31,MATCH(H$2,Landbrugsproduktivititet!$D$2:$G$2,0),FALSE),1)*IF($A183&lt;&gt;"",IF(VLOOKUP($A183,[1]!Table1[#All],2,FALSE)="Direkte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input'!$A$3:$A$230,$A$1)),IF(VLOOKUP($A183,[1]!Table1[#All],2,FALSE)="Resultat",SUMIF($F$1:$F121,$D183,H$1:H121)+SUMIF($F184:$F$512,$D183,H184:H$512),0))*'[1]Processer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403">
        <f>IFERROR(VLOOKUP($D183&amp;$F183,Landbrugsproduktivititet!$D$3:$G$31,MATCH(I$2,Landbrugsproduktivititet!$D$2:$G$2,0),FALSE),1)*IF($A183&lt;&gt;"",IF(VLOOKUP($A183,[1]!Table1[#All],2,FALSE)="Direkte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input'!$A$3:$A$230,$A$1)),IF(VLOOKUP($A183,[1]!Table1[#All],2,FALSE)="Resultat",SUMIF($F$1:$F121,$D183,I$1:I121)+SUMIF($F184:$F$512,$D183,I184:I$512),0))*'[1]Processer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9775.3875096937354</v>
      </c>
      <c r="J183" s="404">
        <f>IFERROR(VLOOKUP($D183&amp;$F183,Landbrugsproduktivititet!$D$3:$G$31,MATCH(J$2,Landbrugsproduktivititet!$D$2:$G$2,0),FALSE),1)*IF($A183&lt;&gt;"",IF(VLOOKUP($A183,[1]!Table1[#All],2,FALSE)="Direkte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input'!$A$3:$A$230,$A$1)),IF(VLOOKUP($A183,[1]!Table1[#All],2,FALSE)="Resultat",SUMIF($F$1:$F121,$D183,J$1:J121)+SUMIF($F184:$F$512,$D183,J184:J$512),0))*'[1]Processer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0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402">
        <f>IFERROR(VLOOKUP($D184&amp;$F184,Landbrugsproduktivititet!$D$3:$G$31,MATCH(H$2,Landbrugsproduktivititet!$D$2:$G$2,0),FALSE),1)*IF($A184&lt;&gt;"",IF(VLOOKUP($A184,[1]!Table1[#All],2,FALSE)="Direkte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input'!$A$3:$A$230,$A$1)),IF(VLOOKUP($A184,[1]!Table1[#All],2,FALSE)="Resultat",SUMIF($F$1:$F122,$D184,H$1:H122)+SUMIF($F185:$F$512,$D184,H185:H$512),0))*'[1]Processer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403">
        <f>IFERROR(VLOOKUP($D184&amp;$F184,Landbrugsproduktivititet!$D$3:$G$31,MATCH(I$2,Landbrugsproduktivititet!$D$2:$G$2,0),FALSE),1)*IF($A184&lt;&gt;"",IF(VLOOKUP($A184,[1]!Table1[#All],2,FALSE)="Direkte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input'!$A$3:$A$230,$A$1)),IF(VLOOKUP($A184,[1]!Table1[#All],2,FALSE)="Resultat",SUMIF($F$1:$F122,$D184,I$1:I122)+SUMIF($F185:$F$512,$D184,I185:I$512),0))*'[1]Processer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-7737384.150145784</v>
      </c>
      <c r="J184" s="404">
        <f>IFERROR(VLOOKUP($D184&amp;$F184,Landbrugsproduktivititet!$D$3:$G$31,MATCH(J$2,Landbrugsproduktivititet!$D$2:$G$2,0),FALSE),1)*IF($A184&lt;&gt;"",IF(VLOOKUP($A184,[1]!Table1[#All],2,FALSE)="Direkte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input'!$A$3:$A$230,$A$1)),IF(VLOOKUP($A184,[1]!Table1[#All],2,FALSE)="Resultat",SUMIF($F$1:$F122,$D184,J$1:J122)+SUMIF($F185:$F$512,$D184,J185:J$512),0))*'[1]Processer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0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402">
        <f>IFERROR(VLOOKUP($D185&amp;$F185,Landbrugsproduktivititet!$D$3:$G$31,MATCH(H$2,Landbrugsproduktivititet!$D$2:$G$2,0),FALSE),1)*IF($A185&lt;&gt;"",IF(VLOOKUP($A185,[1]!Table1[#All],2,FALSE)="Direkte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input'!$A$3:$A$230,$A$1)),IF(VLOOKUP($A185,[1]!Table1[#All],2,FALSE)="Resultat",SUMIF($F$1:$F123,$D185,H$1:H123)+SUMIF($F186:$F$512,$D185,H186:H$512),0))*'[1]Processer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403">
        <f>IFERROR(VLOOKUP($D185&amp;$F185,Landbrugsproduktivititet!$D$3:$G$31,MATCH(I$2,Landbrugsproduktivititet!$D$2:$G$2,0),FALSE),1)*IF($A185&lt;&gt;"",IF(VLOOKUP($A185,[1]!Table1[#All],2,FALSE)="Direkte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input'!$A$3:$A$230,$A$1)),IF(VLOOKUP($A185,[1]!Table1[#All],2,FALSE)="Resultat",SUMIF($F$1:$F123,$D185,I$1:I123)+SUMIF($F186:$F$512,$D185,I186:I$512),0))*'[1]Processer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1551.0073922851823</v>
      </c>
      <c r="J185" s="404">
        <f>IFERROR(VLOOKUP($D185&amp;$F185,Landbrugsproduktivititet!$D$3:$G$31,MATCH(J$2,Landbrugsproduktivititet!$D$2:$G$2,0),FALSE),1)*IF($A185&lt;&gt;"",IF(VLOOKUP($A185,[1]!Table1[#All],2,FALSE)="Direkte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input'!$A$3:$A$230,$A$1)),IF(VLOOKUP($A185,[1]!Table1[#All],2,FALSE)="Resultat",SUMIF($F$1:$F123,$D185,J$1:J123)+SUMIF($F186:$F$512,$D185,J186:J$512),0))*'[1]Processer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0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402">
        <f>IFERROR(VLOOKUP($D186&amp;$F186,Landbrugsproduktivititet!$D$3:$G$31,MATCH(H$2,Landbrugsproduktivititet!$D$2:$G$2,0),FALSE),1)*IF($A186&lt;&gt;"",IF(VLOOKUP($A186,[1]!Table1[#All],2,FALSE)="Direkte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input'!$A$3:$A$230,$A$1)),IF(VLOOKUP($A186,[1]!Table1[#All],2,FALSE)="Resultat",SUMIF($F$1:$F124,$D186,H$1:H124)+SUMIF($F187:$F$512,$D186,H187:H$512),0))*'[1]Processer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403">
        <f>IFERROR(VLOOKUP($D186&amp;$F186,Landbrugsproduktivititet!$D$3:$G$31,MATCH(I$2,Landbrugsproduktivititet!$D$2:$G$2,0),FALSE),1)*IF($A186&lt;&gt;"",IF(VLOOKUP($A186,[1]!Table1[#All],2,FALSE)="Direkte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input'!$A$3:$A$230,$A$1)),IF(VLOOKUP($A186,[1]!Table1[#All],2,FALSE)="Resultat",SUMIF($F$1:$F124,$D186,I$1:I124)+SUMIF($F187:$F$512,$D186,I187:I$512),0))*'[1]Processer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712.44063432915095</v>
      </c>
      <c r="J186" s="404">
        <f>IFERROR(VLOOKUP($D186&amp;$F186,Landbrugsproduktivititet!$D$3:$G$31,MATCH(J$2,Landbrugsproduktivititet!$D$2:$G$2,0),FALSE),1)*IF($A186&lt;&gt;"",IF(VLOOKUP($A186,[1]!Table1[#All],2,FALSE)="Direkte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input'!$A$3:$A$230,$A$1)),IF(VLOOKUP($A186,[1]!Table1[#All],2,FALSE)="Resultat",SUMIF($F$1:$F124,$D186,J$1:J124)+SUMIF($F187:$F$512,$D186,J187:J$512),0))*'[1]Processer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10794.792226259809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402">
        <f>IFERROR(VLOOKUP($D187&amp;$F187,Landbrugsproduktivititet!$D$3:$G$31,MATCH(H$2,Landbrugsproduktivititet!$D$2:$G$2,0),FALSE),1)*IF($A187&lt;&gt;"",IF(VLOOKUP($A187,[1]!Table1[#All],2,FALSE)="Direkte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input'!$A$3:$A$230,$A$1)),IF(VLOOKUP($A187,[1]!Table1[#All],2,FALSE)="Resultat",SUMIF($F$1:$F125,$D187,H$1:H125)+SUMIF($F188:$F$512,$D187,H188:H$512),0))*'[1]Processer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403">
        <f>IFERROR(VLOOKUP($D187&amp;$F187,Landbrugsproduktivititet!$D$3:$G$31,MATCH(I$2,Landbrugsproduktivititet!$D$2:$G$2,0),FALSE),1)*IF($A187&lt;&gt;"",IF(VLOOKUP($A187,[1]!Table1[#All],2,FALSE)="Direkte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input'!$A$3:$A$230,$A$1)),IF(VLOOKUP($A187,[1]!Table1[#All],2,FALSE)="Resultat",SUMIF($F$1:$F125,$D187,I$1:I125)+SUMIF($F188:$F$512,$D187,I188:I$512),0))*'[1]Processer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-563908.78279881994</v>
      </c>
      <c r="J187" s="404">
        <f>IFERROR(VLOOKUP($D187&amp;$F187,Landbrugsproduktivititet!$D$3:$G$31,MATCH(J$2,Landbrugsproduktivititet!$D$2:$G$2,0),FALSE),1)*IF($A187&lt;&gt;"",IF(VLOOKUP($A187,[1]!Table1[#All],2,FALSE)="Direkte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input'!$A$3:$A$230,$A$1)),IF(VLOOKUP($A187,[1]!Table1[#All],2,FALSE)="Resultat",SUMIF($F$1:$F125,$D187,J$1:J125)+SUMIF($F188:$F$512,$D187,J188:J$512),0))*'[1]Processer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-7476227.6604031874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402">
        <f>IFERROR(VLOOKUP($D188&amp;$F188,Landbrugsproduktivititet!$D$3:$G$31,MATCH(H$2,Landbrugsproduktivititet!$D$2:$G$2,0),FALSE),1)*IF($A188&lt;&gt;"",IF(VLOOKUP($A188,[1]!Table1[#All],2,FALSE)="Direkte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input'!$A$3:$A$230,$A$1)),IF(VLOOKUP($A188,[1]!Table1[#All],2,FALSE)="Resultat",SUMIF($F$1:$F126,$D188,H$1:H126)+SUMIF($F189:$F$512,$D188,H189:H$512),0))*'[1]Processer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403">
        <f>IFERROR(VLOOKUP($D188&amp;$F188,Landbrugsproduktivititet!$D$3:$G$31,MATCH(I$2,Landbrugsproduktivititet!$D$2:$G$2,0),FALSE),1)*IF($A188&lt;&gt;"",IF(VLOOKUP($A188,[1]!Table1[#All],2,FALSE)="Direkte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input'!$A$3:$A$230,$A$1)),IF(VLOOKUP($A188,[1]!Table1[#All],2,FALSE)="Resultat",SUMIF($F$1:$F126,$D188,I$1:I126)+SUMIF($F189:$F$512,$D188,I189:I$512),0))*'[1]Processer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198.31415384293211</v>
      </c>
      <c r="J188" s="404">
        <f>IFERROR(VLOOKUP($D188&amp;$F188,Landbrugsproduktivititet!$D$3:$G$31,MATCH(J$2,Landbrugsproduktivititet!$D$2:$G$2,0),FALSE),1)*IF($A188&lt;&gt;"",IF(VLOOKUP($A188,[1]!Table1[#All],2,FALSE)="Direkte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input'!$A$3:$A$230,$A$1)),IF(VLOOKUP($A188,[1]!Table1[#All],2,FALSE)="Resultat",SUMIF($F$1:$F126,$D188,J$1:J126)+SUMIF($F189:$F$512,$D188,J189:J$512),0))*'[1]Processer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2245.6094160644634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402">
        <f>IFERROR(VLOOKUP($D189&amp;$F189,Landbrugsproduktivititet!$D$3:$G$31,MATCH(H$2,Landbrugsproduktivititet!$D$2:$G$2,0),FALSE),1)*IF($A189&lt;&gt;"",IF(VLOOKUP($A189,[1]!Table1[#All],2,FALSE)="Direkte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input'!$A$3:$A$230,$A$1)),IF(VLOOKUP($A189,[1]!Table1[#All],2,FALSE)="Resultat",SUMIF($F$1:$F127,$D189,H$1:H127)+SUMIF($F190:$F$512,$D189,H190:H$512),0))*'[1]Processer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403">
        <f>IFERROR(VLOOKUP($D189&amp;$F189,Landbrugsproduktivititet!$D$3:$G$31,MATCH(I$2,Landbrugsproduktivititet!$D$2:$G$2,0),FALSE),1)*IF($A189&lt;&gt;"",IF(VLOOKUP($A189,[1]!Table1[#All],2,FALSE)="Direkte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input'!$A$3:$A$230,$A$1)),IF(VLOOKUP($A189,[1]!Table1[#All],2,FALSE)="Resultat",SUMIF($F$1:$F127,$D189,I$1:I127)+SUMIF($F190:$F$512,$D189,I190:I$512),0))*'[1]Processer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703473.45442558464</v>
      </c>
      <c r="J189" s="404">
        <f>IFERROR(VLOOKUP($D189&amp;$F189,Landbrugsproduktivititet!$D$3:$G$31,MATCH(J$2,Landbrugsproduktivititet!$D$2:$G$2,0),FALSE),1)*IF($A189&lt;&gt;"",IF(VLOOKUP($A189,[1]!Table1[#All],2,FALSE)="Direkte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input'!$A$3:$A$230,$A$1)),IF(VLOOKUP($A189,[1]!Table1[#All],2,FALSE)="Resultat",SUMIF($F$1:$F127,$D189,J$1:J127)+SUMIF($F190:$F$512,$D189,J190:J$512),0))*'[1]Processer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0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402">
        <f>IFERROR(VLOOKUP($D190&amp;$F190,Landbrugsproduktivititet!$D$3:$G$31,MATCH(H$2,Landbrugsproduktivititet!$D$2:$G$2,0),FALSE),1)*IF($A190&lt;&gt;"",IF(VLOOKUP($A190,[1]!Table1[#All],2,FALSE)="Direkte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input'!$A$3:$A$230,$A$1)),IF(VLOOKUP($A190,[1]!Table1[#All],2,FALSE)="Resultat",SUMIF($F$1:$F128,$D190,H$1:H128)+SUMIF($F191:$F$512,$D190,H191:H$512),0))*'[1]Processer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403">
        <f>IFERROR(VLOOKUP($D190&amp;$F190,Landbrugsproduktivititet!$D$3:$G$31,MATCH(I$2,Landbrugsproduktivititet!$D$2:$G$2,0),FALSE),1)*IF($A190&lt;&gt;"",IF(VLOOKUP($A190,[1]!Table1[#All],2,FALSE)="Direkte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input'!$A$3:$A$230,$A$1)),IF(VLOOKUP($A190,[1]!Table1[#All],2,FALSE)="Resultat",SUMIF($F$1:$F128,$D190,I$1:I128)+SUMIF($F191:$F$512,$D190,I191:I$512),0))*'[1]Processer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-2313640.8452248592</v>
      </c>
      <c r="J190" s="404">
        <f>IFERROR(VLOOKUP($D190&amp;$F190,Landbrugsproduktivititet!$D$3:$G$31,MATCH(J$2,Landbrugsproduktivititet!$D$2:$G$2,0),FALSE),1)*IF($A190&lt;&gt;"",IF(VLOOKUP($A190,[1]!Table1[#All],2,FALSE)="Direkte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input'!$A$3:$A$230,$A$1)),IF(VLOOKUP($A190,[1]!Table1[#All],2,FALSE)="Resultat",SUMIF($F$1:$F128,$D190,J$1:J128)+SUMIF($F191:$F$512,$D190,J191:J$512),0))*'[1]Processer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0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402">
        <f>IFERROR(VLOOKUP($D191&amp;$F191,Landbrugsproduktivititet!$D$3:$G$31,MATCH(H$2,Landbrugsproduktivititet!$D$2:$G$2,0),FALSE),1)*IF($A191&lt;&gt;"",IF(VLOOKUP($A191,[1]!Table1[#All],2,FALSE)="Direkte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input'!$A$3:$A$230,$A$1)),IF(VLOOKUP($A191,[1]!Table1[#All],2,FALSE)="Resultat",SUMIF($F$1:$F129,$D191,H$1:H129)+SUMIF($F192:$F$512,$D191,H192:H$512),0))*'[1]Processer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403">
        <f>IFERROR(VLOOKUP($D191&amp;$F191,Landbrugsproduktivititet!$D$3:$G$31,MATCH(I$2,Landbrugsproduktivititet!$D$2:$G$2,0),FALSE),1)*IF($A191&lt;&gt;"",IF(VLOOKUP($A191,[1]!Table1[#All],2,FALSE)="Direkte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input'!$A$3:$A$230,$A$1)),IF(VLOOKUP($A191,[1]!Table1[#All],2,FALSE)="Resultat",SUMIF($F$1:$F129,$D191,I$1:I129)+SUMIF($F192:$F$512,$D191,I192:I$512),0))*'[1]Processer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32464.871707040125</v>
      </c>
      <c r="J191" s="404">
        <f>IFERROR(VLOOKUP($D191&amp;$F191,Landbrugsproduktivititet!$D$3:$G$31,MATCH(J$2,Landbrugsproduktivititet!$D$2:$G$2,0),FALSE),1)*IF($A191&lt;&gt;"",IF(VLOOKUP($A191,[1]!Table1[#All],2,FALSE)="Direkte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input'!$A$3:$A$230,$A$1)),IF(VLOOKUP($A191,[1]!Table1[#All],2,FALSE)="Resultat",SUMIF($F$1:$F129,$D191,J$1:J129)+SUMIF($F192:$F$512,$D191,J192:J$512),0))*'[1]Processer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0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402">
        <f>IFERROR(VLOOKUP($D192&amp;$F192,Landbrugsproduktivititet!$D$3:$G$31,MATCH(H$2,Landbrugsproduktivititet!$D$2:$G$2,0),FALSE),1)*IF($A192&lt;&gt;"",IF(VLOOKUP($A192,[1]!Table1[#All],2,FALSE)="Direkte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input'!$A$3:$A$230,$A$1)),IF(VLOOKUP($A192,[1]!Table1[#All],2,FALSE)="Resultat",SUMIF($F$1:$F130,$D192,H$1:H130)+SUMIF($F193:$F$512,$D192,H193:H$512),0))*'[1]Processer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403">
        <f>IFERROR(VLOOKUP($D192&amp;$F192,Landbrugsproduktivititet!$D$3:$G$31,MATCH(I$2,Landbrugsproduktivititet!$D$2:$G$2,0),FALSE),1)*IF($A192&lt;&gt;"",IF(VLOOKUP($A192,[1]!Table1[#All],2,FALSE)="Direkte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input'!$A$3:$A$230,$A$1)),IF(VLOOKUP($A192,[1]!Table1[#All],2,FALSE)="Resultat",SUMIF($F$1:$F130,$D192,I$1:I130)+SUMIF($F193:$F$512,$D192,I193:I$512),0))*'[1]Processer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1262.5556384416936</v>
      </c>
      <c r="J192" s="404">
        <f>IFERROR(VLOOKUP($D192&amp;$F192,Landbrugsproduktivititet!$D$3:$G$31,MATCH(J$2,Landbrugsproduktivititet!$D$2:$G$2,0),FALSE),1)*IF($A192&lt;&gt;"",IF(VLOOKUP($A192,[1]!Table1[#All],2,FALSE)="Direkte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input'!$A$3:$A$230,$A$1)),IF(VLOOKUP($A192,[1]!Table1[#All],2,FALSE)="Resultat",SUMIF($F$1:$F130,$D192,J$1:J130)+SUMIF($F193:$F$512,$D192,J193:J$512),0))*'[1]Processer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402">
        <f>IFERROR(VLOOKUP($D193&amp;$F193,Landbrugsproduktivititet!$D$3:$G$31,MATCH(H$2,Landbrugsproduktivititet!$D$2:$G$2,0),FALSE),1)*IF($A193&lt;&gt;"",IF(VLOOKUP($A193,[1]!Table1[#All],2,FALSE)="Direkte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input'!$A$3:$A$230,$A$1)),IF(VLOOKUP($A193,[1]!Table1[#All],2,FALSE)="Resultat",SUMIF($F$1:$F131,$D193,H$1:H131)+SUMIF($F194:$F$512,$D193,H194:H$512),0))*'[1]Processer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403">
        <f>IFERROR(VLOOKUP($D193&amp;$F193,Landbrugsproduktivititet!$D$3:$G$31,MATCH(I$2,Landbrugsproduktivititet!$D$2:$G$2,0),FALSE),1)*IF($A193&lt;&gt;"",IF(VLOOKUP($A193,[1]!Table1[#All],2,FALSE)="Direkte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input'!$A$3:$A$230,$A$1)),IF(VLOOKUP($A193,[1]!Table1[#All],2,FALSE)="Resultat",SUMIF($F$1:$F131,$D193,I$1:I131)+SUMIF($F194:$F$512,$D193,I194:I$512),0))*'[1]Processer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-2768.263939542539</v>
      </c>
      <c r="J193" s="404">
        <f>IFERROR(VLOOKUP($D193&amp;$F193,Landbrugsproduktivititet!$D$3:$G$31,MATCH(J$2,Landbrugsproduktivititet!$D$2:$G$2,0),FALSE),1)*IF($A193&lt;&gt;"",IF(VLOOKUP($A193,[1]!Table1[#All],2,FALSE)="Direkte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input'!$A$3:$A$230,$A$1)),IF(VLOOKUP($A193,[1]!Table1[#All],2,FALSE)="Resultat",SUMIF($F$1:$F131,$D193,J$1:J131)+SUMIF($F194:$F$512,$D193,J194:J$512),0))*'[1]Processer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402">
        <f>IFERROR(VLOOKUP($D194&amp;$F194,Landbrugsproduktivititet!$D$3:$G$31,MATCH(H$2,Landbrugsproduktivititet!$D$2:$G$2,0),FALSE),1)*IF($A194&lt;&gt;"",IF(VLOOKUP($A194,[1]!Table1[#All],2,FALSE)="Direkte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input'!$A$3:$A$230,$A$1)),IF(VLOOKUP($A194,[1]!Table1[#All],2,FALSE)="Resultat",SUMIF($F$1:$F132,$D194,H$1:H132)+SUMIF($F195:$F$512,$D194,H195:H$512),0))*'[1]Processer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403">
        <f>IFERROR(VLOOKUP($D194&amp;$F194,Landbrugsproduktivititet!$D$3:$G$31,MATCH(I$2,Landbrugsproduktivititet!$D$2:$G$2,0),FALSE),1)*IF($A194&lt;&gt;"",IF(VLOOKUP($A194,[1]!Table1[#All],2,FALSE)="Direkte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input'!$A$3:$A$230,$A$1)),IF(VLOOKUP($A194,[1]!Table1[#All],2,FALSE)="Resultat",SUMIF($F$1:$F132,$D194,I$1:I132)+SUMIF($F195:$F$512,$D194,I195:I$512),0))*'[1]Processer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341.50546013662972</v>
      </c>
      <c r="J194" s="404">
        <f>IFERROR(VLOOKUP($D194&amp;$F194,Landbrugsproduktivititet!$D$3:$G$31,MATCH(J$2,Landbrugsproduktivititet!$D$2:$G$2,0),FALSE),1)*IF($A194&lt;&gt;"",IF(VLOOKUP($A194,[1]!Table1[#All],2,FALSE)="Direkte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input'!$A$3:$A$230,$A$1)),IF(VLOOKUP($A194,[1]!Table1[#All],2,FALSE)="Resultat",SUMIF($F$1:$F132,$D194,J$1:J132)+SUMIF($F195:$F$512,$D194,J195:J$512),0))*'[1]Processer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402">
        <f>IFERROR(VLOOKUP($D195&amp;$F195,Landbrugsproduktivititet!$D$3:$G$31,MATCH(H$2,Landbrugsproduktivititet!$D$2:$G$2,0),FALSE),1)*IF($A195&lt;&gt;"",IF(VLOOKUP($A195,[1]!Table1[#All],2,FALSE)="Direkte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input'!$A$3:$A$230,$A$1)),IF(VLOOKUP($A195,[1]!Table1[#All],2,FALSE)="Resultat",SUMIF($F$1:$F133,$D195,H$1:H133)+SUMIF($F196:$F$512,$D195,H196:H$512),0))*'[1]Processer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403">
        <f>IFERROR(VLOOKUP($D195&amp;$F195,Landbrugsproduktivititet!$D$3:$G$31,MATCH(I$2,Landbrugsproduktivititet!$D$2:$G$2,0),FALSE),1)*IF($A195&lt;&gt;"",IF(VLOOKUP($A195,[1]!Table1[#All],2,FALSE)="Direkte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input'!$A$3:$A$230,$A$1)),IF(VLOOKUP($A195,[1]!Table1[#All],2,FALSE)="Resultat",SUMIF($F$1:$F133,$D195,I$1:I133)+SUMIF($F196:$F$512,$D195,I196:I$512),0))*'[1]Processer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1373.3634820161221</v>
      </c>
      <c r="J195" s="404">
        <f>IFERROR(VLOOKUP($D195&amp;$F195,Landbrugsproduktivititet!$D$3:$G$31,MATCH(J$2,Landbrugsproduktivititet!$D$2:$G$2,0),FALSE),1)*IF($A195&lt;&gt;"",IF(VLOOKUP($A195,[1]!Table1[#All],2,FALSE)="Direkte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input'!$A$3:$A$230,$A$1)),IF(VLOOKUP($A195,[1]!Table1[#All],2,FALSE)="Resultat",SUMIF($F$1:$F133,$D195,J$1:J133)+SUMIF($F196:$F$512,$D195,J196:J$512),0))*'[1]Processer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402">
        <f>IFERROR(VLOOKUP($D196&amp;$F196,Landbrugsproduktivititet!$D$3:$G$31,MATCH(H$2,Landbrugsproduktivititet!$D$2:$G$2,0),FALSE),1)*IF($A196&lt;&gt;"",IF(VLOOKUP($A196,[1]!Table1[#All],2,FALSE)="Direkte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input'!$A$3:$A$230,$A$1)),IF(VLOOKUP($A196,[1]!Table1[#All],2,FALSE)="Resultat",SUMIF($F$1:$F134,$D196,H$1:H134)+SUMIF($F197:$F$512,$D196,H197:H$512),0))*'[1]Processer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403">
        <f>IFERROR(VLOOKUP($D196&amp;$F196,Landbrugsproduktivititet!$D$3:$G$31,MATCH(I$2,Landbrugsproduktivititet!$D$2:$G$2,0),FALSE),1)*IF($A196&lt;&gt;"",IF(VLOOKUP($A196,[1]!Table1[#All],2,FALSE)="Direkte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input'!$A$3:$A$230,$A$1)),IF(VLOOKUP($A196,[1]!Table1[#All],2,FALSE)="Resultat",SUMIF($F$1:$F134,$D196,I$1:I134)+SUMIF($F197:$F$512,$D196,I197:I$512),0))*'[1]Processer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-1935.7841907851014</v>
      </c>
      <c r="J196" s="404">
        <f>IFERROR(VLOOKUP($D196&amp;$F196,Landbrugsproduktivititet!$D$3:$G$31,MATCH(J$2,Landbrugsproduktivititet!$D$2:$G$2,0),FALSE),1)*IF($A196&lt;&gt;"",IF(VLOOKUP($A196,[1]!Table1[#All],2,FALSE)="Direkte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input'!$A$3:$A$230,$A$1)),IF(VLOOKUP($A196,[1]!Table1[#All],2,FALSE)="Resultat",SUMIF($F$1:$F134,$D196,J$1:J134)+SUMIF($F197:$F$512,$D196,J197:J$512),0))*'[1]Processer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402">
        <f>IFERROR(VLOOKUP($D197&amp;$F197,Landbrugsproduktivititet!$D$3:$G$31,MATCH(H$2,Landbrugsproduktivititet!$D$2:$G$2,0),FALSE),1)*IF($A197&lt;&gt;"",IF(VLOOKUP($A197,[1]!Table1[#All],2,FALSE)="Direkte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input'!$A$3:$A$230,$A$1)),IF(VLOOKUP($A197,[1]!Table1[#All],2,FALSE)="Resultat",SUMIF($F$1:$F135,$D197,H$1:H135)+SUMIF($F198:$F$512,$D197,H198:H$512),0))*'[1]Processer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403">
        <f>IFERROR(VLOOKUP($D197&amp;$F197,Landbrugsproduktivititet!$D$3:$G$31,MATCH(I$2,Landbrugsproduktivititet!$D$2:$G$2,0),FALSE),1)*IF($A197&lt;&gt;"",IF(VLOOKUP($A197,[1]!Table1[#All],2,FALSE)="Direkte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input'!$A$3:$A$230,$A$1)),IF(VLOOKUP($A197,[1]!Table1[#All],2,FALSE)="Resultat",SUMIF($F$1:$F135,$D197,I$1:I135)+SUMIF($F198:$F$512,$D197,I198:I$512),0))*'[1]Processer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815.38595403747718</v>
      </c>
      <c r="J197" s="404">
        <f>IFERROR(VLOOKUP($D197&amp;$F197,Landbrugsproduktivititet!$D$3:$G$31,MATCH(J$2,Landbrugsproduktivititet!$D$2:$G$2,0),FALSE),1)*IF($A197&lt;&gt;"",IF(VLOOKUP($A197,[1]!Table1[#All],2,FALSE)="Direkte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input'!$A$3:$A$230,$A$1)),IF(VLOOKUP($A197,[1]!Table1[#All],2,FALSE)="Resultat",SUMIF($F$1:$F135,$D197,J$1:J135)+SUMIF($F198:$F$512,$D197,J198:J$512),0))*'[1]Processer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402">
        <f>IFERROR(VLOOKUP($D198&amp;$F198,Landbrugsproduktivititet!$D$3:$G$31,MATCH(H$2,Landbrugsproduktivititet!$D$2:$G$2,0),FALSE),1)*IF($A198&lt;&gt;"",IF(VLOOKUP($A198,[1]!Table1[#All],2,FALSE)="Direkte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input'!$A$3:$A$230,$A$1)),IF(VLOOKUP($A198,[1]!Table1[#All],2,FALSE)="Resultat",SUMIF($F$1:$F136,$D198,H$1:H136)+SUMIF($F199:$F$512,$D198,H199:H$512),0))*'[1]Processer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403">
        <f>IFERROR(VLOOKUP($D198&amp;$F198,Landbrugsproduktivititet!$D$3:$G$31,MATCH(I$2,Landbrugsproduktivititet!$D$2:$G$2,0),FALSE),1)*IF($A198&lt;&gt;"",IF(VLOOKUP($A198,[1]!Table1[#All],2,FALSE)="Direkte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input'!$A$3:$A$230,$A$1)),IF(VLOOKUP($A198,[1]!Table1[#All],2,FALSE)="Resultat",SUMIF($F$1:$F136,$D198,I$1:I136)+SUMIF($F199:$F$512,$D198,I199:I$512),0))*'[1]Processer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51269.893250542322</v>
      </c>
      <c r="J198" s="404">
        <f>IFERROR(VLOOKUP($D198&amp;$F198,Landbrugsproduktivititet!$D$3:$G$31,MATCH(J$2,Landbrugsproduktivititet!$D$2:$G$2,0),FALSE),1)*IF($A198&lt;&gt;"",IF(VLOOKUP($A198,[1]!Table1[#All],2,FALSE)="Direkte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input'!$A$3:$A$230,$A$1)),IF(VLOOKUP($A198,[1]!Table1[#All],2,FALSE)="Resultat",SUMIF($F$1:$F136,$D198,J$1:J136)+SUMIF($F199:$F$512,$D198,J199:J$512),0))*'[1]Processer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777428.93272593827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402">
        <f>IFERROR(VLOOKUP($D199&amp;$F199,Landbrugsproduktivititet!$D$3:$G$31,MATCH(H$2,Landbrugsproduktivititet!$D$2:$G$2,0),FALSE),1)*IF($A199&lt;&gt;"",IF(VLOOKUP($A199,[1]!Table1[#All],2,FALSE)="Direkte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input'!$A$3:$A$230,$A$1)),IF(VLOOKUP($A199,[1]!Table1[#All],2,FALSE)="Resultat",SUMIF($F$1:$F137,$D199,H$1:H137)+SUMIF($F200:$F$512,$D199,H200:H$512),0))*'[1]Processer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403">
        <f>IFERROR(VLOOKUP($D199&amp;$F199,Landbrugsproduktivititet!$D$3:$G$31,MATCH(I$2,Landbrugsproduktivititet!$D$2:$G$2,0),FALSE),1)*IF($A199&lt;&gt;"",IF(VLOOKUP($A199,[1]!Table1[#All],2,FALSE)="Direkte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input'!$A$3:$A$230,$A$1)),IF(VLOOKUP($A199,[1]!Table1[#All],2,FALSE)="Resultat",SUMIF($F$1:$F137,$D199,I$1:I137)+SUMIF($F200:$F$512,$D199,I200:I$512),0))*'[1]Processer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-168620.6045281855</v>
      </c>
      <c r="J199" s="404">
        <f>IFERROR(VLOOKUP($D199&amp;$F199,Landbrugsproduktivititet!$D$3:$G$31,MATCH(J$2,Landbrugsproduktivititet!$D$2:$G$2,0),FALSE),1)*IF($A199&lt;&gt;"",IF(VLOOKUP($A199,[1]!Table1[#All],2,FALSE)="Direkte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input'!$A$3:$A$230,$A$1)),IF(VLOOKUP($A199,[1]!Table1[#All],2,FALSE)="Resultat",SUMIF($F$1:$F137,$D199,J$1:J137)+SUMIF($F200:$F$512,$D199,J200:J$512),0))*'[1]Processer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-2246122.009893761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402">
        <f>IFERROR(VLOOKUP($D200&amp;$F200,Landbrugsproduktivititet!$D$3:$G$31,MATCH(H$2,Landbrugsproduktivititet!$D$2:$G$2,0),FALSE),1)*IF($A200&lt;&gt;"",IF(VLOOKUP($A200,[1]!Table1[#All],2,FALSE)="Direkte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input'!$A$3:$A$230,$A$1)),IF(VLOOKUP($A200,[1]!Table1[#All],2,FALSE)="Resultat",SUMIF($F$1:$F138,$D200,H$1:H138)+SUMIF($F201:$F$512,$D200,H201:H$512),0))*'[1]Processer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403">
        <f>IFERROR(VLOOKUP($D200&amp;$F200,Landbrugsproduktivititet!$D$3:$G$31,MATCH(I$2,Landbrugsproduktivititet!$D$2:$G$2,0),FALSE),1)*IF($A200&lt;&gt;"",IF(VLOOKUP($A200,[1]!Table1[#All],2,FALSE)="Direkte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input'!$A$3:$A$230,$A$1)),IF(VLOOKUP($A200,[1]!Table1[#All],2,FALSE)="Resultat",SUMIF($F$1:$F138,$D200,I$1:I138)+SUMIF($F201:$F$512,$D200,I201:I$512),0))*'[1]Processer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4151.0076574910445</v>
      </c>
      <c r="J200" s="404">
        <f>IFERROR(VLOOKUP($D200&amp;$F200,Landbrugsproduktivititet!$D$3:$G$31,MATCH(J$2,Landbrugsproduktivititet!$D$2:$G$2,0),FALSE),1)*IF($A200&lt;&gt;"",IF(VLOOKUP($A200,[1]!Table1[#All],2,FALSE)="Direkte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input'!$A$3:$A$230,$A$1)),IF(VLOOKUP($A200,[1]!Table1[#All],2,FALSE)="Resultat",SUMIF($F$1:$F138,$D200,J$1:J138)+SUMIF($F201:$F$512,$D200,J201:J$512),0))*'[1]Processer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47226.209191475282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402">
        <f>IFERROR(VLOOKUP($D201&amp;$F201,Landbrugsproduktivititet!$D$3:$G$31,MATCH(H$2,Landbrugsproduktivititet!$D$2:$G$2,0),FALSE),1)*IF($A201&lt;&gt;"",IF(VLOOKUP($A201,[1]!Table1[#All],2,FALSE)="Direkte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input'!$A$3:$A$230,$A$1)),IF(VLOOKUP($A201,[1]!Table1[#All],2,FALSE)="Resultat",SUMIF($F$1:$F139,$D201,H$1:H139)+SUMIF($F202:$F$512,$D201,H202:H$512),0))*'[1]Processer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403">
        <f>IFERROR(VLOOKUP($D201&amp;$F201,Landbrugsproduktivititet!$D$3:$G$31,MATCH(I$2,Landbrugsproduktivititet!$D$2:$G$2,0),FALSE),1)*IF($A201&lt;&gt;"",IF(VLOOKUP($A201,[1]!Table1[#All],2,FALSE)="Direkte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input'!$A$3:$A$230,$A$1)),IF(VLOOKUP($A201,[1]!Table1[#All],2,FALSE)="Resultat",SUMIF($F$1:$F139,$D201,I$1:I139)+SUMIF($F202:$F$512,$D201,I202:I$512),0))*'[1]Processer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92.016397205252872</v>
      </c>
      <c r="J201" s="404">
        <f>IFERROR(VLOOKUP($D201&amp;$F201,Landbrugsproduktivititet!$D$3:$G$31,MATCH(J$2,Landbrugsproduktivititet!$D$2:$G$2,0),FALSE),1)*IF($A201&lt;&gt;"",IF(VLOOKUP($A201,[1]!Table1[#All],2,FALSE)="Direkte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input'!$A$3:$A$230,$A$1)),IF(VLOOKUP($A201,[1]!Table1[#All],2,FALSE)="Resultat",SUMIF($F$1:$F139,$D201,J$1:J139)+SUMIF($F202:$F$512,$D201,J202:J$512),0))*'[1]Processer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402">
        <f>IFERROR(VLOOKUP($D202&amp;$F202,Landbrugsproduktivititet!$D$3:$G$31,MATCH(H$2,Landbrugsproduktivititet!$D$2:$G$2,0),FALSE),1)*IF($A202&lt;&gt;"",IF(VLOOKUP($A202,[1]!Table1[#All],2,FALSE)="Direkte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input'!$A$3:$A$230,$A$1)),IF(VLOOKUP($A202,[1]!Table1[#All],2,FALSE)="Resultat",SUMIF($F$1:$F140,$D202,H$1:H140)+SUMIF($F203:$F$512,$D202,H203:H$512),0))*'[1]Processer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403">
        <f>IFERROR(VLOOKUP($D202&amp;$F202,Landbrugsproduktivititet!$D$3:$G$31,MATCH(I$2,Landbrugsproduktivititet!$D$2:$G$2,0),FALSE),1)*IF($A202&lt;&gt;"",IF(VLOOKUP($A202,[1]!Table1[#All],2,FALSE)="Direkte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input'!$A$3:$A$230,$A$1)),IF(VLOOKUP($A202,[1]!Table1[#All],2,FALSE)="Resultat",SUMIF($F$1:$F140,$D202,I$1:I140)+SUMIF($F203:$F$512,$D202,I203:I$512),0))*'[1]Processer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-201.75401897085419</v>
      </c>
      <c r="J202" s="404">
        <f>IFERROR(VLOOKUP($D202&amp;$F202,Landbrugsproduktivititet!$D$3:$G$31,MATCH(J$2,Landbrugsproduktivititet!$D$2:$G$2,0),FALSE),1)*IF($A202&lt;&gt;"",IF(VLOOKUP($A202,[1]!Table1[#All],2,FALSE)="Direkte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input'!$A$3:$A$230,$A$1)),IF(VLOOKUP($A202,[1]!Table1[#All],2,FALSE)="Resultat",SUMIF($F$1:$F140,$D202,J$1:J140)+SUMIF($F203:$F$512,$D202,J203:J$512),0))*'[1]Processer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402">
        <f>IFERROR(VLOOKUP($D203&amp;$F203,Landbrugsproduktivititet!$D$3:$G$31,MATCH(H$2,Landbrugsproduktivititet!$D$2:$G$2,0),FALSE),1)*IF($A203&lt;&gt;"",IF(VLOOKUP($A203,[1]!Table1[#All],2,FALSE)="Direkte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input'!$A$3:$A$230,$A$1)),IF(VLOOKUP($A203,[1]!Table1[#All],2,FALSE)="Resultat",SUMIF($F$1:$F141,$D203,H$1:H141)+SUMIF($F204:$F$512,$D203,H204:H$512),0))*'[1]Processer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403">
        <f>IFERROR(VLOOKUP($D203&amp;$F203,Landbrugsproduktivititet!$D$3:$G$31,MATCH(I$2,Landbrugsproduktivititet!$D$2:$G$2,0),FALSE),1)*IF($A203&lt;&gt;"",IF(VLOOKUP($A203,[1]!Table1[#All],2,FALSE)="Direkte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input'!$A$3:$A$230,$A$1)),IF(VLOOKUP($A203,[1]!Table1[#All],2,FALSE)="Resultat",SUMIF($F$1:$F141,$D203,I$1:I141)+SUMIF($F204:$F$512,$D203,I204:I$512),0))*'[1]Processer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43.66540526925116</v>
      </c>
      <c r="J203" s="404">
        <f>IFERROR(VLOOKUP($D203&amp;$F203,Landbrugsproduktivititet!$D$3:$G$31,MATCH(J$2,Landbrugsproduktivititet!$D$2:$G$2,0),FALSE),1)*IF($A203&lt;&gt;"",IF(VLOOKUP($A203,[1]!Table1[#All],2,FALSE)="Direkte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input'!$A$3:$A$230,$A$1)),IF(VLOOKUP($A203,[1]!Table1[#All],2,FALSE)="Resultat",SUMIF($F$1:$F141,$D203,J$1:J141)+SUMIF($F204:$F$512,$D203,J204:J$512),0))*'[1]Processer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402">
        <f>IFERROR(VLOOKUP($D204&amp;$F204,Landbrugsproduktivititet!$D$3:$G$31,MATCH(H$2,Landbrugsproduktivititet!$D$2:$G$2,0),FALSE),1)*IF($A204&lt;&gt;"",IF(VLOOKUP($A204,[1]!Table1[#All],2,FALSE)="Direkte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input'!$A$3:$A$230,$A$1)),IF(VLOOKUP($A204,[1]!Table1[#All],2,FALSE)="Resultat",SUMIF($F$1:$F142,$D204,H$1:H142)+SUMIF($F205:$F$512,$D204,H205:H$512),0))*'[1]Processer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403">
        <f>IFERROR(VLOOKUP($D204&amp;$F204,Landbrugsproduktivititet!$D$3:$G$31,MATCH(I$2,Landbrugsproduktivititet!$D$2:$G$2,0),FALSE),1)*IF($A204&lt;&gt;"",IF(VLOOKUP($A204,[1]!Table1[#All],2,FALSE)="Direkte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input'!$A$3:$A$230,$A$1)),IF(VLOOKUP($A204,[1]!Table1[#All],2,FALSE)="Resultat",SUMIF($F$1:$F142,$D204,I$1:I142)+SUMIF($F205:$F$512,$D204,I205:I$512),0))*'[1]Processer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100.09219064940295</v>
      </c>
      <c r="J204" s="404">
        <f>IFERROR(VLOOKUP($D204&amp;$F204,Landbrugsproduktivititet!$D$3:$G$31,MATCH(J$2,Landbrugsproduktivititet!$D$2:$G$2,0),FALSE),1)*IF($A204&lt;&gt;"",IF(VLOOKUP($A204,[1]!Table1[#All],2,FALSE)="Direkte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input'!$A$3:$A$230,$A$1)),IF(VLOOKUP($A204,[1]!Table1[#All],2,FALSE)="Resultat",SUMIF($F$1:$F142,$D204,J$1:J142)+SUMIF($F205:$F$512,$D204,J205:J$512),0))*'[1]Processer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402">
        <f>IFERROR(VLOOKUP($D205&amp;$F205,Landbrugsproduktivititet!$D$3:$G$31,MATCH(H$2,Landbrugsproduktivititet!$D$2:$G$2,0),FALSE),1)*IF($A205&lt;&gt;"",IF(VLOOKUP($A205,[1]!Table1[#All],2,FALSE)="Direkte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input'!$A$3:$A$230,$A$1)),IF(VLOOKUP($A205,[1]!Table1[#All],2,FALSE)="Resultat",SUMIF($F$1:$F143,$D205,H$1:H143)+SUMIF($F206:$F$512,$D205,H206:H$512),0))*'[1]Processer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403">
        <f>IFERROR(VLOOKUP($D205&amp;$F205,Landbrugsproduktivititet!$D$3:$G$31,MATCH(I$2,Landbrugsproduktivititet!$D$2:$G$2,0),FALSE),1)*IF($A205&lt;&gt;"",IF(VLOOKUP($A205,[1]!Table1[#All],2,FALSE)="Direkte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input'!$A$3:$A$230,$A$1)),IF(VLOOKUP($A205,[1]!Table1[#All],2,FALSE)="Resultat",SUMIF($F$1:$F143,$D205,I$1:I143)+SUMIF($F206:$F$512,$D205,I206:I$512),0))*'[1]Processer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-141.08200983742773</v>
      </c>
      <c r="J205" s="404">
        <f>IFERROR(VLOOKUP($D205&amp;$F205,Landbrugsproduktivititet!$D$3:$G$31,MATCH(J$2,Landbrugsproduktivititet!$D$2:$G$2,0),FALSE),1)*IF($A205&lt;&gt;"",IF(VLOOKUP($A205,[1]!Table1[#All],2,FALSE)="Direkte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input'!$A$3:$A$230,$A$1)),IF(VLOOKUP($A205,[1]!Table1[#All],2,FALSE)="Resultat",SUMIF($F$1:$F143,$D205,J$1:J143)+SUMIF($F206:$F$512,$D205,J206:J$512),0))*'[1]Processer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402">
        <f>IFERROR(VLOOKUP($D206&amp;$F206,Landbrugsproduktivititet!$D$3:$G$31,MATCH(H$2,Landbrugsproduktivititet!$D$2:$G$2,0),FALSE),1)*IF($A206&lt;&gt;"",IF(VLOOKUP($A206,[1]!Table1[#All],2,FALSE)="Direkte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input'!$A$3:$A$230,$A$1)),IF(VLOOKUP($A206,[1]!Table1[#All],2,FALSE)="Resultat",SUMIF($F$1:$F144,$D206,H$1:H144)+SUMIF($F207:$F$512,$D206,H207:H$512),0))*'[1]Processer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403">
        <f>IFERROR(VLOOKUP($D206&amp;$F206,Landbrugsproduktivititet!$D$3:$G$31,MATCH(I$2,Landbrugsproduktivititet!$D$2:$G$2,0),FALSE),1)*IF($A206&lt;&gt;"",IF(VLOOKUP($A206,[1]!Table1[#All],2,FALSE)="Direkte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input'!$A$3:$A$230,$A$1)),IF(VLOOKUP($A206,[1]!Table1[#All],2,FALSE)="Resultat",SUMIF($F$1:$F144,$D206,I$1:I144)+SUMIF($F207:$F$512,$D206,I207:I$512),0))*'[1]Processer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104.25648280896272</v>
      </c>
      <c r="J206" s="404">
        <f>IFERROR(VLOOKUP($D206&amp;$F206,Landbrugsproduktivititet!$D$3:$G$31,MATCH(J$2,Landbrugsproduktivititet!$D$2:$G$2,0),FALSE),1)*IF($A206&lt;&gt;"",IF(VLOOKUP($A206,[1]!Table1[#All],2,FALSE)="Direkte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input'!$A$3:$A$230,$A$1)),IF(VLOOKUP($A206,[1]!Table1[#All],2,FALSE)="Resultat",SUMIF($F$1:$F144,$D206,J$1:J144)+SUMIF($F207:$F$512,$D206,J207:J$512),0))*'[1]Processer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402">
        <f>IFERROR(VLOOKUP($D207&amp;$F207,Landbrugsproduktivititet!$D$3:$G$31,MATCH(H$2,Landbrugsproduktivititet!$D$2:$G$2,0),FALSE),1)*IF($A207&lt;&gt;"",IF(VLOOKUP($A207,[1]!Table1[#All],2,FALSE)="Direkte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input'!$A$3:$A$230,$A$1)),IF(VLOOKUP($A207,[1]!Table1[#All],2,FALSE)="Resultat",SUMIF($F$1:$F145,$D207,H$1:H145)+SUMIF($F208:$F$512,$D207,H208:H$512),0))*'[1]Processer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403">
        <f>IFERROR(VLOOKUP($D207&amp;$F207,Landbrugsproduktivititet!$D$3:$G$31,MATCH(I$2,Landbrugsproduktivititet!$D$2:$G$2,0),FALSE),1)*IF($A207&lt;&gt;"",IF(VLOOKUP($A207,[1]!Table1[#All],2,FALSE)="Direkte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input'!$A$3:$A$230,$A$1)),IF(VLOOKUP($A207,[1]!Table1[#All],2,FALSE)="Resultat",SUMIF($F$1:$F145,$D207,I$1:I145)+SUMIF($F208:$F$512,$D207,I208:I$512),0))*'[1]Processer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5343106.2844233559</v>
      </c>
      <c r="J207" s="404">
        <f>IFERROR(VLOOKUP($D207&amp;$F207,Landbrugsproduktivititet!$D$3:$G$31,MATCH(J$2,Landbrugsproduktivititet!$D$2:$G$2,0),FALSE),1)*IF($A207&lt;&gt;"",IF(VLOOKUP($A207,[1]!Table1[#All],2,FALSE)="Direkte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input'!$A$3:$A$230,$A$1)),IF(VLOOKUP($A207,[1]!Table1[#All],2,FALSE)="Resultat",SUMIF($F$1:$F145,$D207,J$1:J145)+SUMIF($F208:$F$512,$D207,J208:J$512),0))*'[1]Processer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0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402">
        <f>IFERROR(VLOOKUP($D208&amp;$F208,Landbrugsproduktivititet!$D$3:$G$31,MATCH(H$2,Landbrugsproduktivititet!$D$2:$G$2,0),FALSE),1)*IF($A208&lt;&gt;"",IF(VLOOKUP($A208,[1]!Table1[#All],2,FALSE)="Direkte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input'!$A$3:$A$230,$A$1)),IF(VLOOKUP($A208,[1]!Table1[#All],2,FALSE)="Resultat",SUMIF($F$1:$F146,$D208,H$1:H146)+SUMIF($F209:$F$512,$D208,H209:H$512),0))*'[1]Processer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403">
        <f>IFERROR(VLOOKUP($D208&amp;$F208,Landbrugsproduktivititet!$D$3:$G$31,MATCH(I$2,Landbrugsproduktivititet!$D$2:$G$2,0),FALSE),1)*IF($A208&lt;&gt;"",IF(VLOOKUP($A208,[1]!Table1[#All],2,FALSE)="Direkte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input'!$A$3:$A$230,$A$1)),IF(VLOOKUP($A208,[1]!Table1[#All],2,FALSE)="Resultat",SUMIF($F$1:$F146,$D208,I$1:I146)+SUMIF($F209:$F$512,$D208,I209:I$512),0))*'[1]Processer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-15542367.725679154</v>
      </c>
      <c r="J208" s="404">
        <f>IFERROR(VLOOKUP($D208&amp;$F208,Landbrugsproduktivititet!$D$3:$G$31,MATCH(J$2,Landbrugsproduktivititet!$D$2:$G$2,0),FALSE),1)*IF($A208&lt;&gt;"",IF(VLOOKUP($A208,[1]!Table1[#All],2,FALSE)="Direkte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input'!$A$3:$A$230,$A$1)),IF(VLOOKUP($A208,[1]!Table1[#All],2,FALSE)="Resultat",SUMIF($F$1:$F146,$D208,J$1:J146)+SUMIF($F209:$F$512,$D208,J209:J$512),0))*'[1]Processer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0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402">
        <f>IFERROR(VLOOKUP($D209&amp;$F209,Landbrugsproduktivititet!$D$3:$G$31,MATCH(H$2,Landbrugsproduktivititet!$D$2:$G$2,0),FALSE),1)*IF($A209&lt;&gt;"",IF(VLOOKUP($A209,[1]!Table1[#All],2,FALSE)="Direkte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input'!$A$3:$A$230,$A$1)),IF(VLOOKUP($A209,[1]!Table1[#All],2,FALSE)="Resultat",SUMIF($F$1:$F147,$D209,H$1:H147)+SUMIF($F210:$F$512,$D209,H210:H$512),0))*'[1]Processer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403">
        <f>IFERROR(VLOOKUP($D209&amp;$F209,Landbrugsproduktivititet!$D$3:$G$31,MATCH(I$2,Landbrugsproduktivititet!$D$2:$G$2,0),FALSE),1)*IF($A209&lt;&gt;"",IF(VLOOKUP($A209,[1]!Table1[#All],2,FALSE)="Direkte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input'!$A$3:$A$230,$A$1)),IF(VLOOKUP($A209,[1]!Table1[#All],2,FALSE)="Resultat",SUMIF($F$1:$F147,$D209,I$1:I147)+SUMIF($F210:$F$512,$D209,I210:I$512),0))*'[1]Processer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184821.68310580347</v>
      </c>
      <c r="J209" s="404">
        <f>IFERROR(VLOOKUP($D209&amp;$F209,Landbrugsproduktivititet!$D$3:$G$31,MATCH(J$2,Landbrugsproduktivititet!$D$2:$G$2,0),FALSE),1)*IF($A209&lt;&gt;"",IF(VLOOKUP($A209,[1]!Table1[#All],2,FALSE)="Direkte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input'!$A$3:$A$230,$A$1)),IF(VLOOKUP($A209,[1]!Table1[#All],2,FALSE)="Resultat",SUMIF($F$1:$F147,$D209,J$1:J147)+SUMIF($F210:$F$512,$D209,J210:J$512),0))*'[1]Processer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0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402">
        <f>IFERROR(VLOOKUP($D210&amp;$F210,Landbrugsproduktivititet!$D$3:$G$31,MATCH(H$2,Landbrugsproduktivititet!$D$2:$G$2,0),FALSE),1)*IF($A210&lt;&gt;"",IF(VLOOKUP($A210,[1]!Table1[#All],2,FALSE)="Direkte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input'!$A$3:$A$230,$A$1)),IF(VLOOKUP($A210,[1]!Table1[#All],2,FALSE)="Resultat",SUMIF($F$1:$F148,$D210,H$1:H148)+SUMIF($F211:$F$512,$D210,H211:H$512),0))*'[1]Processer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403">
        <f>IFERROR(VLOOKUP($D210&amp;$F210,Landbrugsproduktivititet!$D$3:$G$31,MATCH(I$2,Landbrugsproduktivititet!$D$2:$G$2,0),FALSE),1)*IF($A210&lt;&gt;"",IF(VLOOKUP($A210,[1]!Table1[#All],2,FALSE)="Direkte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input'!$A$3:$A$230,$A$1)),IF(VLOOKUP($A210,[1]!Table1[#All],2,FALSE)="Resultat",SUMIF($F$1:$F148,$D210,I$1:I148)+SUMIF($F211:$F$512,$D210,I211:I$512),0))*'[1]Processer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52315.448381986447</v>
      </c>
      <c r="J210" s="404">
        <f>IFERROR(VLOOKUP($D210&amp;$F210,Landbrugsproduktivititet!$D$3:$G$31,MATCH(J$2,Landbrugsproduktivititet!$D$2:$G$2,0),FALSE),1)*IF($A210&lt;&gt;"",IF(VLOOKUP($A210,[1]!Table1[#All],2,FALSE)="Direkte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input'!$A$3:$A$230,$A$1)),IF(VLOOKUP($A210,[1]!Table1[#All],2,FALSE)="Resultat",SUMIF($F$1:$F148,$D210,J$1:J148)+SUMIF($F211:$F$512,$D210,J211:J$512),0))*'[1]Processer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402">
        <f>IFERROR(VLOOKUP($D211&amp;$F211,Landbrugsproduktivititet!$D$3:$G$31,MATCH(H$2,Landbrugsproduktivititet!$D$2:$G$2,0),FALSE),1)*IF($A211&lt;&gt;"",IF(VLOOKUP($A211,[1]!Table1[#All],2,FALSE)="Direkte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input'!$A$3:$A$230,$A$1)),IF(VLOOKUP($A211,[1]!Table1[#All],2,FALSE)="Resultat",SUMIF($F$1:$F149,$D211,H$1:H149)+SUMIF($F212:$F$512,$D211,H212:H$512),0))*'[1]Processer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403">
        <f>IFERROR(VLOOKUP($D211&amp;$F211,Landbrugsproduktivititet!$D$3:$G$31,MATCH(I$2,Landbrugsproduktivititet!$D$2:$G$2,0),FALSE),1)*IF($A211&lt;&gt;"",IF(VLOOKUP($A211,[1]!Table1[#All],2,FALSE)="Direkte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input'!$A$3:$A$230,$A$1)),IF(VLOOKUP($A211,[1]!Table1[#All],2,FALSE)="Resultat",SUMIF($F$1:$F149,$D211,I$1:I149)+SUMIF($F212:$F$512,$D211,I212:I$512),0))*'[1]Processer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-106361.32201577173</v>
      </c>
      <c r="J211" s="404">
        <f>IFERROR(VLOOKUP($D211&amp;$F211,Landbrugsproduktivititet!$D$3:$G$31,MATCH(J$2,Landbrugsproduktivititet!$D$2:$G$2,0),FALSE),1)*IF($A211&lt;&gt;"",IF(VLOOKUP($A211,[1]!Table1[#All],2,FALSE)="Direkte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input'!$A$3:$A$230,$A$1)),IF(VLOOKUP($A211,[1]!Table1[#All],2,FALSE)="Resultat",SUMIF($F$1:$F149,$D211,J$1:J149)+SUMIF($F212:$F$512,$D211,J212:J$512),0))*'[1]Processer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402">
        <f>IFERROR(VLOOKUP($D212&amp;$F212,Landbrugsproduktivititet!$D$3:$G$31,MATCH(H$2,Landbrugsproduktivititet!$D$2:$G$2,0),FALSE),1)*IF($A212&lt;&gt;"",IF(VLOOKUP($A212,[1]!Table1[#All],2,FALSE)="Direkte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input'!$A$3:$A$230,$A$1)),IF(VLOOKUP($A212,[1]!Table1[#All],2,FALSE)="Resultat",SUMIF($F$1:$F150,$D212,H$1:H150)+SUMIF($F213:$F$512,$D212,H213:H$512),0))*'[1]Processer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403">
        <f>IFERROR(VLOOKUP($D212&amp;$F212,Landbrugsproduktivititet!$D$3:$G$31,MATCH(I$2,Landbrugsproduktivititet!$D$2:$G$2,0),FALSE),1)*IF($A212&lt;&gt;"",IF(VLOOKUP($A212,[1]!Table1[#All],2,FALSE)="Direkte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input'!$A$3:$A$230,$A$1)),IF(VLOOKUP($A212,[1]!Table1[#All],2,FALSE)="Resultat",SUMIF($F$1:$F150,$D212,I$1:I150)+SUMIF($F213:$F$512,$D212,I213:I$512),0))*'[1]Processer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10606.453897565709</v>
      </c>
      <c r="J212" s="404">
        <f>IFERROR(VLOOKUP($D212&amp;$F212,Landbrugsproduktivititet!$D$3:$G$31,MATCH(J$2,Landbrugsproduktivititet!$D$2:$G$2,0),FALSE),1)*IF($A212&lt;&gt;"",IF(VLOOKUP($A212,[1]!Table1[#All],2,FALSE)="Direkte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input'!$A$3:$A$230,$A$1)),IF(VLOOKUP($A212,[1]!Table1[#All],2,FALSE)="Resultat",SUMIF($F$1:$F150,$D212,J$1:J150)+SUMIF($F213:$F$512,$D212,J213:J$512),0))*'[1]Processer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402">
        <f>IFERROR(VLOOKUP($D213&amp;$F213,Landbrugsproduktivititet!$D$3:$G$31,MATCH(H$2,Landbrugsproduktivititet!$D$2:$G$2,0),FALSE),1)*IF($A213&lt;&gt;"",IF(VLOOKUP($A213,[1]!Table1[#All],2,FALSE)="Direkte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input'!$A$3:$A$230,$A$1)),IF(VLOOKUP($A213,[1]!Table1[#All],2,FALSE)="Resultat",SUMIF($F$1:$F151,$D213,H$1:H151)+SUMIF($F214:$F$512,$D213,H214:H$512),0))*'[1]Processer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403">
        <f>IFERROR(VLOOKUP($D213&amp;$F213,Landbrugsproduktivititet!$D$3:$G$31,MATCH(I$2,Landbrugsproduktivititet!$D$2:$G$2,0),FALSE),1)*IF($A213&lt;&gt;"",IF(VLOOKUP($A213,[1]!Table1[#All],2,FALSE)="Direkte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input'!$A$3:$A$230,$A$1)),IF(VLOOKUP($A213,[1]!Table1[#All],2,FALSE)="Resultat",SUMIF($F$1:$F151,$D213,I$1:I151)+SUMIF($F214:$F$512,$D213,I214:I$512),0))*'[1]Processer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68299.796242968208</v>
      </c>
      <c r="J213" s="404">
        <f>IFERROR(VLOOKUP($D213&amp;$F213,Landbrugsproduktivititet!$D$3:$G$31,MATCH(J$2,Landbrugsproduktivititet!$D$2:$G$2,0),FALSE),1)*IF($A213&lt;&gt;"",IF(VLOOKUP($A213,[1]!Table1[#All],2,FALSE)="Direkte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input'!$A$3:$A$230,$A$1)),IF(VLOOKUP($A213,[1]!Table1[#All],2,FALSE)="Resultat",SUMIF($F$1:$F151,$D213,J$1:J151)+SUMIF($F214:$F$512,$D213,J214:J$512),0))*'[1]Processer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402">
        <f>IFERROR(VLOOKUP($D214&amp;$F214,Landbrugsproduktivititet!$D$3:$G$31,MATCH(H$2,Landbrugsproduktivititet!$D$2:$G$2,0),FALSE),1)*IF($A214&lt;&gt;"",IF(VLOOKUP($A214,[1]!Table1[#All],2,FALSE)="Direkte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input'!$A$3:$A$230,$A$1)),IF(VLOOKUP($A214,[1]!Table1[#All],2,FALSE)="Resultat",SUMIF($F$1:$F152,$D214,H$1:H152)+SUMIF($F215:$F$512,$D214,H215:H$512),0))*'[1]Processer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403">
        <f>IFERROR(VLOOKUP($D214&amp;$F214,Landbrugsproduktivititet!$D$3:$G$31,MATCH(I$2,Landbrugsproduktivititet!$D$2:$G$2,0),FALSE),1)*IF($A214&lt;&gt;"",IF(VLOOKUP($A214,[1]!Table1[#All],2,FALSE)="Direkte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input'!$A$3:$A$230,$A$1)),IF(VLOOKUP($A214,[1]!Table1[#All],2,FALSE)="Resultat",SUMIF($F$1:$F152,$D214,I$1:I152)+SUMIF($F215:$F$512,$D214,I215:I$512),0))*'[1]Processer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-96132.96560115632</v>
      </c>
      <c r="J214" s="404">
        <f>IFERROR(VLOOKUP($D214&amp;$F214,Landbrugsproduktivititet!$D$3:$G$31,MATCH(J$2,Landbrugsproduktivititet!$D$2:$G$2,0),FALSE),1)*IF($A214&lt;&gt;"",IF(VLOOKUP($A214,[1]!Table1[#All],2,FALSE)="Direkte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input'!$A$3:$A$230,$A$1)),IF(VLOOKUP($A214,[1]!Table1[#All],2,FALSE)="Resultat",SUMIF($F$1:$F152,$D214,J$1:J152)+SUMIF($F215:$F$512,$D214,J215:J$512),0))*'[1]Processer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402">
        <f>IFERROR(VLOOKUP($D215&amp;$F215,Landbrugsproduktivititet!$D$3:$G$31,MATCH(H$2,Landbrugsproduktivititet!$D$2:$G$2,0),FALSE),1)*IF($A215&lt;&gt;"",IF(VLOOKUP($A215,[1]!Table1[#All],2,FALSE)="Direkte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input'!$A$3:$A$230,$A$1)),IF(VLOOKUP($A215,[1]!Table1[#All],2,FALSE)="Resultat",SUMIF($F$1:$F153,$D215,H$1:H153)+SUMIF($F216:$F$512,$D215,H216:H$512),0))*'[1]Processer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403">
        <f>IFERROR(VLOOKUP($D215&amp;$F215,Landbrugsproduktivititet!$D$3:$G$31,MATCH(I$2,Landbrugsproduktivititet!$D$2:$G$2,0),FALSE),1)*IF($A215&lt;&gt;"",IF(VLOOKUP($A215,[1]!Table1[#All],2,FALSE)="Direkte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input'!$A$3:$A$230,$A$1)),IF(VLOOKUP($A215,[1]!Table1[#All],2,FALSE)="Resultat",SUMIF($F$1:$F153,$D215,I$1:I153)+SUMIF($F216:$F$512,$D215,I216:I$512),0))*'[1]Processer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30394.168686304722</v>
      </c>
      <c r="J215" s="404">
        <f>IFERROR(VLOOKUP($D215&amp;$F215,Landbrugsproduktivititet!$D$3:$G$31,MATCH(J$2,Landbrugsproduktivititet!$D$2:$G$2,0),FALSE),1)*IF($A215&lt;&gt;"",IF(VLOOKUP($A215,[1]!Table1[#All],2,FALSE)="Direkte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input'!$A$3:$A$230,$A$1)),IF(VLOOKUP($A215,[1]!Table1[#All],2,FALSE)="Resultat",SUMIF($F$1:$F153,$D215,J$1:J153)+SUMIF($F216:$F$512,$D215,J216:J$512),0))*'[1]Processer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402">
        <f>IFERROR(VLOOKUP($D216&amp;$F216,Landbrugsproduktivititet!$D$3:$G$31,MATCH(H$2,Landbrugsproduktivititet!$D$2:$G$2,0),FALSE),1)*IF($A216&lt;&gt;"",IF(VLOOKUP($A216,[1]!Table1[#All],2,FALSE)="Direkte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input'!$A$3:$A$230,$A$1)),IF(VLOOKUP($A216,[1]!Table1[#All],2,FALSE)="Resultat",SUMIF($F$1:$F154,$D216,H$1:H154)+SUMIF($F217:$F$512,$D216,H217:H$512),0))*'[1]Processer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403">
        <f>IFERROR(VLOOKUP($D216&amp;$F216,Landbrugsproduktivititet!$D$3:$G$31,MATCH(I$2,Landbrugsproduktivititet!$D$2:$G$2,0),FALSE),1)*IF($A216&lt;&gt;"",IF(VLOOKUP($A216,[1]!Table1[#All],2,FALSE)="Direkte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input'!$A$3:$A$230,$A$1)),IF(VLOOKUP($A216,[1]!Table1[#All],2,FALSE)="Resultat",SUMIF($F$1:$F154,$D216,I$1:I154)+SUMIF($F217:$F$512,$D216,I217:I$512),0))*'[1]Processer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532878.5751943622</v>
      </c>
      <c r="J216" s="404">
        <f>IFERROR(VLOOKUP($D216&amp;$F216,Landbrugsproduktivititet!$D$3:$G$31,MATCH(J$2,Landbrugsproduktivititet!$D$2:$G$2,0),FALSE),1)*IF($A216&lt;&gt;"",IF(VLOOKUP($A216,[1]!Table1[#All],2,FALSE)="Direkte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input'!$A$3:$A$230,$A$1)),IF(VLOOKUP($A216,[1]!Table1[#All],2,FALSE)="Resultat",SUMIF($F$1:$F154,$D216,J$1:J154)+SUMIF($F217:$F$512,$D216,J217:J$512),0))*'[1]Processer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11283910.047536792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402">
        <f>IFERROR(VLOOKUP($D217&amp;$F217,Landbrugsproduktivititet!$D$3:$G$31,MATCH(H$2,Landbrugsproduktivititet!$D$2:$G$2,0),FALSE),1)*IF($A217&lt;&gt;"",IF(VLOOKUP($A217,[1]!Table1[#All],2,FALSE)="Direkte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input'!$A$3:$A$230,$A$1)),IF(VLOOKUP($A217,[1]!Table1[#All],2,FALSE)="Resultat",SUMIF($F$1:$F155,$D217,H$1:H155)+SUMIF($F218:$F$512,$D217,H218:H$512),0))*'[1]Processer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403">
        <f>IFERROR(VLOOKUP($D217&amp;$F217,Landbrugsproduktivititet!$D$3:$G$31,MATCH(I$2,Landbrugsproduktivititet!$D$2:$G$2,0),FALSE),1)*IF($A217&lt;&gt;"",IF(VLOOKUP($A217,[1]!Table1[#All],2,FALSE)="Direkte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input'!$A$3:$A$230,$A$1)),IF(VLOOKUP($A217,[1]!Table1[#All],2,FALSE)="Resultat",SUMIF($F$1:$F155,$D217,I$1:I155)+SUMIF($F218:$F$512,$D217,I218:I$512),0))*'[1]Processer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-1550071.1249094282</v>
      </c>
      <c r="J217" s="404">
        <f>IFERROR(VLOOKUP($D217&amp;$F217,Landbrugsproduktivititet!$D$3:$G$31,MATCH(J$2,Landbrugsproduktivititet!$D$2:$G$2,0),FALSE),1)*IF($A217&lt;&gt;"",IF(VLOOKUP($A217,[1]!Table1[#All],2,FALSE)="Direkte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input'!$A$3:$A$230,$A$1)),IF(VLOOKUP($A217,[1]!Table1[#All],2,FALSE)="Resultat",SUMIF($F$1:$F155,$D217,J$1:J155)+SUMIF($F218:$F$512,$D217,J218:J$512),0))*'[1]Processer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-28834166.218759466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402">
        <f>IFERROR(VLOOKUP($D218&amp;$F218,Landbrugsproduktivititet!$D$3:$G$31,MATCH(H$2,Landbrugsproduktivititet!$D$2:$G$2,0),FALSE),1)*IF($A218&lt;&gt;"",IF(VLOOKUP($A218,[1]!Table1[#All],2,FALSE)="Direkte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input'!$A$3:$A$230,$A$1)),IF(VLOOKUP($A218,[1]!Table1[#All],2,FALSE)="Resultat",SUMIF($F$1:$F156,$D218,H$1:H156)+SUMIF($F219:$F$512,$D218,H219:H$512),0))*'[1]Processer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403">
        <f>IFERROR(VLOOKUP($D218&amp;$F218,Landbrugsproduktivititet!$D$3:$G$31,MATCH(I$2,Landbrugsproduktivititet!$D$2:$G$2,0),FALSE),1)*IF($A218&lt;&gt;"",IF(VLOOKUP($A218,[1]!Table1[#All],2,FALSE)="Direkte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input'!$A$3:$A$230,$A$1)),IF(VLOOKUP($A218,[1]!Table1[#All],2,FALSE)="Resultat",SUMIF($F$1:$F156,$D218,I$1:I156)+SUMIF($F219:$F$512,$D218,I219:I$512),0))*'[1]Processer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23631.580274386364</v>
      </c>
      <c r="J218" s="404">
        <f>IFERROR(VLOOKUP($D218&amp;$F218,Landbrugsproduktivititet!$D$3:$G$31,MATCH(J$2,Landbrugsproduktivititet!$D$2:$G$2,0),FALSE),1)*IF($A218&lt;&gt;"",IF(VLOOKUP($A218,[1]!Table1[#All],2,FALSE)="Direkte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input'!$A$3:$A$230,$A$1)),IF(VLOOKUP($A218,[1]!Table1[#All],2,FALSE)="Resultat",SUMIF($F$1:$F156,$D218,J$1:J156)+SUMIF($F219:$F$512,$D218,J219:J$512),0))*'[1]Processer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306244.93798064179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402">
        <f>IFERROR(VLOOKUP($D219&amp;$F219,Landbrugsproduktivititet!$D$3:$G$31,MATCH(H$2,Landbrugsproduktivititet!$D$2:$G$2,0),FALSE),1)*IF($A219&lt;&gt;"",IF(VLOOKUP($A219,[1]!Table1[#All],2,FALSE)="Direkte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input'!$A$3:$A$230,$A$1)),IF(VLOOKUP($A219,[1]!Table1[#All],2,FALSE)="Resultat",SUMIF($F$1:$F157,$D219,H$1:H157)+SUMIF($F220:$F$512,$D219,H220:H$512),0))*'[1]Processer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403">
        <f>IFERROR(VLOOKUP($D219&amp;$F219,Landbrugsproduktivititet!$D$3:$G$31,MATCH(I$2,Landbrugsproduktivititet!$D$2:$G$2,0),FALSE),1)*IF($A219&lt;&gt;"",IF(VLOOKUP($A219,[1]!Table1[#All],2,FALSE)="Direkte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input'!$A$3:$A$230,$A$1)),IF(VLOOKUP($A219,[1]!Table1[#All],2,FALSE)="Resultat",SUMIF($F$1:$F157,$D219,I$1:I157)+SUMIF($F220:$F$512,$D219,I220:I$512),0))*'[1]Processer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5217.5233114337707</v>
      </c>
      <c r="J219" s="404">
        <f>IFERROR(VLOOKUP($D219&amp;$F219,Landbrugsproduktivititet!$D$3:$G$31,MATCH(J$2,Landbrugsproduktivititet!$D$2:$G$2,0),FALSE),1)*IF($A219&lt;&gt;"",IF(VLOOKUP($A219,[1]!Table1[#All],2,FALSE)="Direkte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input'!$A$3:$A$230,$A$1)),IF(VLOOKUP($A219,[1]!Table1[#All],2,FALSE)="Resultat",SUMIF($F$1:$F157,$D219,J$1:J157)+SUMIF($F220:$F$512,$D219,J220:J$512),0))*'[1]Processer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402">
        <f>IFERROR(VLOOKUP($D220&amp;$F220,Landbrugsproduktivititet!$D$3:$G$31,MATCH(H$2,Landbrugsproduktivititet!$D$2:$G$2,0),FALSE),1)*IF($A220&lt;&gt;"",IF(VLOOKUP($A220,[1]!Table1[#All],2,FALSE)="Direkte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input'!$A$3:$A$230,$A$1)),IF(VLOOKUP($A220,[1]!Table1[#All],2,FALSE)="Resultat",SUMIF($F$1:$F158,$D220,H$1:H158)+SUMIF($F221:$F$512,$D220,H221:H$512),0))*'[1]Processer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403">
        <f>IFERROR(VLOOKUP($D220&amp;$F220,Landbrugsproduktivititet!$D$3:$G$31,MATCH(I$2,Landbrugsproduktivititet!$D$2:$G$2,0),FALSE),1)*IF($A220&lt;&gt;"",IF(VLOOKUP($A220,[1]!Table1[#All],2,FALSE)="Direkte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input'!$A$3:$A$230,$A$1)),IF(VLOOKUP($A220,[1]!Table1[#All],2,FALSE)="Resultat",SUMIF($F$1:$F158,$D220,I$1:I158)+SUMIF($F221:$F$512,$D220,I221:I$512),0))*'[1]Processer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-10607.625361446468</v>
      </c>
      <c r="J220" s="404">
        <f>IFERROR(VLOOKUP($D220&amp;$F220,Landbrugsproduktivititet!$D$3:$G$31,MATCH(J$2,Landbrugsproduktivititet!$D$2:$G$2,0),FALSE),1)*IF($A220&lt;&gt;"",IF(VLOOKUP($A220,[1]!Table1[#All],2,FALSE)="Direkte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input'!$A$3:$A$230,$A$1)),IF(VLOOKUP($A220,[1]!Table1[#All],2,FALSE)="Resultat",SUMIF($F$1:$F158,$D220,J$1:J158)+SUMIF($F221:$F$512,$D220,J221:J$512),0))*'[1]Processer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402">
        <f>IFERROR(VLOOKUP($D221&amp;$F221,Landbrugsproduktivititet!$D$3:$G$31,MATCH(H$2,Landbrugsproduktivititet!$D$2:$G$2,0),FALSE),1)*IF($A221&lt;&gt;"",IF(VLOOKUP($A221,[1]!Table1[#All],2,FALSE)="Direkte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input'!$A$3:$A$230,$A$1)),IF(VLOOKUP($A221,[1]!Table1[#All],2,FALSE)="Resultat",SUMIF($F$1:$F159,$D221,H$1:H159)+SUMIF($F222:$F$512,$D221,H222:H$512),0))*'[1]Processer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403">
        <f>IFERROR(VLOOKUP($D221&amp;$F221,Landbrugsproduktivititet!$D$3:$G$31,MATCH(I$2,Landbrugsproduktivititet!$D$2:$G$2,0),FALSE),1)*IF($A221&lt;&gt;"",IF(VLOOKUP($A221,[1]!Table1[#All],2,FALSE)="Direkte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input'!$A$3:$A$230,$A$1)),IF(VLOOKUP($A221,[1]!Table1[#All],2,FALSE)="Resultat",SUMIF($F$1:$F159,$D221,I$1:I159)+SUMIF($F222:$F$512,$D221,I222:I$512),0))*'[1]Processer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1356.1572565239333</v>
      </c>
      <c r="J221" s="404">
        <f>IFERROR(VLOOKUP($D221&amp;$F221,Landbrugsproduktivititet!$D$3:$G$31,MATCH(J$2,Landbrugsproduktivititet!$D$2:$G$2,0),FALSE),1)*IF($A221&lt;&gt;"",IF(VLOOKUP($A221,[1]!Table1[#All],2,FALSE)="Direkte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input'!$A$3:$A$230,$A$1)),IF(VLOOKUP($A221,[1]!Table1[#All],2,FALSE)="Resultat",SUMIF($F$1:$F159,$D221,J$1:J159)+SUMIF($F222:$F$512,$D221,J222:J$512),0))*'[1]Processer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402">
        <f>IFERROR(VLOOKUP($D222&amp;$F222,Landbrugsproduktivititet!$D$3:$G$31,MATCH(H$2,Landbrugsproduktivititet!$D$2:$G$2,0),FALSE),1)*IF($A222&lt;&gt;"",IF(VLOOKUP($A222,[1]!Table1[#All],2,FALSE)="Direkte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input'!$A$3:$A$230,$A$1)),IF(VLOOKUP($A222,[1]!Table1[#All],2,FALSE)="Resultat",SUMIF($F$1:$F160,$D222,H$1:H160)+SUMIF($F223:$F$512,$D222,H223:H$512),0))*'[1]Processer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403">
        <f>IFERROR(VLOOKUP($D222&amp;$F222,Landbrugsproduktivititet!$D$3:$G$31,MATCH(I$2,Landbrugsproduktivititet!$D$2:$G$2,0),FALSE),1)*IF($A222&lt;&gt;"",IF(VLOOKUP($A222,[1]!Table1[#All],2,FALSE)="Direkte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input'!$A$3:$A$230,$A$1)),IF(VLOOKUP($A222,[1]!Table1[#All],2,FALSE)="Resultat",SUMIF($F$1:$F160,$D222,I$1:I160)+SUMIF($F223:$F$512,$D222,I223:I$512),0))*'[1]Processer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6811.6739908620521</v>
      </c>
      <c r="J222" s="404">
        <f>IFERROR(VLOOKUP($D222&amp;$F222,Landbrugsproduktivititet!$D$3:$G$31,MATCH(J$2,Landbrugsproduktivititet!$D$2:$G$2,0),FALSE),1)*IF($A222&lt;&gt;"",IF(VLOOKUP($A222,[1]!Table1[#All],2,FALSE)="Direkte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input'!$A$3:$A$230,$A$1)),IF(VLOOKUP($A222,[1]!Table1[#All],2,FALSE)="Resultat",SUMIF($F$1:$F160,$D222,J$1:J160)+SUMIF($F223:$F$512,$D222,J223:J$512),0))*'[1]Processer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402">
        <f>IFERROR(VLOOKUP($D223&amp;$F223,Landbrugsproduktivititet!$D$3:$G$31,MATCH(H$2,Landbrugsproduktivititet!$D$2:$G$2,0),FALSE),1)*IF($A223&lt;&gt;"",IF(VLOOKUP($A223,[1]!Table1[#All],2,FALSE)="Direkte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input'!$A$3:$A$230,$A$1)),IF(VLOOKUP($A223,[1]!Table1[#All],2,FALSE)="Resultat",SUMIF($F$1:$F161,$D223,H$1:H161)+SUMIF($F224:$F$512,$D223,H224:H$512),0))*'[1]Processer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403">
        <f>IFERROR(VLOOKUP($D223&amp;$F223,Landbrugsproduktivititet!$D$3:$G$31,MATCH(I$2,Landbrugsproduktivititet!$D$2:$G$2,0),FALSE),1)*IF($A223&lt;&gt;"",IF(VLOOKUP($A223,[1]!Table1[#All],2,FALSE)="Direkte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input'!$A$3:$A$230,$A$1)),IF(VLOOKUP($A223,[1]!Table1[#All],2,FALSE)="Resultat",SUMIF($F$1:$F161,$D223,I$1:I161)+SUMIF($F224:$F$512,$D223,I224:I$512),0))*'[1]Processer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-9587.5311123969914</v>
      </c>
      <c r="J223" s="404">
        <f>IFERROR(VLOOKUP($D223&amp;$F223,Landbrugsproduktivititet!$D$3:$G$31,MATCH(J$2,Landbrugsproduktivititet!$D$2:$G$2,0),FALSE),1)*IF($A223&lt;&gt;"",IF(VLOOKUP($A223,[1]!Table1[#All],2,FALSE)="Direkte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input'!$A$3:$A$230,$A$1)),IF(VLOOKUP($A223,[1]!Table1[#All],2,FALSE)="Resultat",SUMIF($F$1:$F161,$D223,J$1:J161)+SUMIF($F224:$F$512,$D223,J224:J$512),0))*'[1]Processer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402">
        <f>IFERROR(VLOOKUP($D224&amp;$F224,Landbrugsproduktivititet!$D$3:$G$31,MATCH(H$2,Landbrugsproduktivititet!$D$2:$G$2,0),FALSE),1)*IF($A224&lt;&gt;"",IF(VLOOKUP($A224,[1]!Table1[#All],2,FALSE)="Direkte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input'!$A$3:$A$230,$A$1)),IF(VLOOKUP($A224,[1]!Table1[#All],2,FALSE)="Resultat",SUMIF($F$1:$F162,$D224,H$1:H162)+SUMIF($F225:$F$512,$D224,H225:H$512),0))*'[1]Processer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403">
        <f>IFERROR(VLOOKUP($D224&amp;$F224,Landbrugsproduktivititet!$D$3:$G$31,MATCH(I$2,Landbrugsproduktivititet!$D$2:$G$2,0),FALSE),1)*IF($A224&lt;&gt;"",IF(VLOOKUP($A224,[1]!Table1[#All],2,FALSE)="Direkte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input'!$A$3:$A$230,$A$1)),IF(VLOOKUP($A224,[1]!Table1[#All],2,FALSE)="Resultat",SUMIF($F$1:$F162,$D224,I$1:I162)+SUMIF($F225:$F$512,$D224,I225:I$512),0))*'[1]Processer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3886.2444336278022</v>
      </c>
      <c r="J224" s="404">
        <f>IFERROR(VLOOKUP($D224&amp;$F224,Landbrugsproduktivititet!$D$3:$G$31,MATCH(J$2,Landbrugsproduktivititet!$D$2:$G$2,0),FALSE),1)*IF($A224&lt;&gt;"",IF(VLOOKUP($A224,[1]!Table1[#All],2,FALSE)="Direkte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input'!$A$3:$A$230,$A$1)),IF(VLOOKUP($A224,[1]!Table1[#All],2,FALSE)="Resultat",SUMIF($F$1:$F162,$D224,J$1:J162)+SUMIF($F225:$F$512,$D224,J225:J$512),0))*'[1]Processer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402">
        <f>IFERROR(VLOOKUP($D225&amp;$F225,Landbrugsproduktivititet!$D$3:$G$31,MATCH(H$2,Landbrugsproduktivititet!$D$2:$G$2,0),FALSE),1)*IF($A225&lt;&gt;"",IF(VLOOKUP($A225,[1]!Table1[#All],2,FALSE)="Direkte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input'!$A$3:$A$230,$A$1)),IF(VLOOKUP($A225,[1]!Table1[#All],2,FALSE)="Resultat",SUMIF($F$1:$F163,$D225,H$1:H163)+SUMIF($F226:$F$512,$D225,H226:H$512),0))*'[1]Processer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403">
        <f>IFERROR(VLOOKUP($D225&amp;$F225,Landbrugsproduktivititet!$D$3:$G$31,MATCH(I$2,Landbrugsproduktivititet!$D$2:$G$2,0),FALSE),1)*IF($A225&lt;&gt;"",IF(VLOOKUP($A225,[1]!Table1[#All],2,FALSE)="Direkte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input'!$A$3:$A$230,$A$1)),IF(VLOOKUP($A225,[1]!Table1[#All],2,FALSE)="Resultat",SUMIF($F$1:$F163,$D225,I$1:I163)+SUMIF($F226:$F$512,$D225,I226:I$512),0))*'[1]Processer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</f>
        <v>154285.48014941547</v>
      </c>
      <c r="J225" s="404">
        <f>IFERROR(VLOOKUP($D225&amp;$F225,Landbrugsproduktivititet!$D$3:$G$31,MATCH(J$2,Landbrugsproduktivititet!$D$2:$G$2,0),FALSE),1)*IF($A225&lt;&gt;"",IF(VLOOKUP($A225,[1]!Table1[#All],2,FALSE)="Direkte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input'!$A$3:$A$230,$A$1)),IF(VLOOKUP($A225,[1]!Table1[#All],2,FALSE)="Resultat",SUMIF($F$1:$F163,$D225,J$1:J163)+SUMIF($F226:$F$512,$D225,J226:J$512),0))*'[1]Processer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</f>
        <v>0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402">
        <f>IFERROR(VLOOKUP($D226&amp;$F226,Landbrugsproduktivititet!$D$3:$G$31,MATCH(H$2,Landbrugsproduktivititet!$D$2:$G$2,0),FALSE),1)*IF($A226&lt;&gt;"",IF(VLOOKUP($A226,[1]!Table1[#All],2,FALSE)="Direkte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input'!$A$3:$A$230,$A$1)),IF(VLOOKUP($A226,[1]!Table1[#All],2,FALSE)="Resultat",SUMIF($F$1:$F164,$D226,H$1:H164)+SUMIF($F227:$F$512,$D226,H227:H$512),0))*'[1]Processer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403">
        <f>IFERROR(VLOOKUP($D226&amp;$F226,Landbrugsproduktivititet!$D$3:$G$31,MATCH(I$2,Landbrugsproduktivititet!$D$2:$G$2,0),FALSE),1)*IF($A226&lt;&gt;"",IF(VLOOKUP($A226,[1]!Table1[#All],2,FALSE)="Direkte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input'!$A$3:$A$230,$A$1)),IF(VLOOKUP($A226,[1]!Table1[#All],2,FALSE)="Resultat",SUMIF($F$1:$F164,$D226,I$1:I164)+SUMIF($F227:$F$512,$D226,I227:I$512),0))*'[1]Processer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</f>
        <v>45804.07949064998</v>
      </c>
      <c r="J226" s="404">
        <f>IFERROR(VLOOKUP($D226&amp;$F226,Landbrugsproduktivititet!$D$3:$G$31,MATCH(J$2,Landbrugsproduktivititet!$D$2:$G$2,0),FALSE),1)*IF($A226&lt;&gt;"",IF(VLOOKUP($A226,[1]!Table1[#All],2,FALSE)="Direkte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input'!$A$3:$A$230,$A$1)),IF(VLOOKUP($A226,[1]!Table1[#All],2,FALSE)="Resultat",SUMIF($F$1:$F164,$D226,J$1:J164)+SUMIF($F227:$F$512,$D226,J227:J$512),0))*'[1]Processer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402">
        <f>IFERROR(VLOOKUP($D227&amp;$F227,Landbrugsproduktivititet!$D$3:$G$31,MATCH(H$2,Landbrugsproduktivititet!$D$2:$G$2,0),FALSE),1)*IF($A227&lt;&gt;"",IF(VLOOKUP($A227,[1]!Table1[#All],2,FALSE)="Direkte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input'!$A$3:$A$230,$A$1)),IF(VLOOKUP($A227,[1]!Table1[#All],2,FALSE)="Resultat",SUMIF($F$1:$F165,$D227,H$1:H165)+SUMIF($F228:$F$512,$D227,H228:H$512),0))*'[1]Processer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403">
        <f>IFERROR(VLOOKUP($D227&amp;$F227,Landbrugsproduktivititet!$D$3:$G$31,MATCH(I$2,Landbrugsproduktivititet!$D$2:$G$2,0),FALSE),1)*IF($A227&lt;&gt;"",IF(VLOOKUP($A227,[1]!Table1[#All],2,FALSE)="Direkte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input'!$A$3:$A$230,$A$1)),IF(VLOOKUP($A227,[1]!Table1[#All],2,FALSE)="Resultat",SUMIF($F$1:$F165,$D227,I$1:I165)+SUMIF($F228:$F$512,$D227,I228:I$512),0))*'[1]Processer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404">
        <f>IFERROR(VLOOKUP($D227&amp;$F227,Landbrugsproduktivititet!$D$3:$G$31,MATCH(J$2,Landbrugsproduktivititet!$D$2:$G$2,0),FALSE),1)*IF($A227&lt;&gt;"",IF(VLOOKUP($A227,[1]!Table1[#All],2,FALSE)="Direkte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input'!$A$3:$A$230,$A$1)),IF(VLOOKUP($A227,[1]!Table1[#All],2,FALSE)="Resultat",SUMIF($F$1:$F165,$D227,J$1:J165)+SUMIF($F228:$F$512,$D227,J228:J$512),0))*'[1]Processer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402">
        <f>IFERROR(VLOOKUP($D228&amp;$F228,Landbrugsproduktivititet!$D$3:$G$31,MATCH(H$2,Landbrugsproduktivititet!$D$2:$G$2,0),FALSE),1)*IF($A228&lt;&gt;"",IF(VLOOKUP($A228,[1]!Table1[#All],2,FALSE)="Direkte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input'!$A$3:$A$230,$A$1)),IF(VLOOKUP($A228,[1]!Table1[#All],2,FALSE)="Resultat",SUMIF($F$1:$F166,$D228,H$1:H166)+SUMIF($F229:$F$512,$D228,H229:H$512),0))*'[1]Processer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403">
        <f>IFERROR(VLOOKUP($D228&amp;$F228,Landbrugsproduktivititet!$D$3:$G$31,MATCH(I$2,Landbrugsproduktivititet!$D$2:$G$2,0),FALSE),1)*IF($A228&lt;&gt;"",IF(VLOOKUP($A228,[1]!Table1[#All],2,FALSE)="Direkte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input'!$A$3:$A$230,$A$1)),IF(VLOOKUP($A228,[1]!Table1[#All],2,FALSE)="Resultat",SUMIF($F$1:$F166,$D228,I$1:I166)+SUMIF($F229:$F$512,$D228,I229:I$512),0))*'[1]Processer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</f>
        <v>78342.096158043627</v>
      </c>
      <c r="J228" s="404">
        <f>IFERROR(VLOOKUP($D228&amp;$F228,Landbrugsproduktivititet!$D$3:$G$31,MATCH(J$2,Landbrugsproduktivititet!$D$2:$G$2,0),FALSE),1)*IF($A228&lt;&gt;"",IF(VLOOKUP($A228,[1]!Table1[#All],2,FALSE)="Direkte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input'!$A$3:$A$230,$A$1)),IF(VLOOKUP($A228,[1]!Table1[#All],2,FALSE)="Resultat",SUMIF($F$1:$F166,$D228,J$1:J166)+SUMIF($F229:$F$512,$D228,J229:J$512),0))*'[1]Processer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</f>
        <v>0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402">
        <f>IFERROR(VLOOKUP($D229&amp;$F229,Landbrugsproduktivititet!$D$3:$G$31,MATCH(H$2,Landbrugsproduktivititet!$D$2:$G$2,0),FALSE),1)*IF($A229&lt;&gt;"",IF(VLOOKUP($A229,[1]!Table1[#All],2,FALSE)="Direkte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input'!$A$3:$A$230,$A$1)),IF(VLOOKUP($A229,[1]!Table1[#All],2,FALSE)="Resultat",SUMIF($F$1:$F167,$D229,H$1:H167)+SUMIF($F230:$F$512,$D229,H230:H$512),0))*'[1]Processer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403">
        <f>IFERROR(VLOOKUP($D229&amp;$F229,Landbrugsproduktivititet!$D$3:$G$31,MATCH(I$2,Landbrugsproduktivititet!$D$2:$G$2,0),FALSE),1)*IF($A229&lt;&gt;"",IF(VLOOKUP($A229,[1]!Table1[#All],2,FALSE)="Direkte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input'!$A$3:$A$230,$A$1)),IF(VLOOKUP($A229,[1]!Table1[#All],2,FALSE)="Resultat",SUMIF($F$1:$F167,$D229,I$1:I167)+SUMIF($F230:$F$512,$D229,I230:I$512),0))*'[1]Processer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</f>
        <v>300.06756761257117</v>
      </c>
      <c r="J229" s="404">
        <f>IFERROR(VLOOKUP($D229&amp;$F229,Landbrugsproduktivititet!$D$3:$G$31,MATCH(J$2,Landbrugsproduktivititet!$D$2:$G$2,0),FALSE),1)*IF($A229&lt;&gt;"",IF(VLOOKUP($A229,[1]!Table1[#All],2,FALSE)="Direkte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input'!$A$3:$A$230,$A$1)),IF(VLOOKUP($A229,[1]!Table1[#All],2,FALSE)="Resultat",SUMIF($F$1:$F167,$D229,J$1:J167)+SUMIF($F230:$F$512,$D229,J230:J$512),0))*'[1]Processer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402">
        <f>IFERROR(VLOOKUP($D230&amp;$F230,Landbrugsproduktivititet!$D$3:$G$31,MATCH(H$2,Landbrugsproduktivititet!$D$2:$G$2,0),FALSE),1)*IF($A230&lt;&gt;"",IF(VLOOKUP($A230,[1]!Table1[#All],2,FALSE)="Direkte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input'!$A$3:$A$230,$A$1)),IF(VLOOKUP($A230,[1]!Table1[#All],2,FALSE)="Resultat",SUMIF($F$1:$F168,$D230,H$1:H168)+SUMIF($F231:$F$512,$D230,H231:H$512),0))*'[1]Processer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403">
        <f>IFERROR(VLOOKUP($D230&amp;$F230,Landbrugsproduktivititet!$D$3:$G$31,MATCH(I$2,Landbrugsproduktivititet!$D$2:$G$2,0),FALSE),1)*IF($A230&lt;&gt;"",IF(VLOOKUP($A230,[1]!Table1[#All],2,FALSE)="Direkte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input'!$A$3:$A$230,$A$1)),IF(VLOOKUP($A230,[1]!Table1[#All],2,FALSE)="Resultat",SUMIF($F$1:$F168,$D230,I$1:I168)+SUMIF($F231:$F$512,$D230,I231:I$512),0))*'[1]Processer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</f>
        <v>89.083682444917784</v>
      </c>
      <c r="J230" s="404">
        <f>IFERROR(VLOOKUP($D230&amp;$F230,Landbrugsproduktivititet!$D$3:$G$31,MATCH(J$2,Landbrugsproduktivititet!$D$2:$G$2,0),FALSE),1)*IF($A230&lt;&gt;"",IF(VLOOKUP($A230,[1]!Table1[#All],2,FALSE)="Direkte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input'!$A$3:$A$230,$A$1)),IF(VLOOKUP($A230,[1]!Table1[#All],2,FALSE)="Resultat",SUMIF($F$1:$F168,$D230,J$1:J168)+SUMIF($F231:$F$512,$D230,J231:J$512),0))*'[1]Processer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402">
        <f>IFERROR(VLOOKUP($D231&amp;$F231,Landbrugsproduktivititet!$D$3:$G$31,MATCH(H$2,Landbrugsproduktivititet!$D$2:$G$2,0),FALSE),1)*IF($A231&lt;&gt;"",IF(VLOOKUP($A231,[1]!Table1[#All],2,FALSE)="Direkte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input'!$A$3:$A$230,$A$1)),IF(VLOOKUP($A231,[1]!Table1[#All],2,FALSE)="Resultat",SUMIF($F$1:$F169,$D231,H$1:H169)+SUMIF($F232:$F$512,$D231,H232:H$512),0))*'[1]Processer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403">
        <f>IFERROR(VLOOKUP($D231&amp;$F231,Landbrugsproduktivititet!$D$3:$G$31,MATCH(I$2,Landbrugsproduktivititet!$D$2:$G$2,0),FALSE),1)*IF($A231&lt;&gt;"",IF(VLOOKUP($A231,[1]!Table1[#All],2,FALSE)="Direkte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input'!$A$3:$A$230,$A$1)),IF(VLOOKUP($A231,[1]!Table1[#All],2,FALSE)="Resultat",SUMIF($F$1:$F169,$D231,I$1:I169)+SUMIF($F232:$F$512,$D231,I232:I$512),0))*'[1]Processer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404">
        <f>IFERROR(VLOOKUP($D231&amp;$F231,Landbrugsproduktivititet!$D$3:$G$31,MATCH(J$2,Landbrugsproduktivititet!$D$2:$G$2,0),FALSE),1)*IF($A231&lt;&gt;"",IF(VLOOKUP($A231,[1]!Table1[#All],2,FALSE)="Direkte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input'!$A$3:$A$230,$A$1)),IF(VLOOKUP($A231,[1]!Table1[#All],2,FALSE)="Resultat",SUMIF($F$1:$F169,$D231,J$1:J169)+SUMIF($F232:$F$512,$D231,J232:J$512),0))*'[1]Processer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402">
        <f>IFERROR(VLOOKUP($D232&amp;$F232,Landbrugsproduktivititet!$D$3:$G$31,MATCH(H$2,Landbrugsproduktivititet!$D$2:$G$2,0),FALSE),1)*IF($A232&lt;&gt;"",IF(VLOOKUP($A232,[1]!Table1[#All],2,FALSE)="Direkte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input'!$A$3:$A$230,$A$1)),IF(VLOOKUP($A232,[1]!Table1[#All],2,FALSE)="Resultat",SUMIF($F$1:$F170,$D232,H$1:H170)+SUMIF($F233:$F$512,$D232,H233:H$512),0))*'[1]Processer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403">
        <f>IFERROR(VLOOKUP($D232&amp;$F232,Landbrugsproduktivititet!$D$3:$G$31,MATCH(I$2,Landbrugsproduktivititet!$D$2:$G$2,0),FALSE),1)*IF($A232&lt;&gt;"",IF(VLOOKUP($A232,[1]!Table1[#All],2,FALSE)="Direkte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input'!$A$3:$A$230,$A$1)),IF(VLOOKUP($A232,[1]!Table1[#All],2,FALSE)="Resultat",SUMIF($F$1:$F170,$D232,I$1:I170)+SUMIF($F233:$F$512,$D232,I233:I$512),0))*'[1]Processer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</f>
        <v>893.03882020521303</v>
      </c>
      <c r="J232" s="404">
        <f>IFERROR(VLOOKUP($D232&amp;$F232,Landbrugsproduktivititet!$D$3:$G$31,MATCH(J$2,Landbrugsproduktivititet!$D$2:$G$2,0),FALSE),1)*IF($A232&lt;&gt;"",IF(VLOOKUP($A232,[1]!Table1[#All],2,FALSE)="Direkte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input'!$A$3:$A$230,$A$1)),IF(VLOOKUP($A232,[1]!Table1[#All],2,FALSE)="Resultat",SUMIF($F$1:$F170,$D232,J$1:J170)+SUMIF($F233:$F$512,$D232,J233:J$512),0))*'[1]Processer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402">
        <f>IFERROR(VLOOKUP($D233&amp;$F233,Landbrugsproduktivititet!$D$3:$G$31,MATCH(H$2,Landbrugsproduktivititet!$D$2:$G$2,0),FALSE),1)*IF($A233&lt;&gt;"",IF(VLOOKUP($A233,[1]!Table1[#All],2,FALSE)="Direkte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input'!$A$3:$A$230,$A$1)),IF(VLOOKUP($A233,[1]!Table1[#All],2,FALSE)="Resultat",SUMIF($F$1:$F171,$D233,H$1:H171)+SUMIF($F234:$F$512,$D233,H234:H$512),0))*'[1]Processer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403">
        <f>IFERROR(VLOOKUP($D233&amp;$F233,Landbrugsproduktivititet!$D$3:$G$31,MATCH(I$2,Landbrugsproduktivititet!$D$2:$G$2,0),FALSE),1)*IF($A233&lt;&gt;"",IF(VLOOKUP($A233,[1]!Table1[#All],2,FALSE)="Direkte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input'!$A$3:$A$230,$A$1)),IF(VLOOKUP($A233,[1]!Table1[#All],2,FALSE)="Resultat",SUMIF($F$1:$F171,$D233,I$1:I171)+SUMIF($F234:$F$512,$D233,I234:I$512),0))*'[1]Processer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</f>
        <v>129.61666596701835</v>
      </c>
      <c r="J233" s="404">
        <f>IFERROR(VLOOKUP($D233&amp;$F233,Landbrugsproduktivititet!$D$3:$G$31,MATCH(J$2,Landbrugsproduktivititet!$D$2:$G$2,0),FALSE),1)*IF($A233&lt;&gt;"",IF(VLOOKUP($A233,[1]!Table1[#All],2,FALSE)="Direkte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input'!$A$3:$A$230,$A$1)),IF(VLOOKUP($A233,[1]!Table1[#All],2,FALSE)="Resultat",SUMIF($F$1:$F171,$D233,J$1:J171)+SUMIF($F234:$F$512,$D233,J234:J$512),0))*'[1]Processer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402">
        <f>IFERROR(VLOOKUP($D234&amp;$F234,Landbrugsproduktivititet!$D$3:$G$31,MATCH(H$2,Landbrugsproduktivititet!$D$2:$G$2,0),FALSE),1)*IF($A234&lt;&gt;"",IF(VLOOKUP($A234,[1]!Table1[#All],2,FALSE)="Direkte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input'!$A$3:$A$230,$A$1)),IF(VLOOKUP($A234,[1]!Table1[#All],2,FALSE)="Resultat",SUMIF($F$1:$F172,$D234,H$1:H172)+SUMIF($F235:$F$512,$D234,H235:H$512),0))*'[1]Processer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403">
        <f>IFERROR(VLOOKUP($D234&amp;$F234,Landbrugsproduktivititet!$D$3:$G$31,MATCH(I$2,Landbrugsproduktivititet!$D$2:$G$2,0),FALSE),1)*IF($A234&lt;&gt;"",IF(VLOOKUP($A234,[1]!Table1[#All],2,FALSE)="Direkte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input'!$A$3:$A$230,$A$1)),IF(VLOOKUP($A234,[1]!Table1[#All],2,FALSE)="Resultat",SUMIF($F$1:$F172,$D234,I$1:I172)+SUMIF($F235:$F$512,$D234,I235:I$512),0))*'[1]Processer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</f>
        <v>38.480432931969766</v>
      </c>
      <c r="J234" s="404">
        <f>IFERROR(VLOOKUP($D234&amp;$F234,Landbrugsproduktivititet!$D$3:$G$31,MATCH(J$2,Landbrugsproduktivititet!$D$2:$G$2,0),FALSE),1)*IF($A234&lt;&gt;"",IF(VLOOKUP($A234,[1]!Table1[#All],2,FALSE)="Direkte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input'!$A$3:$A$230,$A$1)),IF(VLOOKUP($A234,[1]!Table1[#All],2,FALSE)="Resultat",SUMIF($F$1:$F172,$D234,J$1:J172)+SUMIF($F235:$F$512,$D234,J235:J$512),0))*'[1]Processer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402">
        <f>IFERROR(VLOOKUP($D235&amp;$F235,Landbrugsproduktivititet!$D$3:$G$31,MATCH(H$2,Landbrugsproduktivititet!$D$2:$G$2,0),FALSE),1)*IF($A235&lt;&gt;"",IF(VLOOKUP($A235,[1]!Table1[#All],2,FALSE)="Direkte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input'!$A$3:$A$230,$A$1)),IF(VLOOKUP($A235,[1]!Table1[#All],2,FALSE)="Resultat",SUMIF($F$1:$F173,$D235,H$1:H173)+SUMIF($F236:$F$512,$D235,H236:H$512),0))*'[1]Processer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403">
        <f>IFERROR(VLOOKUP($D235&amp;$F235,Landbrugsproduktivititet!$D$3:$G$31,MATCH(I$2,Landbrugsproduktivititet!$D$2:$G$2,0),FALSE),1)*IF($A235&lt;&gt;"",IF(VLOOKUP($A235,[1]!Table1[#All],2,FALSE)="Direkte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input'!$A$3:$A$230,$A$1)),IF(VLOOKUP($A235,[1]!Table1[#All],2,FALSE)="Resultat",SUMIF($F$1:$F173,$D235,I$1:I173)+SUMIF($F236:$F$512,$D235,I236:I$512),0))*'[1]Processer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404">
        <f>IFERROR(VLOOKUP($D235&amp;$F235,Landbrugsproduktivititet!$D$3:$G$31,MATCH(J$2,Landbrugsproduktivititet!$D$2:$G$2,0),FALSE),1)*IF($A235&lt;&gt;"",IF(VLOOKUP($A235,[1]!Table1[#All],2,FALSE)="Direkte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input'!$A$3:$A$230,$A$1)),IF(VLOOKUP($A235,[1]!Table1[#All],2,FALSE)="Resultat",SUMIF($F$1:$F173,$D235,J$1:J173)+SUMIF($F236:$F$512,$D235,J236:J$512),0))*'[1]Processer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402">
        <f>IFERROR(VLOOKUP($D236&amp;$F236,Landbrugsproduktivititet!$D$3:$G$31,MATCH(H$2,Landbrugsproduktivititet!$D$2:$G$2,0),FALSE),1)*IF($A236&lt;&gt;"",IF(VLOOKUP($A236,[1]!Table1[#All],2,FALSE)="Direkte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input'!$A$3:$A$230,$A$1)),IF(VLOOKUP($A236,[1]!Table1[#All],2,FALSE)="Resultat",SUMIF($F$1:$F174,$D236,H$1:H174)+SUMIF($F237:$F$512,$D236,H237:H$512),0))*'[1]Processer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403">
        <f>IFERROR(VLOOKUP($D236&amp;$F236,Landbrugsproduktivititet!$D$3:$G$31,MATCH(I$2,Landbrugsproduktivititet!$D$2:$G$2,0),FALSE),1)*IF($A236&lt;&gt;"",IF(VLOOKUP($A236,[1]!Table1[#All],2,FALSE)="Direkte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input'!$A$3:$A$230,$A$1)),IF(VLOOKUP($A236,[1]!Table1[#All],2,FALSE)="Resultat",SUMIF($F$1:$F174,$D236,I$1:I174)+SUMIF($F237:$F$512,$D236,I237:I$512),0))*'[1]Processer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</f>
        <v>846.72567914464787</v>
      </c>
      <c r="J236" s="404">
        <f>IFERROR(VLOOKUP($D236&amp;$F236,Landbrugsproduktivititet!$D$3:$G$31,MATCH(J$2,Landbrugsproduktivititet!$D$2:$G$2,0),FALSE),1)*IF($A236&lt;&gt;"",IF(VLOOKUP($A236,[1]!Table1[#All],2,FALSE)="Direkte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input'!$A$3:$A$230,$A$1)),IF(VLOOKUP($A236,[1]!Table1[#All],2,FALSE)="Resultat",SUMIF($F$1:$F174,$D236,J$1:J174)+SUMIF($F237:$F$512,$D236,J237:J$512),0))*'[1]Processer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402">
        <f>IFERROR(VLOOKUP($D237&amp;$F237,Landbrugsproduktivititet!$D$3:$G$31,MATCH(H$2,Landbrugsproduktivititet!$D$2:$G$2,0),FALSE),1)*IF($A237&lt;&gt;"",IF(VLOOKUP($A237,[1]!Table1[#All],2,FALSE)="Direkte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input'!$A$3:$A$230,$A$1)),IF(VLOOKUP($A237,[1]!Table1[#All],2,FALSE)="Resultat",SUMIF($F$1:$F175,$D237,H$1:H175)+SUMIF($F238:$F$512,$D237,H238:H$512),0))*'[1]Processer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403">
        <f>IFERROR(VLOOKUP($D237&amp;$F237,Landbrugsproduktivititet!$D$3:$G$31,MATCH(I$2,Landbrugsproduktivititet!$D$2:$G$2,0),FALSE),1)*IF($A237&lt;&gt;"",IF(VLOOKUP($A237,[1]!Table1[#All],2,FALSE)="Direkte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input'!$A$3:$A$230,$A$1)),IF(VLOOKUP($A237,[1]!Table1[#All],2,FALSE)="Resultat",SUMIF($F$1:$F175,$D237,I$1:I175)+SUMIF($F238:$F$512,$D237,I238:I$512),0))*'[1]Processer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</f>
        <v>11244.48982062615</v>
      </c>
      <c r="J237" s="404">
        <f>IFERROR(VLOOKUP($D237&amp;$F237,Landbrugsproduktivititet!$D$3:$G$31,MATCH(J$2,Landbrugsproduktivititet!$D$2:$G$2,0),FALSE),1)*IF($A237&lt;&gt;"",IF(VLOOKUP($A237,[1]!Table1[#All],2,FALSE)="Direkte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input'!$A$3:$A$230,$A$1)),IF(VLOOKUP($A237,[1]!Table1[#All],2,FALSE)="Resultat",SUMIF($F$1:$F175,$D237,J$1:J175)+SUMIF($F238:$F$512,$D237,J238:J$512),0))*'[1]Processer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</f>
        <v>222547.77389902543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402">
        <f>IFERROR(VLOOKUP($D238&amp;$F238,Landbrugsproduktivititet!$D$3:$G$31,MATCH(H$2,Landbrugsproduktivititet!$D$2:$G$2,0),FALSE),1)*IF($A238&lt;&gt;"",IF(VLOOKUP($A238,[1]!Table1[#All],2,FALSE)="Direkte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input'!$A$3:$A$230,$A$1)),IF(VLOOKUP($A238,[1]!Table1[#All],2,FALSE)="Resultat",SUMIF($F$1:$F176,$D238,H$1:H176)+SUMIF($F239:$F$512,$D238,H239:H$512),0))*'[1]Processer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403">
        <f>IFERROR(VLOOKUP($D238&amp;$F238,Landbrugsproduktivititet!$D$3:$G$31,MATCH(I$2,Landbrugsproduktivititet!$D$2:$G$2,0),FALSE),1)*IF($A238&lt;&gt;"",IF(VLOOKUP($A238,[1]!Table1[#All],2,FALSE)="Direkte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input'!$A$3:$A$230,$A$1)),IF(VLOOKUP($A238,[1]!Table1[#All],2,FALSE)="Resultat",SUMIF($F$1:$F176,$D238,I$1:I176)+SUMIF($F239:$F$512,$D238,I239:I$512),0))*'[1]Processer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</f>
        <v>3338.2500095082082</v>
      </c>
      <c r="J238" s="404">
        <f>IFERROR(VLOOKUP($D238&amp;$F238,Landbrugsproduktivititet!$D$3:$G$31,MATCH(J$2,Landbrugsproduktivititet!$D$2:$G$2,0),FALSE),1)*IF($A238&lt;&gt;"",IF(VLOOKUP($A238,[1]!Table1[#All],2,FALSE)="Direkte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input'!$A$3:$A$230,$A$1)),IF(VLOOKUP($A238,[1]!Table1[#All],2,FALSE)="Resultat",SUMIF($F$1:$F176,$D238,J$1:J176)+SUMIF($F239:$F$512,$D238,J239:J$512),0))*'[1]Processer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</f>
        <v>66069.703489053689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402">
        <f>IFERROR(VLOOKUP($D239&amp;$F239,Landbrugsproduktivititet!$D$3:$G$31,MATCH(H$2,Landbrugsproduktivititet!$D$2:$G$2,0),FALSE),1)*IF($A239&lt;&gt;"",IF(VLOOKUP($A239,[1]!Table1[#All],2,FALSE)="Direkte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input'!$A$3:$A$230,$A$1)),IF(VLOOKUP($A239,[1]!Table1[#All],2,FALSE)="Resultat",SUMIF($F$1:$F177,$D239,H$1:H177)+SUMIF($F240:$F$512,$D239,H240:H$512),0))*'[1]Processer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403">
        <f>IFERROR(VLOOKUP($D239&amp;$F239,Landbrugsproduktivititet!$D$3:$G$31,MATCH(I$2,Landbrugsproduktivititet!$D$2:$G$2,0),FALSE),1)*IF($A239&lt;&gt;"",IF(VLOOKUP($A239,[1]!Table1[#All],2,FALSE)="Direkte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input'!$A$3:$A$230,$A$1)),IF(VLOOKUP($A239,[1]!Table1[#All],2,FALSE)="Resultat",SUMIF($F$1:$F177,$D239,I$1:I177)+SUMIF($F240:$F$512,$D239,I240:I$512),0))*'[1]Processer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404">
        <f>IFERROR(VLOOKUP($D239&amp;$F239,Landbrugsproduktivititet!$D$3:$G$31,MATCH(J$2,Landbrugsproduktivititet!$D$2:$G$2,0),FALSE),1)*IF($A239&lt;&gt;"",IF(VLOOKUP($A239,[1]!Table1[#All],2,FALSE)="Direkte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input'!$A$3:$A$230,$A$1)),IF(VLOOKUP($A239,[1]!Table1[#All],2,FALSE)="Resultat",SUMIF($F$1:$F177,$D239,J$1:J177)+SUMIF($F240:$F$512,$D239,J240:J$512),0))*'[1]Processer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402">
        <f>IFERROR(VLOOKUP($D240&amp;$F240,Landbrugsproduktivititet!$D$3:$G$31,MATCH(H$2,Landbrugsproduktivititet!$D$2:$G$2,0),FALSE),1)*IF($A240&lt;&gt;"",IF(VLOOKUP($A240,[1]!Table1[#All],2,FALSE)="Direkte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input'!$A$3:$A$230,$A$1)),IF(VLOOKUP($A240,[1]!Table1[#All],2,FALSE)="Resultat",SUMIF($F$1:$F178,$D240,H$1:H178)+SUMIF($F241:$F$512,$D240,H241:H$512),0))*'[1]Processer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403">
        <f>IFERROR(VLOOKUP($D240&amp;$F240,Landbrugsproduktivititet!$D$3:$G$31,MATCH(I$2,Landbrugsproduktivititet!$D$2:$G$2,0),FALSE),1)*IF($A240&lt;&gt;"",IF(VLOOKUP($A240,[1]!Table1[#All],2,FALSE)="Direkte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input'!$A$3:$A$230,$A$1)),IF(VLOOKUP($A240,[1]!Table1[#All],2,FALSE)="Resultat",SUMIF($F$1:$F178,$D240,I$1:I178)+SUMIF($F241:$F$512,$D240,I241:I$512),0))*'[1]Processer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</f>
        <v>10016.939046933565</v>
      </c>
      <c r="J240" s="404">
        <f>IFERROR(VLOOKUP($D240&amp;$F240,Landbrugsproduktivititet!$D$3:$G$31,MATCH(J$2,Landbrugsproduktivititet!$D$2:$G$2,0),FALSE),1)*IF($A240&lt;&gt;"",IF(VLOOKUP($A240,[1]!Table1[#All],2,FALSE)="Direkte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input'!$A$3:$A$230,$A$1)),IF(VLOOKUP($A240,[1]!Table1[#All],2,FALSE)="Resultat",SUMIF($F$1:$F178,$D240,J$1:J178)+SUMIF($F241:$F$512,$D240,J241:J$512),0))*'[1]Processer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</f>
        <v>148747.54130488314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402">
        <f>IFERROR(VLOOKUP($D241&amp;$F241,Landbrugsproduktivititet!$D$3:$G$31,MATCH(H$2,Landbrugsproduktivititet!$D$2:$G$2,0),FALSE),1)*IF($A241&lt;&gt;"",IF(VLOOKUP($A241,[1]!Table1[#All],2,FALSE)="Direkte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input'!$A$3:$A$230,$A$1)),IF(VLOOKUP($A241,[1]!Table1[#All],2,FALSE)="Resultat",SUMIF($F$1:$F179,$D241,H$1:H179)+SUMIF($F242:$F$512,$D241,H242:H$512),0))*'[1]Processer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403">
        <f>IFERROR(VLOOKUP($D241&amp;$F241,Landbrugsproduktivititet!$D$3:$G$31,MATCH(I$2,Landbrugsproduktivititet!$D$2:$G$2,0),FALSE),1)*IF($A241&lt;&gt;"",IF(VLOOKUP($A241,[1]!Table1[#All],2,FALSE)="Direkte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input'!$A$3:$A$230,$A$1)),IF(VLOOKUP($A241,[1]!Table1[#All],2,FALSE)="Resultat",SUMIF($F$1:$F179,$D241,I$1:I179)+SUMIF($F242:$F$512,$D241,I242:I$512),0))*'[1]Processer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</f>
        <v>21.86924334196582</v>
      </c>
      <c r="J241" s="404">
        <f>IFERROR(VLOOKUP($D241&amp;$F241,Landbrugsproduktivititet!$D$3:$G$31,MATCH(J$2,Landbrugsproduktivititet!$D$2:$G$2,0),FALSE),1)*IF($A241&lt;&gt;"",IF(VLOOKUP($A241,[1]!Table1[#All],2,FALSE)="Direkte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input'!$A$3:$A$230,$A$1)),IF(VLOOKUP($A241,[1]!Table1[#All],2,FALSE)="Resultat",SUMIF($F$1:$F179,$D241,J$1:J179)+SUMIF($F242:$F$512,$D241,J242:J$512),0))*'[1]Processer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402">
        <f>IFERROR(VLOOKUP($D242&amp;$F242,Landbrugsproduktivititet!$D$3:$G$31,MATCH(H$2,Landbrugsproduktivititet!$D$2:$G$2,0),FALSE),1)*IF($A242&lt;&gt;"",IF(VLOOKUP($A242,[1]!Table1[#All],2,FALSE)="Direkte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input'!$A$3:$A$230,$A$1)),IF(VLOOKUP($A242,[1]!Table1[#All],2,FALSE)="Resultat",SUMIF($F$1:$F180,$D242,H$1:H180)+SUMIF($F243:$F$512,$D242,H243:H$512),0))*'[1]Processer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403">
        <f>IFERROR(VLOOKUP($D242&amp;$F242,Landbrugsproduktivititet!$D$3:$G$31,MATCH(I$2,Landbrugsproduktivititet!$D$2:$G$2,0),FALSE),1)*IF($A242&lt;&gt;"",IF(VLOOKUP($A242,[1]!Table1[#All],2,FALSE)="Direkte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input'!$A$3:$A$230,$A$1)),IF(VLOOKUP($A242,[1]!Table1[#All],2,FALSE)="Resultat",SUMIF($F$1:$F180,$D242,I$1:I180)+SUMIF($F243:$F$512,$D242,I243:I$512),0))*'[1]Processer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</f>
        <v>6.4925134851684563</v>
      </c>
      <c r="J242" s="404">
        <f>IFERROR(VLOOKUP($D242&amp;$F242,Landbrugsproduktivititet!$D$3:$G$31,MATCH(J$2,Landbrugsproduktivititet!$D$2:$G$2,0),FALSE),1)*IF($A242&lt;&gt;"",IF(VLOOKUP($A242,[1]!Table1[#All],2,FALSE)="Direkte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input'!$A$3:$A$230,$A$1)),IF(VLOOKUP($A242,[1]!Table1[#All],2,FALSE)="Resultat",SUMIF($F$1:$F180,$D242,J$1:J180)+SUMIF($F243:$F$512,$D242,J243:J$512),0))*'[1]Processer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402">
        <f>IFERROR(VLOOKUP($D243&amp;$F243,Landbrugsproduktivititet!$D$3:$G$31,MATCH(H$2,Landbrugsproduktivititet!$D$2:$G$2,0),FALSE),1)*IF($A243&lt;&gt;"",IF(VLOOKUP($A243,[1]!Table1[#All],2,FALSE)="Direkte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input'!$A$3:$A$230,$A$1)),IF(VLOOKUP($A243,[1]!Table1[#All],2,FALSE)="Resultat",SUMIF($F$1:$F181,$D243,H$1:H181)+SUMIF($F244:$F$512,$D243,H244:H$512),0))*'[1]Processer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403">
        <f>IFERROR(VLOOKUP($D243&amp;$F243,Landbrugsproduktivititet!$D$3:$G$31,MATCH(I$2,Landbrugsproduktivititet!$D$2:$G$2,0),FALSE),1)*IF($A243&lt;&gt;"",IF(VLOOKUP($A243,[1]!Table1[#All],2,FALSE)="Direkte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input'!$A$3:$A$230,$A$1)),IF(VLOOKUP($A243,[1]!Table1[#All],2,FALSE)="Resultat",SUMIF($F$1:$F181,$D243,I$1:I181)+SUMIF($F244:$F$512,$D243,I244:I$512),0))*'[1]Processer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404">
        <f>IFERROR(VLOOKUP($D243&amp;$F243,Landbrugsproduktivititet!$D$3:$G$31,MATCH(J$2,Landbrugsproduktivititet!$D$2:$G$2,0),FALSE),1)*IF($A243&lt;&gt;"",IF(VLOOKUP($A243,[1]!Table1[#All],2,FALSE)="Direkte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input'!$A$3:$A$230,$A$1)),IF(VLOOKUP($A243,[1]!Table1[#All],2,FALSE)="Resultat",SUMIF($F$1:$F181,$D243,J$1:J181)+SUMIF($F244:$F$512,$D243,J244:J$512),0))*'[1]Processer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402">
        <f>IFERROR(VLOOKUP($D244&amp;$F244,Landbrugsproduktivititet!$D$3:$G$31,MATCH(H$2,Landbrugsproduktivititet!$D$2:$G$2,0),FALSE),1)*IF($A244&lt;&gt;"",IF(VLOOKUP($A244,[1]!Table1[#All],2,FALSE)="Direkte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input'!$A$3:$A$230,$A$1)),IF(VLOOKUP($A244,[1]!Table1[#All],2,FALSE)="Resultat",SUMIF($F$1:$F182,$D244,H$1:H182)+SUMIF($F245:$F$512,$D244,H245:H$512),0))*'[1]Processer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403">
        <f>IFERROR(VLOOKUP($D244&amp;$F244,Landbrugsproduktivititet!$D$3:$G$31,MATCH(I$2,Landbrugsproduktivititet!$D$2:$G$2,0),FALSE),1)*IF($A244&lt;&gt;"",IF(VLOOKUP($A244,[1]!Table1[#All],2,FALSE)="Direkte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input'!$A$3:$A$230,$A$1)),IF(VLOOKUP($A244,[1]!Table1[#All],2,FALSE)="Resultat",SUMIF($F$1:$F182,$D244,I$1:I182)+SUMIF($F245:$F$512,$D244,I245:I$512),0))*'[1]Processer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</f>
        <v>114.18529586564573</v>
      </c>
      <c r="J244" s="404">
        <f>IFERROR(VLOOKUP($D244&amp;$F244,Landbrugsproduktivititet!$D$3:$G$31,MATCH(J$2,Landbrugsproduktivititet!$D$2:$G$2,0),FALSE),1)*IF($A244&lt;&gt;"",IF(VLOOKUP($A244,[1]!Table1[#All],2,FALSE)="Direkte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input'!$A$3:$A$230,$A$1)),IF(VLOOKUP($A244,[1]!Table1[#All],2,FALSE)="Resultat",SUMIF($F$1:$F182,$D244,J$1:J182)+SUMIF($F245:$F$512,$D244,J245:J$512),0))*'[1]Processer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402">
        <f>IFERROR(VLOOKUP($D245&amp;$F245,Landbrugsproduktivititet!$D$3:$G$31,MATCH(H$2,Landbrugsproduktivititet!$D$2:$G$2,0),FALSE),1)*IF($A245&lt;&gt;"",IF(VLOOKUP($A245,[1]!Table1[#All],2,FALSE)="Direkte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input'!$A$3:$A$230,$A$1)),IF(VLOOKUP($A245,[1]!Table1[#All],2,FALSE)="Resultat",SUMIF($F$1:$F183,$D245,H$1:H183)+SUMIF($F246:$F$512,$D245,H246:H$512),0))*'[1]Processer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403">
        <f>IFERROR(VLOOKUP($D245&amp;$F245,Landbrugsproduktivititet!$D$3:$G$31,MATCH(I$2,Landbrugsproduktivititet!$D$2:$G$2,0),FALSE),1)*IF($A245&lt;&gt;"",IF(VLOOKUP($A245,[1]!Table1[#All],2,FALSE)="Direkte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input'!$A$3:$A$230,$A$1)),IF(VLOOKUP($A245,[1]!Table1[#All],2,FALSE)="Resultat",SUMIF($F$1:$F183,$D245,I$1:I183)+SUMIF($F246:$F$512,$D245,I246:I$512),0))*'[1]Processer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</f>
        <v>9.4466004165665431</v>
      </c>
      <c r="J245" s="404">
        <f>IFERROR(VLOOKUP($D245&amp;$F245,Landbrugsproduktivititet!$D$3:$G$31,MATCH(J$2,Landbrugsproduktivititet!$D$2:$G$2,0),FALSE),1)*IF($A245&lt;&gt;"",IF(VLOOKUP($A245,[1]!Table1[#All],2,FALSE)="Direkte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input'!$A$3:$A$230,$A$1)),IF(VLOOKUP($A245,[1]!Table1[#All],2,FALSE)="Resultat",SUMIF($F$1:$F183,$D245,J$1:J183)+SUMIF($F246:$F$512,$D245,J246:J$512),0))*'[1]Processer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402">
        <f>IFERROR(VLOOKUP($D246&amp;$F246,Landbrugsproduktivititet!$D$3:$G$31,MATCH(H$2,Landbrugsproduktivititet!$D$2:$G$2,0),FALSE),1)*IF($A246&lt;&gt;"",IF(VLOOKUP($A246,[1]!Table1[#All],2,FALSE)="Direkte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input'!$A$3:$A$230,$A$1)),IF(VLOOKUP($A246,[1]!Table1[#All],2,FALSE)="Resultat",SUMIF($F$1:$F184,$D246,H$1:H184)+SUMIF($F247:$F$512,$D246,H247:H$512),0))*'[1]Processer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403">
        <f>IFERROR(VLOOKUP($D246&amp;$F246,Landbrugsproduktivititet!$D$3:$G$31,MATCH(I$2,Landbrugsproduktivititet!$D$2:$G$2,0),FALSE),1)*IF($A246&lt;&gt;"",IF(VLOOKUP($A246,[1]!Table1[#All],2,FALSE)="Direkte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input'!$A$3:$A$230,$A$1)),IF(VLOOKUP($A246,[1]!Table1[#All],2,FALSE)="Resultat",SUMIF($F$1:$F184,$D246,I$1:I184)+SUMIF($F247:$F$512,$D246,I247:I$512),0))*'[1]Processer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</f>
        <v>2.8044948622371093</v>
      </c>
      <c r="J246" s="404">
        <f>IFERROR(VLOOKUP($D246&amp;$F246,Landbrugsproduktivititet!$D$3:$G$31,MATCH(J$2,Landbrugsproduktivititet!$D$2:$G$2,0),FALSE),1)*IF($A246&lt;&gt;"",IF(VLOOKUP($A246,[1]!Table1[#All],2,FALSE)="Direkte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input'!$A$3:$A$230,$A$1)),IF(VLOOKUP($A246,[1]!Table1[#All],2,FALSE)="Resultat",SUMIF($F$1:$F184,$D246,J$1:J184)+SUMIF($F247:$F$512,$D246,J247:J$512),0))*'[1]Processer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402">
        <f>IFERROR(VLOOKUP($D247&amp;$F247,Landbrugsproduktivititet!$D$3:$G$31,MATCH(H$2,Landbrugsproduktivititet!$D$2:$G$2,0),FALSE),1)*IF($A247&lt;&gt;"",IF(VLOOKUP($A247,[1]!Table1[#All],2,FALSE)="Direkte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input'!$A$3:$A$230,$A$1)),IF(VLOOKUP($A247,[1]!Table1[#All],2,FALSE)="Resultat",SUMIF($F$1:$F185,$D247,H$1:H185)+SUMIF($F248:$F$512,$D247,H248:H$512),0))*'[1]Processer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403">
        <f>IFERROR(VLOOKUP($D247&amp;$F247,Landbrugsproduktivititet!$D$3:$G$31,MATCH(I$2,Landbrugsproduktivititet!$D$2:$G$2,0),FALSE),1)*IF($A247&lt;&gt;"",IF(VLOOKUP($A247,[1]!Table1[#All],2,FALSE)="Direkte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input'!$A$3:$A$230,$A$1)),IF(VLOOKUP($A247,[1]!Table1[#All],2,FALSE)="Resultat",SUMIF($F$1:$F185,$D247,I$1:I185)+SUMIF($F248:$F$512,$D247,I248:I$512),0))*'[1]Processer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404">
        <f>IFERROR(VLOOKUP($D247&amp;$F247,Landbrugsproduktivititet!$D$3:$G$31,MATCH(J$2,Landbrugsproduktivititet!$D$2:$G$2,0),FALSE),1)*IF($A247&lt;&gt;"",IF(VLOOKUP($A247,[1]!Table1[#All],2,FALSE)="Direkte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input'!$A$3:$A$230,$A$1)),IF(VLOOKUP($A247,[1]!Table1[#All],2,FALSE)="Resultat",SUMIF($F$1:$F185,$D247,J$1:J185)+SUMIF($F248:$F$512,$D247,J248:J$512),0))*'[1]Processer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402">
        <f>IFERROR(VLOOKUP($D248&amp;$F248,Landbrugsproduktivititet!$D$3:$G$31,MATCH(H$2,Landbrugsproduktivititet!$D$2:$G$2,0),FALSE),1)*IF($A248&lt;&gt;"",IF(VLOOKUP($A248,[1]!Table1[#All],2,FALSE)="Direkte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input'!$A$3:$A$230,$A$1)),IF(VLOOKUP($A248,[1]!Table1[#All],2,FALSE)="Resultat",SUMIF($F$1:$F186,$D248,H$1:H186)+SUMIF($F249:$F$512,$D248,H249:H$512),0))*'[1]Processer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403">
        <f>IFERROR(VLOOKUP($D248&amp;$F248,Landbrugsproduktivititet!$D$3:$G$31,MATCH(I$2,Landbrugsproduktivititet!$D$2:$G$2,0),FALSE),1)*IF($A248&lt;&gt;"",IF(VLOOKUP($A248,[1]!Table1[#All],2,FALSE)="Direkte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input'!$A$3:$A$230,$A$1)),IF(VLOOKUP($A248,[1]!Table1[#All],2,FALSE)="Resultat",SUMIF($F$1:$F186,$D248,I$1:I186)+SUMIF($F249:$F$512,$D248,I249:I$512),0))*'[1]Processer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108.2636275184032</v>
      </c>
      <c r="J248" s="404">
        <f>IFERROR(VLOOKUP($D248&amp;$F248,Landbrugsproduktivititet!$D$3:$G$31,MATCH(J$2,Landbrugsproduktivititet!$D$2:$G$2,0),FALSE),1)*IF($A248&lt;&gt;"",IF(VLOOKUP($A248,[1]!Table1[#All],2,FALSE)="Direkte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input'!$A$3:$A$230,$A$1)),IF(VLOOKUP($A248,[1]!Table1[#All],2,FALSE)="Resultat",SUMIF($F$1:$F186,$D248,J$1:J186)+SUMIF($F249:$F$512,$D248,J249:J$512),0))*'[1]Processer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402">
        <f>IFERROR(VLOOKUP($D249&amp;$F249,Landbrugsproduktivititet!$D$3:$G$31,MATCH(H$2,Landbrugsproduktivititet!$D$2:$G$2,0),FALSE),1)*IF($A249&lt;&gt;"",IF(VLOOKUP($A249,[1]!Table1[#All],2,FALSE)="Direkte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input'!$A$3:$A$230,$A$1)),IF(VLOOKUP($A249,[1]!Table1[#All],2,FALSE)="Resultat",SUMIF($F$1:$F187,$D249,H$1:H187)+SUMIF($F250:$F$512,$D249,H250:H$512),0))*'[1]Processer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403">
        <f>IFERROR(VLOOKUP($D249&amp;$F249,Landbrugsproduktivititet!$D$3:$G$31,MATCH(I$2,Landbrugsproduktivititet!$D$2:$G$2,0),FALSE),1)*IF($A249&lt;&gt;"",IF(VLOOKUP($A249,[1]!Table1[#All],2,FALSE)="Direkte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input'!$A$3:$A$230,$A$1)),IF(VLOOKUP($A249,[1]!Table1[#All],2,FALSE)="Resultat",SUMIF($F$1:$F187,$D249,I$1:I187)+SUMIF($F250:$F$512,$D249,I250:I$512),0))*'[1]Processer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827708.39134085341</v>
      </c>
      <c r="J249" s="404">
        <f>IFERROR(VLOOKUP($D249&amp;$F249,Landbrugsproduktivititet!$D$3:$G$31,MATCH(J$2,Landbrugsproduktivititet!$D$2:$G$2,0),FALSE),1)*IF($A249&lt;&gt;"",IF(VLOOKUP($A249,[1]!Table1[#All],2,FALSE)="Direkte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input'!$A$3:$A$230,$A$1)),IF(VLOOKUP($A249,[1]!Table1[#All],2,FALSE)="Resultat",SUMIF($F$1:$F187,$D249,J$1:J187)+SUMIF($F250:$F$512,$D249,J250:J$512),0))*'[1]Processer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0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402">
        <f>IFERROR(VLOOKUP($D250&amp;$F250,Landbrugsproduktivititet!$D$3:$G$31,MATCH(H$2,Landbrugsproduktivititet!$D$2:$G$2,0),FALSE),1)*IF($A250&lt;&gt;"",IF(VLOOKUP($A250,[1]!Table1[#All],2,FALSE)="Direkte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input'!$A$3:$A$230,$A$1)),IF(VLOOKUP($A250,[1]!Table1[#All],2,FALSE)="Resultat",SUMIF($F$1:$F188,$D250,H$1:H188)+SUMIF($F251:$F$512,$D250,H251:H$512),0))*'[1]Processer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403">
        <f>IFERROR(VLOOKUP($D250&amp;$F250,Landbrugsproduktivititet!$D$3:$G$31,MATCH(I$2,Landbrugsproduktivititet!$D$2:$G$2,0),FALSE),1)*IF($A250&lt;&gt;"",IF(VLOOKUP($A250,[1]!Table1[#All],2,FALSE)="Direkte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input'!$A$3:$A$230,$A$1)),IF(VLOOKUP($A250,[1]!Table1[#All],2,FALSE)="Resultat",SUMIF($F$1:$F188,$D250,I$1:I188)+SUMIF($F251:$F$512,$D250,I251:I$512),0))*'[1]Processer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-1280608.0907044369</v>
      </c>
      <c r="J250" s="404">
        <f>IFERROR(VLOOKUP($D250&amp;$F250,Landbrugsproduktivititet!$D$3:$G$31,MATCH(J$2,Landbrugsproduktivititet!$D$2:$G$2,0),FALSE),1)*IF($A250&lt;&gt;"",IF(VLOOKUP($A250,[1]!Table1[#All],2,FALSE)="Direkte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input'!$A$3:$A$230,$A$1)),IF(VLOOKUP($A250,[1]!Table1[#All],2,FALSE)="Resultat",SUMIF($F$1:$F188,$D250,J$1:J188)+SUMIF($F251:$F$512,$D250,J251:J$512),0))*'[1]Processer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0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402">
        <f>IFERROR(VLOOKUP($D251&amp;$F251,Landbrugsproduktivititet!$D$3:$G$31,MATCH(H$2,Landbrugsproduktivititet!$D$2:$G$2,0),FALSE),1)*IF($A251&lt;&gt;"",IF(VLOOKUP($A251,[1]!Table1[#All],2,FALSE)="Direkte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input'!$A$3:$A$230,$A$1)),IF(VLOOKUP($A251,[1]!Table1[#All],2,FALSE)="Resultat",SUMIF($F$1:$F189,$D251,H$1:H189)+SUMIF($F252:$F$512,$D251,H252:H$512),0))*'[1]Processer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403">
        <f>IFERROR(VLOOKUP($D251&amp;$F251,Landbrugsproduktivititet!$D$3:$G$31,MATCH(I$2,Landbrugsproduktivititet!$D$2:$G$2,0),FALSE),1)*IF($A251&lt;&gt;"",IF(VLOOKUP($A251,[1]!Table1[#All],2,FALSE)="Direkte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input'!$A$3:$A$230,$A$1)),IF(VLOOKUP($A251,[1]!Table1[#All],2,FALSE)="Resultat",SUMIF($F$1:$F189,$D251,I$1:I189)+SUMIF($F252:$F$512,$D251,I252:I$512),0))*'[1]Processer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19966.019002053097</v>
      </c>
      <c r="J251" s="404">
        <f>IFERROR(VLOOKUP($D251&amp;$F251,Landbrugsproduktivititet!$D$3:$G$31,MATCH(J$2,Landbrugsproduktivititet!$D$2:$G$2,0),FALSE),1)*IF($A251&lt;&gt;"",IF(VLOOKUP($A251,[1]!Table1[#All],2,FALSE)="Direkte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input'!$A$3:$A$230,$A$1)),IF(VLOOKUP($A251,[1]!Table1[#All],2,FALSE)="Resultat",SUMIF($F$1:$F189,$D251,J$1:J189)+SUMIF($F252:$F$512,$D251,J252:J$512),0))*'[1]Processer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0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402">
        <f>IFERROR(VLOOKUP($D252&amp;$F252,Landbrugsproduktivititet!$D$3:$G$31,MATCH(H$2,Landbrugsproduktivititet!$D$2:$G$2,0),FALSE),1)*IF($A252&lt;&gt;"",IF(VLOOKUP($A252,[1]!Table1[#All],2,FALSE)="Direkte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input'!$A$3:$A$230,$A$1)),IF(VLOOKUP($A252,[1]!Table1[#All],2,FALSE)="Resultat",SUMIF($F$1:$F190,$D252,H$1:H190)+SUMIF($F253:$F$512,$D252,H253:H$512),0))*'[1]Processer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403">
        <f>IFERROR(VLOOKUP($D252&amp;$F252,Landbrugsproduktivititet!$D$3:$G$31,MATCH(I$2,Landbrugsproduktivititet!$D$2:$G$2,0),FALSE),1)*IF($A252&lt;&gt;"",IF(VLOOKUP($A252,[1]!Table1[#All],2,FALSE)="Direkte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input'!$A$3:$A$230,$A$1)),IF(VLOOKUP($A252,[1]!Table1[#All],2,FALSE)="Resultat",SUMIF($F$1:$F190,$D252,I$1:I190)+SUMIF($F253:$F$512,$D252,I253:I$512),0))*'[1]Processer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6748.326377559657</v>
      </c>
      <c r="J252" s="404">
        <f>IFERROR(VLOOKUP($D252&amp;$F252,Landbrugsproduktivititet!$D$3:$G$31,MATCH(J$2,Landbrugsproduktivititet!$D$2:$G$2,0),FALSE),1)*IF($A252&lt;&gt;"",IF(VLOOKUP($A252,[1]!Table1[#All],2,FALSE)="Direkte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input'!$A$3:$A$230,$A$1)),IF(VLOOKUP($A252,[1]!Table1[#All],2,FALSE)="Resultat",SUMIF($F$1:$F190,$D252,J$1:J190)+SUMIF($F253:$F$512,$D252,J253:J$512),0))*'[1]Processer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402">
        <f>IFERROR(VLOOKUP($D253&amp;$F253,Landbrugsproduktivititet!$D$3:$G$31,MATCH(H$2,Landbrugsproduktivititet!$D$2:$G$2,0),FALSE),1)*IF($A253&lt;&gt;"",IF(VLOOKUP($A253,[1]!Table1[#All],2,FALSE)="Direkte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input'!$A$3:$A$230,$A$1)),IF(VLOOKUP($A253,[1]!Table1[#All],2,FALSE)="Resultat",SUMIF($F$1:$F191,$D253,H$1:H191)+SUMIF($F254:$F$512,$D253,H254:H$512),0))*'[1]Processer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403">
        <f>IFERROR(VLOOKUP($D253&amp;$F253,Landbrugsproduktivititet!$D$3:$G$31,MATCH(I$2,Landbrugsproduktivititet!$D$2:$G$2,0),FALSE),1)*IF($A253&lt;&gt;"",IF(VLOOKUP($A253,[1]!Table1[#All],2,FALSE)="Direkte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input'!$A$3:$A$230,$A$1)),IF(VLOOKUP($A253,[1]!Table1[#All],2,FALSE)="Resultat",SUMIF($F$1:$F191,$D253,I$1:I191)+SUMIF($F254:$F$512,$D253,I254:I$512),0))*'[1]Processer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-6767.2036541313246</v>
      </c>
      <c r="J253" s="404">
        <f>IFERROR(VLOOKUP($D253&amp;$F253,Landbrugsproduktivititet!$D$3:$G$31,MATCH(J$2,Landbrugsproduktivititet!$D$2:$G$2,0),FALSE),1)*IF($A253&lt;&gt;"",IF(VLOOKUP($A253,[1]!Table1[#All],2,FALSE)="Direkte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input'!$A$3:$A$230,$A$1)),IF(VLOOKUP($A253,[1]!Table1[#All],2,FALSE)="Resultat",SUMIF($F$1:$F191,$D253,J$1:J191)+SUMIF($F254:$F$512,$D253,J254:J$512),0))*'[1]Processer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402">
        <f>IFERROR(VLOOKUP($D254&amp;$F254,Landbrugsproduktivititet!$D$3:$G$31,MATCH(H$2,Landbrugsproduktivititet!$D$2:$G$2,0),FALSE),1)*IF($A254&lt;&gt;"",IF(VLOOKUP($A254,[1]!Table1[#All],2,FALSE)="Direkte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input'!$A$3:$A$230,$A$1)),IF(VLOOKUP($A254,[1]!Table1[#All],2,FALSE)="Resultat",SUMIF($F$1:$F192,$D254,H$1:H192)+SUMIF($F255:$F$512,$D254,H255:H$512),0))*'[1]Processer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403">
        <f>IFERROR(VLOOKUP($D254&amp;$F254,Landbrugsproduktivititet!$D$3:$G$31,MATCH(I$2,Landbrugsproduktivititet!$D$2:$G$2,0),FALSE),1)*IF($A254&lt;&gt;"",IF(VLOOKUP($A254,[1]!Table1[#All],2,FALSE)="Direkte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input'!$A$3:$A$230,$A$1)),IF(VLOOKUP($A254,[1]!Table1[#All],2,FALSE)="Resultat",SUMIF($F$1:$F192,$D254,I$1:I192)+SUMIF($F255:$F$512,$D254,I255:I$512),0))*'[1]Processer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954.09440644358847</v>
      </c>
      <c r="J254" s="404">
        <f>IFERROR(VLOOKUP($D254&amp;$F254,Landbrugsproduktivititet!$D$3:$G$31,MATCH(J$2,Landbrugsproduktivititet!$D$2:$G$2,0),FALSE),1)*IF($A254&lt;&gt;"",IF(VLOOKUP($A254,[1]!Table1[#All],2,FALSE)="Direkte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input'!$A$3:$A$230,$A$1)),IF(VLOOKUP($A254,[1]!Table1[#All],2,FALSE)="Resultat",SUMIF($F$1:$F192,$D254,J$1:J192)+SUMIF($F255:$F$512,$D254,J255:J$512),0))*'[1]Processer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402">
        <f>IFERROR(VLOOKUP($D255&amp;$F255,Landbrugsproduktivititet!$D$3:$G$31,MATCH(H$2,Landbrugsproduktivititet!$D$2:$G$2,0),FALSE),1)*IF($A255&lt;&gt;"",IF(VLOOKUP($A255,[1]!Table1[#All],2,FALSE)="Direkte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input'!$A$3:$A$230,$A$1)),IF(VLOOKUP($A255,[1]!Table1[#All],2,FALSE)="Resultat",SUMIF($F$1:$F193,$D255,H$1:H193)+SUMIF($F256:$F$512,$D255,H256:H$512),0))*'[1]Processer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403">
        <f>IFERROR(VLOOKUP($D255&amp;$F255,Landbrugsproduktivititet!$D$3:$G$31,MATCH(I$2,Landbrugsproduktivititet!$D$2:$G$2,0),FALSE),1)*IF($A255&lt;&gt;"",IF(VLOOKUP($A255,[1]!Table1[#All],2,FALSE)="Direkte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input'!$A$3:$A$230,$A$1)),IF(VLOOKUP($A255,[1]!Table1[#All],2,FALSE)="Resultat",SUMIF($F$1:$F193,$D255,I$1:I193)+SUMIF($F256:$F$512,$D255,I256:I$512),0))*'[1]Processer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3025.7537144067901</v>
      </c>
      <c r="J255" s="404">
        <f>IFERROR(VLOOKUP($D255&amp;$F255,Landbrugsproduktivititet!$D$3:$G$31,MATCH(J$2,Landbrugsproduktivititet!$D$2:$G$2,0),FALSE),1)*IF($A255&lt;&gt;"",IF(VLOOKUP($A255,[1]!Table1[#All],2,FALSE)="Direkte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input'!$A$3:$A$230,$A$1)),IF(VLOOKUP($A255,[1]!Table1[#All],2,FALSE)="Resultat",SUMIF($F$1:$F193,$D255,J$1:J193)+SUMIF($F256:$F$512,$D255,J256:J$512),0))*'[1]Processer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402">
        <f>IFERROR(VLOOKUP($D256&amp;$F256,Landbrugsproduktivititet!$D$3:$G$31,MATCH(H$2,Landbrugsproduktivititet!$D$2:$G$2,0),FALSE),1)*IF($A256&lt;&gt;"",IF(VLOOKUP($A256,[1]!Table1[#All],2,FALSE)="Direkte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input'!$A$3:$A$230,$A$1)),IF(VLOOKUP($A256,[1]!Table1[#All],2,FALSE)="Resultat",SUMIF($F$1:$F194,$D256,H$1:H194)+SUMIF($F257:$F$512,$D256,H257:H$512),0))*'[1]Processer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403">
        <f>IFERROR(VLOOKUP($D256&amp;$F256,Landbrugsproduktivititet!$D$3:$G$31,MATCH(I$2,Landbrugsproduktivititet!$D$2:$G$2,0),FALSE),1)*IF($A256&lt;&gt;"",IF(VLOOKUP($A256,[1]!Table1[#All],2,FALSE)="Direkte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input'!$A$3:$A$230,$A$1)),IF(VLOOKUP($A256,[1]!Table1[#All],2,FALSE)="Resultat",SUMIF($F$1:$F194,$D256,I$1:I194)+SUMIF($F257:$F$512,$D256,I257:I$512),0))*'[1]Processer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-1857.684329027599</v>
      </c>
      <c r="J256" s="404">
        <f>IFERROR(VLOOKUP($D256&amp;$F256,Landbrugsproduktivititet!$D$3:$G$31,MATCH(J$2,Landbrugsproduktivititet!$D$2:$G$2,0),FALSE),1)*IF($A256&lt;&gt;"",IF(VLOOKUP($A256,[1]!Table1[#All],2,FALSE)="Direkte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input'!$A$3:$A$230,$A$1)),IF(VLOOKUP($A256,[1]!Table1[#All],2,FALSE)="Resultat",SUMIF($F$1:$F194,$D256,J$1:J194)+SUMIF($F257:$F$512,$D256,J257:J$512),0))*'[1]Processer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402">
        <f>IFERROR(VLOOKUP($D257&amp;$F257,Landbrugsproduktivititet!$D$3:$G$31,MATCH(H$2,Landbrugsproduktivititet!$D$2:$G$2,0),FALSE),1)*IF($A257&lt;&gt;"",IF(VLOOKUP($A257,[1]!Table1[#All],2,FALSE)="Direkte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input'!$A$3:$A$230,$A$1)),IF(VLOOKUP($A257,[1]!Table1[#All],2,FALSE)="Resultat",SUMIF($F$1:$F195,$D257,H$1:H195)+SUMIF($F258:$F$512,$D257,H258:H$512),0))*'[1]Processer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403">
        <f>IFERROR(VLOOKUP($D257&amp;$F257,Landbrugsproduktivititet!$D$3:$G$31,MATCH(I$2,Landbrugsproduktivititet!$D$2:$G$2,0),FALSE),1)*IF($A257&lt;&gt;"",IF(VLOOKUP($A257,[1]!Table1[#All],2,FALSE)="Direkte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input'!$A$3:$A$230,$A$1)),IF(VLOOKUP($A257,[1]!Table1[#All],2,FALSE)="Resultat",SUMIF($F$1:$F195,$D257,I$1:I195)+SUMIF($F258:$F$512,$D257,I258:I$512),0))*'[1]Processer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938.98672143425642</v>
      </c>
      <c r="J257" s="404">
        <f>IFERROR(VLOOKUP($D257&amp;$F257,Landbrugsproduktivititet!$D$3:$G$31,MATCH(J$2,Landbrugsproduktivititet!$D$2:$G$2,0),FALSE),1)*IF($A257&lt;&gt;"",IF(VLOOKUP($A257,[1]!Table1[#All],2,FALSE)="Direkte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input'!$A$3:$A$230,$A$1)),IF(VLOOKUP($A257,[1]!Table1[#All],2,FALSE)="Resultat",SUMIF($F$1:$F195,$D257,J$1:J195)+SUMIF($F258:$F$512,$D257,J258:J$512),0))*'[1]Processer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402">
        <f>IFERROR(VLOOKUP($D258&amp;$F258,Landbrugsproduktivititet!$D$3:$G$31,MATCH(H$2,Landbrugsproduktivititet!$D$2:$G$2,0),FALSE),1)*IF($A258&lt;&gt;"",IF(VLOOKUP($A258,[1]!Table1[#All],2,FALSE)="Direkte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input'!$A$3:$A$230,$A$1)),IF(VLOOKUP($A258,[1]!Table1[#All],2,FALSE)="Resultat",SUMIF($F$1:$F196,$D258,H$1:H196)+SUMIF($F259:$F$512,$D258,H259:H$512),0))*'[1]Processer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403">
        <f>IFERROR(VLOOKUP($D258&amp;$F258,Landbrugsproduktivititet!$D$3:$G$31,MATCH(I$2,Landbrugsproduktivititet!$D$2:$G$2,0),FALSE),1)*IF($A258&lt;&gt;"",IF(VLOOKUP($A258,[1]!Table1[#All],2,FALSE)="Direkte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input'!$A$3:$A$230,$A$1)),IF(VLOOKUP($A258,[1]!Table1[#All],2,FALSE)="Resultat",SUMIF($F$1:$F196,$D258,I$1:I196)+SUMIF($F259:$F$512,$D258,I259:I$512),0))*'[1]Processer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60324.267532276477</v>
      </c>
      <c r="J258" s="404">
        <f>IFERROR(VLOOKUP($D258&amp;$F258,Landbrugsproduktivititet!$D$3:$G$31,MATCH(J$2,Landbrugsproduktivititet!$D$2:$G$2,0),FALSE),1)*IF($A258&lt;&gt;"",IF(VLOOKUP($A258,[1]!Table1[#All],2,FALSE)="Direkte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input'!$A$3:$A$230,$A$1)),IF(VLOOKUP($A258,[1]!Table1[#All],2,FALSE)="Resultat",SUMIF($F$1:$F196,$D258,J$1:J196)+SUMIF($F259:$F$512,$D258,J259:J$512),0))*'[1]Processer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914724.5674164847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402">
        <f>IFERROR(VLOOKUP($D259&amp;$F259,Landbrugsproduktivititet!$D$3:$G$31,MATCH(H$2,Landbrugsproduktivititet!$D$2:$G$2,0),FALSE),1)*IF($A259&lt;&gt;"",IF(VLOOKUP($A259,[1]!Table1[#All],2,FALSE)="Direkte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input'!$A$3:$A$230,$A$1)),IF(VLOOKUP($A259,[1]!Table1[#All],2,FALSE)="Resultat",SUMIF($F$1:$F197,$D259,H$1:H197)+SUMIF($F260:$F$512,$D259,H260:H$512),0))*'[1]Processer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403">
        <f>IFERROR(VLOOKUP($D259&amp;$F259,Landbrugsproduktivititet!$D$3:$G$31,MATCH(I$2,Landbrugsproduktivititet!$D$2:$G$2,0),FALSE),1)*IF($A259&lt;&gt;"",IF(VLOOKUP($A259,[1]!Table1[#All],2,FALSE)="Direkte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input'!$A$3:$A$230,$A$1)),IF(VLOOKUP($A259,[1]!Table1[#All],2,FALSE)="Resultat",SUMIF($F$1:$F197,$D259,I$1:I197)+SUMIF($F260:$F$512,$D259,I260:I$512),0))*'[1]Processer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-93332.079118477443</v>
      </c>
      <c r="J259" s="404">
        <f>IFERROR(VLOOKUP($D259&amp;$F259,Landbrugsproduktivititet!$D$3:$G$31,MATCH(J$2,Landbrugsproduktivititet!$D$2:$G$2,0),FALSE),1)*IF($A259&lt;&gt;"",IF(VLOOKUP($A259,[1]!Table1[#All],2,FALSE)="Direkte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input'!$A$3:$A$230,$A$1)),IF(VLOOKUP($A259,[1]!Table1[#All],2,FALSE)="Resultat",SUMIF($F$1:$F197,$D259,J$1:J197)+SUMIF($F260:$F$512,$D259,J260:J$512),0))*'[1]Processer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-1243236.1853033025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402">
        <f>IFERROR(VLOOKUP($D260&amp;$F260,Landbrugsproduktivititet!$D$3:$G$31,MATCH(H$2,Landbrugsproduktivititet!$D$2:$G$2,0),FALSE),1)*IF($A260&lt;&gt;"",IF(VLOOKUP($A260,[1]!Table1[#All],2,FALSE)="Direkte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input'!$A$3:$A$230,$A$1)),IF(VLOOKUP($A260,[1]!Table1[#All],2,FALSE)="Resultat",SUMIF($F$1:$F198,$D260,H$1:H198)+SUMIF($F261:$F$512,$D260,H261:H$512),0))*'[1]Processer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403">
        <f>IFERROR(VLOOKUP($D260&amp;$F260,Landbrugsproduktivititet!$D$3:$G$31,MATCH(I$2,Landbrugsproduktivititet!$D$2:$G$2,0),FALSE),1)*IF($A260&lt;&gt;"",IF(VLOOKUP($A260,[1]!Table1[#All],2,FALSE)="Direkte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input'!$A$3:$A$230,$A$1)),IF(VLOOKUP($A260,[1]!Table1[#All],2,FALSE)="Resultat",SUMIF($F$1:$F198,$D260,I$1:I198)+SUMIF($F261:$F$512,$D260,I261:I$512),0))*'[1]Processer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2552.8854238213876</v>
      </c>
      <c r="J260" s="404">
        <f>IFERROR(VLOOKUP($D260&amp;$F260,Landbrugsproduktivititet!$D$3:$G$31,MATCH(J$2,Landbrugsproduktivititet!$D$2:$G$2,0),FALSE),1)*IF($A260&lt;&gt;"",IF(VLOOKUP($A260,[1]!Table1[#All],2,FALSE)="Direkte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input'!$A$3:$A$230,$A$1)),IF(VLOOKUP($A260,[1]!Table1[#All],2,FALSE)="Resultat",SUMIF($F$1:$F198,$D260,J$1:J198)+SUMIF($F261:$F$512,$D260,J261:J$512),0))*'[1]Processer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29044.297436957211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402">
        <f>IFERROR(VLOOKUP($D261&amp;$F261,Landbrugsproduktivititet!$D$3:$G$31,MATCH(H$2,Landbrugsproduktivititet!$D$2:$G$2,0),FALSE),1)*IF($A261&lt;&gt;"",IF(VLOOKUP($A261,[1]!Table1[#All],2,FALSE)="Direkte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input'!$A$3:$A$230,$A$1)),IF(VLOOKUP($A261,[1]!Table1[#All],2,FALSE)="Resultat",SUMIF($F$1:$F199,$D261,H$1:H199)+SUMIF($F262:$F$512,$D261,H262:H$512),0))*'[1]Processer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403">
        <f>IFERROR(VLOOKUP($D261&amp;$F261,Landbrugsproduktivititet!$D$3:$G$31,MATCH(I$2,Landbrugsproduktivititet!$D$2:$G$2,0),FALSE),1)*IF($A261&lt;&gt;"",IF(VLOOKUP($A261,[1]!Table1[#All],2,FALSE)="Direkte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input'!$A$3:$A$230,$A$1)),IF(VLOOKUP($A261,[1]!Table1[#All],2,FALSE)="Resultat",SUMIF($F$1:$F199,$D261,I$1:I199)+SUMIF($F262:$F$512,$D261,I262:I$512),0))*'[1]Processer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491.8252008241227</v>
      </c>
      <c r="J261" s="404">
        <f>IFERROR(VLOOKUP($D261&amp;$F261,Landbrugsproduktivititet!$D$3:$G$31,MATCH(J$2,Landbrugsproduktivititet!$D$2:$G$2,0),FALSE),1)*IF($A261&lt;&gt;"",IF(VLOOKUP($A261,[1]!Table1[#All],2,FALSE)="Direkte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input'!$A$3:$A$230,$A$1)),IF(VLOOKUP($A261,[1]!Table1[#All],2,FALSE)="Resultat",SUMIF($F$1:$F199,$D261,J$1:J199)+SUMIF($F262:$F$512,$D261,J262:J$512),0))*'[1]Processer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402">
        <f>IFERROR(VLOOKUP($D262&amp;$F262,Landbrugsproduktivititet!$D$3:$G$31,MATCH(H$2,Landbrugsproduktivititet!$D$2:$G$2,0),FALSE),1)*IF($A262&lt;&gt;"",IF(VLOOKUP($A262,[1]!Table1[#All],2,FALSE)="Direkte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input'!$A$3:$A$230,$A$1)),IF(VLOOKUP($A262,[1]!Table1[#All],2,FALSE)="Resultat",SUMIF($F$1:$F200,$D262,H$1:H200)+SUMIF($F263:$F$512,$D262,H263:H$512),0))*'[1]Processer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403">
        <f>IFERROR(VLOOKUP($D262&amp;$F262,Landbrugsproduktivititet!$D$3:$G$31,MATCH(I$2,Landbrugsproduktivititet!$D$2:$G$2,0),FALSE),1)*IF($A262&lt;&gt;"",IF(VLOOKUP($A262,[1]!Table1[#All],2,FALSE)="Direkte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input'!$A$3:$A$230,$A$1)),IF(VLOOKUP($A262,[1]!Table1[#All],2,FALSE)="Resultat",SUMIF($F$1:$F200,$D262,I$1:I200)+SUMIF($F263:$F$512,$D262,I263:I$512),0))*'[1]Processer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-493.20099680988693</v>
      </c>
      <c r="J262" s="404">
        <f>IFERROR(VLOOKUP($D262&amp;$F262,Landbrugsproduktivititet!$D$3:$G$31,MATCH(J$2,Landbrugsproduktivititet!$D$2:$G$2,0),FALSE),1)*IF($A262&lt;&gt;"",IF(VLOOKUP($A262,[1]!Table1[#All],2,FALSE)="Direkte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input'!$A$3:$A$230,$A$1)),IF(VLOOKUP($A262,[1]!Table1[#All],2,FALSE)="Resultat",SUMIF($F$1:$F200,$D262,J$1:J200)+SUMIF($F263:$F$512,$D262,J263:J$512),0))*'[1]Processer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402">
        <f>IFERROR(VLOOKUP($D263&amp;$F263,Landbrugsproduktivititet!$D$3:$G$31,MATCH(H$2,Landbrugsproduktivititet!$D$2:$G$2,0),FALSE),1)*IF($A263&lt;&gt;"",IF(VLOOKUP($A263,[1]!Table1[#All],2,FALSE)="Direkte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input'!$A$3:$A$230,$A$1)),IF(VLOOKUP($A263,[1]!Table1[#All],2,FALSE)="Resultat",SUMIF($F$1:$F201,$D263,H$1:H201)+SUMIF($F264:$F$512,$D263,H264:H$512),0))*'[1]Processer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403">
        <f>IFERROR(VLOOKUP($D263&amp;$F263,Landbrugsproduktivititet!$D$3:$G$31,MATCH(I$2,Landbrugsproduktivititet!$D$2:$G$2,0),FALSE),1)*IF($A263&lt;&gt;"",IF(VLOOKUP($A263,[1]!Table1[#All],2,FALSE)="Direkte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input'!$A$3:$A$230,$A$1)),IF(VLOOKUP($A263,[1]!Table1[#All],2,FALSE)="Resultat",SUMIF($F$1:$F201,$D263,I$1:I201)+SUMIF($F264:$F$512,$D263,I264:I$512),0))*'[1]Processer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121.9919555775688</v>
      </c>
      <c r="J263" s="404">
        <f>IFERROR(VLOOKUP($D263&amp;$F263,Landbrugsproduktivititet!$D$3:$G$31,MATCH(J$2,Landbrugsproduktivititet!$D$2:$G$2,0),FALSE),1)*IF($A263&lt;&gt;"",IF(VLOOKUP($A263,[1]!Table1[#All],2,FALSE)="Direkte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input'!$A$3:$A$230,$A$1)),IF(VLOOKUP($A263,[1]!Table1[#All],2,FALSE)="Resultat",SUMIF($F$1:$F201,$D263,J$1:J201)+SUMIF($F264:$F$512,$D263,J264:J$512),0))*'[1]Processer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402">
        <f>IFERROR(VLOOKUP($D264&amp;$F264,Landbrugsproduktivititet!$D$3:$G$31,MATCH(H$2,Landbrugsproduktivititet!$D$2:$G$2,0),FALSE),1)*IF($A264&lt;&gt;"",IF(VLOOKUP($A264,[1]!Table1[#All],2,FALSE)="Direkte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input'!$A$3:$A$230,$A$1)),IF(VLOOKUP($A264,[1]!Table1[#All],2,FALSE)="Resultat",SUMIF($F$1:$F202,$D264,H$1:H202)+SUMIF($F265:$F$512,$D264,H265:H$512),0))*'[1]Processer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403">
        <f>IFERROR(VLOOKUP($D264&amp;$F264,Landbrugsproduktivititet!$D$3:$G$31,MATCH(I$2,Landbrugsproduktivititet!$D$2:$G$2,0),FALSE),1)*IF($A264&lt;&gt;"",IF(VLOOKUP($A264,[1]!Table1[#All],2,FALSE)="Direkte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input'!$A$3:$A$230,$A$1)),IF(VLOOKUP($A264,[1]!Table1[#All],2,FALSE)="Resultat",SUMIF($F$1:$F202,$D264,I$1:I202)+SUMIF($F265:$F$512,$D264,I265:I$512),0))*'[1]Processer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220.520147511093</v>
      </c>
      <c r="J264" s="404">
        <f>IFERROR(VLOOKUP($D264&amp;$F264,Landbrugsproduktivititet!$D$3:$G$31,MATCH(J$2,Landbrugsproduktivititet!$D$2:$G$2,0),FALSE),1)*IF($A264&lt;&gt;"",IF(VLOOKUP($A264,[1]!Table1[#All],2,FALSE)="Direkte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input'!$A$3:$A$230,$A$1)),IF(VLOOKUP($A264,[1]!Table1[#All],2,FALSE)="Resultat",SUMIF($F$1:$F202,$D264,J$1:J202)+SUMIF($F265:$F$512,$D264,J265:J$512),0))*'[1]Processer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402">
        <f>IFERROR(VLOOKUP($D265&amp;$F265,Landbrugsproduktivititet!$D$3:$G$31,MATCH(H$2,Landbrugsproduktivititet!$D$2:$G$2,0),FALSE),1)*IF($A265&lt;&gt;"",IF(VLOOKUP($A265,[1]!Table1[#All],2,FALSE)="Direkte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input'!$A$3:$A$230,$A$1)),IF(VLOOKUP($A265,[1]!Table1[#All],2,FALSE)="Resultat",SUMIF($F$1:$F203,$D265,H$1:H203)+SUMIF($F266:$F$512,$D265,H266:H$512),0))*'[1]Processer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403">
        <f>IFERROR(VLOOKUP($D265&amp;$F265,Landbrugsproduktivititet!$D$3:$G$31,MATCH(I$2,Landbrugsproduktivititet!$D$2:$G$2,0),FALSE),1)*IF($A265&lt;&gt;"",IF(VLOOKUP($A265,[1]!Table1[#All],2,FALSE)="Direkte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input'!$A$3:$A$230,$A$1)),IF(VLOOKUP($A265,[1]!Table1[#All],2,FALSE)="Resultat",SUMIF($F$1:$F203,$D265,I$1:I203)+SUMIF($F266:$F$512,$D265,I266:I$512),0))*'[1]Processer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-135.39000888131659</v>
      </c>
      <c r="J265" s="404">
        <f>IFERROR(VLOOKUP($D265&amp;$F265,Landbrugsproduktivititet!$D$3:$G$31,MATCH(J$2,Landbrugsproduktivititet!$D$2:$G$2,0),FALSE),1)*IF($A265&lt;&gt;"",IF(VLOOKUP($A265,[1]!Table1[#All],2,FALSE)="Direkte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input'!$A$3:$A$230,$A$1)),IF(VLOOKUP($A265,[1]!Table1[#All],2,FALSE)="Resultat",SUMIF($F$1:$F203,$D265,J$1:J203)+SUMIF($F266:$F$512,$D265,J266:J$512),0))*'[1]Processer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402">
        <f>IFERROR(VLOOKUP($D266&amp;$F266,Landbrugsproduktivititet!$D$3:$G$31,MATCH(H$2,Landbrugsproduktivititet!$D$2:$G$2,0),FALSE),1)*IF($A266&lt;&gt;"",IF(VLOOKUP($A266,[1]!Table1[#All],2,FALSE)="Direkte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input'!$A$3:$A$230,$A$1)),IF(VLOOKUP($A266,[1]!Table1[#All],2,FALSE)="Resultat",SUMIF($F$1:$F204,$D266,H$1:H204)+SUMIF($F267:$F$512,$D266,H267:H$512),0))*'[1]Processer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403">
        <f>IFERROR(VLOOKUP($D266&amp;$F266,Landbrugsproduktivititet!$D$3:$G$31,MATCH(I$2,Landbrugsproduktivititet!$D$2:$G$2,0),FALSE),1)*IF($A266&lt;&gt;"",IF(VLOOKUP($A266,[1]!Table1[#All],2,FALSE)="Direkte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input'!$A$3:$A$230,$A$1)),IF(VLOOKUP($A266,[1]!Table1[#All],2,FALSE)="Resultat",SUMIF($F$1:$F204,$D266,I$1:I204)+SUMIF($F267:$F$512,$D266,I267:I$512),0))*'[1]Processer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120.06026409495315</v>
      </c>
      <c r="J266" s="404">
        <f>IFERROR(VLOOKUP($D266&amp;$F266,Landbrugsproduktivititet!$D$3:$G$31,MATCH(J$2,Landbrugsproduktivititet!$D$2:$G$2,0),FALSE),1)*IF($A266&lt;&gt;"",IF(VLOOKUP($A266,[1]!Table1[#All],2,FALSE)="Direkte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input'!$A$3:$A$230,$A$1)),IF(VLOOKUP($A266,[1]!Table1[#All],2,FALSE)="Resultat",SUMIF($F$1:$F204,$D266,J$1:J204)+SUMIF($F267:$F$512,$D266,J267:J$512),0))*'[1]Processer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402">
        <f>IFERROR(VLOOKUP($D267&amp;$F267,Landbrugsproduktivititet!$D$3:$G$31,MATCH(H$2,Landbrugsproduktivititet!$D$2:$G$2,0),FALSE),1)*IF($A267&lt;&gt;"",IF(VLOOKUP($A267,[1]!Table1[#All],2,FALSE)="Direkte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input'!$A$3:$A$230,$A$1)),IF(VLOOKUP($A267,[1]!Table1[#All],2,FALSE)="Resultat",SUMIF($F$1:$F205,$D267,H$1:H205)+SUMIF($F268:$F$512,$D267,H268:H$512),0))*'[1]Processer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403">
        <f>IFERROR(VLOOKUP($D267&amp;$F267,Landbrugsproduktivititet!$D$3:$G$31,MATCH(I$2,Landbrugsproduktivititet!$D$2:$G$2,0),FALSE),1)*IF($A267&lt;&gt;"",IF(VLOOKUP($A267,[1]!Table1[#All],2,FALSE)="Direkte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input'!$A$3:$A$230,$A$1)),IF(VLOOKUP($A267,[1]!Table1[#All],2,FALSE)="Resultat",SUMIF($F$1:$F205,$D267,I$1:I205)+SUMIF($F268:$F$512,$D267,I268:I$512),0))*'[1]Processer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139725.60839766424</v>
      </c>
      <c r="J267" s="404">
        <f>IFERROR(VLOOKUP($D267&amp;$F267,Landbrugsproduktivititet!$D$3:$G$31,MATCH(J$2,Landbrugsproduktivititet!$D$2:$G$2,0),FALSE),1)*IF($A267&lt;&gt;"",IF(VLOOKUP($A267,[1]!Table1[#All],2,FALSE)="Direkte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input'!$A$3:$A$230,$A$1)),IF(VLOOKUP($A267,[1]!Table1[#All],2,FALSE)="Resultat",SUMIF($F$1:$F205,$D267,J$1:J205)+SUMIF($F268:$F$512,$D267,J268:J$512),0))*'[1]Processer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0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402">
        <f>IFERROR(VLOOKUP($D268&amp;$F268,Landbrugsproduktivititet!$D$3:$G$31,MATCH(H$2,Landbrugsproduktivititet!$D$2:$G$2,0),FALSE),1)*IF($A268&lt;&gt;"",IF(VLOOKUP($A268,[1]!Table1[#All],2,FALSE)="Direkte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input'!$A$3:$A$230,$A$1)),IF(VLOOKUP($A268,[1]!Table1[#All],2,FALSE)="Resultat",SUMIF($F$1:$F206,$D268,H$1:H206)+SUMIF($F269:$F$512,$D268,H269:H$512),0))*'[1]Processer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403">
        <f>IFERROR(VLOOKUP($D268&amp;$F268,Landbrugsproduktivititet!$D$3:$G$31,MATCH(I$2,Landbrugsproduktivititet!$D$2:$G$2,0),FALSE),1)*IF($A268&lt;&gt;"",IF(VLOOKUP($A268,[1]!Table1[#All],2,FALSE)="Direkte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input'!$A$3:$A$230,$A$1)),IF(VLOOKUP($A268,[1]!Table1[#All],2,FALSE)="Resultat",SUMIF($F$1:$F206,$D268,I$1:I206)+SUMIF($F269:$F$512,$D268,I269:I$512),0))*'[1]Processer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-2145580.3508583461</v>
      </c>
      <c r="J268" s="404">
        <f>IFERROR(VLOOKUP($D268&amp;$F268,Landbrugsproduktivititet!$D$3:$G$31,MATCH(J$2,Landbrugsproduktivititet!$D$2:$G$2,0),FALSE),1)*IF($A268&lt;&gt;"",IF(VLOOKUP($A268,[1]!Table1[#All],2,FALSE)="Direkte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input'!$A$3:$A$230,$A$1)),IF(VLOOKUP($A268,[1]!Table1[#All],2,FALSE)="Resultat",SUMIF($F$1:$F206,$D268,J$1:J206)+SUMIF($F269:$F$512,$D268,J269:J$512),0))*'[1]Processer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0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402">
        <f>IFERROR(VLOOKUP($D269&amp;$F269,Landbrugsproduktivititet!$D$3:$G$31,MATCH(H$2,Landbrugsproduktivititet!$D$2:$G$2,0),FALSE),1)*IF($A269&lt;&gt;"",IF(VLOOKUP($A269,[1]!Table1[#All],2,FALSE)="Direkte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input'!$A$3:$A$230,$A$1)),IF(VLOOKUP($A269,[1]!Table1[#All],2,FALSE)="Resultat",SUMIF($F$1:$F207,$D269,H$1:H207)+SUMIF($F270:$F$512,$D269,H270:H$512),0))*'[1]Processer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403">
        <f>IFERROR(VLOOKUP($D269&amp;$F269,Landbrugsproduktivititet!$D$3:$G$31,MATCH(I$2,Landbrugsproduktivititet!$D$2:$G$2,0),FALSE),1)*IF($A269&lt;&gt;"",IF(VLOOKUP($A269,[1]!Table1[#All],2,FALSE)="Direkte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input'!$A$3:$A$230,$A$1)),IF(VLOOKUP($A269,[1]!Table1[#All],2,FALSE)="Resultat",SUMIF($F$1:$F207,$D269,I$1:I207)+SUMIF($F270:$F$512,$D269,I270:I$512),0))*'[1]Processer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27887.505066344595</v>
      </c>
      <c r="J269" s="404">
        <f>IFERROR(VLOOKUP($D269&amp;$F269,Landbrugsproduktivititet!$D$3:$G$31,MATCH(J$2,Landbrugsproduktivititet!$D$2:$G$2,0),FALSE),1)*IF($A269&lt;&gt;"",IF(VLOOKUP($A269,[1]!Table1[#All],2,FALSE)="Direkte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input'!$A$3:$A$230,$A$1)),IF(VLOOKUP($A269,[1]!Table1[#All],2,FALSE)="Resultat",SUMIF($F$1:$F207,$D269,J$1:J207)+SUMIF($F270:$F$512,$D269,J270:J$512),0))*'[1]Processer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0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402">
        <f>IFERROR(VLOOKUP($D270&amp;$F270,Landbrugsproduktivititet!$D$3:$G$31,MATCH(H$2,Landbrugsproduktivititet!$D$2:$G$2,0),FALSE),1)*IF($A270&lt;&gt;"",IF(VLOOKUP($A270,[1]!Table1[#All],2,FALSE)="Direkte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input'!$A$3:$A$230,$A$1)),IF(VLOOKUP($A270,[1]!Table1[#All],2,FALSE)="Resultat",SUMIF($F$1:$F208,$D270,H$1:H208)+SUMIF($F271:$F$512,$D270,H271:H$512),0))*'[1]Processer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403">
        <f>IFERROR(VLOOKUP($D270&amp;$F270,Landbrugsproduktivititet!$D$3:$G$31,MATCH(I$2,Landbrugsproduktivititet!$D$2:$G$2,0),FALSE),1)*IF($A270&lt;&gt;"",IF(VLOOKUP($A270,[1]!Table1[#All],2,FALSE)="Direkte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input'!$A$3:$A$230,$A$1)),IF(VLOOKUP($A270,[1]!Table1[#All],2,FALSE)="Resultat",SUMIF($F$1:$F208,$D270,I$1:I208)+SUMIF($F271:$F$512,$D270,I271:I$512),0))*'[1]Processer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162.17057515785859</v>
      </c>
      <c r="J270" s="404">
        <f>IFERROR(VLOOKUP($D270&amp;$F270,Landbrugsproduktivititet!$D$3:$G$31,MATCH(J$2,Landbrugsproduktivititet!$D$2:$G$2,0),FALSE),1)*IF($A270&lt;&gt;"",IF(VLOOKUP($A270,[1]!Table1[#All],2,FALSE)="Direkte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input'!$A$3:$A$230,$A$1)),IF(VLOOKUP($A270,[1]!Table1[#All],2,FALSE)="Resultat",SUMIF($F$1:$F208,$D270,J$1:J208)+SUMIF($F271:$F$512,$D270,J271:J$512),0))*'[1]Processer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402">
        <f>IFERROR(VLOOKUP($D271&amp;$F271,Landbrugsproduktivititet!$D$3:$G$31,MATCH(H$2,Landbrugsproduktivititet!$D$2:$G$2,0),FALSE),1)*IF($A271&lt;&gt;"",IF(VLOOKUP($A271,[1]!Table1[#All],2,FALSE)="Direkte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input'!$A$3:$A$230,$A$1)),IF(VLOOKUP($A271,[1]!Table1[#All],2,FALSE)="Resultat",SUMIF($F$1:$F209,$D271,H$1:H209)+SUMIF($F272:$F$512,$D271,H272:H$512),0))*'[1]Processer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403">
        <f>IFERROR(VLOOKUP($D271&amp;$F271,Landbrugsproduktivititet!$D$3:$G$31,MATCH(I$2,Landbrugsproduktivititet!$D$2:$G$2,0),FALSE),1)*IF($A271&lt;&gt;"",IF(VLOOKUP($A271,[1]!Table1[#All],2,FALSE)="Direkte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input'!$A$3:$A$230,$A$1)),IF(VLOOKUP($A271,[1]!Table1[#All],2,FALSE)="Resultat",SUMIF($F$1:$F209,$D271,I$1:I209)+SUMIF($F272:$F$512,$D271,I272:I$512),0))*'[1]Processer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-2075.1982137007381</v>
      </c>
      <c r="J271" s="404">
        <f>IFERROR(VLOOKUP($D271&amp;$F271,Landbrugsproduktivititet!$D$3:$G$31,MATCH(J$2,Landbrugsproduktivititet!$D$2:$G$2,0),FALSE),1)*IF($A271&lt;&gt;"",IF(VLOOKUP($A271,[1]!Table1[#All],2,FALSE)="Direkte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input'!$A$3:$A$230,$A$1)),IF(VLOOKUP($A271,[1]!Table1[#All],2,FALSE)="Resultat",SUMIF($F$1:$F209,$D271,J$1:J209)+SUMIF($F272:$F$512,$D271,J272:J$512),0))*'[1]Processer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402">
        <f>IFERROR(VLOOKUP($D272&amp;$F272,Landbrugsproduktivititet!$D$3:$G$31,MATCH(H$2,Landbrugsproduktivititet!$D$2:$G$2,0),FALSE),1)*IF($A272&lt;&gt;"",IF(VLOOKUP($A272,[1]!Table1[#All],2,FALSE)="Direkte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input'!$A$3:$A$230,$A$1)),IF(VLOOKUP($A272,[1]!Table1[#All],2,FALSE)="Resultat",SUMIF($F$1:$F210,$D272,H$1:H210)+SUMIF($F273:$F$512,$D272,H273:H$512),0))*'[1]Processer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403">
        <f>IFERROR(VLOOKUP($D272&amp;$F272,Landbrugsproduktivititet!$D$3:$G$31,MATCH(I$2,Landbrugsproduktivititet!$D$2:$G$2,0),FALSE),1)*IF($A272&lt;&gt;"",IF(VLOOKUP($A272,[1]!Table1[#All],2,FALSE)="Direkte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input'!$A$3:$A$230,$A$1)),IF(VLOOKUP($A272,[1]!Table1[#All],2,FALSE)="Resultat",SUMIF($F$1:$F210,$D272,I$1:I210)+SUMIF($F273:$F$512,$D272,I273:I$512),0))*'[1]Processer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146.29675706156058</v>
      </c>
      <c r="J272" s="404">
        <f>IFERROR(VLOOKUP($D272&amp;$F272,Landbrugsproduktivititet!$D$3:$G$31,MATCH(J$2,Landbrugsproduktivititet!$D$2:$G$2,0),FALSE),1)*IF($A272&lt;&gt;"",IF(VLOOKUP($A272,[1]!Table1[#All],2,FALSE)="Direkte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input'!$A$3:$A$230,$A$1)),IF(VLOOKUP($A272,[1]!Table1[#All],2,FALSE)="Resultat",SUMIF($F$1:$F210,$D272,J$1:J210)+SUMIF($F273:$F$512,$D272,J273:J$512),0))*'[1]Processer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402">
        <f>IFERROR(VLOOKUP($D273&amp;$F273,Landbrugsproduktivititet!$D$3:$G$31,MATCH(H$2,Landbrugsproduktivititet!$D$2:$G$2,0),FALSE),1)*IF($A273&lt;&gt;"",IF(VLOOKUP($A273,[1]!Table1[#All],2,FALSE)="Direkte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input'!$A$3:$A$230,$A$1)),IF(VLOOKUP($A273,[1]!Table1[#All],2,FALSE)="Resultat",SUMIF($F$1:$F211,$D273,H$1:H211)+SUMIF($F274:$F$512,$D273,H274:H$512),0))*'[1]Processer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403">
        <f>IFERROR(VLOOKUP($D273&amp;$F273,Landbrugsproduktivititet!$D$3:$G$31,MATCH(I$2,Landbrugsproduktivititet!$D$2:$G$2,0),FALSE),1)*IF($A273&lt;&gt;"",IF(VLOOKUP($A273,[1]!Table1[#All],2,FALSE)="Direkte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input'!$A$3:$A$230,$A$1)),IF(VLOOKUP($A273,[1]!Table1[#All],2,FALSE)="Resultat",SUMIF($F$1:$F211,$D273,I$1:I211)+SUMIF($F274:$F$512,$D273,I274:I$512),0))*'[1]Processer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117.83652520902947</v>
      </c>
      <c r="J273" s="404">
        <f>IFERROR(VLOOKUP($D273&amp;$F273,Landbrugsproduktivititet!$D$3:$G$31,MATCH(J$2,Landbrugsproduktivititet!$D$2:$G$2,0),FALSE),1)*IF($A273&lt;&gt;"",IF(VLOOKUP($A273,[1]!Table1[#All],2,FALSE)="Direkte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input'!$A$3:$A$230,$A$1)),IF(VLOOKUP($A273,[1]!Table1[#All],2,FALSE)="Resultat",SUMIF($F$1:$F211,$D273,J$1:J211)+SUMIF($F274:$F$512,$D273,J274:J$512),0))*'[1]Processer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402">
        <f>IFERROR(VLOOKUP($D274&amp;$F274,Landbrugsproduktivititet!$D$3:$G$31,MATCH(H$2,Landbrugsproduktivititet!$D$2:$G$2,0),FALSE),1)*IF($A274&lt;&gt;"",IF(VLOOKUP($A274,[1]!Table1[#All],2,FALSE)="Direkte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input'!$A$3:$A$230,$A$1)),IF(VLOOKUP($A274,[1]!Table1[#All],2,FALSE)="Resultat",SUMIF($F$1:$F212,$D274,H$1:H212)+SUMIF($F275:$F$512,$D274,H275:H$512),0))*'[1]Processer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403">
        <f>IFERROR(VLOOKUP($D274&amp;$F274,Landbrugsproduktivititet!$D$3:$G$31,MATCH(I$2,Landbrugsproduktivititet!$D$2:$G$2,0),FALSE),1)*IF($A274&lt;&gt;"",IF(VLOOKUP($A274,[1]!Table1[#All],2,FALSE)="Direkte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input'!$A$3:$A$230,$A$1)),IF(VLOOKUP($A274,[1]!Table1[#All],2,FALSE)="Resultat",SUMIF($F$1:$F212,$D274,I$1:I212)+SUMIF($F275:$F$512,$D274,I275:I$512),0))*'[1]Processer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-1292.4705785926658</v>
      </c>
      <c r="J274" s="404">
        <f>IFERROR(VLOOKUP($D274&amp;$F274,Landbrugsproduktivititet!$D$3:$G$31,MATCH(J$2,Landbrugsproduktivititet!$D$2:$G$2,0),FALSE),1)*IF($A274&lt;&gt;"",IF(VLOOKUP($A274,[1]!Table1[#All],2,FALSE)="Direkte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input'!$A$3:$A$230,$A$1)),IF(VLOOKUP($A274,[1]!Table1[#All],2,FALSE)="Resultat",SUMIF($F$1:$F212,$D274,J$1:J212)+SUMIF($F275:$F$512,$D274,J275:J$512),0))*'[1]Processer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402">
        <f>IFERROR(VLOOKUP($D275&amp;$F275,Landbrugsproduktivititet!$D$3:$G$31,MATCH(H$2,Landbrugsproduktivititet!$D$2:$G$2,0),FALSE),1)*IF($A275&lt;&gt;"",IF(VLOOKUP($A275,[1]!Table1[#All],2,FALSE)="Direkte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input'!$A$3:$A$230,$A$1)),IF(VLOOKUP($A275,[1]!Table1[#All],2,FALSE)="Resultat",SUMIF($F$1:$F213,$D275,H$1:H213)+SUMIF($F276:$F$512,$D275,H276:H$512),0))*'[1]Processer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403">
        <f>IFERROR(VLOOKUP($D275&amp;$F275,Landbrugsproduktivititet!$D$3:$G$31,MATCH(I$2,Landbrugsproduktivititet!$D$2:$G$2,0),FALSE),1)*IF($A275&lt;&gt;"",IF(VLOOKUP($A275,[1]!Table1[#All],2,FALSE)="Direkte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input'!$A$3:$A$230,$A$1)),IF(VLOOKUP($A275,[1]!Table1[#All],2,FALSE)="Resultat",SUMIF($F$1:$F213,$D275,I$1:I213)+SUMIF($F276:$F$512,$D275,I276:I$512),0))*'[1]Processer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243.57921702005447</v>
      </c>
      <c r="J275" s="404">
        <f>IFERROR(VLOOKUP($D275&amp;$F275,Landbrugsproduktivititet!$D$3:$G$31,MATCH(J$2,Landbrugsproduktivititet!$D$2:$G$2,0),FALSE),1)*IF($A275&lt;&gt;"",IF(VLOOKUP($A275,[1]!Table1[#All],2,FALSE)="Direkte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input'!$A$3:$A$230,$A$1)),IF(VLOOKUP($A275,[1]!Table1[#All],2,FALSE)="Resultat",SUMIF($F$1:$F213,$D275,J$1:J213)+SUMIF($F276:$F$512,$D275,J276:J$512),0))*'[1]Processer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402">
        <f>IFERROR(VLOOKUP($D276&amp;$F276,Landbrugsproduktivititet!$D$3:$G$31,MATCH(H$2,Landbrugsproduktivititet!$D$2:$G$2,0),FALSE),1)*IF($A276&lt;&gt;"",IF(VLOOKUP($A276,[1]!Table1[#All],2,FALSE)="Direkte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input'!$A$3:$A$230,$A$1)),IF(VLOOKUP($A276,[1]!Table1[#All],2,FALSE)="Resultat",SUMIF($F$1:$F214,$D276,H$1:H214)+SUMIF($F277:$F$512,$D276,H277:H$512),0))*'[1]Processer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403">
        <f>IFERROR(VLOOKUP($D276&amp;$F276,Landbrugsproduktivititet!$D$3:$G$31,MATCH(I$2,Landbrugsproduktivititet!$D$2:$G$2,0),FALSE),1)*IF($A276&lt;&gt;"",IF(VLOOKUP($A276,[1]!Table1[#All],2,FALSE)="Direkte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input'!$A$3:$A$230,$A$1)),IF(VLOOKUP($A276,[1]!Table1[#All],2,FALSE)="Resultat",SUMIF($F$1:$F214,$D276,I$1:I214)+SUMIF($F277:$F$512,$D276,I277:I$512),0))*'[1]Processer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10183.350888150855</v>
      </c>
      <c r="J276" s="404">
        <f>IFERROR(VLOOKUP($D276&amp;$F276,Landbrugsproduktivititet!$D$3:$G$31,MATCH(J$2,Landbrugsproduktivititet!$D$2:$G$2,0),FALSE),1)*IF($A276&lt;&gt;"",IF(VLOOKUP($A276,[1]!Table1[#All],2,FALSE)="Direkte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input'!$A$3:$A$230,$A$1)),IF(VLOOKUP($A276,[1]!Table1[#All],2,FALSE)="Resultat",SUMIF($F$1:$F214,$D276,J$1:J214)+SUMIF($F277:$F$512,$D276,J277:J$512),0))*'[1]Processer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257689.18202978774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402">
        <f>IFERROR(VLOOKUP($D277&amp;$F277,Landbrugsproduktivititet!$D$3:$G$31,MATCH(H$2,Landbrugsproduktivititet!$D$2:$G$2,0),FALSE),1)*IF($A277&lt;&gt;"",IF(VLOOKUP($A277,[1]!Table1[#All],2,FALSE)="Direkte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input'!$A$3:$A$230,$A$1)),IF(VLOOKUP($A277,[1]!Table1[#All],2,FALSE)="Resultat",SUMIF($F$1:$F215,$D277,H$1:H215)+SUMIF($F278:$F$512,$D277,H278:H$512),0))*'[1]Processer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403">
        <f>IFERROR(VLOOKUP($D277&amp;$F277,Landbrugsproduktivititet!$D$3:$G$31,MATCH(I$2,Landbrugsproduktivititet!$D$2:$G$2,0),FALSE),1)*IF($A277&lt;&gt;"",IF(VLOOKUP($A277,[1]!Table1[#All],2,FALSE)="Direkte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input'!$A$3:$A$230,$A$1)),IF(VLOOKUP($A277,[1]!Table1[#All],2,FALSE)="Resultat",SUMIF($F$1:$F215,$D277,I$1:I215)+SUMIF($F278:$F$512,$D277,I278:I$512),0))*'[1]Processer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-156372.1770266245</v>
      </c>
      <c r="J277" s="404">
        <f>IFERROR(VLOOKUP($D277&amp;$F277,Landbrugsproduktivititet!$D$3:$G$31,MATCH(J$2,Landbrugsproduktivititet!$D$2:$G$2,0),FALSE),1)*IF($A277&lt;&gt;"",IF(VLOOKUP($A277,[1]!Table1[#All],2,FALSE)="Direkte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input'!$A$3:$A$230,$A$1)),IF(VLOOKUP($A277,[1]!Table1[#All],2,FALSE)="Resultat",SUMIF($F$1:$F215,$D277,J$1:J215)+SUMIF($F278:$F$512,$D277,J278:J$512),0))*'[1]Processer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-3476076.9063745439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402">
        <f>IFERROR(VLOOKUP($D278&amp;$F278,Landbrugsproduktivititet!$D$3:$G$31,MATCH(H$2,Landbrugsproduktivititet!$D$2:$G$2,0),FALSE),1)*IF($A278&lt;&gt;"",IF(VLOOKUP($A278,[1]!Table1[#All],2,FALSE)="Direkte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input'!$A$3:$A$230,$A$1)),IF(VLOOKUP($A278,[1]!Table1[#All],2,FALSE)="Resultat",SUMIF($F$1:$F216,$D278,H$1:H216)+SUMIF($F279:$F$512,$D278,H279:H$512),0))*'[1]Processer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403">
        <f>IFERROR(VLOOKUP($D278&amp;$F278,Landbrugsproduktivititet!$D$3:$G$31,MATCH(I$2,Landbrugsproduktivititet!$D$2:$G$2,0),FALSE),1)*IF($A278&lt;&gt;"",IF(VLOOKUP($A278,[1]!Table1[#All],2,FALSE)="Direkte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input'!$A$3:$A$230,$A$1)),IF(VLOOKUP($A278,[1]!Table1[#All],2,FALSE)="Resultat",SUMIF($F$1:$F216,$D278,I$1:I216)+SUMIF($F279:$F$512,$D278,I279:I$512),0))*'[1]Processer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3565.7386273796205</v>
      </c>
      <c r="J278" s="404">
        <f>IFERROR(VLOOKUP($D278&amp;$F278,Landbrugsproduktivititet!$D$3:$G$31,MATCH(J$2,Landbrugsproduktivititet!$D$2:$G$2,0),FALSE),1)*IF($A278&lt;&gt;"",IF(VLOOKUP($A278,[1]!Table1[#All],2,FALSE)="Direkte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input'!$A$3:$A$230,$A$1)),IF(VLOOKUP($A278,[1]!Table1[#All],2,FALSE)="Resultat",SUMIF($F$1:$F216,$D278,J$1:J216)+SUMIF($F279:$F$512,$D278,J279:J$512),0))*'[1]Processer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67699.622975783888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402">
        <f>IFERROR(VLOOKUP($D279&amp;$F279,Landbrugsproduktivititet!$D$3:$G$31,MATCH(H$2,Landbrugsproduktivititet!$D$2:$G$2,0),FALSE),1)*IF($A279&lt;&gt;"",IF(VLOOKUP($A279,[1]!Table1[#All],2,FALSE)="Direkte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input'!$A$3:$A$230,$A$1)),IF(VLOOKUP($A279,[1]!Table1[#All],2,FALSE)="Resultat",SUMIF($F$1:$F217,$D279,H$1:H217)+SUMIF($F280:$F$512,$D279,H280:H$512),0))*'[1]Processer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403">
        <f>IFERROR(VLOOKUP($D279&amp;$F279,Landbrugsproduktivititet!$D$3:$G$31,MATCH(I$2,Landbrugsproduktivititet!$D$2:$G$2,0),FALSE),1)*IF($A279&lt;&gt;"",IF(VLOOKUP($A279,[1]!Table1[#All],2,FALSE)="Direkte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input'!$A$3:$A$230,$A$1)),IF(VLOOKUP($A279,[1]!Table1[#All],2,FALSE)="Resultat",SUMIF($F$1:$F217,$D279,I$1:I217)+SUMIF($F280:$F$512,$D279,I280:I$512),0))*'[1]Processer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11.819163927815259</v>
      </c>
      <c r="J279" s="404">
        <f>IFERROR(VLOOKUP($D279&amp;$F279,Landbrugsproduktivititet!$D$3:$G$31,MATCH(J$2,Landbrugsproduktivititet!$D$2:$G$2,0),FALSE),1)*IF($A279&lt;&gt;"",IF(VLOOKUP($A279,[1]!Table1[#All],2,FALSE)="Direkte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input'!$A$3:$A$230,$A$1)),IF(VLOOKUP($A279,[1]!Table1[#All],2,FALSE)="Resultat",SUMIF($F$1:$F217,$D279,J$1:J217)+SUMIF($F280:$F$512,$D279,J280:J$512),0))*'[1]Processer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402">
        <f>IFERROR(VLOOKUP($D280&amp;$F280,Landbrugsproduktivititet!$D$3:$G$31,MATCH(H$2,Landbrugsproduktivititet!$D$2:$G$2,0),FALSE),1)*IF($A280&lt;&gt;"",IF(VLOOKUP($A280,[1]!Table1[#All],2,FALSE)="Direkte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input'!$A$3:$A$230,$A$1)),IF(VLOOKUP($A280,[1]!Table1[#All],2,FALSE)="Resultat",SUMIF($F$1:$F218,$D280,H$1:H218)+SUMIF($F281:$F$512,$D280,H281:H$512),0))*'[1]Processer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403">
        <f>IFERROR(VLOOKUP($D280&amp;$F280,Landbrugsproduktivititet!$D$3:$G$31,MATCH(I$2,Landbrugsproduktivititet!$D$2:$G$2,0),FALSE),1)*IF($A280&lt;&gt;"",IF(VLOOKUP($A280,[1]!Table1[#All],2,FALSE)="Direkte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input'!$A$3:$A$230,$A$1)),IF(VLOOKUP($A280,[1]!Table1[#All],2,FALSE)="Resultat",SUMIF($F$1:$F218,$D280,I$1:I218)+SUMIF($F281:$F$512,$D280,I281:I$512),0))*'[1]Processer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-151.24265204438893</v>
      </c>
      <c r="J280" s="404">
        <f>IFERROR(VLOOKUP($D280&amp;$F280,Landbrugsproduktivititet!$D$3:$G$31,MATCH(J$2,Landbrugsproduktivititet!$D$2:$G$2,0),FALSE),1)*IF($A280&lt;&gt;"",IF(VLOOKUP($A280,[1]!Table1[#All],2,FALSE)="Direkte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input'!$A$3:$A$230,$A$1)),IF(VLOOKUP($A280,[1]!Table1[#All],2,FALSE)="Resultat",SUMIF($F$1:$F218,$D280,J$1:J218)+SUMIF($F281:$F$512,$D280,J281:J$512),0))*'[1]Processer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402">
        <f>IFERROR(VLOOKUP($D281&amp;$F281,Landbrugsproduktivititet!$D$3:$G$31,MATCH(H$2,Landbrugsproduktivititet!$D$2:$G$2,0),FALSE),1)*IF($A281&lt;&gt;"",IF(VLOOKUP($A281,[1]!Table1[#All],2,FALSE)="Direkte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input'!$A$3:$A$230,$A$1)),IF(VLOOKUP($A281,[1]!Table1[#All],2,FALSE)="Resultat",SUMIF($F$1:$F219,$D281,H$1:H219)+SUMIF($F282:$F$512,$D281,H282:H$512),0))*'[1]Processer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403">
        <f>IFERROR(VLOOKUP($D281&amp;$F281,Landbrugsproduktivititet!$D$3:$G$31,MATCH(I$2,Landbrugsproduktivititet!$D$2:$G$2,0),FALSE),1)*IF($A281&lt;&gt;"",IF(VLOOKUP($A281,[1]!Table1[#All],2,FALSE)="Direkte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input'!$A$3:$A$230,$A$1)),IF(VLOOKUP($A281,[1]!Table1[#All],2,FALSE)="Resultat",SUMIF($F$1:$F219,$D281,I$1:I219)+SUMIF($F282:$F$512,$D281,I282:I$512),0))*'[1]Processer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18.705724892698548</v>
      </c>
      <c r="J281" s="404">
        <f>IFERROR(VLOOKUP($D281&amp;$F281,Landbrugsproduktivititet!$D$3:$G$31,MATCH(J$2,Landbrugsproduktivititet!$D$2:$G$2,0),FALSE),1)*IF($A281&lt;&gt;"",IF(VLOOKUP($A281,[1]!Table1[#All],2,FALSE)="Direkte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input'!$A$3:$A$230,$A$1)),IF(VLOOKUP($A281,[1]!Table1[#All],2,FALSE)="Resultat",SUMIF($F$1:$F219,$D281,J$1:J219)+SUMIF($F282:$F$512,$D281,J282:J$512),0))*'[1]Processer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402">
        <f>IFERROR(VLOOKUP($D282&amp;$F282,Landbrugsproduktivititet!$D$3:$G$31,MATCH(H$2,Landbrugsproduktivititet!$D$2:$G$2,0),FALSE),1)*IF($A282&lt;&gt;"",IF(VLOOKUP($A282,[1]!Table1[#All],2,FALSE)="Direkte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input'!$A$3:$A$230,$A$1)),IF(VLOOKUP($A282,[1]!Table1[#All],2,FALSE)="Resultat",SUMIF($F$1:$F220,$D282,H$1:H220)+SUMIF($F283:$F$512,$D282,H283:H$512),0))*'[1]Processer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403">
        <f>IFERROR(VLOOKUP($D282&amp;$F282,Landbrugsproduktivititet!$D$3:$G$31,MATCH(I$2,Landbrugsproduktivititet!$D$2:$G$2,0),FALSE),1)*IF($A282&lt;&gt;"",IF(VLOOKUP($A282,[1]!Table1[#All],2,FALSE)="Direkte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input'!$A$3:$A$230,$A$1)),IF(VLOOKUP($A282,[1]!Table1[#All],2,FALSE)="Resultat",SUMIF($F$1:$F220,$D282,I$1:I220)+SUMIF($F283:$F$512,$D282,I283:I$512),0))*'[1]Processer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8.5880512341647481</v>
      </c>
      <c r="J282" s="404">
        <f>IFERROR(VLOOKUP($D282&amp;$F282,Landbrugsproduktivititet!$D$3:$G$31,MATCH(J$2,Landbrugsproduktivititet!$D$2:$G$2,0),FALSE),1)*IF($A282&lt;&gt;"",IF(VLOOKUP($A282,[1]!Table1[#All],2,FALSE)="Direkte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input'!$A$3:$A$230,$A$1)),IF(VLOOKUP($A282,[1]!Table1[#All],2,FALSE)="Resultat",SUMIF($F$1:$F220,$D282,J$1:J220)+SUMIF($F283:$F$512,$D282,J283:J$512),0))*'[1]Processer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402">
        <f>IFERROR(VLOOKUP($D283&amp;$F283,Landbrugsproduktivititet!$D$3:$G$31,MATCH(H$2,Landbrugsproduktivititet!$D$2:$G$2,0),FALSE),1)*IF($A283&lt;&gt;"",IF(VLOOKUP($A283,[1]!Table1[#All],2,FALSE)="Direkte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input'!$A$3:$A$230,$A$1)),IF(VLOOKUP($A283,[1]!Table1[#All],2,FALSE)="Resultat",SUMIF($F$1:$F221,$D283,H$1:H221)+SUMIF($F284:$F$512,$D283,H284:H$512),0))*'[1]Processer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403">
        <f>IFERROR(VLOOKUP($D283&amp;$F283,Landbrugsproduktivititet!$D$3:$G$31,MATCH(I$2,Landbrugsproduktivititet!$D$2:$G$2,0),FALSE),1)*IF($A283&lt;&gt;"",IF(VLOOKUP($A283,[1]!Table1[#All],2,FALSE)="Direkte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input'!$A$3:$A$230,$A$1)),IF(VLOOKUP($A283,[1]!Table1[#All],2,FALSE)="Resultat",SUMIF($F$1:$F221,$D283,I$1:I221)+SUMIF($F284:$F$512,$D283,I284:I$512),0))*'[1]Processer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-94.196629847277819</v>
      </c>
      <c r="J283" s="404">
        <f>IFERROR(VLOOKUP($D283&amp;$F283,Landbrugsproduktivititet!$D$3:$G$31,MATCH(J$2,Landbrugsproduktivititet!$D$2:$G$2,0),FALSE),1)*IF($A283&lt;&gt;"",IF(VLOOKUP($A283,[1]!Table1[#All],2,FALSE)="Direkte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input'!$A$3:$A$230,$A$1)),IF(VLOOKUP($A283,[1]!Table1[#All],2,FALSE)="Resultat",SUMIF($F$1:$F221,$D283,J$1:J221)+SUMIF($F284:$F$512,$D283,J284:J$512),0))*'[1]Processer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402">
        <f>IFERROR(VLOOKUP($D284&amp;$F284,Landbrugsproduktivititet!$D$3:$G$31,MATCH(H$2,Landbrugsproduktivititet!$D$2:$G$2,0),FALSE),1)*IF($A284&lt;&gt;"",IF(VLOOKUP($A284,[1]!Table1[#All],2,FALSE)="Direkte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input'!$A$3:$A$230,$A$1)),IF(VLOOKUP($A284,[1]!Table1[#All],2,FALSE)="Resultat",SUMIF($F$1:$F222,$D284,H$1:H222)+SUMIF($F285:$F$512,$D284,H285:H$512),0))*'[1]Processer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403">
        <f>IFERROR(VLOOKUP($D284&amp;$F284,Landbrugsproduktivititet!$D$3:$G$31,MATCH(I$2,Landbrugsproduktivititet!$D$2:$G$2,0),FALSE),1)*IF($A284&lt;&gt;"",IF(VLOOKUP($A284,[1]!Table1[#All],2,FALSE)="Direkte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input'!$A$3:$A$230,$A$1)),IF(VLOOKUP($A284,[1]!Table1[#All],2,FALSE)="Resultat",SUMIF($F$1:$F222,$D284,I$1:I222)+SUMIF($F285:$F$512,$D284,I285:I$512),0))*'[1]Processer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31.144407536243506</v>
      </c>
      <c r="J284" s="404">
        <f>IFERROR(VLOOKUP($D284&amp;$F284,Landbrugsproduktivititet!$D$3:$G$31,MATCH(J$2,Landbrugsproduktivititet!$D$2:$G$2,0),FALSE),1)*IF($A284&lt;&gt;"",IF(VLOOKUP($A284,[1]!Table1[#All],2,FALSE)="Direkte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input'!$A$3:$A$230,$A$1)),IF(VLOOKUP($A284,[1]!Table1[#All],2,FALSE)="Resultat",SUMIF($F$1:$F222,$D284,J$1:J222)+SUMIF($F285:$F$512,$D284,J285:J$512),0))*'[1]Processer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402">
        <f>IFERROR(VLOOKUP($D285&amp;$F285,Landbrugsproduktivititet!$D$3:$G$31,MATCH(H$2,Landbrugsproduktivititet!$D$2:$G$2,0),FALSE),1)*IF($A285&lt;&gt;"",IF(VLOOKUP($A285,[1]!Table1[#All],2,FALSE)="Direkte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input'!$A$3:$A$230,$A$1)),IF(VLOOKUP($A285,[1]!Table1[#All],2,FALSE)="Resultat",SUMIF($F$1:$F223,$D285,H$1:H223)+SUMIF($F286:$F$512,$D285,H286:H$512),0))*'[1]Processer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403">
        <f>IFERROR(VLOOKUP($D285&amp;$F285,Landbrugsproduktivititet!$D$3:$G$31,MATCH(I$2,Landbrugsproduktivititet!$D$2:$G$2,0),FALSE),1)*IF($A285&lt;&gt;"",IF(VLOOKUP($A285,[1]!Table1[#All],2,FALSE)="Direkte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input'!$A$3:$A$230,$A$1)),IF(VLOOKUP($A285,[1]!Table1[#All],2,FALSE)="Resultat",SUMIF($F$1:$F223,$D285,I$1:I223)+SUMIF($F286:$F$512,$D285,I286:I$512),0))*'[1]Processer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283307.25348679244</v>
      </c>
      <c r="J285" s="404">
        <f>IFERROR(VLOOKUP($D285&amp;$F285,Landbrugsproduktivititet!$D$3:$G$31,MATCH(J$2,Landbrugsproduktivititet!$D$2:$G$2,0),FALSE),1)*IF($A285&lt;&gt;"",IF(VLOOKUP($A285,[1]!Table1[#All],2,FALSE)="Direkte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input'!$A$3:$A$230,$A$1)),IF(VLOOKUP($A285,[1]!Table1[#All],2,FALSE)="Resultat",SUMIF($F$1:$F223,$D285,J$1:J223)+SUMIF($F286:$F$512,$D285,J286:J$512),0))*'[1]Processer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0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402">
        <f>IFERROR(VLOOKUP($D286&amp;$F286,Landbrugsproduktivititet!$D$3:$G$31,MATCH(H$2,Landbrugsproduktivititet!$D$2:$G$2,0),FALSE),1)*IF($A286&lt;&gt;"",IF(VLOOKUP($A286,[1]!Table1[#All],2,FALSE)="Direkte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input'!$A$3:$A$230,$A$1)),IF(VLOOKUP($A286,[1]!Table1[#All],2,FALSE)="Resultat",SUMIF($F$1:$F224,$D286,H$1:H224)+SUMIF($F287:$F$512,$D286,H287:H$512),0))*'[1]Processer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403">
        <f>IFERROR(VLOOKUP($D286&amp;$F286,Landbrugsproduktivititet!$D$3:$G$31,MATCH(I$2,Landbrugsproduktivititet!$D$2:$G$2,0),FALSE),1)*IF($A286&lt;&gt;"",IF(VLOOKUP($A286,[1]!Table1[#All],2,FALSE)="Direkte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input'!$A$3:$A$230,$A$1)),IF(VLOOKUP($A286,[1]!Table1[#All],2,FALSE)="Resultat",SUMIF($F$1:$F224,$D286,I$1:I224)+SUMIF($F287:$F$512,$D286,I287:I$512),0))*'[1]Processer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-1258033.243463669</v>
      </c>
      <c r="J286" s="404">
        <f>IFERROR(VLOOKUP($D286&amp;$F286,Landbrugsproduktivititet!$D$3:$G$31,MATCH(J$2,Landbrugsproduktivititet!$D$2:$G$2,0),FALSE),1)*IF($A286&lt;&gt;"",IF(VLOOKUP($A286,[1]!Table1[#All],2,FALSE)="Direkte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input'!$A$3:$A$230,$A$1)),IF(VLOOKUP($A286,[1]!Table1[#All],2,FALSE)="Resultat",SUMIF($F$1:$F224,$D286,J$1:J224)+SUMIF($F287:$F$512,$D286,J287:J$512),0))*'[1]Processer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0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402">
        <f>IFERROR(VLOOKUP($D287&amp;$F287,Landbrugsproduktivititet!$D$3:$G$31,MATCH(H$2,Landbrugsproduktivititet!$D$2:$G$2,0),FALSE),1)*IF($A287&lt;&gt;"",IF(VLOOKUP($A287,[1]!Table1[#All],2,FALSE)="Direkte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input'!$A$3:$A$230,$A$1)),IF(VLOOKUP($A287,[1]!Table1[#All],2,FALSE)="Resultat",SUMIF($F$1:$F225,$D287,H$1:H225)+SUMIF($F288:$F$512,$D287,H288:H$512),0))*'[1]Processer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403">
        <f>IFERROR(VLOOKUP($D287&amp;$F287,Landbrugsproduktivititet!$D$3:$G$31,MATCH(I$2,Landbrugsproduktivititet!$D$2:$G$2,0),FALSE),1)*IF($A287&lt;&gt;"",IF(VLOOKUP($A287,[1]!Table1[#All],2,FALSE)="Direkte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input'!$A$3:$A$230,$A$1)),IF(VLOOKUP($A287,[1]!Table1[#All],2,FALSE)="Resultat",SUMIF($F$1:$F225,$D287,I$1:I225)+SUMIF($F288:$F$512,$D287,I288:I$512),0))*'[1]Processer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18636.226816047219</v>
      </c>
      <c r="J287" s="404">
        <f>IFERROR(VLOOKUP($D287&amp;$F287,Landbrugsproduktivititet!$D$3:$G$31,MATCH(J$2,Landbrugsproduktivititet!$D$2:$G$2,0),FALSE),1)*IF($A287&lt;&gt;"",IF(VLOOKUP($A287,[1]!Table1[#All],2,FALSE)="Direkte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input'!$A$3:$A$230,$A$1)),IF(VLOOKUP($A287,[1]!Table1[#All],2,FALSE)="Resultat",SUMIF($F$1:$F225,$D287,J$1:J225)+SUMIF($F288:$F$512,$D287,J288:J$512),0))*'[1]Processer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0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402">
        <f>IFERROR(VLOOKUP($D288&amp;$F288,Landbrugsproduktivititet!$D$3:$G$31,MATCH(H$2,Landbrugsproduktivititet!$D$2:$G$2,0),FALSE),1)*IF($A288&lt;&gt;"",IF(VLOOKUP($A288,[1]!Table1[#All],2,FALSE)="Direkte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input'!$A$3:$A$230,$A$1)),IF(VLOOKUP($A288,[1]!Table1[#All],2,FALSE)="Resultat",SUMIF($F$1:$F226,$D288,H$1:H226)+SUMIF($F289:$F$512,$D288,H289:H$512),0))*'[1]Processer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403">
        <f>IFERROR(VLOOKUP($D288&amp;$F288,Landbrugsproduktivititet!$D$3:$G$31,MATCH(I$2,Landbrugsproduktivititet!$D$2:$G$2,0),FALSE),1)*IF($A288&lt;&gt;"",IF(VLOOKUP($A288,[1]!Table1[#All],2,FALSE)="Direkte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input'!$A$3:$A$230,$A$1)),IF(VLOOKUP($A288,[1]!Table1[#All],2,FALSE)="Resultat",SUMIF($F$1:$F226,$D288,I$1:I226)+SUMIF($F289:$F$512,$D288,I289:I$512),0))*'[1]Processer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4063.9580922156611</v>
      </c>
      <c r="J288" s="404">
        <f>IFERROR(VLOOKUP($D288&amp;$F288,Landbrugsproduktivititet!$D$3:$G$31,MATCH(J$2,Landbrugsproduktivititet!$D$2:$G$2,0),FALSE),1)*IF($A288&lt;&gt;"",IF(VLOOKUP($A288,[1]!Table1[#All],2,FALSE)="Direkte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input'!$A$3:$A$230,$A$1)),IF(VLOOKUP($A288,[1]!Table1[#All],2,FALSE)="Resultat",SUMIF($F$1:$F226,$D288,J$1:J226)+SUMIF($F289:$F$512,$D288,J289:J$512),0))*'[1]Processer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402">
        <f>IFERROR(VLOOKUP($D289&amp;$F289,Landbrugsproduktivititet!$D$3:$G$31,MATCH(H$2,Landbrugsproduktivititet!$D$2:$G$2,0),FALSE),1)*IF($A289&lt;&gt;"",IF(VLOOKUP($A289,[1]!Table1[#All],2,FALSE)="Direkte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input'!$A$3:$A$230,$A$1)),IF(VLOOKUP($A289,[1]!Table1[#All],2,FALSE)="Resultat",SUMIF($F$1:$F227,$D289,H$1:H227)+SUMIF($F290:$F$512,$D289,H290:H$512),0))*'[1]Processer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403">
        <f>IFERROR(VLOOKUP($D289&amp;$F289,Landbrugsproduktivititet!$D$3:$G$31,MATCH(I$2,Landbrugsproduktivititet!$D$2:$G$2,0),FALSE),1)*IF($A289&lt;&gt;"",IF(VLOOKUP($A289,[1]!Table1[#All],2,FALSE)="Direkte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input'!$A$3:$A$230,$A$1)),IF(VLOOKUP($A289,[1]!Table1[#All],2,FALSE)="Resultat",SUMIF($F$1:$F227,$D289,I$1:I227)+SUMIF($F290:$F$512,$D289,I290:I$512),0))*'[1]Processer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-13230.287268961027</v>
      </c>
      <c r="J289" s="404">
        <f>IFERROR(VLOOKUP($D289&amp;$F289,Landbrugsproduktivititet!$D$3:$G$31,MATCH(J$2,Landbrugsproduktivititet!$D$2:$G$2,0),FALSE),1)*IF($A289&lt;&gt;"",IF(VLOOKUP($A289,[1]!Table1[#All],2,FALSE)="Direkte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input'!$A$3:$A$230,$A$1)),IF(VLOOKUP($A289,[1]!Table1[#All],2,FALSE)="Resultat",SUMIF($F$1:$F227,$D289,J$1:J227)+SUMIF($F290:$F$512,$D289,J290:J$512),0))*'[1]Processer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402">
        <f>IFERROR(VLOOKUP($D290&amp;$F290,Landbrugsproduktivititet!$D$3:$G$31,MATCH(H$2,Landbrugsproduktivititet!$D$2:$G$2,0),FALSE),1)*IF($A290&lt;&gt;"",IF(VLOOKUP($A290,[1]!Table1[#All],2,FALSE)="Direkte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input'!$A$3:$A$230,$A$1)),IF(VLOOKUP($A290,[1]!Table1[#All],2,FALSE)="Resultat",SUMIF($F$1:$F228,$D290,H$1:H228)+SUMIF($F291:$F$512,$D290,H291:H$512),0))*'[1]Processer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403">
        <f>IFERROR(VLOOKUP($D290&amp;$F290,Landbrugsproduktivititet!$D$3:$G$31,MATCH(I$2,Landbrugsproduktivititet!$D$2:$G$2,0),FALSE),1)*IF($A290&lt;&gt;"",IF(VLOOKUP($A290,[1]!Table1[#All],2,FALSE)="Direkte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input'!$A$3:$A$230,$A$1)),IF(VLOOKUP($A290,[1]!Table1[#All],2,FALSE)="Resultat",SUMIF($F$1:$F228,$D290,I$1:I228)+SUMIF($F291:$F$512,$D290,I291:I$512),0))*'[1]Processer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1566.8616947638507</v>
      </c>
      <c r="J290" s="404">
        <f>IFERROR(VLOOKUP($D290&amp;$F290,Landbrugsproduktivititet!$D$3:$G$31,MATCH(J$2,Landbrugsproduktivititet!$D$2:$G$2,0),FALSE),1)*IF($A290&lt;&gt;"",IF(VLOOKUP($A290,[1]!Table1[#All],2,FALSE)="Direkte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input'!$A$3:$A$230,$A$1)),IF(VLOOKUP($A290,[1]!Table1[#All],2,FALSE)="Resultat",SUMIF($F$1:$F228,$D290,J$1:J228)+SUMIF($F291:$F$512,$D290,J291:J$512),0))*'[1]Processer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402">
        <f>IFERROR(VLOOKUP($D291&amp;$F291,Landbrugsproduktivititet!$D$3:$G$31,MATCH(H$2,Landbrugsproduktivititet!$D$2:$G$2,0),FALSE),1)*IF($A291&lt;&gt;"",IF(VLOOKUP($A291,[1]!Table1[#All],2,FALSE)="Direkte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input'!$A$3:$A$230,$A$1)),IF(VLOOKUP($A291,[1]!Table1[#All],2,FALSE)="Resultat",SUMIF($F$1:$F229,$D291,H$1:H229)+SUMIF($F292:$F$512,$D291,H292:H$512),0))*'[1]Processer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403">
        <f>IFERROR(VLOOKUP($D291&amp;$F291,Landbrugsproduktivititet!$D$3:$G$31,MATCH(I$2,Landbrugsproduktivititet!$D$2:$G$2,0),FALSE),1)*IF($A291&lt;&gt;"",IF(VLOOKUP($A291,[1]!Table1[#All],2,FALSE)="Direkte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input'!$A$3:$A$230,$A$1)),IF(VLOOKUP($A291,[1]!Table1[#All],2,FALSE)="Resultat",SUMIF($F$1:$F229,$D291,I$1:I229)+SUMIF($F292:$F$512,$D291,I292:I$512),0))*'[1]Processer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2952.9567846427153</v>
      </c>
      <c r="J291" s="404">
        <f>IFERROR(VLOOKUP($D291&amp;$F291,Landbrugsproduktivititet!$D$3:$G$31,MATCH(J$2,Landbrugsproduktivititet!$D$2:$G$2,0),FALSE),1)*IF($A291&lt;&gt;"",IF(VLOOKUP($A291,[1]!Table1[#All],2,FALSE)="Direkte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input'!$A$3:$A$230,$A$1)),IF(VLOOKUP($A291,[1]!Table1[#All],2,FALSE)="Resultat",SUMIF($F$1:$F229,$D291,J$1:J229)+SUMIF($F292:$F$512,$D291,J292:J$512),0))*'[1]Processer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402">
        <f>IFERROR(VLOOKUP($D292&amp;$F292,Landbrugsproduktivititet!$D$3:$G$31,MATCH(H$2,Landbrugsproduktivititet!$D$2:$G$2,0),FALSE),1)*IF($A292&lt;&gt;"",IF(VLOOKUP($A292,[1]!Table1[#All],2,FALSE)="Direkte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input'!$A$3:$A$230,$A$1)),IF(VLOOKUP($A292,[1]!Table1[#All],2,FALSE)="Resultat",SUMIF($F$1:$F230,$D292,H$1:H230)+SUMIF($F293:$F$512,$D292,H293:H$512),0))*'[1]Processer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403">
        <f>IFERROR(VLOOKUP($D292&amp;$F292,Landbrugsproduktivititet!$D$3:$G$31,MATCH(I$2,Landbrugsproduktivititet!$D$2:$G$2,0),FALSE),1)*IF($A292&lt;&gt;"",IF(VLOOKUP($A292,[1]!Table1[#All],2,FALSE)="Direkte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input'!$A$3:$A$230,$A$1)),IF(VLOOKUP($A292,[1]!Table1[#All],2,FALSE)="Resultat",SUMIF($F$1:$F230,$D292,I$1:I230)+SUMIF($F293:$F$512,$D292,I293:I$512),0))*'[1]Processer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-7113.9181540967666</v>
      </c>
      <c r="J292" s="404">
        <f>IFERROR(VLOOKUP($D292&amp;$F292,Landbrugsproduktivititet!$D$3:$G$31,MATCH(J$2,Landbrugsproduktivititet!$D$2:$G$2,0),FALSE),1)*IF($A292&lt;&gt;"",IF(VLOOKUP($A292,[1]!Table1[#All],2,FALSE)="Direkte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input'!$A$3:$A$230,$A$1)),IF(VLOOKUP($A292,[1]!Table1[#All],2,FALSE)="Resultat",SUMIF($F$1:$F230,$D292,J$1:J230)+SUMIF($F293:$F$512,$D292,J293:J$512),0))*'[1]Processer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402">
        <f>IFERROR(VLOOKUP($D293&amp;$F293,Landbrugsproduktivititet!$D$3:$G$31,MATCH(H$2,Landbrugsproduktivititet!$D$2:$G$2,0),FALSE),1)*IF($A293&lt;&gt;"",IF(VLOOKUP($A293,[1]!Table1[#All],2,FALSE)="Direkte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input'!$A$3:$A$230,$A$1)),IF(VLOOKUP($A293,[1]!Table1[#All],2,FALSE)="Resultat",SUMIF($F$1:$F231,$D293,H$1:H231)+SUMIF($F294:$F$512,$D293,H294:H$512),0))*'[1]Processer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403">
        <f>IFERROR(VLOOKUP($D293&amp;$F293,Landbrugsproduktivititet!$D$3:$G$31,MATCH(I$2,Landbrugsproduktivititet!$D$2:$G$2,0),FALSE),1)*IF($A293&lt;&gt;"",IF(VLOOKUP($A293,[1]!Table1[#All],2,FALSE)="Direkte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input'!$A$3:$A$230,$A$1)),IF(VLOOKUP($A293,[1]!Table1[#All],2,FALSE)="Resultat",SUMIF($F$1:$F231,$D293,I$1:I231)+SUMIF($F294:$F$512,$D293,I294:I$512),0))*'[1]Processer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2499.0165862823706</v>
      </c>
      <c r="J293" s="404">
        <f>IFERROR(VLOOKUP($D293&amp;$F293,Landbrugsproduktivititet!$D$3:$G$31,MATCH(J$2,Landbrugsproduktivititet!$D$2:$G$2,0),FALSE),1)*IF($A293&lt;&gt;"",IF(VLOOKUP($A293,[1]!Table1[#All],2,FALSE)="Direkte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input'!$A$3:$A$230,$A$1)),IF(VLOOKUP($A293,[1]!Table1[#All],2,FALSE)="Resultat",SUMIF($F$1:$F231,$D293,J$1:J231)+SUMIF($F294:$F$512,$D293,J294:J$512),0))*'[1]Processer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402">
        <f>IFERROR(VLOOKUP($D294&amp;$F294,Landbrugsproduktivititet!$D$3:$G$31,MATCH(H$2,Landbrugsproduktivititet!$D$2:$G$2,0),FALSE),1)*IF($A294&lt;&gt;"",IF(VLOOKUP($A294,[1]!Table1[#All],2,FALSE)="Direkte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input'!$A$3:$A$230,$A$1)),IF(VLOOKUP($A294,[1]!Table1[#All],2,FALSE)="Resultat",SUMIF($F$1:$F232,$D294,H$1:H232)+SUMIF($F295:$F$512,$D294,H295:H$512),0))*'[1]Processer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403">
        <f>IFERROR(VLOOKUP($D294&amp;$F294,Landbrugsproduktivititet!$D$3:$G$31,MATCH(I$2,Landbrugsproduktivititet!$D$2:$G$2,0),FALSE),1)*IF($A294&lt;&gt;"",IF(VLOOKUP($A294,[1]!Table1[#All],2,FALSE)="Direkte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input'!$A$3:$A$230,$A$1)),IF(VLOOKUP($A294,[1]!Table1[#All],2,FALSE)="Resultat",SUMIF($F$1:$F232,$D294,I$1:I232)+SUMIF($F295:$F$512,$D294,I295:I$512),0))*'[1]Processer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20647.733829889232</v>
      </c>
      <c r="J294" s="404">
        <f>IFERROR(VLOOKUP($D294&amp;$F294,Landbrugsproduktivititet!$D$3:$G$31,MATCH(J$2,Landbrugsproduktivititet!$D$2:$G$2,0),FALSE),1)*IF($A294&lt;&gt;"",IF(VLOOKUP($A294,[1]!Table1[#All],2,FALSE)="Direkte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input'!$A$3:$A$230,$A$1)),IF(VLOOKUP($A294,[1]!Table1[#All],2,FALSE)="Resultat",SUMIF($F$1:$F232,$D294,J$1:J232)+SUMIF($F295:$F$512,$D294,J295:J$512),0))*'[1]Processer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30169.993972883625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402">
        <f>IFERROR(VLOOKUP($D295&amp;$F295,Landbrugsproduktivititet!$D$3:$G$31,MATCH(H$2,Landbrugsproduktivititet!$D$2:$G$2,0),FALSE),1)*IF($A295&lt;&gt;"",IF(VLOOKUP($A295,[1]!Table1[#All],2,FALSE)="Direkte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input'!$A$3:$A$230,$A$1)),IF(VLOOKUP($A295,[1]!Table1[#All],2,FALSE)="Resultat",SUMIF($F$1:$F233,$D295,H$1:H233)+SUMIF($F296:$F$512,$D295,H296:H$512),0))*'[1]Processer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403">
        <f>IFERROR(VLOOKUP($D295&amp;$F295,Landbrugsproduktivititet!$D$3:$G$31,MATCH(I$2,Landbrugsproduktivititet!$D$2:$G$2,0),FALSE),1)*IF($A295&lt;&gt;"",IF(VLOOKUP($A295,[1]!Table1[#All],2,FALSE)="Direkte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input'!$A$3:$A$230,$A$1)),IF(VLOOKUP($A295,[1]!Table1[#All],2,FALSE)="Resultat",SUMIF($F$1:$F233,$D295,I$1:I233)+SUMIF($F296:$F$512,$D295,I296:I$512),0))*'[1]Processer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-91686.800251307475</v>
      </c>
      <c r="J295" s="404">
        <f>IFERROR(VLOOKUP($D295&amp;$F295,Landbrugsproduktivititet!$D$3:$G$31,MATCH(J$2,Landbrugsproduktivititet!$D$2:$G$2,0),FALSE),1)*IF($A295&lt;&gt;"",IF(VLOOKUP($A295,[1]!Table1[#All],2,FALSE)="Direkte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input'!$A$3:$A$230,$A$1)),IF(VLOOKUP($A295,[1]!Table1[#All],2,FALSE)="Resultat",SUMIF($F$1:$F233,$D295,J$1:J233)+SUMIF($F296:$F$512,$D295,J296:J$512),0))*'[1]Processer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-117688.50947157697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402">
        <f>IFERROR(VLOOKUP($D296&amp;$F296,Landbrugsproduktivititet!$D$3:$G$31,MATCH(H$2,Landbrugsproduktivititet!$D$2:$G$2,0),FALSE),1)*IF($A296&lt;&gt;"",IF(VLOOKUP($A296,[1]!Table1[#All],2,FALSE)="Direkte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input'!$A$3:$A$230,$A$1)),IF(VLOOKUP($A296,[1]!Table1[#All],2,FALSE)="Resultat",SUMIF($F$1:$F234,$D296,H$1:H234)+SUMIF($F297:$F$512,$D296,H297:H$512),0))*'[1]Processer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403">
        <f>IFERROR(VLOOKUP($D296&amp;$F296,Landbrugsproduktivititet!$D$3:$G$31,MATCH(I$2,Landbrugsproduktivititet!$D$2:$G$2,0),FALSE),1)*IF($A296&lt;&gt;"",IF(VLOOKUP($A296,[1]!Table1[#All],2,FALSE)="Direkte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input'!$A$3:$A$230,$A$1)),IF(VLOOKUP($A296,[1]!Table1[#All],2,FALSE)="Resultat",SUMIF($F$1:$F234,$D296,I$1:I234)+SUMIF($F297:$F$512,$D296,I297:I$512),0))*'[1]Processer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2382.856181235928</v>
      </c>
      <c r="J296" s="404">
        <f>IFERROR(VLOOKUP($D296&amp;$F296,Landbrugsproduktivititet!$D$3:$G$31,MATCH(J$2,Landbrugsproduktivititet!$D$2:$G$2,0),FALSE),1)*IF($A296&lt;&gt;"",IF(VLOOKUP($A296,[1]!Table1[#All],2,FALSE)="Direkte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input'!$A$3:$A$230,$A$1)),IF(VLOOKUP($A296,[1]!Table1[#All],2,FALSE)="Resultat",SUMIF($F$1:$F234,$D296,J$1:J234)+SUMIF($F297:$F$512,$D296,J297:J$512),0))*'[1]Processer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2612.3533952130042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402">
        <f>IFERROR(VLOOKUP($D297&amp;$F297,Landbrugsproduktivititet!$D$3:$G$31,MATCH(H$2,Landbrugsproduktivititet!$D$2:$G$2,0),FALSE),1)*IF($A297&lt;&gt;"",IF(VLOOKUP($A297,[1]!Table1[#All],2,FALSE)="Direkte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input'!$A$3:$A$230,$A$1)),IF(VLOOKUP($A297,[1]!Table1[#All],2,FALSE)="Resultat",SUMIF($F$1:$F235,$D297,H$1:H235)+SUMIF($F298:$F$512,$D297,H298:H$512),0))*'[1]Processer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403">
        <f>IFERROR(VLOOKUP($D297&amp;$F297,Landbrugsproduktivititet!$D$3:$G$31,MATCH(I$2,Landbrugsproduktivititet!$D$2:$G$2,0),FALSE),1)*IF($A297&lt;&gt;"",IF(VLOOKUP($A297,[1]!Table1[#All],2,FALSE)="Direkte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input'!$A$3:$A$230,$A$1)),IF(VLOOKUP($A297,[1]!Table1[#All],2,FALSE)="Resultat",SUMIF($F$1:$F235,$D297,I$1:I235)+SUMIF($F298:$F$512,$D297,I298:I$512),0))*'[1]Processer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296.18558632423191</v>
      </c>
      <c r="J297" s="404">
        <f>IFERROR(VLOOKUP($D297&amp;$F297,Landbrugsproduktivititet!$D$3:$G$31,MATCH(J$2,Landbrugsproduktivititet!$D$2:$G$2,0),FALSE),1)*IF($A297&lt;&gt;"",IF(VLOOKUP($A297,[1]!Table1[#All],2,FALSE)="Direkte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input'!$A$3:$A$230,$A$1)),IF(VLOOKUP($A297,[1]!Table1[#All],2,FALSE)="Resultat",SUMIF($F$1:$F235,$D297,J$1:J235)+SUMIF($F298:$F$512,$D297,J298:J$512),0))*'[1]Processer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402">
        <f>IFERROR(VLOOKUP($D298&amp;$F298,Landbrugsproduktivititet!$D$3:$G$31,MATCH(H$2,Landbrugsproduktivititet!$D$2:$G$2,0),FALSE),1)*IF($A298&lt;&gt;"",IF(VLOOKUP($A298,[1]!Table1[#All],2,FALSE)="Direkte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input'!$A$3:$A$230,$A$1)),IF(VLOOKUP($A298,[1]!Table1[#All],2,FALSE)="Resultat",SUMIF($F$1:$F236,$D298,H$1:H236)+SUMIF($F299:$F$512,$D298,H299:H$512),0))*'[1]Processer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403">
        <f>IFERROR(VLOOKUP($D298&amp;$F298,Landbrugsproduktivititet!$D$3:$G$31,MATCH(I$2,Landbrugsproduktivititet!$D$2:$G$2,0),FALSE),1)*IF($A298&lt;&gt;"",IF(VLOOKUP($A298,[1]!Table1[#All],2,FALSE)="Direkte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input'!$A$3:$A$230,$A$1)),IF(VLOOKUP($A298,[1]!Table1[#All],2,FALSE)="Resultat",SUMIF($F$1:$F236,$D298,I$1:I236)+SUMIF($F299:$F$512,$D298,I299:I$512),0))*'[1]Processer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-964.23740183275845</v>
      </c>
      <c r="J298" s="404">
        <f>IFERROR(VLOOKUP($D298&amp;$F298,Landbrugsproduktivititet!$D$3:$G$31,MATCH(J$2,Landbrugsproduktivititet!$D$2:$G$2,0),FALSE),1)*IF($A298&lt;&gt;"",IF(VLOOKUP($A298,[1]!Table1[#All],2,FALSE)="Direkte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input'!$A$3:$A$230,$A$1)),IF(VLOOKUP($A298,[1]!Table1[#All],2,FALSE)="Resultat",SUMIF($F$1:$F236,$D298,J$1:J236)+SUMIF($F299:$F$512,$D298,J299:J$512),0))*'[1]Processer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402">
        <f>IFERROR(VLOOKUP($D299&amp;$F299,Landbrugsproduktivititet!$D$3:$G$31,MATCH(H$2,Landbrugsproduktivititet!$D$2:$G$2,0),FALSE),1)*IF($A299&lt;&gt;"",IF(VLOOKUP($A299,[1]!Table1[#All],2,FALSE)="Direkte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input'!$A$3:$A$230,$A$1)),IF(VLOOKUP($A299,[1]!Table1[#All],2,FALSE)="Resultat",SUMIF($F$1:$F237,$D299,H$1:H237)+SUMIF($F300:$F$512,$D299,H300:H$512),0))*'[1]Processer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403">
        <f>IFERROR(VLOOKUP($D299&amp;$F299,Landbrugsproduktivititet!$D$3:$G$31,MATCH(I$2,Landbrugsproduktivititet!$D$2:$G$2,0),FALSE),1)*IF($A299&lt;&gt;"",IF(VLOOKUP($A299,[1]!Table1[#All],2,FALSE)="Direkte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input'!$A$3:$A$230,$A$1)),IF(VLOOKUP($A299,[1]!Table1[#All],2,FALSE)="Resultat",SUMIF($F$1:$F237,$D299,I$1:I237)+SUMIF($F300:$F$512,$D299,I300:I$512),0))*'[1]Processer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200.34130896576784</v>
      </c>
      <c r="J299" s="404">
        <f>IFERROR(VLOOKUP($D299&amp;$F299,Landbrugsproduktivititet!$D$3:$G$31,MATCH(J$2,Landbrugsproduktivititet!$D$2:$G$2,0),FALSE),1)*IF($A299&lt;&gt;"",IF(VLOOKUP($A299,[1]!Table1[#All],2,FALSE)="Direkte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input'!$A$3:$A$230,$A$1)),IF(VLOOKUP($A299,[1]!Table1[#All],2,FALSE)="Resultat",SUMIF($F$1:$F237,$D299,J$1:J237)+SUMIF($F300:$F$512,$D299,J300:J$512),0))*'[1]Processer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402">
        <f>IFERROR(VLOOKUP($D300&amp;$F300,Landbrugsproduktivititet!$D$3:$G$31,MATCH(H$2,Landbrugsproduktivititet!$D$2:$G$2,0),FALSE),1)*IF($A300&lt;&gt;"",IF(VLOOKUP($A300,[1]!Table1[#All],2,FALSE)="Direkte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input'!$A$3:$A$230,$A$1)),IF(VLOOKUP($A300,[1]!Table1[#All],2,FALSE)="Resultat",SUMIF($F$1:$F238,$D300,H$1:H238)+SUMIF($F301:$F$512,$D300,H301:H$512),0))*'[1]Processer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403">
        <f>IFERROR(VLOOKUP($D300&amp;$F300,Landbrugsproduktivititet!$D$3:$G$31,MATCH(I$2,Landbrugsproduktivititet!$D$2:$G$2,0),FALSE),1)*IF($A300&lt;&gt;"",IF(VLOOKUP($A300,[1]!Table1[#All],2,FALSE)="Direkte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input'!$A$3:$A$230,$A$1)),IF(VLOOKUP($A300,[1]!Table1[#All],2,FALSE)="Resultat",SUMIF($F$1:$F238,$D300,I$1:I238)+SUMIF($F301:$F$512,$D300,I301:I$512),0))*'[1]Processer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215.21462987643125</v>
      </c>
      <c r="J300" s="404">
        <f>IFERROR(VLOOKUP($D300&amp;$F300,Landbrugsproduktivititet!$D$3:$G$31,MATCH(J$2,Landbrugsproduktivititet!$D$2:$G$2,0),FALSE),1)*IF($A300&lt;&gt;"",IF(VLOOKUP($A300,[1]!Table1[#All],2,FALSE)="Direkte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input'!$A$3:$A$230,$A$1)),IF(VLOOKUP($A300,[1]!Table1[#All],2,FALSE)="Resultat",SUMIF($F$1:$F238,$D300,J$1:J238)+SUMIF($F301:$F$512,$D300,J301:J$512),0))*'[1]Processer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402">
        <f>IFERROR(VLOOKUP($D301&amp;$F301,Landbrugsproduktivititet!$D$3:$G$31,MATCH(H$2,Landbrugsproduktivititet!$D$2:$G$2,0),FALSE),1)*IF($A301&lt;&gt;"",IF(VLOOKUP($A301,[1]!Table1[#All],2,FALSE)="Direkte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input'!$A$3:$A$230,$A$1)),IF(VLOOKUP($A301,[1]!Table1[#All],2,FALSE)="Resultat",SUMIF($F$1:$F239,$D301,H$1:H239)+SUMIF($F302:$F$512,$D301,H302:H$512),0))*'[1]Processer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403">
        <f>IFERROR(VLOOKUP($D301&amp;$F301,Landbrugsproduktivititet!$D$3:$G$31,MATCH(I$2,Landbrugsproduktivititet!$D$2:$G$2,0),FALSE),1)*IF($A301&lt;&gt;"",IF(VLOOKUP($A301,[1]!Table1[#All],2,FALSE)="Direkte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input'!$A$3:$A$230,$A$1)),IF(VLOOKUP($A301,[1]!Table1[#All],2,FALSE)="Resultat",SUMIF($F$1:$F239,$D301,I$1:I239)+SUMIF($F302:$F$512,$D301,I302:I$512),0))*'[1]Processer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-518.46991817403182</v>
      </c>
      <c r="J301" s="404">
        <f>IFERROR(VLOOKUP($D301&amp;$F301,Landbrugsproduktivititet!$D$3:$G$31,MATCH(J$2,Landbrugsproduktivititet!$D$2:$G$2,0),FALSE),1)*IF($A301&lt;&gt;"",IF(VLOOKUP($A301,[1]!Table1[#All],2,FALSE)="Direkte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input'!$A$3:$A$230,$A$1)),IF(VLOOKUP($A301,[1]!Table1[#All],2,FALSE)="Resultat",SUMIF($F$1:$F239,$D301,J$1:J239)+SUMIF($F302:$F$512,$D301,J302:J$512),0))*'[1]Processer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402">
        <f>IFERROR(VLOOKUP($D302&amp;$F302,Landbrugsproduktivititet!$D$3:$G$31,MATCH(H$2,Landbrugsproduktivititet!$D$2:$G$2,0),FALSE),1)*IF($A302&lt;&gt;"",IF(VLOOKUP($A302,[1]!Table1[#All],2,FALSE)="Direkte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input'!$A$3:$A$230,$A$1)),IF(VLOOKUP($A302,[1]!Table1[#All],2,FALSE)="Resultat",SUMIF($F$1:$F240,$D302,H$1:H240)+SUMIF($F303:$F$512,$D302,H303:H$512),0))*'[1]Processer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403">
        <f>IFERROR(VLOOKUP($D302&amp;$F302,Landbrugsproduktivititet!$D$3:$G$31,MATCH(I$2,Landbrugsproduktivititet!$D$2:$G$2,0),FALSE),1)*IF($A302&lt;&gt;"",IF(VLOOKUP($A302,[1]!Table1[#All],2,FALSE)="Direkte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input'!$A$3:$A$230,$A$1)),IF(VLOOKUP($A302,[1]!Table1[#All],2,FALSE)="Resultat",SUMIF($F$1:$F240,$D302,I$1:I240)+SUMIF($F303:$F$512,$D302,I303:I$512),0))*'[1]Processer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319.52804494236557</v>
      </c>
      <c r="J302" s="404">
        <f>IFERROR(VLOOKUP($D302&amp;$F302,Landbrugsproduktivititet!$D$3:$G$31,MATCH(J$2,Landbrugsproduktivititet!$D$2:$G$2,0),FALSE),1)*IF($A302&lt;&gt;"",IF(VLOOKUP($A302,[1]!Table1[#All],2,FALSE)="Direkte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input'!$A$3:$A$230,$A$1)),IF(VLOOKUP($A302,[1]!Table1[#All],2,FALSE)="Resultat",SUMIF($F$1:$F240,$D302,J$1:J240)+SUMIF($F303:$F$512,$D302,J303:J$512),0))*'[1]Processer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402">
        <f>IFERROR(VLOOKUP($D303&amp;$F303,Landbrugsproduktivititet!$D$3:$G$31,MATCH(H$2,Landbrugsproduktivititet!$D$2:$G$2,0),FALSE),1)*IF($A303&lt;&gt;"",IF(VLOOKUP($A303,[1]!Table1[#All],2,FALSE)="Direkte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input'!$A$3:$A$230,$A$1)),IF(VLOOKUP($A303,[1]!Table1[#All],2,FALSE)="Resultat",SUMIF($F$1:$F241,$D303,H$1:H241)+SUMIF($F304:$F$512,$D303,H304:H$512),0))*'[1]Processer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403">
        <f>IFERROR(VLOOKUP($D303&amp;$F303,Landbrugsproduktivititet!$D$3:$G$31,MATCH(I$2,Landbrugsproduktivititet!$D$2:$G$2,0),FALSE),1)*IF($A303&lt;&gt;"",IF(VLOOKUP($A303,[1]!Table1[#All],2,FALSE)="Direkte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input'!$A$3:$A$230,$A$1)),IF(VLOOKUP($A303,[1]!Table1[#All],2,FALSE)="Resultat",SUMIF($F$1:$F241,$D303,I$1:I241)+SUMIF($F304:$F$512,$D303,I304:I$512),0))*'[1]Processer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1100968.1720864889</v>
      </c>
      <c r="J303" s="404">
        <f>IFERROR(VLOOKUP($D303&amp;$F303,Landbrugsproduktivititet!$D$3:$G$31,MATCH(J$2,Landbrugsproduktivititet!$D$2:$G$2,0),FALSE),1)*IF($A303&lt;&gt;"",IF(VLOOKUP($A303,[1]!Table1[#All],2,FALSE)="Direkte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input'!$A$3:$A$230,$A$1)),IF(VLOOKUP($A303,[1]!Table1[#All],2,FALSE)="Resultat",SUMIF($F$1:$F241,$D303,J$1:J241)+SUMIF($F304:$F$512,$D303,J304:J$512),0))*'[1]Processer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402">
        <f>IFERROR(VLOOKUP($D304&amp;$F304,Landbrugsproduktivititet!$D$3:$G$31,MATCH(H$2,Landbrugsproduktivititet!$D$2:$G$2,0),FALSE),1)*IF($A304&lt;&gt;"",IF(VLOOKUP($A304,[1]!Table1[#All],2,FALSE)="Direkte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input'!$A$3:$A$230,$A$1)),IF(VLOOKUP($A304,[1]!Table1[#All],2,FALSE)="Resultat",SUMIF($F$1:$F242,$D304,H$1:H242)+SUMIF($F305:$F$512,$D304,H305:H$512),0))*'[1]Processer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403">
        <f>IFERROR(VLOOKUP($D304&amp;$F304,Landbrugsproduktivititet!$D$3:$G$31,MATCH(I$2,Landbrugsproduktivititet!$D$2:$G$2,0),FALSE),1)*IF($A304&lt;&gt;"",IF(VLOOKUP($A304,[1]!Table1[#All],2,FALSE)="Direkte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input'!$A$3:$A$230,$A$1)),IF(VLOOKUP($A304,[1]!Table1[#All],2,FALSE)="Resultat",SUMIF($F$1:$F242,$D304,I$1:I242)+SUMIF($F305:$F$512,$D304,I305:I$512),0))*'[1]Processer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-3685408.0575782182</v>
      </c>
      <c r="J304" s="404">
        <f>IFERROR(VLOOKUP($D304&amp;$F304,Landbrugsproduktivititet!$D$3:$G$31,MATCH(J$2,Landbrugsproduktivititet!$D$2:$G$2,0),FALSE),1)*IF($A304&lt;&gt;"",IF(VLOOKUP($A304,[1]!Table1[#All],2,FALSE)="Direkte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input'!$A$3:$A$230,$A$1)),IF(VLOOKUP($A304,[1]!Table1[#All],2,FALSE)="Resultat",SUMIF($F$1:$F242,$D304,J$1:J242)+SUMIF($F305:$F$512,$D304,J305:J$512),0))*'[1]Processer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0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402">
        <f>IFERROR(VLOOKUP($D305&amp;$F305,Landbrugsproduktivititet!$D$3:$G$31,MATCH(H$2,Landbrugsproduktivititet!$D$2:$G$2,0),FALSE),1)*IF($A305&lt;&gt;"",IF(VLOOKUP($A305,[1]!Table1[#All],2,FALSE)="Direkte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input'!$A$3:$A$230,$A$1)),IF(VLOOKUP($A305,[1]!Table1[#All],2,FALSE)="Resultat",SUMIF($F$1:$F243,$D305,H$1:H243)+SUMIF($F306:$F$512,$D305,H306:H$512),0))*'[1]Processer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403">
        <f>IFERROR(VLOOKUP($D305&amp;$F305,Landbrugsproduktivititet!$D$3:$G$31,MATCH(I$2,Landbrugsproduktivititet!$D$2:$G$2,0),FALSE),1)*IF($A305&lt;&gt;"",IF(VLOOKUP($A305,[1]!Table1[#All],2,FALSE)="Direkte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input'!$A$3:$A$230,$A$1)),IF(VLOOKUP($A305,[1]!Table1[#All],2,FALSE)="Resultat",SUMIF($F$1:$F243,$D305,I$1:I243)+SUMIF($F306:$F$512,$D305,I306:I$512),0))*'[1]Processer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48481.338956644235</v>
      </c>
      <c r="J305" s="404">
        <f>IFERROR(VLOOKUP($D305&amp;$F305,Landbrugsproduktivititet!$D$3:$G$31,MATCH(J$2,Landbrugsproduktivititet!$D$2:$G$2,0),FALSE),1)*IF($A305&lt;&gt;"",IF(VLOOKUP($A305,[1]!Table1[#All],2,FALSE)="Direkte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input'!$A$3:$A$230,$A$1)),IF(VLOOKUP($A305,[1]!Table1[#All],2,FALSE)="Resultat",SUMIF($F$1:$F243,$D305,J$1:J243)+SUMIF($F306:$F$512,$D305,J306:J$512),0))*'[1]Processer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0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402">
        <f>IFERROR(VLOOKUP($D306&amp;$F306,Landbrugsproduktivititet!$D$3:$G$31,MATCH(H$2,Landbrugsproduktivititet!$D$2:$G$2,0),FALSE),1)*IF($A306&lt;&gt;"",IF(VLOOKUP($A306,[1]!Table1[#All],2,FALSE)="Direkte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input'!$A$3:$A$230,$A$1)),IF(VLOOKUP($A306,[1]!Table1[#All],2,FALSE)="Resultat",SUMIF($F$1:$F244,$D306,H$1:H244)+SUMIF($F307:$F$512,$D306,H307:H$512),0))*'[1]Processer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403">
        <f>IFERROR(VLOOKUP($D306&amp;$F306,Landbrugsproduktivititet!$D$3:$G$31,MATCH(I$2,Landbrugsproduktivititet!$D$2:$G$2,0),FALSE),1)*IF($A306&lt;&gt;"",IF(VLOOKUP($A306,[1]!Table1[#All],2,FALSE)="Direkte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input'!$A$3:$A$230,$A$1)),IF(VLOOKUP($A306,[1]!Table1[#All],2,FALSE)="Resultat",SUMIF($F$1:$F244,$D306,I$1:I244)+SUMIF($F307:$F$512,$D306,I307:I$512),0))*'[1]Processer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3941.2177402882762</v>
      </c>
      <c r="J306" s="404">
        <f>IFERROR(VLOOKUP($D306&amp;$F306,Landbrugsproduktivititet!$D$3:$G$31,MATCH(J$2,Landbrugsproduktivititet!$D$2:$G$2,0),FALSE),1)*IF($A306&lt;&gt;"",IF(VLOOKUP($A306,[1]!Table1[#All],2,FALSE)="Direkte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input'!$A$3:$A$230,$A$1)),IF(VLOOKUP($A306,[1]!Table1[#All],2,FALSE)="Resultat",SUMIF($F$1:$F244,$D306,J$1:J244)+SUMIF($F307:$F$512,$D306,J307:J$512),0))*'[1]Processer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402">
        <f>IFERROR(VLOOKUP($D307&amp;$F307,Landbrugsproduktivititet!$D$3:$G$31,MATCH(H$2,Landbrugsproduktivititet!$D$2:$G$2,0),FALSE),1)*IF($A307&lt;&gt;"",IF(VLOOKUP($A307,[1]!Table1[#All],2,FALSE)="Direkte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input'!$A$3:$A$230,$A$1)),IF(VLOOKUP($A307,[1]!Table1[#All],2,FALSE)="Resultat",SUMIF($F$1:$F245,$D307,H$1:H245)+SUMIF($F308:$F$512,$D307,H308:H$512),0))*'[1]Processer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403">
        <f>IFERROR(VLOOKUP($D307&amp;$F307,Landbrugsproduktivititet!$D$3:$G$31,MATCH(I$2,Landbrugsproduktivititet!$D$2:$G$2,0),FALSE),1)*IF($A307&lt;&gt;"",IF(VLOOKUP($A307,[1]!Table1[#All],2,FALSE)="Direkte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input'!$A$3:$A$230,$A$1)),IF(VLOOKUP($A307,[1]!Table1[#All],2,FALSE)="Resultat",SUMIF($F$1:$F245,$D307,I$1:I245)+SUMIF($F308:$F$512,$D307,I308:I$512),0))*'[1]Processer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-8932.7127687884658</v>
      </c>
      <c r="J307" s="404">
        <f>IFERROR(VLOOKUP($D307&amp;$F307,Landbrugsproduktivititet!$D$3:$G$31,MATCH(J$2,Landbrugsproduktivititet!$D$2:$G$2,0),FALSE),1)*IF($A307&lt;&gt;"",IF(VLOOKUP($A307,[1]!Table1[#All],2,FALSE)="Direkte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input'!$A$3:$A$230,$A$1)),IF(VLOOKUP($A307,[1]!Table1[#All],2,FALSE)="Resultat",SUMIF($F$1:$F245,$D307,J$1:J245)+SUMIF($F308:$F$512,$D307,J308:J$512),0))*'[1]Processer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402">
        <f>IFERROR(VLOOKUP($D308&amp;$F308,Landbrugsproduktivititet!$D$3:$G$31,MATCH(H$2,Landbrugsproduktivititet!$D$2:$G$2,0),FALSE),1)*IF($A308&lt;&gt;"",IF(VLOOKUP($A308,[1]!Table1[#All],2,FALSE)="Direkte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input'!$A$3:$A$230,$A$1)),IF(VLOOKUP($A308,[1]!Table1[#All],2,FALSE)="Resultat",SUMIF($F$1:$F246,$D308,H$1:H246)+SUMIF($F309:$F$512,$D308,H309:H$512),0))*'[1]Processer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403">
        <f>IFERROR(VLOOKUP($D308&amp;$F308,Landbrugsproduktivititet!$D$3:$G$31,MATCH(I$2,Landbrugsproduktivititet!$D$2:$G$2,0),FALSE),1)*IF($A308&lt;&gt;"",IF(VLOOKUP($A308,[1]!Table1[#All],2,FALSE)="Direkte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input'!$A$3:$A$230,$A$1)),IF(VLOOKUP($A308,[1]!Table1[#All],2,FALSE)="Resultat",SUMIF($F$1:$F246,$D308,I$1:I246)+SUMIF($F309:$F$512,$D308,I309:I$512),0))*'[1]Processer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1017.2118702983877</v>
      </c>
      <c r="J308" s="404">
        <f>IFERROR(VLOOKUP($D308&amp;$F308,Landbrugsproduktivititet!$D$3:$G$31,MATCH(J$2,Landbrugsproduktivititet!$D$2:$G$2,0),FALSE),1)*IF($A308&lt;&gt;"",IF(VLOOKUP($A308,[1]!Table1[#All],2,FALSE)="Direkte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input'!$A$3:$A$230,$A$1)),IF(VLOOKUP($A308,[1]!Table1[#All],2,FALSE)="Resultat",SUMIF($F$1:$F246,$D308,J$1:J246)+SUMIF($F309:$F$512,$D308,J309:J$512),0))*'[1]Processer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402">
        <f>IFERROR(VLOOKUP($D309&amp;$F309,Landbrugsproduktivititet!$D$3:$G$31,MATCH(H$2,Landbrugsproduktivititet!$D$2:$G$2,0),FALSE),1)*IF($A309&lt;&gt;"",IF(VLOOKUP($A309,[1]!Table1[#All],2,FALSE)="Direkte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input'!$A$3:$A$230,$A$1)),IF(VLOOKUP($A309,[1]!Table1[#All],2,FALSE)="Resultat",SUMIF($F$1:$F247,$D309,H$1:H247)+SUMIF($F310:$F$512,$D309,H310:H$512),0))*'[1]Processer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403">
        <f>IFERROR(VLOOKUP($D309&amp;$F309,Landbrugsproduktivititet!$D$3:$G$31,MATCH(I$2,Landbrugsproduktivititet!$D$2:$G$2,0),FALSE),1)*IF($A309&lt;&gt;"",IF(VLOOKUP($A309,[1]!Table1[#All],2,FALSE)="Direkte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input'!$A$3:$A$230,$A$1)),IF(VLOOKUP($A309,[1]!Table1[#All],2,FALSE)="Resultat",SUMIF($F$1:$F247,$D309,I$1:I247)+SUMIF($F310:$F$512,$D309,I310:I$512),0))*'[1]Processer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1702.441578110858</v>
      </c>
      <c r="J309" s="404">
        <f>IFERROR(VLOOKUP($D309&amp;$F309,Landbrugsproduktivititet!$D$3:$G$31,MATCH(J$2,Landbrugsproduktivititet!$D$2:$G$2,0),FALSE),1)*IF($A309&lt;&gt;"",IF(VLOOKUP($A309,[1]!Table1[#All],2,FALSE)="Direkte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input'!$A$3:$A$230,$A$1)),IF(VLOOKUP($A309,[1]!Table1[#All],2,FALSE)="Resultat",SUMIF($F$1:$F247,$D309,J$1:J247)+SUMIF($F310:$F$512,$D309,J310:J$512),0))*'[1]Processer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402">
        <f>IFERROR(VLOOKUP($D310&amp;$F310,Landbrugsproduktivititet!$D$3:$G$31,MATCH(H$2,Landbrugsproduktivititet!$D$2:$G$2,0),FALSE),1)*IF($A310&lt;&gt;"",IF(VLOOKUP($A310,[1]!Table1[#All],2,FALSE)="Direkte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input'!$A$3:$A$230,$A$1)),IF(VLOOKUP($A310,[1]!Table1[#All],2,FALSE)="Resultat",SUMIF($F$1:$F248,$D310,H$1:H248)+SUMIF($F311:$F$512,$D310,H311:H$512),0))*'[1]Processer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403">
        <f>IFERROR(VLOOKUP($D310&amp;$F310,Landbrugsproduktivititet!$D$3:$G$31,MATCH(I$2,Landbrugsproduktivititet!$D$2:$G$2,0),FALSE),1)*IF($A310&lt;&gt;"",IF(VLOOKUP($A310,[1]!Table1[#All],2,FALSE)="Direkte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input'!$A$3:$A$230,$A$1)),IF(VLOOKUP($A310,[1]!Table1[#All],2,FALSE)="Resultat",SUMIF($F$1:$F248,$D310,I$1:I248)+SUMIF($F311:$F$512,$D310,I311:I$512),0))*'[1]Processer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-2544.1049088005125</v>
      </c>
      <c r="J310" s="404">
        <f>IFERROR(VLOOKUP($D310&amp;$F310,Landbrugsproduktivititet!$D$3:$G$31,MATCH(J$2,Landbrugsproduktivititet!$D$2:$G$2,0),FALSE),1)*IF($A310&lt;&gt;"",IF(VLOOKUP($A310,[1]!Table1[#All],2,FALSE)="Direkte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input'!$A$3:$A$230,$A$1)),IF(VLOOKUP($A310,[1]!Table1[#All],2,FALSE)="Resultat",SUMIF($F$1:$F248,$D310,J$1:J248)+SUMIF($F311:$F$512,$D310,J311:J$512),0))*'[1]Processer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402">
        <f>IFERROR(VLOOKUP($D311&amp;$F311,Landbrugsproduktivititet!$D$3:$G$31,MATCH(H$2,Landbrugsproduktivititet!$D$2:$G$2,0),FALSE),1)*IF($A311&lt;&gt;"",IF(VLOOKUP($A311,[1]!Table1[#All],2,FALSE)="Direkte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input'!$A$3:$A$230,$A$1)),IF(VLOOKUP($A311,[1]!Table1[#All],2,FALSE)="Resultat",SUMIF($F$1:$F249,$D311,H$1:H249)+SUMIF($F312:$F$512,$D311,H312:H$512),0))*'[1]Processer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403">
        <f>IFERROR(VLOOKUP($D311&amp;$F311,Landbrugsproduktivititet!$D$3:$G$31,MATCH(I$2,Landbrugsproduktivititet!$D$2:$G$2,0),FALSE),1)*IF($A311&lt;&gt;"",IF(VLOOKUP($A311,[1]!Table1[#All],2,FALSE)="Direkte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input'!$A$3:$A$230,$A$1)),IF(VLOOKUP($A311,[1]!Table1[#All],2,FALSE)="Resultat",SUMIF($F$1:$F249,$D311,I$1:I249)+SUMIF($F312:$F$512,$D311,I312:I$512),0))*'[1]Processer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964.45909430284325</v>
      </c>
      <c r="J311" s="404">
        <f>IFERROR(VLOOKUP($D311&amp;$F311,Landbrugsproduktivititet!$D$3:$G$31,MATCH(J$2,Landbrugsproduktivititet!$D$2:$G$2,0),FALSE),1)*IF($A311&lt;&gt;"",IF(VLOOKUP($A311,[1]!Table1[#All],2,FALSE)="Direkte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input'!$A$3:$A$230,$A$1)),IF(VLOOKUP($A311,[1]!Table1[#All],2,FALSE)="Resultat",SUMIF($F$1:$F249,$D311,J$1:J249)+SUMIF($F312:$F$512,$D311,J312:J$512),0))*'[1]Processer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402">
        <f>IFERROR(VLOOKUP($D312&amp;$F312,Landbrugsproduktivititet!$D$3:$G$31,MATCH(H$2,Landbrugsproduktivititet!$D$2:$G$2,0),FALSE),1)*IF($A312&lt;&gt;"",IF(VLOOKUP($A312,[1]!Table1[#All],2,FALSE)="Direkte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input'!$A$3:$A$230,$A$1)),IF(VLOOKUP($A312,[1]!Table1[#All],2,FALSE)="Resultat",SUMIF($F$1:$F250,$D312,H$1:H250)+SUMIF($F313:$F$512,$D312,H313:H$512),0))*'[1]Processer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403">
        <f>IFERROR(VLOOKUP($D312&amp;$F312,Landbrugsproduktivititet!$D$3:$G$31,MATCH(I$2,Landbrugsproduktivititet!$D$2:$G$2,0),FALSE),1)*IF($A312&lt;&gt;"",IF(VLOOKUP($A312,[1]!Table1[#All],2,FALSE)="Direkte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input'!$A$3:$A$230,$A$1)),IF(VLOOKUP($A312,[1]!Table1[#All],2,FALSE)="Resultat",SUMIF($F$1:$F250,$D312,I$1:I250)+SUMIF($F313:$F$512,$D312,I313:I$512),0))*'[1]Processer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116840.30985882273</v>
      </c>
      <c r="J312" s="404">
        <f>IFERROR(VLOOKUP($D312&amp;$F312,Landbrugsproduktivititet!$D$3:$G$31,MATCH(J$2,Landbrugsproduktivititet!$D$2:$G$2,0),FALSE),1)*IF($A312&lt;&gt;"",IF(VLOOKUP($A312,[1]!Table1[#All],2,FALSE)="Direkte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input'!$A$3:$A$230,$A$1)),IF(VLOOKUP($A312,[1]!Table1[#All],2,FALSE)="Resultat",SUMIF($F$1:$F250,$D312,J$1:J250)+SUMIF($F313:$F$512,$D312,J313:J$512),0))*'[1]Processer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170724.37456200234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402">
        <f>IFERROR(VLOOKUP($D313&amp;$F313,Landbrugsproduktivititet!$D$3:$G$31,MATCH(H$2,Landbrugsproduktivititet!$D$2:$G$2,0),FALSE),1)*IF($A313&lt;&gt;"",IF(VLOOKUP($A313,[1]!Table1[#All],2,FALSE)="Direkte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input'!$A$3:$A$230,$A$1)),IF(VLOOKUP($A313,[1]!Table1[#All],2,FALSE)="Resultat",SUMIF($F$1:$F251,$D313,H$1:H251)+SUMIF($F314:$F$512,$D313,H314:H$512),0))*'[1]Processer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403">
        <f>IFERROR(VLOOKUP($D313&amp;$F313,Landbrugsproduktivititet!$D$3:$G$31,MATCH(I$2,Landbrugsproduktivititet!$D$2:$G$2,0),FALSE),1)*IF($A313&lt;&gt;"",IF(VLOOKUP($A313,[1]!Table1[#All],2,FALSE)="Direkte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input'!$A$3:$A$230,$A$1)),IF(VLOOKUP($A313,[1]!Table1[#All],2,FALSE)="Resultat",SUMIF($F$1:$F251,$D313,I$1:I251)+SUMIF($F314:$F$512,$D313,I314:I$512),0))*'[1]Processer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-391114.13964636746</v>
      </c>
      <c r="J313" s="404">
        <f>IFERROR(VLOOKUP($D313&amp;$F313,Landbrugsproduktivititet!$D$3:$G$31,MATCH(J$2,Landbrugsproduktivititet!$D$2:$G$2,0),FALSE),1)*IF($A313&lt;&gt;"",IF(VLOOKUP($A313,[1]!Table1[#All],2,FALSE)="Direkte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input'!$A$3:$A$230,$A$1)),IF(VLOOKUP($A313,[1]!Table1[#All],2,FALSE)="Resultat",SUMIF($F$1:$F251,$D313,J$1:J251)+SUMIF($F314:$F$512,$D313,J314:J$512),0))*'[1]Processer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-502031.26297433197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402">
        <f>IFERROR(VLOOKUP($D314&amp;$F314,Landbrugsproduktivititet!$D$3:$G$31,MATCH(H$2,Landbrugsproduktivititet!$D$2:$G$2,0),FALSE),1)*IF($A314&lt;&gt;"",IF(VLOOKUP($A314,[1]!Table1[#All],2,FALSE)="Direkte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input'!$A$3:$A$230,$A$1)),IF(VLOOKUP($A314,[1]!Table1[#All],2,FALSE)="Resultat",SUMIF($F$1:$F252,$D314,H$1:H252)+SUMIF($F315:$F$512,$D314,H315:H$512),0))*'[1]Processer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403">
        <f>IFERROR(VLOOKUP($D314&amp;$F314,Landbrugsproduktivititet!$D$3:$G$31,MATCH(I$2,Landbrugsproduktivititet!$D$2:$G$2,0),FALSE),1)*IF($A314&lt;&gt;"",IF(VLOOKUP($A314,[1]!Table1[#All],2,FALSE)="Direkte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input'!$A$3:$A$230,$A$1)),IF(VLOOKUP($A314,[1]!Table1[#All],2,FALSE)="Resultat",SUMIF($F$1:$F252,$D314,I$1:I252)+SUMIF($F315:$F$512,$D314,I315:I$512),0))*'[1]Processer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6198.8974135021181</v>
      </c>
      <c r="J314" s="404">
        <f>IFERROR(VLOOKUP($D314&amp;$F314,Landbrugsproduktivititet!$D$3:$G$31,MATCH(J$2,Landbrugsproduktivititet!$D$2:$G$2,0),FALSE),1)*IF($A314&lt;&gt;"",IF(VLOOKUP($A314,[1]!Table1[#All],2,FALSE)="Direkte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input'!$A$3:$A$230,$A$1)),IF(VLOOKUP($A314,[1]!Table1[#All],2,FALSE)="Resultat",SUMIF($F$1:$F252,$D314,J$1:J252)+SUMIF($F315:$F$512,$D314,J315:J$512),0))*'[1]Processer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6795.9245011338007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402">
        <f>IFERROR(VLOOKUP($D315&amp;$F315,Landbrugsproduktivititet!$D$3:$G$31,MATCH(H$2,Landbrugsproduktivititet!$D$2:$G$2,0),FALSE),1)*IF($A315&lt;&gt;"",IF(VLOOKUP($A315,[1]!Table1[#All],2,FALSE)="Direkte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input'!$A$3:$A$230,$A$1)),IF(VLOOKUP($A315,[1]!Table1[#All],2,FALSE)="Resultat",SUMIF($F$1:$F253,$D315,H$1:H253)+SUMIF($F316:$F$512,$D315,H316:H$512),0))*'[1]Processer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403">
        <f>IFERROR(VLOOKUP($D315&amp;$F315,Landbrugsproduktivititet!$D$3:$G$31,MATCH(I$2,Landbrugsproduktivititet!$D$2:$G$2,0),FALSE),1)*IF($A315&lt;&gt;"",IF(VLOOKUP($A315,[1]!Table1[#All],2,FALSE)="Direkte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input'!$A$3:$A$230,$A$1)),IF(VLOOKUP($A315,[1]!Table1[#All],2,FALSE)="Resultat",SUMIF($F$1:$F253,$D315,I$1:I253)+SUMIF($F316:$F$512,$D315,I316:I$512),0))*'[1]Processer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418.26195676817099</v>
      </c>
      <c r="J315" s="404">
        <f>IFERROR(VLOOKUP($D315&amp;$F315,Landbrugsproduktivititet!$D$3:$G$31,MATCH(J$2,Landbrugsproduktivititet!$D$2:$G$2,0),FALSE),1)*IF($A315&lt;&gt;"",IF(VLOOKUP($A315,[1]!Table1[#All],2,FALSE)="Direkte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input'!$A$3:$A$230,$A$1)),IF(VLOOKUP($A315,[1]!Table1[#All],2,FALSE)="Resultat",SUMIF($F$1:$F253,$D315,J$1:J253)+SUMIF($F316:$F$512,$D315,J316:J$512),0))*'[1]Processer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402">
        <f>IFERROR(VLOOKUP($D316&amp;$F316,Landbrugsproduktivititet!$D$3:$G$31,MATCH(H$2,Landbrugsproduktivititet!$D$2:$G$2,0),FALSE),1)*IF($A316&lt;&gt;"",IF(VLOOKUP($A316,[1]!Table1[#All],2,FALSE)="Direkte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input'!$A$3:$A$230,$A$1)),IF(VLOOKUP($A316,[1]!Table1[#All],2,FALSE)="Resultat",SUMIF($F$1:$F254,$D316,H$1:H254)+SUMIF($F317:$F$512,$D316,H317:H$512),0))*'[1]Processer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403">
        <f>IFERROR(VLOOKUP($D316&amp;$F316,Landbrugsproduktivititet!$D$3:$G$31,MATCH(I$2,Landbrugsproduktivititet!$D$2:$G$2,0),FALSE),1)*IF($A316&lt;&gt;"",IF(VLOOKUP($A316,[1]!Table1[#All],2,FALSE)="Direkte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input'!$A$3:$A$230,$A$1)),IF(VLOOKUP($A316,[1]!Table1[#All],2,FALSE)="Resultat",SUMIF($F$1:$F254,$D316,I$1:I254)+SUMIF($F317:$F$512,$D316,I317:I$512),0))*'[1]Processer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-947.98465046191757</v>
      </c>
      <c r="J316" s="404">
        <f>IFERROR(VLOOKUP($D316&amp;$F316,Landbrugsproduktivititet!$D$3:$G$31,MATCH(J$2,Landbrugsproduktivititet!$D$2:$G$2,0),FALSE),1)*IF($A316&lt;&gt;"",IF(VLOOKUP($A316,[1]!Table1[#All],2,FALSE)="Direkte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input'!$A$3:$A$230,$A$1)),IF(VLOOKUP($A316,[1]!Table1[#All],2,FALSE)="Resultat",SUMIF($F$1:$F254,$D316,J$1:J254)+SUMIF($F317:$F$512,$D316,J317:J$512),0))*'[1]Processer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402">
        <f>IFERROR(VLOOKUP($D317&amp;$F317,Landbrugsproduktivititet!$D$3:$G$31,MATCH(H$2,Landbrugsproduktivititet!$D$2:$G$2,0),FALSE),1)*IF($A317&lt;&gt;"",IF(VLOOKUP($A317,[1]!Table1[#All],2,FALSE)="Direkte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input'!$A$3:$A$230,$A$1)),IF(VLOOKUP($A317,[1]!Table1[#All],2,FALSE)="Resultat",SUMIF($F$1:$F255,$D317,H$1:H255)+SUMIF($F318:$F$512,$D317,H318:H$512),0))*'[1]Processer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403">
        <f>IFERROR(VLOOKUP($D317&amp;$F317,Landbrugsproduktivititet!$D$3:$G$31,MATCH(I$2,Landbrugsproduktivititet!$D$2:$G$2,0),FALSE),1)*IF($A317&lt;&gt;"",IF(VLOOKUP($A317,[1]!Table1[#All],2,FALSE)="Direkte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input'!$A$3:$A$230,$A$1)),IF(VLOOKUP($A317,[1]!Table1[#All],2,FALSE)="Resultat",SUMIF($F$1:$F255,$D317,I$1:I255)+SUMIF($F318:$F$512,$D317,I318:I$512),0))*'[1]Processer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130.06225008379565</v>
      </c>
      <c r="J317" s="404">
        <f>IFERROR(VLOOKUP($D317&amp;$F317,Landbrugsproduktivititet!$D$3:$G$31,MATCH(J$2,Landbrugsproduktivititet!$D$2:$G$2,0),FALSE),1)*IF($A317&lt;&gt;"",IF(VLOOKUP($A317,[1]!Table1[#All],2,FALSE)="Direkte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input'!$A$3:$A$230,$A$1)),IF(VLOOKUP($A317,[1]!Table1[#All],2,FALSE)="Resultat",SUMIF($F$1:$F255,$D317,J$1:J255)+SUMIF($F318:$F$512,$D317,J318:J$512),0))*'[1]Processer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402">
        <f>IFERROR(VLOOKUP($D318&amp;$F318,Landbrugsproduktivititet!$D$3:$G$31,MATCH(H$2,Landbrugsproduktivititet!$D$2:$G$2,0),FALSE),1)*IF($A318&lt;&gt;"",IF(VLOOKUP($A318,[1]!Table1[#All],2,FALSE)="Direkte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input'!$A$3:$A$230,$A$1)),IF(VLOOKUP($A318,[1]!Table1[#All],2,FALSE)="Resultat",SUMIF($F$1:$F256,$D318,H$1:H256)+SUMIF($F319:$F$512,$D318,H319:H$512),0))*'[1]Processer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403">
        <f>IFERROR(VLOOKUP($D318&amp;$F318,Landbrugsproduktivititet!$D$3:$G$31,MATCH(I$2,Landbrugsproduktivititet!$D$2:$G$2,0),FALSE),1)*IF($A318&lt;&gt;"",IF(VLOOKUP($A318,[1]!Table1[#All],2,FALSE)="Direkte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input'!$A$3:$A$230,$A$1)),IF(VLOOKUP($A318,[1]!Table1[#All],2,FALSE)="Resultat",SUMIF($F$1:$F256,$D318,I$1:I256)+SUMIF($F319:$F$512,$D318,I319:I$512),0))*'[1]Processer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180.67170927025646</v>
      </c>
      <c r="J318" s="404">
        <f>IFERROR(VLOOKUP($D318&amp;$F318,Landbrugsproduktivititet!$D$3:$G$31,MATCH(J$2,Landbrugsproduktivititet!$D$2:$G$2,0),FALSE),1)*IF($A318&lt;&gt;"",IF(VLOOKUP($A318,[1]!Table1[#All],2,FALSE)="Direkte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input'!$A$3:$A$230,$A$1)),IF(VLOOKUP($A318,[1]!Table1[#All],2,FALSE)="Resultat",SUMIF($F$1:$F256,$D318,J$1:J256)+SUMIF($F319:$F$512,$D318,J319:J$512),0))*'[1]Processer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402">
        <f>IFERROR(VLOOKUP($D319&amp;$F319,Landbrugsproduktivititet!$D$3:$G$31,MATCH(H$2,Landbrugsproduktivititet!$D$2:$G$2,0),FALSE),1)*IF($A319&lt;&gt;"",IF(VLOOKUP($A319,[1]!Table1[#All],2,FALSE)="Direkte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input'!$A$3:$A$230,$A$1)),IF(VLOOKUP($A319,[1]!Table1[#All],2,FALSE)="Resultat",SUMIF($F$1:$F257,$D319,H$1:H257)+SUMIF($F320:$F$512,$D319,H320:H$512),0))*'[1]Processer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403">
        <f>IFERROR(VLOOKUP($D319&amp;$F319,Landbrugsproduktivititet!$D$3:$G$31,MATCH(I$2,Landbrugsproduktivititet!$D$2:$G$2,0),FALSE),1)*IF($A319&lt;&gt;"",IF(VLOOKUP($A319,[1]!Table1[#All],2,FALSE)="Direkte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input'!$A$3:$A$230,$A$1)),IF(VLOOKUP($A319,[1]!Table1[#All],2,FALSE)="Resultat",SUMIF($F$1:$F257,$D319,I$1:I257)+SUMIF($F320:$F$512,$D319,I320:I$512),0))*'[1]Processer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-269.99327809292231</v>
      </c>
      <c r="J319" s="404">
        <f>IFERROR(VLOOKUP($D319&amp;$F319,Landbrugsproduktivititet!$D$3:$G$31,MATCH(J$2,Landbrugsproduktivititet!$D$2:$G$2,0),FALSE),1)*IF($A319&lt;&gt;"",IF(VLOOKUP($A319,[1]!Table1[#All],2,FALSE)="Direkte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input'!$A$3:$A$230,$A$1)),IF(VLOOKUP($A319,[1]!Table1[#All],2,FALSE)="Resultat",SUMIF($F$1:$F257,$D319,J$1:J257)+SUMIF($F320:$F$512,$D319,J320:J$512),0))*'[1]Processer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402">
        <f>IFERROR(VLOOKUP($D320&amp;$F320,Landbrugsproduktivititet!$D$3:$G$31,MATCH(H$2,Landbrugsproduktivititet!$D$2:$G$2,0),FALSE),1)*IF($A320&lt;&gt;"",IF(VLOOKUP($A320,[1]!Table1[#All],2,FALSE)="Direkte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input'!$A$3:$A$230,$A$1)),IF(VLOOKUP($A320,[1]!Table1[#All],2,FALSE)="Resultat",SUMIF($F$1:$F258,$D320,H$1:H258)+SUMIF($F321:$F$512,$D320,H321:H$512),0))*'[1]Processer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403">
        <f>IFERROR(VLOOKUP($D320&amp;$F320,Landbrugsproduktivititet!$D$3:$G$31,MATCH(I$2,Landbrugsproduktivititet!$D$2:$G$2,0),FALSE),1)*IF($A320&lt;&gt;"",IF(VLOOKUP($A320,[1]!Table1[#All],2,FALSE)="Direkte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input'!$A$3:$A$230,$A$1)),IF(VLOOKUP($A320,[1]!Table1[#All],2,FALSE)="Resultat",SUMIF($F$1:$F258,$D320,I$1:I258)+SUMIF($F321:$F$512,$D320,I321:I$512),0))*'[1]Processer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123.31720026233188</v>
      </c>
      <c r="J320" s="404">
        <f>IFERROR(VLOOKUP($D320&amp;$F320,Landbrugsproduktivititet!$D$3:$G$31,MATCH(J$2,Landbrugsproduktivititet!$D$2:$G$2,0),FALSE),1)*IF($A320&lt;&gt;"",IF(VLOOKUP($A320,[1]!Table1[#All],2,FALSE)="Direkte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input'!$A$3:$A$230,$A$1)),IF(VLOOKUP($A320,[1]!Table1[#All],2,FALSE)="Resultat",SUMIF($F$1:$F258,$D320,J$1:J258)+SUMIF($F321:$F$512,$D320,J321:J$512),0))*'[1]Processer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402">
        <f>IFERROR(VLOOKUP($D321&amp;$F321,Landbrugsproduktivititet!$D$3:$G$31,MATCH(H$2,Landbrugsproduktivititet!$D$2:$G$2,0),FALSE),1)*IF($A321&lt;&gt;"",IF(VLOOKUP($A321,[1]!Table1[#All],2,FALSE)="Direkte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input'!$A$3:$A$230,$A$1)),IF(VLOOKUP($A321,[1]!Table1[#All],2,FALSE)="Resultat",SUMIF($F$1:$F259,$D321,H$1:H259)+SUMIF($F322:$F$512,$D321,H322:H$512),0))*'[1]Processer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403">
        <f>IFERROR(VLOOKUP($D321&amp;$F321,Landbrugsproduktivititet!$D$3:$G$31,MATCH(I$2,Landbrugsproduktivititet!$D$2:$G$2,0),FALSE),1)*IF($A321&lt;&gt;"",IF(VLOOKUP($A321,[1]!Table1[#All],2,FALSE)="Direkte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input'!$A$3:$A$230,$A$1)),IF(VLOOKUP($A321,[1]!Table1[#All],2,FALSE)="Resultat",SUMIF($F$1:$F259,$D321,I$1:I259)+SUMIF($F322:$F$512,$D321,I322:I$512),0))*'[1]Processer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208864.92333731602</v>
      </c>
      <c r="J321" s="404">
        <f>IFERROR(VLOOKUP($D321&amp;$F321,Landbrugsproduktivititet!$D$3:$G$31,MATCH(J$2,Landbrugsproduktivititet!$D$2:$G$2,0),FALSE),1)*IF($A321&lt;&gt;"",IF(VLOOKUP($A321,[1]!Table1[#All],2,FALSE)="Direkte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input'!$A$3:$A$230,$A$1)),IF(VLOOKUP($A321,[1]!Table1[#All],2,FALSE)="Resultat",SUMIF($F$1:$F259,$D321,J$1:J259)+SUMIF($F322:$F$512,$D321,J322:J$512),0))*'[1]Processer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0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402">
        <f>IFERROR(VLOOKUP($D322&amp;$F322,Landbrugsproduktivititet!$D$3:$G$31,MATCH(H$2,Landbrugsproduktivititet!$D$2:$G$2,0),FALSE),1)*IF($A322&lt;&gt;"",IF(VLOOKUP($A322,[1]!Table1[#All],2,FALSE)="Direkte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input'!$A$3:$A$230,$A$1)),IF(VLOOKUP($A322,[1]!Table1[#All],2,FALSE)="Resultat",SUMIF($F$1:$F260,$D322,H$1:H260)+SUMIF($F323:$F$512,$D322,H323:H$512),0))*'[1]Processer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403">
        <f>IFERROR(VLOOKUP($D322&amp;$F322,Landbrugsproduktivititet!$D$3:$G$31,MATCH(I$2,Landbrugsproduktivititet!$D$2:$G$2,0),FALSE),1)*IF($A322&lt;&gt;"",IF(VLOOKUP($A322,[1]!Table1[#All],2,FALSE)="Direkte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input'!$A$3:$A$230,$A$1)),IF(VLOOKUP($A322,[1]!Table1[#All],2,FALSE)="Resultat",SUMIF($F$1:$F260,$D322,I$1:I260)+SUMIF($F323:$F$512,$D322,I323:I$512),0))*'[1]Processer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111555.79987907715</v>
      </c>
      <c r="J322" s="404">
        <f>IFERROR(VLOOKUP($D322&amp;$F322,Landbrugsproduktivititet!$D$3:$G$31,MATCH(J$2,Landbrugsproduktivititet!$D$2:$G$2,0),FALSE),1)*IF($A322&lt;&gt;"",IF(VLOOKUP($A322,[1]!Table1[#All],2,FALSE)="Direkte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input'!$A$3:$A$230,$A$1)),IF(VLOOKUP($A322,[1]!Table1[#All],2,FALSE)="Resultat",SUMIF($F$1:$F260,$D322,J$1:J260)+SUMIF($F323:$F$512,$D322,J323:J$512),0))*'[1]Processer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0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402">
        <f>IFERROR(VLOOKUP($D323&amp;$F323,Landbrugsproduktivititet!$D$3:$G$31,MATCH(H$2,Landbrugsproduktivititet!$D$2:$G$2,0),FALSE),1)*IF($A323&lt;&gt;"",IF(VLOOKUP($A323,[1]!Table1[#All],2,FALSE)="Direkte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input'!$A$3:$A$230,$A$1)),IF(VLOOKUP($A323,[1]!Table1[#All],2,FALSE)="Resultat",SUMIF($F$1:$F261,$D323,H$1:H261)+SUMIF($F324:$F$512,$D323,H324:H$512),0))*'[1]Processer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403">
        <f>IFERROR(VLOOKUP($D323&amp;$F323,Landbrugsproduktivititet!$D$3:$G$31,MATCH(I$2,Landbrugsproduktivititet!$D$2:$G$2,0),FALSE),1)*IF($A323&lt;&gt;"",IF(VLOOKUP($A323,[1]!Table1[#All],2,FALSE)="Direkte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input'!$A$3:$A$230,$A$1)),IF(VLOOKUP($A323,[1]!Table1[#All],2,FALSE)="Resultat",SUMIF($F$1:$F261,$D323,I$1:I261)+SUMIF($F324:$F$512,$D323,I324:I$512),0))*'[1]Processer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-7735694.5268088803</v>
      </c>
      <c r="J323" s="404">
        <f>IFERROR(VLOOKUP($D323&amp;$F323,Landbrugsproduktivititet!$D$3:$G$31,MATCH(J$2,Landbrugsproduktivititet!$D$2:$G$2,0),FALSE),1)*IF($A323&lt;&gt;"",IF(VLOOKUP($A323,[1]!Table1[#All],2,FALSE)="Direkte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input'!$A$3:$A$230,$A$1)),IF(VLOOKUP($A323,[1]!Table1[#All],2,FALSE)="Resultat",SUMIF($F$1:$F261,$D323,J$1:J261)+SUMIF($F324:$F$512,$D323,J324:J$512),0))*'[1]Processer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0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402">
        <f>IFERROR(VLOOKUP($D324&amp;$F324,Landbrugsproduktivititet!$D$3:$G$31,MATCH(H$2,Landbrugsproduktivititet!$D$2:$G$2,0),FALSE),1)*IF($A324&lt;&gt;"",IF(VLOOKUP($A324,[1]!Table1[#All],2,FALSE)="Direkte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input'!$A$3:$A$230,$A$1)),IF(VLOOKUP($A324,[1]!Table1[#All],2,FALSE)="Resultat",SUMIF($F$1:$F262,$D324,H$1:H262)+SUMIF($F325:$F$512,$D324,H325:H$512),0))*'[1]Processer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403">
        <f>IFERROR(VLOOKUP($D324&amp;$F324,Landbrugsproduktivititet!$D$3:$G$31,MATCH(I$2,Landbrugsproduktivititet!$D$2:$G$2,0),FALSE),1)*IF($A324&lt;&gt;"",IF(VLOOKUP($A324,[1]!Table1[#All],2,FALSE)="Direkte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input'!$A$3:$A$230,$A$1)),IF(VLOOKUP($A324,[1]!Table1[#All],2,FALSE)="Resultat",SUMIF($F$1:$F262,$D324,I$1:I262)+SUMIF($F325:$F$512,$D324,I325:I$512),0))*'[1]Processer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93040.121798640714</v>
      </c>
      <c r="J324" s="404">
        <f>IFERROR(VLOOKUP($D324&amp;$F324,Landbrugsproduktivititet!$D$3:$G$31,MATCH(J$2,Landbrugsproduktivititet!$D$2:$G$2,0),FALSE),1)*IF($A324&lt;&gt;"",IF(VLOOKUP($A324,[1]!Table1[#All],2,FALSE)="Direkte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input'!$A$3:$A$230,$A$1)),IF(VLOOKUP($A324,[1]!Table1[#All],2,FALSE)="Resultat",SUMIF($F$1:$F262,$D324,J$1:J262)+SUMIF($F325:$F$512,$D324,J325:J$512),0))*'[1]Processer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0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402">
        <f>IFERROR(VLOOKUP($D325&amp;$F325,Landbrugsproduktivititet!$D$3:$G$31,MATCH(H$2,Landbrugsproduktivititet!$D$2:$G$2,0),FALSE),1)*IF($A325&lt;&gt;"",IF(VLOOKUP($A325,[1]!Table1[#All],2,FALSE)="Direkte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input'!$A$3:$A$230,$A$1)),IF(VLOOKUP($A325,[1]!Table1[#All],2,FALSE)="Resultat",SUMIF($F$1:$F263,$D325,H$1:H263)+SUMIF($F326:$F$512,$D325,H326:H$512),0))*'[1]Processer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403">
        <f>IFERROR(VLOOKUP($D325&amp;$F325,Landbrugsproduktivititet!$D$3:$G$31,MATCH(I$2,Landbrugsproduktivititet!$D$2:$G$2,0),FALSE),1)*IF($A325&lt;&gt;"",IF(VLOOKUP($A325,[1]!Table1[#All],2,FALSE)="Direkte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input'!$A$3:$A$230,$A$1)),IF(VLOOKUP($A325,[1]!Table1[#All],2,FALSE)="Resultat",SUMIF($F$1:$F263,$D325,I$1:I263)+SUMIF($F326:$F$512,$D325,I326:I$512),0))*'[1]Processer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1381.5769514591555</v>
      </c>
      <c r="J325" s="404">
        <f>IFERROR(VLOOKUP($D325&amp;$F325,Landbrugsproduktivititet!$D$3:$G$31,MATCH(J$2,Landbrugsproduktivititet!$D$2:$G$2,0),FALSE),1)*IF($A325&lt;&gt;"",IF(VLOOKUP($A325,[1]!Table1[#All],2,FALSE)="Direkte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input'!$A$3:$A$230,$A$1)),IF(VLOOKUP($A325,[1]!Table1[#All],2,FALSE)="Resultat",SUMIF($F$1:$F263,$D325,J$1:J263)+SUMIF($F326:$F$512,$D325,J326:J$512),0))*'[1]Processer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402">
        <f>IFERROR(VLOOKUP($D326&amp;$F326,Landbrugsproduktivititet!$D$3:$G$31,MATCH(H$2,Landbrugsproduktivititet!$D$2:$G$2,0),FALSE),1)*IF($A326&lt;&gt;"",IF(VLOOKUP($A326,[1]!Table1[#All],2,FALSE)="Direkte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input'!$A$3:$A$230,$A$1)),IF(VLOOKUP($A326,[1]!Table1[#All],2,FALSE)="Resultat",SUMIF($F$1:$F264,$D326,H$1:H264)+SUMIF($F327:$F$512,$D326,H327:H$512),0))*'[1]Processer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403">
        <f>IFERROR(VLOOKUP($D326&amp;$F326,Landbrugsproduktivititet!$D$3:$G$31,MATCH(I$2,Landbrugsproduktivititet!$D$2:$G$2,0),FALSE),1)*IF($A326&lt;&gt;"",IF(VLOOKUP($A326,[1]!Table1[#All],2,FALSE)="Direkte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input'!$A$3:$A$230,$A$1)),IF(VLOOKUP($A326,[1]!Table1[#All],2,FALSE)="Resultat",SUMIF($F$1:$F264,$D326,I$1:I264)+SUMIF($F327:$F$512,$D326,I327:I$512),0))*'[1]Processer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737.90715765909226</v>
      </c>
      <c r="J326" s="404">
        <f>IFERROR(VLOOKUP($D326&amp;$F326,Landbrugsproduktivititet!$D$3:$G$31,MATCH(J$2,Landbrugsproduktivititet!$D$2:$G$2,0),FALSE),1)*IF($A326&lt;&gt;"",IF(VLOOKUP($A326,[1]!Table1[#All],2,FALSE)="Direkte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input'!$A$3:$A$230,$A$1)),IF(VLOOKUP($A326,[1]!Table1[#All],2,FALSE)="Resultat",SUMIF($F$1:$F264,$D326,J$1:J264)+SUMIF($F327:$F$512,$D326,J327:J$512),0))*'[1]Processer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402">
        <f>IFERROR(VLOOKUP($D327&amp;$F327,Landbrugsproduktivititet!$D$3:$G$31,MATCH(H$2,Landbrugsproduktivititet!$D$2:$G$2,0),FALSE),1)*IF($A327&lt;&gt;"",IF(VLOOKUP($A327,[1]!Table1[#All],2,FALSE)="Direkte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input'!$A$3:$A$230,$A$1)),IF(VLOOKUP($A327,[1]!Table1[#All],2,FALSE)="Resultat",SUMIF($F$1:$F265,$D327,H$1:H265)+SUMIF($F328:$F$512,$D327,H328:H$512),0))*'[1]Processer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403">
        <f>IFERROR(VLOOKUP($D327&amp;$F327,Landbrugsproduktivititet!$D$3:$G$31,MATCH(I$2,Landbrugsproduktivititet!$D$2:$G$2,0),FALSE),1)*IF($A327&lt;&gt;"",IF(VLOOKUP($A327,[1]!Table1[#All],2,FALSE)="Direkte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input'!$A$3:$A$230,$A$1)),IF(VLOOKUP($A327,[1]!Table1[#All],2,FALSE)="Resultat",SUMIF($F$1:$F265,$D327,I$1:I265)+SUMIF($F328:$F$512,$D327,I328:I$512),0))*'[1]Processer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-35331.134869711139</v>
      </c>
      <c r="J327" s="404">
        <f>IFERROR(VLOOKUP($D327&amp;$F327,Landbrugsproduktivititet!$D$3:$G$31,MATCH(J$2,Landbrugsproduktivititet!$D$2:$G$2,0),FALSE),1)*IF($A327&lt;&gt;"",IF(VLOOKUP($A327,[1]!Table1[#All],2,FALSE)="Direkte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input'!$A$3:$A$230,$A$1)),IF(VLOOKUP($A327,[1]!Table1[#All],2,FALSE)="Resultat",SUMIF($F$1:$F265,$D327,J$1:J265)+SUMIF($F328:$F$512,$D327,J328:J$512),0))*'[1]Processer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402">
        <f>IFERROR(VLOOKUP($D328&amp;$F328,Landbrugsproduktivititet!$D$3:$G$31,MATCH(H$2,Landbrugsproduktivititet!$D$2:$G$2,0),FALSE),1)*IF($A328&lt;&gt;"",IF(VLOOKUP($A328,[1]!Table1[#All],2,FALSE)="Direkte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input'!$A$3:$A$230,$A$1)),IF(VLOOKUP($A328,[1]!Table1[#All],2,FALSE)="Resultat",SUMIF($F$1:$F266,$D328,H$1:H266)+SUMIF($F329:$F$512,$D328,H329:H$512),0))*'[1]Processer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403">
        <f>IFERROR(VLOOKUP($D328&amp;$F328,Landbrugsproduktivititet!$D$3:$G$31,MATCH(I$2,Landbrugsproduktivititet!$D$2:$G$2,0),FALSE),1)*IF($A328&lt;&gt;"",IF(VLOOKUP($A328,[1]!Table1[#All],2,FALSE)="Direkte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input'!$A$3:$A$230,$A$1)),IF(VLOOKUP($A328,[1]!Table1[#All],2,FALSE)="Resultat",SUMIF($F$1:$F266,$D328,I$1:I266)+SUMIF($F329:$F$512,$D328,I329:I$512),0))*'[1]Processer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3607.1232993844492</v>
      </c>
      <c r="J328" s="404">
        <f>IFERROR(VLOOKUP($D328&amp;$F328,Landbrugsproduktivititet!$D$3:$G$31,MATCH(J$2,Landbrugsproduktivititet!$D$2:$G$2,0),FALSE),1)*IF($A328&lt;&gt;"",IF(VLOOKUP($A328,[1]!Table1[#All],2,FALSE)="Direkte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input'!$A$3:$A$230,$A$1)),IF(VLOOKUP($A328,[1]!Table1[#All],2,FALSE)="Resultat",SUMIF($F$1:$F266,$D328,J$1:J266)+SUMIF($F329:$F$512,$D328,J329:J$512),0))*'[1]Processer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402">
        <f>IFERROR(VLOOKUP($D329&amp;$F329,Landbrugsproduktivititet!$D$3:$G$31,MATCH(H$2,Landbrugsproduktivititet!$D$2:$G$2,0),FALSE),1)*IF($A329&lt;&gt;"",IF(VLOOKUP($A329,[1]!Table1[#All],2,FALSE)="Direkte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input'!$A$3:$A$230,$A$1)),IF(VLOOKUP($A329,[1]!Table1[#All],2,FALSE)="Resultat",SUMIF($F$1:$F267,$D329,H$1:H267)+SUMIF($F330:$F$512,$D329,H330:H$512),0))*'[1]Processer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403">
        <f>IFERROR(VLOOKUP($D329&amp;$F329,Landbrugsproduktivititet!$D$3:$G$31,MATCH(I$2,Landbrugsproduktivititet!$D$2:$G$2,0),FALSE),1)*IF($A329&lt;&gt;"",IF(VLOOKUP($A329,[1]!Table1[#All],2,FALSE)="Direkte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input'!$A$3:$A$230,$A$1)),IF(VLOOKUP($A329,[1]!Table1[#All],2,FALSE)="Resultat",SUMIF($F$1:$F267,$D329,I$1:I267)+SUMIF($F330:$F$512,$D329,I330:I$512),0))*'[1]Processer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721.72206475052576</v>
      </c>
      <c r="J329" s="404">
        <f>IFERROR(VLOOKUP($D329&amp;$F329,Landbrugsproduktivititet!$D$3:$G$31,MATCH(J$2,Landbrugsproduktivititet!$D$2:$G$2,0),FALSE),1)*IF($A329&lt;&gt;"",IF(VLOOKUP($A329,[1]!Table1[#All],2,FALSE)="Direkte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input'!$A$3:$A$230,$A$1)),IF(VLOOKUP($A329,[1]!Table1[#All],2,FALSE)="Resultat",SUMIF($F$1:$F267,$D329,J$1:J267)+SUMIF($F330:$F$512,$D329,J330:J$512),0))*'[1]Processer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402">
        <f>IFERROR(VLOOKUP($D330&amp;$F330,Landbrugsproduktivititet!$D$3:$G$31,MATCH(H$2,Landbrugsproduktivititet!$D$2:$G$2,0),FALSE),1)*IF($A330&lt;&gt;"",IF(VLOOKUP($A330,[1]!Table1[#All],2,FALSE)="Direkte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input'!$A$3:$A$230,$A$1)),IF(VLOOKUP($A330,[1]!Table1[#All],2,FALSE)="Resultat",SUMIF($F$1:$F268,$D330,H$1:H268)+SUMIF($F331:$F$512,$D330,H331:H$512),0))*'[1]Processer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403">
        <f>IFERROR(VLOOKUP($D330&amp;$F330,Landbrugsproduktivititet!$D$3:$G$31,MATCH(I$2,Landbrugsproduktivititet!$D$2:$G$2,0),FALSE),1)*IF($A330&lt;&gt;"",IF(VLOOKUP($A330,[1]!Table1[#All],2,FALSE)="Direkte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input'!$A$3:$A$230,$A$1)),IF(VLOOKUP($A330,[1]!Table1[#All],2,FALSE)="Resultat",SUMIF($F$1:$F268,$D330,I$1:I268)+SUMIF($F331:$F$512,$D330,I331:I$512),0))*'[1]Processer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385.47536339357953</v>
      </c>
      <c r="J330" s="404">
        <f>IFERROR(VLOOKUP($D330&amp;$F330,Landbrugsproduktivititet!$D$3:$G$31,MATCH(J$2,Landbrugsproduktivititet!$D$2:$G$2,0),FALSE),1)*IF($A330&lt;&gt;"",IF(VLOOKUP($A330,[1]!Table1[#All],2,FALSE)="Direkte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input'!$A$3:$A$230,$A$1)),IF(VLOOKUP($A330,[1]!Table1[#All],2,FALSE)="Resultat",SUMIF($F$1:$F268,$D330,J$1:J268)+SUMIF($F331:$F$512,$D330,J331:J$512),0))*'[1]Processer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402">
        <f>IFERROR(VLOOKUP($D331&amp;$F331,Landbrugsproduktivititet!$D$3:$G$31,MATCH(H$2,Landbrugsproduktivititet!$D$2:$G$2,0),FALSE),1)*IF($A331&lt;&gt;"",IF(VLOOKUP($A331,[1]!Table1[#All],2,FALSE)="Direkte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input'!$A$3:$A$230,$A$1)),IF(VLOOKUP($A331,[1]!Table1[#All],2,FALSE)="Resultat",SUMIF($F$1:$F269,$D331,H$1:H269)+SUMIF($F332:$F$512,$D331,H332:H$512),0))*'[1]Processer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403">
        <f>IFERROR(VLOOKUP($D331&amp;$F331,Landbrugsproduktivititet!$D$3:$G$31,MATCH(I$2,Landbrugsproduktivititet!$D$2:$G$2,0),FALSE),1)*IF($A331&lt;&gt;"",IF(VLOOKUP($A331,[1]!Table1[#All],2,FALSE)="Direkte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input'!$A$3:$A$230,$A$1)),IF(VLOOKUP($A331,[1]!Table1[#All],2,FALSE)="Resultat",SUMIF($F$1:$F269,$D331,I$1:I269)+SUMIF($F332:$F$512,$D331,I332:I$512),0))*'[1]Processer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-12546.874085139027</v>
      </c>
      <c r="J331" s="404">
        <f>IFERROR(VLOOKUP($D331&amp;$F331,Landbrugsproduktivititet!$D$3:$G$31,MATCH(J$2,Landbrugsproduktivititet!$D$2:$G$2,0),FALSE),1)*IF($A331&lt;&gt;"",IF(VLOOKUP($A331,[1]!Table1[#All],2,FALSE)="Direkte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input'!$A$3:$A$230,$A$1)),IF(VLOOKUP($A331,[1]!Table1[#All],2,FALSE)="Resultat",SUMIF($F$1:$F269,$D331,J$1:J269)+SUMIF($F332:$F$512,$D331,J332:J$512),0))*'[1]Processer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402">
        <f>IFERROR(VLOOKUP($D332&amp;$F332,Landbrugsproduktivititet!$D$3:$G$31,MATCH(H$2,Landbrugsproduktivititet!$D$2:$G$2,0),FALSE),1)*IF($A332&lt;&gt;"",IF(VLOOKUP($A332,[1]!Table1[#All],2,FALSE)="Direkte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input'!$A$3:$A$230,$A$1)),IF(VLOOKUP($A332,[1]!Table1[#All],2,FALSE)="Resultat",SUMIF($F$1:$F270,$D332,H$1:H270)+SUMIF($F333:$F$512,$D332,H333:H$512),0))*'[1]Processer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403">
        <f>IFERROR(VLOOKUP($D332&amp;$F332,Landbrugsproduktivititet!$D$3:$G$31,MATCH(I$2,Landbrugsproduktivititet!$D$2:$G$2,0),FALSE),1)*IF($A332&lt;&gt;"",IF(VLOOKUP($A332,[1]!Table1[#All],2,FALSE)="Direkte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input'!$A$3:$A$230,$A$1)),IF(VLOOKUP($A332,[1]!Table1[#All],2,FALSE)="Resultat",SUMIF($F$1:$F270,$D332,I$1:I270)+SUMIF($F333:$F$512,$D332,I333:I$512),0))*'[1]Processer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4136.0568161784422</v>
      </c>
      <c r="J332" s="404">
        <f>IFERROR(VLOOKUP($D332&amp;$F332,Landbrugsproduktivititet!$D$3:$G$31,MATCH(J$2,Landbrugsproduktivititet!$D$2:$G$2,0),FALSE),1)*IF($A332&lt;&gt;"",IF(VLOOKUP($A332,[1]!Table1[#All],2,FALSE)="Direkte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input'!$A$3:$A$230,$A$1)),IF(VLOOKUP($A332,[1]!Table1[#All],2,FALSE)="Resultat",SUMIF($F$1:$F270,$D332,J$1:J270)+SUMIF($F333:$F$512,$D332,J333:J$512),0))*'[1]Processer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402">
        <f>IFERROR(VLOOKUP($D333&amp;$F333,Landbrugsproduktivititet!$D$3:$G$31,MATCH(H$2,Landbrugsproduktivititet!$D$2:$G$2,0),FALSE),1)*IF($A333&lt;&gt;"",IF(VLOOKUP($A333,[1]!Table1[#All],2,FALSE)="Direkte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input'!$A$3:$A$230,$A$1)),IF(VLOOKUP($A333,[1]!Table1[#All],2,FALSE)="Resultat",SUMIF($F$1:$F271,$D333,H$1:H271)+SUMIF($F334:$F$512,$D333,H334:H$512),0))*'[1]Processer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403">
        <f>IFERROR(VLOOKUP($D333&amp;$F333,Landbrugsproduktivititet!$D$3:$G$31,MATCH(I$2,Landbrugsproduktivititet!$D$2:$G$2,0),FALSE),1)*IF($A333&lt;&gt;"",IF(VLOOKUP($A333,[1]!Table1[#All],2,FALSE)="Direkte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input'!$A$3:$A$230,$A$1)),IF(VLOOKUP($A333,[1]!Table1[#All],2,FALSE)="Resultat",SUMIF($F$1:$F271,$D333,I$1:I271)+SUMIF($F334:$F$512,$D333,I334:I$512),0))*'[1]Processer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14688.181958272047</v>
      </c>
      <c r="J333" s="404">
        <f>IFERROR(VLOOKUP($D333&amp;$F333,Landbrugsproduktivititet!$D$3:$G$31,MATCH(J$2,Landbrugsproduktivititet!$D$2:$G$2,0),FALSE),1)*IF($A333&lt;&gt;"",IF(VLOOKUP($A333,[1]!Table1[#All],2,FALSE)="Direkte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input'!$A$3:$A$230,$A$1)),IF(VLOOKUP($A333,[1]!Table1[#All],2,FALSE)="Resultat",SUMIF($F$1:$F271,$D333,J$1:J271)+SUMIF($F334:$F$512,$D333,J334:J$512),0))*'[1]Processer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215982.61635398451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402">
        <f>IFERROR(VLOOKUP($D334&amp;$F334,Landbrugsproduktivititet!$D$3:$G$31,MATCH(H$2,Landbrugsproduktivititet!$D$2:$G$2,0),FALSE),1)*IF($A334&lt;&gt;"",IF(VLOOKUP($A334,[1]!Table1[#All],2,FALSE)="Direkte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input'!$A$3:$A$230,$A$1)),IF(VLOOKUP($A334,[1]!Table1[#All],2,FALSE)="Resultat",SUMIF($F$1:$F272,$D334,H$1:H272)+SUMIF($F335:$F$512,$D334,H335:H$512),0))*'[1]Processer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403">
        <f>IFERROR(VLOOKUP($D334&amp;$F334,Landbrugsproduktivititet!$D$3:$G$31,MATCH(I$2,Landbrugsproduktivititet!$D$2:$G$2,0),FALSE),1)*IF($A334&lt;&gt;"",IF(VLOOKUP($A334,[1]!Table1[#All],2,FALSE)="Direkte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input'!$A$3:$A$230,$A$1)),IF(VLOOKUP($A334,[1]!Table1[#All],2,FALSE)="Resultat",SUMIF($F$1:$F272,$D334,I$1:I272)+SUMIF($F335:$F$512,$D334,I335:I$512),0))*'[1]Processer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7845.0314248228906</v>
      </c>
      <c r="J334" s="404">
        <f>IFERROR(VLOOKUP($D334&amp;$F334,Landbrugsproduktivititet!$D$3:$G$31,MATCH(J$2,Landbrugsproduktivititet!$D$2:$G$2,0),FALSE),1)*IF($A334&lt;&gt;"",IF(VLOOKUP($A334,[1]!Table1[#All],2,FALSE)="Direkte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input'!$A$3:$A$230,$A$1)),IF(VLOOKUP($A334,[1]!Table1[#All],2,FALSE)="Resultat",SUMIF($F$1:$F272,$D334,J$1:J272)+SUMIF($F335:$F$512,$D334,J335:J$512),0))*'[1]Processer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115357.39530774487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402">
        <f>IFERROR(VLOOKUP($D335&amp;$F335,Landbrugsproduktivititet!$D$3:$G$31,MATCH(H$2,Landbrugsproduktivititet!$D$2:$G$2,0),FALSE),1)*IF($A335&lt;&gt;"",IF(VLOOKUP($A335,[1]!Table1[#All],2,FALSE)="Direkte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input'!$A$3:$A$230,$A$1)),IF(VLOOKUP($A335,[1]!Table1[#All],2,FALSE)="Resultat",SUMIF($F$1:$F273,$D335,H$1:H273)+SUMIF($F336:$F$512,$D335,H336:H$512),0))*'[1]Processer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403">
        <f>IFERROR(VLOOKUP($D335&amp;$F335,Landbrugsproduktivititet!$D$3:$G$31,MATCH(I$2,Landbrugsproduktivititet!$D$2:$G$2,0),FALSE),1)*IF($A335&lt;&gt;"",IF(VLOOKUP($A335,[1]!Table1[#All],2,FALSE)="Direkte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input'!$A$3:$A$230,$A$1)),IF(VLOOKUP($A335,[1]!Table1[#All],2,FALSE)="Resultat",SUMIF($F$1:$F273,$D335,I$1:I273)+SUMIF($F336:$F$512,$D335,I336:I$512),0))*'[1]Processer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-544003.68892902555</v>
      </c>
      <c r="J335" s="404">
        <f>IFERROR(VLOOKUP($D335&amp;$F335,Landbrugsproduktivititet!$D$3:$G$31,MATCH(J$2,Landbrugsproduktivititet!$D$2:$G$2,0),FALSE),1)*IF($A335&lt;&gt;"",IF(VLOOKUP($A335,[1]!Table1[#All],2,FALSE)="Direkte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input'!$A$3:$A$230,$A$1)),IF(VLOOKUP($A335,[1]!Table1[#All],2,FALSE)="Resultat",SUMIF($F$1:$F273,$D335,J$1:J273)+SUMIF($F336:$F$512,$D335,J336:J$512),0))*'[1]Processer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-7027114.2415445354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402">
        <f>IFERROR(VLOOKUP($D336&amp;$F336,Landbrugsproduktivititet!$D$3:$G$31,MATCH(H$2,Landbrugsproduktivititet!$D$2:$G$2,0),FALSE),1)*IF($A336&lt;&gt;"",IF(VLOOKUP($A336,[1]!Table1[#All],2,FALSE)="Direkte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input'!$A$3:$A$230,$A$1)),IF(VLOOKUP($A336,[1]!Table1[#All],2,FALSE)="Resultat",SUMIF($F$1:$F274,$D336,H$1:H274)+SUMIF($F337:$F$512,$D336,H337:H$512),0))*'[1]Processer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403">
        <f>IFERROR(VLOOKUP($D336&amp;$F336,Landbrugsproduktivititet!$D$3:$G$31,MATCH(I$2,Landbrugsproduktivititet!$D$2:$G$2,0),FALSE),1)*IF($A336&lt;&gt;"",IF(VLOOKUP($A336,[1]!Table1[#All],2,FALSE)="Direkte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input'!$A$3:$A$230,$A$1)),IF(VLOOKUP($A336,[1]!Table1[#All],2,FALSE)="Resultat",SUMIF($F$1:$F274,$D336,I$1:I274)+SUMIF($F337:$F$512,$D336,I337:I$512),0))*'[1]Processer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11896.250862322246</v>
      </c>
      <c r="J336" s="404">
        <f>IFERROR(VLOOKUP($D336&amp;$F336,Landbrugsproduktivititet!$D$3:$G$31,MATCH(J$2,Landbrugsproduktivititet!$D$2:$G$2,0),FALSE),1)*IF($A336&lt;&gt;"",IF(VLOOKUP($A336,[1]!Table1[#All],2,FALSE)="Direkte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input'!$A$3:$A$230,$A$1)),IF(VLOOKUP($A336,[1]!Table1[#All],2,FALSE)="Resultat",SUMIF($F$1:$F274,$D336,J$1:J274)+SUMIF($F337:$F$512,$D336,J337:J$512),0))*'[1]Processer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131247.83056313219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402">
        <f>IFERROR(VLOOKUP($D337&amp;$F337,Landbrugsproduktivititet!$D$3:$G$31,MATCH(H$2,Landbrugsproduktivititet!$D$2:$G$2,0),FALSE),1)*IF($A337&lt;&gt;"",IF(VLOOKUP($A337,[1]!Table1[#All],2,FALSE)="Direkte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input'!$A$3:$A$230,$A$1)),IF(VLOOKUP($A337,[1]!Table1[#All],2,FALSE)="Resultat",SUMIF($F$1:$F275,$D337,H$1:H275)+SUMIF($F338:$F$512,$D337,H338:H$512),0))*'[1]Processer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403">
        <f>IFERROR(VLOOKUP($D337&amp;$F337,Landbrugsproduktivititet!$D$3:$G$31,MATCH(I$2,Landbrugsproduktivititet!$D$2:$G$2,0),FALSE),1)*IF($A337&lt;&gt;"",IF(VLOOKUP($A337,[1]!Table1[#All],2,FALSE)="Direkte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input'!$A$3:$A$230,$A$1)),IF(VLOOKUP($A337,[1]!Table1[#All],2,FALSE)="Resultat",SUMIF($F$1:$F275,$D337,I$1:I275)+SUMIF($F338:$F$512,$D337,I338:I$512),0))*'[1]Processer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97.157786612230652</v>
      </c>
      <c r="J337" s="404">
        <f>IFERROR(VLOOKUP($D337&amp;$F337,Landbrugsproduktivititet!$D$3:$G$31,MATCH(J$2,Landbrugsproduktivititet!$D$2:$G$2,0),FALSE),1)*IF($A337&lt;&gt;"",IF(VLOOKUP($A337,[1]!Table1[#All],2,FALSE)="Direkte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input'!$A$3:$A$230,$A$1)),IF(VLOOKUP($A337,[1]!Table1[#All],2,FALSE)="Resultat",SUMIF($F$1:$F275,$D337,J$1:J275)+SUMIF($F338:$F$512,$D337,J338:J$512),0))*'[1]Processer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402">
        <f>IFERROR(VLOOKUP($D338&amp;$F338,Landbrugsproduktivititet!$D$3:$G$31,MATCH(H$2,Landbrugsproduktivititet!$D$2:$G$2,0),FALSE),1)*IF($A338&lt;&gt;"",IF(VLOOKUP($A338,[1]!Table1[#All],2,FALSE)="Direkte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input'!$A$3:$A$230,$A$1)),IF(VLOOKUP($A338,[1]!Table1[#All],2,FALSE)="Resultat",SUMIF($F$1:$F276,$D338,H$1:H276)+SUMIF($F339:$F$512,$D338,H339:H$512),0))*'[1]Processer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403">
        <f>IFERROR(VLOOKUP($D338&amp;$F338,Landbrugsproduktivititet!$D$3:$G$31,MATCH(I$2,Landbrugsproduktivititet!$D$2:$G$2,0),FALSE),1)*IF($A338&lt;&gt;"",IF(VLOOKUP($A338,[1]!Table1[#All],2,FALSE)="Direkte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input'!$A$3:$A$230,$A$1)),IF(VLOOKUP($A338,[1]!Table1[#All],2,FALSE)="Resultat",SUMIF($F$1:$F276,$D338,I$1:I276)+SUMIF($F339:$F$512,$D338,I339:I$512),0))*'[1]Processer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51.89245961852545</v>
      </c>
      <c r="J338" s="404">
        <f>IFERROR(VLOOKUP($D338&amp;$F338,Landbrugsproduktivititet!$D$3:$G$31,MATCH(J$2,Landbrugsproduktivititet!$D$2:$G$2,0),FALSE),1)*IF($A338&lt;&gt;"",IF(VLOOKUP($A338,[1]!Table1[#All],2,FALSE)="Direkte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input'!$A$3:$A$230,$A$1)),IF(VLOOKUP($A338,[1]!Table1[#All],2,FALSE)="Resultat",SUMIF($F$1:$F276,$D338,J$1:J276)+SUMIF($F339:$F$512,$D338,J339:J$512),0))*'[1]Processer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402">
        <f>IFERROR(VLOOKUP($D339&amp;$F339,Landbrugsproduktivititet!$D$3:$G$31,MATCH(H$2,Landbrugsproduktivititet!$D$2:$G$2,0),FALSE),1)*IF($A339&lt;&gt;"",IF(VLOOKUP($A339,[1]!Table1[#All],2,FALSE)="Direkte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input'!$A$3:$A$230,$A$1)),IF(VLOOKUP($A339,[1]!Table1[#All],2,FALSE)="Resultat",SUMIF($F$1:$F277,$D339,H$1:H277)+SUMIF($F340:$F$512,$D339,H340:H$512),0))*'[1]Processer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403">
        <f>IFERROR(VLOOKUP($D339&amp;$F339,Landbrugsproduktivititet!$D$3:$G$31,MATCH(I$2,Landbrugsproduktivititet!$D$2:$G$2,0),FALSE),1)*IF($A339&lt;&gt;"",IF(VLOOKUP($A339,[1]!Table1[#All],2,FALSE)="Direkte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input'!$A$3:$A$230,$A$1)),IF(VLOOKUP($A339,[1]!Table1[#All],2,FALSE)="Resultat",SUMIF($F$1:$F277,$D339,I$1:I277)+SUMIF($F340:$F$512,$D339,I340:I$512),0))*'[1]Processer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-2484.6208231932997</v>
      </c>
      <c r="J339" s="404">
        <f>IFERROR(VLOOKUP($D339&amp;$F339,Landbrugsproduktivititet!$D$3:$G$31,MATCH(J$2,Landbrugsproduktivititet!$D$2:$G$2,0),FALSE),1)*IF($A339&lt;&gt;"",IF(VLOOKUP($A339,[1]!Table1[#All],2,FALSE)="Direkte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input'!$A$3:$A$230,$A$1)),IF(VLOOKUP($A339,[1]!Table1[#All],2,FALSE)="Resultat",SUMIF($F$1:$F277,$D339,J$1:J277)+SUMIF($F340:$F$512,$D339,J340:J$512),0))*'[1]Processer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402">
        <f>IFERROR(VLOOKUP($D340&amp;$F340,Landbrugsproduktivititet!$D$3:$G$31,MATCH(H$2,Landbrugsproduktivititet!$D$2:$G$2,0),FALSE),1)*IF($A340&lt;&gt;"",IF(VLOOKUP($A340,[1]!Table1[#All],2,FALSE)="Direkte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input'!$A$3:$A$230,$A$1)),IF(VLOOKUP($A340,[1]!Table1[#All],2,FALSE)="Resultat",SUMIF($F$1:$F278,$D340,H$1:H278)+SUMIF($F341:$F$512,$D340,H341:H$512),0))*'[1]Processer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403">
        <f>IFERROR(VLOOKUP($D340&amp;$F340,Landbrugsproduktivititet!$D$3:$G$31,MATCH(I$2,Landbrugsproduktivititet!$D$2:$G$2,0),FALSE),1)*IF($A340&lt;&gt;"",IF(VLOOKUP($A340,[1]!Table1[#All],2,FALSE)="Direkte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input'!$A$3:$A$230,$A$1)),IF(VLOOKUP($A340,[1]!Table1[#All],2,FALSE)="Resultat",SUMIF($F$1:$F278,$D340,I$1:I278)+SUMIF($F341:$F$512,$D340,I341:I$512),0))*'[1]Processer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461.21224726762807</v>
      </c>
      <c r="J340" s="404">
        <f>IFERROR(VLOOKUP($D340&amp;$F340,Landbrugsproduktivititet!$D$3:$G$31,MATCH(J$2,Landbrugsproduktivititet!$D$2:$G$2,0),FALSE),1)*IF($A340&lt;&gt;"",IF(VLOOKUP($A340,[1]!Table1[#All],2,FALSE)="Direkte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input'!$A$3:$A$230,$A$1)),IF(VLOOKUP($A340,[1]!Table1[#All],2,FALSE)="Resultat",SUMIF($F$1:$F278,$D340,J$1:J278)+SUMIF($F341:$F$512,$D340,J341:J$512),0))*'[1]Processer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402">
        <f>IFERROR(VLOOKUP($D341&amp;$F341,Landbrugsproduktivititet!$D$3:$G$31,MATCH(H$2,Landbrugsproduktivititet!$D$2:$G$2,0),FALSE),1)*IF($A341&lt;&gt;"",IF(VLOOKUP($A341,[1]!Table1[#All],2,FALSE)="Direkte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input'!$A$3:$A$230,$A$1)),IF(VLOOKUP($A341,[1]!Table1[#All],2,FALSE)="Resultat",SUMIF($F$1:$F279,$D341,H$1:H279)+SUMIF($F342:$F$512,$D341,H342:H$512),0))*'[1]Processer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403">
        <f>IFERROR(VLOOKUP($D341&amp;$F341,Landbrugsproduktivititet!$D$3:$G$31,MATCH(I$2,Landbrugsproduktivititet!$D$2:$G$2,0),FALSE),1)*IF($A341&lt;&gt;"",IF(VLOOKUP($A341,[1]!Table1[#All],2,FALSE)="Direkte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input'!$A$3:$A$230,$A$1)),IF(VLOOKUP($A341,[1]!Table1[#All],2,FALSE)="Resultat",SUMIF($F$1:$F279,$D341,I$1:I279)+SUMIF($F342:$F$512,$D341,I342:I$512),0))*'[1]Processer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50.754261850063244</v>
      </c>
      <c r="J341" s="404">
        <f>IFERROR(VLOOKUP($D341&amp;$F341,Landbrugsproduktivititet!$D$3:$G$31,MATCH(J$2,Landbrugsproduktivititet!$D$2:$G$2,0),FALSE),1)*IF($A341&lt;&gt;"",IF(VLOOKUP($A341,[1]!Table1[#All],2,FALSE)="Direkte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input'!$A$3:$A$230,$A$1)),IF(VLOOKUP($A341,[1]!Table1[#All],2,FALSE)="Resultat",SUMIF($F$1:$F279,$D341,J$1:J279)+SUMIF($F342:$F$512,$D341,J342:J$512),0))*'[1]Processer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402">
        <f>IFERROR(VLOOKUP($D342&amp;$F342,Landbrugsproduktivititet!$D$3:$G$31,MATCH(H$2,Landbrugsproduktivititet!$D$2:$G$2,0),FALSE),1)*IF($A342&lt;&gt;"",IF(VLOOKUP($A342,[1]!Table1[#All],2,FALSE)="Direkte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input'!$A$3:$A$230,$A$1)),IF(VLOOKUP($A342,[1]!Table1[#All],2,FALSE)="Resultat",SUMIF($F$1:$F280,$D342,H$1:H280)+SUMIF($F343:$F$512,$D342,H343:H$512),0))*'[1]Processer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403">
        <f>IFERROR(VLOOKUP($D342&amp;$F342,Landbrugsproduktivititet!$D$3:$G$31,MATCH(I$2,Landbrugsproduktivititet!$D$2:$G$2,0),FALSE),1)*IF($A342&lt;&gt;"",IF(VLOOKUP($A342,[1]!Table1[#All],2,FALSE)="Direkte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input'!$A$3:$A$230,$A$1)),IF(VLOOKUP($A342,[1]!Table1[#All],2,FALSE)="Resultat",SUMIF($F$1:$F280,$D342,I$1:I280)+SUMIF($F343:$F$512,$D342,I343:I$512),0))*'[1]Processer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27.108105025428028</v>
      </c>
      <c r="J342" s="404">
        <f>IFERROR(VLOOKUP($D342&amp;$F342,Landbrugsproduktivititet!$D$3:$G$31,MATCH(J$2,Landbrugsproduktivititet!$D$2:$G$2,0),FALSE),1)*IF($A342&lt;&gt;"",IF(VLOOKUP($A342,[1]!Table1[#All],2,FALSE)="Direkte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input'!$A$3:$A$230,$A$1)),IF(VLOOKUP($A342,[1]!Table1[#All],2,FALSE)="Resultat",SUMIF($F$1:$F280,$D342,J$1:J280)+SUMIF($F343:$F$512,$D342,J343:J$512),0))*'[1]Processer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402">
        <f>IFERROR(VLOOKUP($D343&amp;$F343,Landbrugsproduktivititet!$D$3:$G$31,MATCH(H$2,Landbrugsproduktivititet!$D$2:$G$2,0),FALSE),1)*IF($A343&lt;&gt;"",IF(VLOOKUP($A343,[1]!Table1[#All],2,FALSE)="Direkte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input'!$A$3:$A$230,$A$1)),IF(VLOOKUP($A343,[1]!Table1[#All],2,FALSE)="Resultat",SUMIF($F$1:$F281,$D343,H$1:H281)+SUMIF($F344:$F$512,$D343,H344:H$512),0))*'[1]Processer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403">
        <f>IFERROR(VLOOKUP($D343&amp;$F343,Landbrugsproduktivititet!$D$3:$G$31,MATCH(I$2,Landbrugsproduktivititet!$D$2:$G$2,0),FALSE),1)*IF($A343&lt;&gt;"",IF(VLOOKUP($A343,[1]!Table1[#All],2,FALSE)="Direkte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input'!$A$3:$A$230,$A$1)),IF(VLOOKUP($A343,[1]!Table1[#All],2,FALSE)="Resultat",SUMIF($F$1:$F281,$D343,I$1:I281)+SUMIF($F344:$F$512,$D343,I344:I$512),0))*'[1]Processer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-882.3442760296391</v>
      </c>
      <c r="J343" s="404">
        <f>IFERROR(VLOOKUP($D343&amp;$F343,Landbrugsproduktivititet!$D$3:$G$31,MATCH(J$2,Landbrugsproduktivititet!$D$2:$G$2,0),FALSE),1)*IF($A343&lt;&gt;"",IF(VLOOKUP($A343,[1]!Table1[#All],2,FALSE)="Direkte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input'!$A$3:$A$230,$A$1)),IF(VLOOKUP($A343,[1]!Table1[#All],2,FALSE)="Resultat",SUMIF($F$1:$F281,$D343,J$1:J281)+SUMIF($F344:$F$512,$D343,J344:J$512),0))*'[1]Processer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402">
        <f>IFERROR(VLOOKUP($D344&amp;$F344,Landbrugsproduktivititet!$D$3:$G$31,MATCH(H$2,Landbrugsproduktivititet!$D$2:$G$2,0),FALSE),1)*IF($A344&lt;&gt;"",IF(VLOOKUP($A344,[1]!Table1[#All],2,FALSE)="Direkte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input'!$A$3:$A$230,$A$1)),IF(VLOOKUP($A344,[1]!Table1[#All],2,FALSE)="Resultat",SUMIF($F$1:$F282,$D344,H$1:H282)+SUMIF($F345:$F$512,$D344,H345:H$512),0))*'[1]Processer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403">
        <f>IFERROR(VLOOKUP($D344&amp;$F344,Landbrugsproduktivititet!$D$3:$G$31,MATCH(I$2,Landbrugsproduktivititet!$D$2:$G$2,0),FALSE),1)*IF($A344&lt;&gt;"",IF(VLOOKUP($A344,[1]!Table1[#All],2,FALSE)="Direkte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input'!$A$3:$A$230,$A$1)),IF(VLOOKUP($A344,[1]!Table1[#All],2,FALSE)="Resultat",SUMIF($F$1:$F282,$D344,I$1:I282)+SUMIF($F345:$F$512,$D344,I345:I$512),0))*'[1]Processer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528.84248768035718</v>
      </c>
      <c r="J344" s="404">
        <f>IFERROR(VLOOKUP($D344&amp;$F344,Landbrugsproduktivititet!$D$3:$G$31,MATCH(J$2,Landbrugsproduktivititet!$D$2:$G$2,0),FALSE),1)*IF($A344&lt;&gt;"",IF(VLOOKUP($A344,[1]!Table1[#All],2,FALSE)="Direkte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input'!$A$3:$A$230,$A$1)),IF(VLOOKUP($A344,[1]!Table1[#All],2,FALSE)="Resultat",SUMIF($F$1:$F282,$D344,J$1:J282)+SUMIF($F345:$F$512,$D344,J345:J$512),0))*'[1]Processer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402">
        <f>IFERROR(VLOOKUP($D345&amp;$F345,Landbrugsproduktivititet!$D$3:$G$31,MATCH(H$2,Landbrugsproduktivititet!$D$2:$G$2,0),FALSE),1)*IF($A345&lt;&gt;"",IF(VLOOKUP($A345,[1]!Table1[#All],2,FALSE)="Direkte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input'!$A$3:$A$230,$A$1)),IF(VLOOKUP($A345,[1]!Table1[#All],2,FALSE)="Resultat",SUMIF($F$1:$F283,$D345,H$1:H283)+SUMIF($F346:$F$512,$D345,H346:H$512),0))*'[1]Processer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403">
        <f>IFERROR(VLOOKUP($D345&amp;$F345,Landbrugsproduktivititet!$D$3:$G$31,MATCH(I$2,Landbrugsproduktivititet!$D$2:$G$2,0),FALSE),1)*IF($A345&lt;&gt;"",IF(VLOOKUP($A345,[1]!Table1[#All],2,FALSE)="Direkte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input'!$A$3:$A$230,$A$1)),IF(VLOOKUP($A345,[1]!Table1[#All],2,FALSE)="Resultat",SUMIF($F$1:$F283,$D345,I$1:I283)+SUMIF($F346:$F$512,$D345,I346:I$512),0))*'[1]Processer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196226.31768211612</v>
      </c>
      <c r="J345" s="404">
        <f>IFERROR(VLOOKUP($D345&amp;$F345,Landbrugsproduktivititet!$D$3:$G$31,MATCH(J$2,Landbrugsproduktivititet!$D$2:$G$2,0),FALSE),1)*IF($A345&lt;&gt;"",IF(VLOOKUP($A345,[1]!Table1[#All],2,FALSE)="Direkte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input'!$A$3:$A$230,$A$1)),IF(VLOOKUP($A345,[1]!Table1[#All],2,FALSE)="Resultat",SUMIF($F$1:$F283,$D345,J$1:J283)+SUMIF($F346:$F$512,$D345,J346:J$512),0))*'[1]Processer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0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402">
        <f>IFERROR(VLOOKUP($D346&amp;$F346,Landbrugsproduktivititet!$D$3:$G$31,MATCH(H$2,Landbrugsproduktivititet!$D$2:$G$2,0),FALSE),1)*IF($A346&lt;&gt;"",IF(VLOOKUP($A346,[1]!Table1[#All],2,FALSE)="Direkte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input'!$A$3:$A$230,$A$1)),IF(VLOOKUP($A346,[1]!Table1[#All],2,FALSE)="Resultat",SUMIF($F$1:$F284,$D346,H$1:H284)+SUMIF($F347:$F$512,$D346,H347:H$512),0))*'[1]Processer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403">
        <f>IFERROR(VLOOKUP($D346&amp;$F346,Landbrugsproduktivititet!$D$3:$G$31,MATCH(I$2,Landbrugsproduktivititet!$D$2:$G$2,0),FALSE),1)*IF($A346&lt;&gt;"",IF(VLOOKUP($A346,[1]!Table1[#All],2,FALSE)="Direkte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input'!$A$3:$A$230,$A$1)),IF(VLOOKUP($A346,[1]!Table1[#All],2,FALSE)="Resultat",SUMIF($F$1:$F284,$D346,I$1:I284)+SUMIF($F347:$F$512,$D346,I347:I$512),0))*'[1]Processer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32598.962279363208</v>
      </c>
      <c r="J346" s="404">
        <f>IFERROR(VLOOKUP($D346&amp;$F346,Landbrugsproduktivititet!$D$3:$G$31,MATCH(J$2,Landbrugsproduktivititet!$D$2:$G$2,0),FALSE),1)*IF($A346&lt;&gt;"",IF(VLOOKUP($A346,[1]!Table1[#All],2,FALSE)="Direkte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input'!$A$3:$A$230,$A$1)),IF(VLOOKUP($A346,[1]!Table1[#All],2,FALSE)="Resultat",SUMIF($F$1:$F284,$D346,J$1:J284)+SUMIF($F347:$F$512,$D346,J347:J$512),0))*'[1]Processer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0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402">
        <f>IFERROR(VLOOKUP($D347&amp;$F347,Landbrugsproduktivititet!$D$3:$G$31,MATCH(H$2,Landbrugsproduktivititet!$D$2:$G$2,0),FALSE),1)*IF($A347&lt;&gt;"",IF(VLOOKUP($A347,[1]!Table1[#All],2,FALSE)="Direkte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input'!$A$3:$A$230,$A$1)),IF(VLOOKUP($A347,[1]!Table1[#All],2,FALSE)="Resultat",SUMIF($F$1:$F285,$D347,H$1:H285)+SUMIF($F348:$F$512,$D347,H348:H$512),0))*'[1]Processer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403">
        <f>IFERROR(VLOOKUP($D347&amp;$F347,Landbrugsproduktivititet!$D$3:$G$31,MATCH(I$2,Landbrugsproduktivititet!$D$2:$G$2,0),FALSE),1)*IF($A347&lt;&gt;"",IF(VLOOKUP($A347,[1]!Table1[#All],2,FALSE)="Direkte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input'!$A$3:$A$230,$A$1)),IF(VLOOKUP($A347,[1]!Table1[#All],2,FALSE)="Resultat",SUMIF($F$1:$F285,$D347,I$1:I285)+SUMIF($F348:$F$512,$D347,I348:I$512),0))*'[1]Processer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-1918224.0755406292</v>
      </c>
      <c r="J347" s="404">
        <f>IFERROR(VLOOKUP($D347&amp;$F347,Landbrugsproduktivititet!$D$3:$G$31,MATCH(J$2,Landbrugsproduktivititet!$D$2:$G$2,0),FALSE),1)*IF($A347&lt;&gt;"",IF(VLOOKUP($A347,[1]!Table1[#All],2,FALSE)="Direkte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input'!$A$3:$A$230,$A$1)),IF(VLOOKUP($A347,[1]!Table1[#All],2,FALSE)="Resultat",SUMIF($F$1:$F285,$D347,J$1:J285)+SUMIF($F348:$F$512,$D347,J348:J$512),0))*'[1]Processer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0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402">
        <f>IFERROR(VLOOKUP($D348&amp;$F348,Landbrugsproduktivititet!$D$3:$G$31,MATCH(H$2,Landbrugsproduktivititet!$D$2:$G$2,0),FALSE),1)*IF($A348&lt;&gt;"",IF(VLOOKUP($A348,[1]!Table1[#All],2,FALSE)="Direkte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input'!$A$3:$A$230,$A$1)),IF(VLOOKUP($A348,[1]!Table1[#All],2,FALSE)="Resultat",SUMIF($F$1:$F286,$D348,H$1:H286)+SUMIF($F349:$F$512,$D348,H349:H$512),0))*'[1]Processer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403">
        <f>IFERROR(VLOOKUP($D348&amp;$F348,Landbrugsproduktivititet!$D$3:$G$31,MATCH(I$2,Landbrugsproduktivititet!$D$2:$G$2,0),FALSE),1)*IF($A348&lt;&gt;"",IF(VLOOKUP($A348,[1]!Table1[#All],2,FALSE)="Direkte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input'!$A$3:$A$230,$A$1)),IF(VLOOKUP($A348,[1]!Table1[#All],2,FALSE)="Resultat",SUMIF($F$1:$F286,$D348,I$1:I286)+SUMIF($F349:$F$512,$D348,I349:I$512),0))*'[1]Processer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26916.406946355484</v>
      </c>
      <c r="J348" s="404">
        <f>IFERROR(VLOOKUP($D348&amp;$F348,Landbrugsproduktivititet!$D$3:$G$31,MATCH(J$2,Landbrugsproduktivititet!$D$2:$G$2,0),FALSE),1)*IF($A348&lt;&gt;"",IF(VLOOKUP($A348,[1]!Table1[#All],2,FALSE)="Direkte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input'!$A$3:$A$230,$A$1)),IF(VLOOKUP($A348,[1]!Table1[#All],2,FALSE)="Resultat",SUMIF($F$1:$F286,$D348,J$1:J286)+SUMIF($F349:$F$512,$D348,J349:J$512),0))*'[1]Processer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402">
        <f>IFERROR(VLOOKUP($D349&amp;$F349,Landbrugsproduktivititet!$D$3:$G$31,MATCH(H$2,Landbrugsproduktivititet!$D$2:$G$2,0),FALSE),1)*IF($A349&lt;&gt;"",IF(VLOOKUP($A349,[1]!Table1[#All],2,FALSE)="Direkte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input'!$A$3:$A$230,$A$1)),IF(VLOOKUP($A349,[1]!Table1[#All],2,FALSE)="Resultat",SUMIF($F$1:$F287,$D349,H$1:H287)+SUMIF($F350:$F$512,$D349,H350:H$512),0))*'[1]Processer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403">
        <f>IFERROR(VLOOKUP($D349&amp;$F349,Landbrugsproduktivititet!$D$3:$G$31,MATCH(I$2,Landbrugsproduktivititet!$D$2:$G$2,0),FALSE),1)*IF($A349&lt;&gt;"",IF(VLOOKUP($A349,[1]!Table1[#All],2,FALSE)="Direkte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input'!$A$3:$A$230,$A$1)),IF(VLOOKUP($A349,[1]!Table1[#All],2,FALSE)="Resultat",SUMIF($F$1:$F287,$D349,I$1:I287)+SUMIF($F350:$F$512,$D349,I350:I$512),0))*'[1]Processer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14148.925724088333</v>
      </c>
      <c r="J349" s="404">
        <f>IFERROR(VLOOKUP($D349&amp;$F349,Landbrugsproduktivititet!$D$3:$G$31,MATCH(J$2,Landbrugsproduktivititet!$D$2:$G$2,0),FALSE),1)*IF($A349&lt;&gt;"",IF(VLOOKUP($A349,[1]!Table1[#All],2,FALSE)="Direkte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input'!$A$3:$A$230,$A$1)),IF(VLOOKUP($A349,[1]!Table1[#All],2,FALSE)="Resultat",SUMIF($F$1:$F287,$D349,J$1:J287)+SUMIF($F350:$F$512,$D349,J350:J$512),0))*'[1]Processer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402">
        <f>IFERROR(VLOOKUP($D350&amp;$F350,Landbrugsproduktivititet!$D$3:$G$31,MATCH(H$2,Landbrugsproduktivititet!$D$2:$G$2,0),FALSE),1)*IF($A350&lt;&gt;"",IF(VLOOKUP($A350,[1]!Table1[#All],2,FALSE)="Direkte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input'!$A$3:$A$230,$A$1)),IF(VLOOKUP($A350,[1]!Table1[#All],2,FALSE)="Resultat",SUMIF($F$1:$F288,$D350,H$1:H288)+SUMIF($F351:$F$512,$D350,H351:H$512),0))*'[1]Processer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403">
        <f>IFERROR(VLOOKUP($D350&amp;$F350,Landbrugsproduktivititet!$D$3:$G$31,MATCH(I$2,Landbrugsproduktivititet!$D$2:$G$2,0),FALSE),1)*IF($A350&lt;&gt;"",IF(VLOOKUP($A350,[1]!Table1[#All],2,FALSE)="Direkte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input'!$A$3:$A$230,$A$1)),IF(VLOOKUP($A350,[1]!Table1[#All],2,FALSE)="Resultat",SUMIF($F$1:$F288,$D350,I$1:I288)+SUMIF($F351:$F$512,$D350,I351:I$512),0))*'[1]Processer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2350.5526752036908</v>
      </c>
      <c r="J350" s="404">
        <f>IFERROR(VLOOKUP($D350&amp;$F350,Landbrugsproduktivititet!$D$3:$G$31,MATCH(J$2,Landbrugsproduktivititet!$D$2:$G$2,0),FALSE),1)*IF($A350&lt;&gt;"",IF(VLOOKUP($A350,[1]!Table1[#All],2,FALSE)="Direkte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input'!$A$3:$A$230,$A$1)),IF(VLOOKUP($A350,[1]!Table1[#All],2,FALSE)="Resultat",SUMIF($F$1:$F288,$D350,J$1:J288)+SUMIF($F351:$F$512,$D350,J351:J$512),0))*'[1]Processer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402">
        <f>IFERROR(VLOOKUP($D351&amp;$F351,Landbrugsproduktivititet!$D$3:$G$31,MATCH(H$2,Landbrugsproduktivititet!$D$2:$G$2,0),FALSE),1)*IF($A351&lt;&gt;"",IF(VLOOKUP($A351,[1]!Table1[#All],2,FALSE)="Direkte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input'!$A$3:$A$230,$A$1)),IF(VLOOKUP($A351,[1]!Table1[#All],2,FALSE)="Resultat",SUMIF($F$1:$F289,$D351,H$1:H289)+SUMIF($F352:$F$512,$D351,H352:H$512),0))*'[1]Processer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403">
        <f>IFERROR(VLOOKUP($D351&amp;$F351,Landbrugsproduktivititet!$D$3:$G$31,MATCH(I$2,Landbrugsproduktivititet!$D$2:$G$2,0),FALSE),1)*IF($A351&lt;&gt;"",IF(VLOOKUP($A351,[1]!Table1[#All],2,FALSE)="Direkte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input'!$A$3:$A$230,$A$1)),IF(VLOOKUP($A351,[1]!Table1[#All],2,FALSE)="Resultat",SUMIF($F$1:$F289,$D351,I$1:I289)+SUMIF($F352:$F$512,$D351,I352:I$512),0))*'[1]Processer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-103735.35882282915</v>
      </c>
      <c r="J351" s="404">
        <f>IFERROR(VLOOKUP($D351&amp;$F351,Landbrugsproduktivititet!$D$3:$G$31,MATCH(J$2,Landbrugsproduktivititet!$D$2:$G$2,0),FALSE),1)*IF($A351&lt;&gt;"",IF(VLOOKUP($A351,[1]!Table1[#All],2,FALSE)="Direkte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input'!$A$3:$A$230,$A$1)),IF(VLOOKUP($A351,[1]!Table1[#All],2,FALSE)="Resultat",SUMIF($F$1:$F289,$D351,J$1:J289)+SUMIF($F352:$F$512,$D351,J352:J$512),0))*'[1]Processer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402">
        <f>IFERROR(VLOOKUP($D352&amp;$F352,Landbrugsproduktivititet!$D$3:$G$31,MATCH(H$2,Landbrugsproduktivititet!$D$2:$G$2,0),FALSE),1)*IF($A352&lt;&gt;"",IF(VLOOKUP($A352,[1]!Table1[#All],2,FALSE)="Direkte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input'!$A$3:$A$230,$A$1)),IF(VLOOKUP($A352,[1]!Table1[#All],2,FALSE)="Resultat",SUMIF($F$1:$F290,$D352,H$1:H290)+SUMIF($F353:$F$512,$D352,H353:H$512),0))*'[1]Processer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403">
        <f>IFERROR(VLOOKUP($D352&amp;$F352,Landbrugsproduktivititet!$D$3:$G$31,MATCH(I$2,Landbrugsproduktivititet!$D$2:$G$2,0),FALSE),1)*IF($A352&lt;&gt;"",IF(VLOOKUP($A352,[1]!Table1[#All],2,FALSE)="Direkte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input'!$A$3:$A$230,$A$1)),IF(VLOOKUP($A352,[1]!Table1[#All],2,FALSE)="Resultat",SUMIF($F$1:$F290,$D352,I$1:I290)+SUMIF($F353:$F$512,$D352,I353:I$512),0))*'[1]Processer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11375.341600662514</v>
      </c>
      <c r="J352" s="404">
        <f>IFERROR(VLOOKUP($D352&amp;$F352,Landbrugsproduktivititet!$D$3:$G$31,MATCH(J$2,Landbrugsproduktivititet!$D$2:$G$2,0),FALSE),1)*IF($A352&lt;&gt;"",IF(VLOOKUP($A352,[1]!Table1[#All],2,FALSE)="Direkte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input'!$A$3:$A$230,$A$1)),IF(VLOOKUP($A352,[1]!Table1[#All],2,FALSE)="Resultat",SUMIF($F$1:$F290,$D352,J$1:J290)+SUMIF($F353:$F$512,$D352,J353:J$512),0))*'[1]Processer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402">
        <f>IFERROR(VLOOKUP($D353&amp;$F353,Landbrugsproduktivititet!$D$3:$G$31,MATCH(H$2,Landbrugsproduktivititet!$D$2:$G$2,0),FALSE),1)*IF($A353&lt;&gt;"",IF(VLOOKUP($A353,[1]!Table1[#All],2,FALSE)="Direkte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input'!$A$3:$A$230,$A$1)),IF(VLOOKUP($A353,[1]!Table1[#All],2,FALSE)="Resultat",SUMIF($F$1:$F291,$D353,H$1:H291)+SUMIF($F354:$F$512,$D353,H354:H$512),0))*'[1]Processer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403">
        <f>IFERROR(VLOOKUP($D353&amp;$F353,Landbrugsproduktivititet!$D$3:$G$31,MATCH(I$2,Landbrugsproduktivititet!$D$2:$G$2,0),FALSE),1)*IF($A353&lt;&gt;"",IF(VLOOKUP($A353,[1]!Table1[#All],2,FALSE)="Direkte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input'!$A$3:$A$230,$A$1)),IF(VLOOKUP($A353,[1]!Table1[#All],2,FALSE)="Resultat",SUMIF($F$1:$F291,$D353,I$1:I291)+SUMIF($F354:$F$512,$D353,I354:I$512),0))*'[1]Processer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13252.225967693719</v>
      </c>
      <c r="J353" s="404">
        <f>IFERROR(VLOOKUP($D353&amp;$F353,Landbrugsproduktivititet!$D$3:$G$31,MATCH(J$2,Landbrugsproduktivititet!$D$2:$G$2,0),FALSE),1)*IF($A353&lt;&gt;"",IF(VLOOKUP($A353,[1]!Table1[#All],2,FALSE)="Direkte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input'!$A$3:$A$230,$A$1)),IF(VLOOKUP($A353,[1]!Table1[#All],2,FALSE)="Resultat",SUMIF($F$1:$F291,$D353,J$1:J291)+SUMIF($F354:$F$512,$D353,J354:J$512),0))*'[1]Processer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402">
        <f>IFERROR(VLOOKUP($D354&amp;$F354,Landbrugsproduktivititet!$D$3:$G$31,MATCH(H$2,Landbrugsproduktivititet!$D$2:$G$2,0),FALSE),1)*IF($A354&lt;&gt;"",IF(VLOOKUP($A354,[1]!Table1[#All],2,FALSE)="Direkte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input'!$A$3:$A$230,$A$1)),IF(VLOOKUP($A354,[1]!Table1[#All],2,FALSE)="Resultat",SUMIF($F$1:$F292,$D354,H$1:H292)+SUMIF($F355:$F$512,$D354,H355:H$512),0))*'[1]Processer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403">
        <f>IFERROR(VLOOKUP($D354&amp;$F354,Landbrugsproduktivititet!$D$3:$G$31,MATCH(I$2,Landbrugsproduktivititet!$D$2:$G$2,0),FALSE),1)*IF($A354&lt;&gt;"",IF(VLOOKUP($A354,[1]!Table1[#All],2,FALSE)="Direkte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input'!$A$3:$A$230,$A$1)),IF(VLOOKUP($A354,[1]!Table1[#All],2,FALSE)="Resultat",SUMIF($F$1:$F292,$D354,I$1:I292)+SUMIF($F355:$F$512,$D354,I355:I$512),0))*'[1]Processer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2201.5844742003128</v>
      </c>
      <c r="J354" s="404">
        <f>IFERROR(VLOOKUP($D354&amp;$F354,Landbrugsproduktivititet!$D$3:$G$31,MATCH(J$2,Landbrugsproduktivititet!$D$2:$G$2,0),FALSE),1)*IF($A354&lt;&gt;"",IF(VLOOKUP($A354,[1]!Table1[#All],2,FALSE)="Direkte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input'!$A$3:$A$230,$A$1)),IF(VLOOKUP($A354,[1]!Table1[#All],2,FALSE)="Resultat",SUMIF($F$1:$F292,$D354,J$1:J292)+SUMIF($F355:$F$512,$D354,J355:J$512),0))*'[1]Processer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402">
        <f>IFERROR(VLOOKUP($D355&amp;$F355,Landbrugsproduktivititet!$D$3:$G$31,MATCH(H$2,Landbrugsproduktivititet!$D$2:$G$2,0),FALSE),1)*IF($A355&lt;&gt;"",IF(VLOOKUP($A355,[1]!Table1[#All],2,FALSE)="Direkte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input'!$A$3:$A$230,$A$1)),IF(VLOOKUP($A355,[1]!Table1[#All],2,FALSE)="Resultat",SUMIF($F$1:$F293,$D355,H$1:H293)+SUMIF($F356:$F$512,$D355,H356:H$512),0))*'[1]Processer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403">
        <f>IFERROR(VLOOKUP($D355&amp;$F355,Landbrugsproduktivititet!$D$3:$G$31,MATCH(I$2,Landbrugsproduktivititet!$D$2:$G$2,0),FALSE),1)*IF($A355&lt;&gt;"",IF(VLOOKUP($A355,[1]!Table1[#All],2,FALSE)="Direkte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input'!$A$3:$A$230,$A$1)),IF(VLOOKUP($A355,[1]!Table1[#All],2,FALSE)="Resultat",SUMIF($F$1:$F293,$D355,I$1:I293)+SUMIF($F356:$F$512,$D355,I356:I$512),0))*'[1]Processer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-74027.463233014874</v>
      </c>
      <c r="J355" s="404">
        <f>IFERROR(VLOOKUP($D355&amp;$F355,Landbrugsproduktivititet!$D$3:$G$31,MATCH(J$2,Landbrugsproduktivititet!$D$2:$G$2,0),FALSE),1)*IF($A355&lt;&gt;"",IF(VLOOKUP($A355,[1]!Table1[#All],2,FALSE)="Direkte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input'!$A$3:$A$230,$A$1)),IF(VLOOKUP($A355,[1]!Table1[#All],2,FALSE)="Resultat",SUMIF($F$1:$F293,$D355,J$1:J293)+SUMIF($F356:$F$512,$D355,J356:J$512),0))*'[1]Processer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402">
        <f>IFERROR(VLOOKUP($D356&amp;$F356,Landbrugsproduktivititet!$D$3:$G$31,MATCH(H$2,Landbrugsproduktivititet!$D$2:$G$2,0),FALSE),1)*IF($A356&lt;&gt;"",IF(VLOOKUP($A356,[1]!Table1[#All],2,FALSE)="Direkte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input'!$A$3:$A$230,$A$1)),IF(VLOOKUP($A356,[1]!Table1[#All],2,FALSE)="Resultat",SUMIF($F$1:$F294,$D356,H$1:H294)+SUMIF($F357:$F$512,$D356,H357:H$512),0))*'[1]Processer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403">
        <f>IFERROR(VLOOKUP($D356&amp;$F356,Landbrugsproduktivititet!$D$3:$G$31,MATCH(I$2,Landbrugsproduktivititet!$D$2:$G$2,0),FALSE),1)*IF($A356&lt;&gt;"",IF(VLOOKUP($A356,[1]!Table1[#All],2,FALSE)="Direkte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input'!$A$3:$A$230,$A$1)),IF(VLOOKUP($A356,[1]!Table1[#All],2,FALSE)="Resultat",SUMIF($F$1:$F294,$D356,I$1:I294)+SUMIF($F357:$F$512,$D356,I357:I$512),0))*'[1]Processer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23386.240839976595</v>
      </c>
      <c r="J356" s="404">
        <f>IFERROR(VLOOKUP($D356&amp;$F356,Landbrugsproduktivititet!$D$3:$G$31,MATCH(J$2,Landbrugsproduktivititet!$D$2:$G$2,0),FALSE),1)*IF($A356&lt;&gt;"",IF(VLOOKUP($A356,[1]!Table1[#All],2,FALSE)="Direkte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input'!$A$3:$A$230,$A$1)),IF(VLOOKUP($A356,[1]!Table1[#All],2,FALSE)="Resultat",SUMIF($F$1:$F294,$D356,J$1:J294)+SUMIF($F357:$F$512,$D356,J357:J$512),0))*'[1]Processer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402">
        <f>IFERROR(VLOOKUP($D357&amp;$F357,Landbrugsproduktivititet!$D$3:$G$31,MATCH(H$2,Landbrugsproduktivititet!$D$2:$G$2,0),FALSE),1)*IF($A357&lt;&gt;"",IF(VLOOKUP($A357,[1]!Table1[#All],2,FALSE)="Direkte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input'!$A$3:$A$230,$A$1)),IF(VLOOKUP($A357,[1]!Table1[#All],2,FALSE)="Resultat",SUMIF($F$1:$F295,$D357,H$1:H295)+SUMIF($F358:$F$512,$D357,H358:H$512),0))*'[1]Processer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403">
        <f>IFERROR(VLOOKUP($D357&amp;$F357,Landbrugsproduktivititet!$D$3:$G$31,MATCH(I$2,Landbrugsproduktivititet!$D$2:$G$2,0),FALSE),1)*IF($A357&lt;&gt;"",IF(VLOOKUP($A357,[1]!Table1[#All],2,FALSE)="Direkte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input'!$A$3:$A$230,$A$1)),IF(VLOOKUP($A357,[1]!Table1[#All],2,FALSE)="Resultat",SUMIF($F$1:$F295,$D357,I$1:I295)+SUMIF($F358:$F$512,$D357,I358:I$512),0))*'[1]Processer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14301.18264906516</v>
      </c>
      <c r="J357" s="404">
        <f>IFERROR(VLOOKUP($D357&amp;$F357,Landbrugsproduktivititet!$D$3:$G$31,MATCH(J$2,Landbrugsproduktivititet!$D$2:$G$2,0),FALSE),1)*IF($A357&lt;&gt;"",IF(VLOOKUP($A357,[1]!Table1[#All],2,FALSE)="Direkte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input'!$A$3:$A$230,$A$1)),IF(VLOOKUP($A357,[1]!Table1[#All],2,FALSE)="Resultat",SUMIF($F$1:$F295,$D357,J$1:J295)+SUMIF($F358:$F$512,$D357,J358:J$512),0))*'[1]Processer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20896.559297118682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402">
        <f>IFERROR(VLOOKUP($D358&amp;$F358,Landbrugsproduktivititet!$D$3:$G$31,MATCH(H$2,Landbrugsproduktivititet!$D$2:$G$2,0),FALSE),1)*IF($A358&lt;&gt;"",IF(VLOOKUP($A358,[1]!Table1[#All],2,FALSE)="Direkte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input'!$A$3:$A$230,$A$1)),IF(VLOOKUP($A358,[1]!Table1[#All],2,FALSE)="Resultat",SUMIF($F$1:$F296,$D358,H$1:H296)+SUMIF($F359:$F$512,$D358,H359:H$512),0))*'[1]Processer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403">
        <f>IFERROR(VLOOKUP($D358&amp;$F358,Landbrugsproduktivititet!$D$3:$G$31,MATCH(I$2,Landbrugsproduktivititet!$D$2:$G$2,0),FALSE),1)*IF($A358&lt;&gt;"",IF(VLOOKUP($A358,[1]!Table1[#All],2,FALSE)="Direkte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input'!$A$3:$A$230,$A$1)),IF(VLOOKUP($A358,[1]!Table1[#All],2,FALSE)="Resultat",SUMIF($F$1:$F296,$D358,I$1:I296)+SUMIF($F359:$F$512,$D358,I359:I$512),0))*'[1]Processer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2375.8470282380886</v>
      </c>
      <c r="J358" s="404">
        <f>IFERROR(VLOOKUP($D358&amp;$F358,Landbrugsproduktivititet!$D$3:$G$31,MATCH(J$2,Landbrugsproduktivititet!$D$2:$G$2,0),FALSE),1)*IF($A358&lt;&gt;"",IF(VLOOKUP($A358,[1]!Table1[#All],2,FALSE)="Direkte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input'!$A$3:$A$230,$A$1)),IF(VLOOKUP($A358,[1]!Table1[#All],2,FALSE)="Resultat",SUMIF($F$1:$F296,$D358,J$1:J296)+SUMIF($F359:$F$512,$D358,J359:J$512),0))*'[1]Processer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3471.5330560235693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402">
        <f>IFERROR(VLOOKUP($D359&amp;$F359,Landbrugsproduktivititet!$D$3:$G$31,MATCH(H$2,Landbrugsproduktivititet!$D$2:$G$2,0),FALSE),1)*IF($A359&lt;&gt;"",IF(VLOOKUP($A359,[1]!Table1[#All],2,FALSE)="Direkte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input'!$A$3:$A$230,$A$1)),IF(VLOOKUP($A359,[1]!Table1[#All],2,FALSE)="Resultat",SUMIF($F$1:$F297,$D359,H$1:H297)+SUMIF($F360:$F$512,$D359,H360:H$512),0))*'[1]Processer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403">
        <f>IFERROR(VLOOKUP($D359&amp;$F359,Landbrugsproduktivititet!$D$3:$G$31,MATCH(I$2,Landbrugsproduktivititet!$D$2:$G$2,0),FALSE),1)*IF($A359&lt;&gt;"",IF(VLOOKUP($A359,[1]!Table1[#All],2,FALSE)="Direkte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input'!$A$3:$A$230,$A$1)),IF(VLOOKUP($A359,[1]!Table1[#All],2,FALSE)="Resultat",SUMIF($F$1:$F297,$D359,I$1:I297)+SUMIF($F360:$F$512,$D359,I360:I$512),0))*'[1]Processer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-139802.20996951882</v>
      </c>
      <c r="J359" s="404">
        <f>IFERROR(VLOOKUP($D359&amp;$F359,Landbrugsproduktivititet!$D$3:$G$31,MATCH(J$2,Landbrugsproduktivititet!$D$2:$G$2,0),FALSE),1)*IF($A359&lt;&gt;"",IF(VLOOKUP($A359,[1]!Table1[#All],2,FALSE)="Direkte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input'!$A$3:$A$230,$A$1)),IF(VLOOKUP($A359,[1]!Table1[#All],2,FALSE)="Resultat",SUMIF($F$1:$F297,$D359,J$1:J297)+SUMIF($F360:$F$512,$D359,J360:J$512),0))*'[1]Processer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-179449.09918383238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402">
        <f>IFERROR(VLOOKUP($D360&amp;$F360,Landbrugsproduktivititet!$D$3:$G$31,MATCH(H$2,Landbrugsproduktivititet!$D$2:$G$2,0),FALSE),1)*IF($A360&lt;&gt;"",IF(VLOOKUP($A360,[1]!Table1[#All],2,FALSE)="Direkte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input'!$A$3:$A$230,$A$1)),IF(VLOOKUP($A360,[1]!Table1[#All],2,FALSE)="Resultat",SUMIF($F$1:$F298,$D360,H$1:H298)+SUMIF($F361:$F$512,$D360,H361:H$512),0))*'[1]Processer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403">
        <f>IFERROR(VLOOKUP($D360&amp;$F360,Landbrugsproduktivititet!$D$3:$G$31,MATCH(I$2,Landbrugsproduktivititet!$D$2:$G$2,0),FALSE),1)*IF($A360&lt;&gt;"",IF(VLOOKUP($A360,[1]!Table1[#All],2,FALSE)="Direkte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input'!$A$3:$A$230,$A$1)),IF(VLOOKUP($A360,[1]!Table1[#All],2,FALSE)="Resultat",SUMIF($F$1:$F298,$D360,I$1:I298)+SUMIF($F361:$F$512,$D360,I361:I$512),0))*'[1]Processer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3441.5725512396734</v>
      </c>
      <c r="J360" s="404">
        <f>IFERROR(VLOOKUP($D360&amp;$F360,Landbrugsproduktivititet!$D$3:$G$31,MATCH(J$2,Landbrugsproduktivititet!$D$2:$G$2,0),FALSE),1)*IF($A360&lt;&gt;"",IF(VLOOKUP($A360,[1]!Table1[#All],2,FALSE)="Direkte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input'!$A$3:$A$230,$A$1)),IF(VLOOKUP($A360,[1]!Table1[#All],2,FALSE)="Resultat",SUMIF($F$1:$F298,$D360,J$1:J298)+SUMIF($F361:$F$512,$D360,J361:J$512),0))*'[1]Processer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3773.0366649487173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402">
        <f>IFERROR(VLOOKUP($D361&amp;$F361,Landbrugsproduktivititet!$D$3:$G$31,MATCH(H$2,Landbrugsproduktivititet!$D$2:$G$2,0),FALSE),1)*IF($A361&lt;&gt;"",IF(VLOOKUP($A361,[1]!Table1[#All],2,FALSE)="Direkte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input'!$A$3:$A$230,$A$1)),IF(VLOOKUP($A361,[1]!Table1[#All],2,FALSE)="Resultat",SUMIF($F$1:$F299,$D361,H$1:H299)+SUMIF($F362:$F$512,$D361,H362:H$512),0))*'[1]Processer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403">
        <f>IFERROR(VLOOKUP($D361&amp;$F361,Landbrugsproduktivititet!$D$3:$G$31,MATCH(I$2,Landbrugsproduktivititet!$D$2:$G$2,0),FALSE),1)*IF($A361&lt;&gt;"",IF(VLOOKUP($A361,[1]!Table1[#All],2,FALSE)="Direkte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input'!$A$3:$A$230,$A$1)),IF(VLOOKUP($A361,[1]!Table1[#All],2,FALSE)="Resultat",SUMIF($F$1:$F299,$D361,I$1:I299)+SUMIF($F362:$F$512,$D361,I362:I$512),0))*'[1]Processer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1031.1887490853394</v>
      </c>
      <c r="J361" s="404">
        <f>IFERROR(VLOOKUP($D361&amp;$F361,Landbrugsproduktivititet!$D$3:$G$31,MATCH(J$2,Landbrugsproduktivititet!$D$2:$G$2,0),FALSE),1)*IF($A361&lt;&gt;"",IF(VLOOKUP($A361,[1]!Table1[#All],2,FALSE)="Direkte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input'!$A$3:$A$230,$A$1)),IF(VLOOKUP($A361,[1]!Table1[#All],2,FALSE)="Resultat",SUMIF($F$1:$F299,$D361,J$1:J299)+SUMIF($F362:$F$512,$D361,J362:J$512),0))*'[1]Processer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402">
        <f>IFERROR(VLOOKUP($D362&amp;$F362,Landbrugsproduktivititet!$D$3:$G$31,MATCH(H$2,Landbrugsproduktivititet!$D$2:$G$2,0),FALSE),1)*IF($A362&lt;&gt;"",IF(VLOOKUP($A362,[1]!Table1[#All],2,FALSE)="Direkte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input'!$A$3:$A$230,$A$1)),IF(VLOOKUP($A362,[1]!Table1[#All],2,FALSE)="Resultat",SUMIF($F$1:$F300,$D362,H$1:H300)+SUMIF($F363:$F$512,$D362,H363:H$512),0))*'[1]Processer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403">
        <f>IFERROR(VLOOKUP($D362&amp;$F362,Landbrugsproduktivititet!$D$3:$G$31,MATCH(I$2,Landbrugsproduktivititet!$D$2:$G$2,0),FALSE),1)*IF($A362&lt;&gt;"",IF(VLOOKUP($A362,[1]!Table1[#All],2,FALSE)="Direkte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input'!$A$3:$A$230,$A$1)),IF(VLOOKUP($A362,[1]!Table1[#All],2,FALSE)="Resultat",SUMIF($F$1:$F300,$D362,I$1:I300)+SUMIF($F363:$F$512,$D362,I363:I$512),0))*'[1]Processer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171.3107779395506</v>
      </c>
      <c r="J362" s="404">
        <f>IFERROR(VLOOKUP($D362&amp;$F362,Landbrugsproduktivititet!$D$3:$G$31,MATCH(J$2,Landbrugsproduktivititet!$D$2:$G$2,0),FALSE),1)*IF($A362&lt;&gt;"",IF(VLOOKUP($A362,[1]!Table1[#All],2,FALSE)="Direkte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input'!$A$3:$A$230,$A$1)),IF(VLOOKUP($A362,[1]!Table1[#All],2,FALSE)="Resultat",SUMIF($F$1:$F300,$D362,J$1:J300)+SUMIF($F363:$F$512,$D362,J363:J$512),0))*'[1]Processer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402">
        <f>IFERROR(VLOOKUP($D363&amp;$F363,Landbrugsproduktivititet!$D$3:$G$31,MATCH(H$2,Landbrugsproduktivititet!$D$2:$G$2,0),FALSE),1)*IF($A363&lt;&gt;"",IF(VLOOKUP($A363,[1]!Table1[#All],2,FALSE)="Direkte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input'!$A$3:$A$230,$A$1)),IF(VLOOKUP($A363,[1]!Table1[#All],2,FALSE)="Resultat",SUMIF($F$1:$F301,$D363,H$1:H301)+SUMIF($F364:$F$512,$D363,H364:H$512),0))*'[1]Processer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403">
        <f>IFERROR(VLOOKUP($D363&amp;$F363,Landbrugsproduktivititet!$D$3:$G$31,MATCH(I$2,Landbrugsproduktivititet!$D$2:$G$2,0),FALSE),1)*IF($A363&lt;&gt;"",IF(VLOOKUP($A363,[1]!Table1[#All],2,FALSE)="Direkte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input'!$A$3:$A$230,$A$1)),IF(VLOOKUP($A363,[1]!Table1[#All],2,FALSE)="Resultat",SUMIF($F$1:$F301,$D363,I$1:I301)+SUMIF($F364:$F$512,$D363,I364:I$512),0))*'[1]Processer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-7560.3432363996326</v>
      </c>
      <c r="J363" s="404">
        <f>IFERROR(VLOOKUP($D363&amp;$F363,Landbrugsproduktivititet!$D$3:$G$31,MATCH(J$2,Landbrugsproduktivititet!$D$2:$G$2,0),FALSE),1)*IF($A363&lt;&gt;"",IF(VLOOKUP($A363,[1]!Table1[#All],2,FALSE)="Direkte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input'!$A$3:$A$230,$A$1)),IF(VLOOKUP($A363,[1]!Table1[#All],2,FALSE)="Resultat",SUMIF($F$1:$F301,$D363,J$1:J301)+SUMIF($F364:$F$512,$D363,J364:J$512),0))*'[1]Processer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402">
        <f>IFERROR(VLOOKUP($D364&amp;$F364,Landbrugsproduktivititet!$D$3:$G$31,MATCH(H$2,Landbrugsproduktivititet!$D$2:$G$2,0),FALSE),1)*IF($A364&lt;&gt;"",IF(VLOOKUP($A364,[1]!Table1[#All],2,FALSE)="Direkte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input'!$A$3:$A$230,$A$1)),IF(VLOOKUP($A364,[1]!Table1[#All],2,FALSE)="Resultat",SUMIF($F$1:$F302,$D364,H$1:H302)+SUMIF($F365:$F$512,$D364,H365:H$512),0))*'[1]Processer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403">
        <f>IFERROR(VLOOKUP($D364&amp;$F364,Landbrugsproduktivititet!$D$3:$G$31,MATCH(I$2,Landbrugsproduktivititet!$D$2:$G$2,0),FALSE),1)*IF($A364&lt;&gt;"",IF(VLOOKUP($A364,[1]!Table1[#All],2,FALSE)="Direkte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input'!$A$3:$A$230,$A$1)),IF(VLOOKUP($A364,[1]!Table1[#All],2,FALSE)="Resultat",SUMIF($F$1:$F302,$D364,I$1:I302)+SUMIF($F365:$F$512,$D364,I365:I$512),0))*'[1]Processer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1454.4684025560741</v>
      </c>
      <c r="J364" s="404">
        <f>IFERROR(VLOOKUP($D364&amp;$F364,Landbrugsproduktivititet!$D$3:$G$31,MATCH(J$2,Landbrugsproduktivititet!$D$2:$G$2,0),FALSE),1)*IF($A364&lt;&gt;"",IF(VLOOKUP($A364,[1]!Table1[#All],2,FALSE)="Direkte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input'!$A$3:$A$230,$A$1)),IF(VLOOKUP($A364,[1]!Table1[#All],2,FALSE)="Resultat",SUMIF($F$1:$F302,$D364,J$1:J302)+SUMIF($F365:$F$512,$D364,J365:J$512),0))*'[1]Processer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402">
        <f>IFERROR(VLOOKUP($D365&amp;$F365,Landbrugsproduktivititet!$D$3:$G$31,MATCH(H$2,Landbrugsproduktivititet!$D$2:$G$2,0),FALSE),1)*IF($A365&lt;&gt;"",IF(VLOOKUP($A365,[1]!Table1[#All],2,FALSE)="Direkte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input'!$A$3:$A$230,$A$1)),IF(VLOOKUP($A365,[1]!Table1[#All],2,FALSE)="Resultat",SUMIF($F$1:$F303,$D365,H$1:H303)+SUMIF($F366:$F$512,$D365,H366:H$512),0))*'[1]Processer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403">
        <f>IFERROR(VLOOKUP($D365&amp;$F365,Landbrugsproduktivititet!$D$3:$G$31,MATCH(I$2,Landbrugsproduktivititet!$D$2:$G$2,0),FALSE),1)*IF($A365&lt;&gt;"",IF(VLOOKUP($A365,[1]!Table1[#All],2,FALSE)="Direkte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input'!$A$3:$A$230,$A$1)),IF(VLOOKUP($A365,[1]!Table1[#All],2,FALSE)="Resultat",SUMIF($F$1:$F303,$D365,I$1:I303)+SUMIF($F366:$F$512,$D365,I366:I$512),0))*'[1]Processer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965.83631752034387</v>
      </c>
      <c r="J365" s="404">
        <f>IFERROR(VLOOKUP($D365&amp;$F365,Landbrugsproduktivititet!$D$3:$G$31,MATCH(J$2,Landbrugsproduktivititet!$D$2:$G$2,0),FALSE),1)*IF($A365&lt;&gt;"",IF(VLOOKUP($A365,[1]!Table1[#All],2,FALSE)="Direkte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input'!$A$3:$A$230,$A$1)),IF(VLOOKUP($A365,[1]!Table1[#All],2,FALSE)="Resultat",SUMIF($F$1:$F303,$D365,J$1:J303)+SUMIF($F366:$F$512,$D365,J366:J$512),0))*'[1]Processer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402">
        <f>IFERROR(VLOOKUP($D366&amp;$F366,Landbrugsproduktivititet!$D$3:$G$31,MATCH(H$2,Landbrugsproduktivititet!$D$2:$G$2,0),FALSE),1)*IF($A366&lt;&gt;"",IF(VLOOKUP($A366,[1]!Table1[#All],2,FALSE)="Direkte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input'!$A$3:$A$230,$A$1)),IF(VLOOKUP($A366,[1]!Table1[#All],2,FALSE)="Resultat",SUMIF($F$1:$F304,$D366,H$1:H304)+SUMIF($F367:$F$512,$D366,H367:H$512),0))*'[1]Processer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403">
        <f>IFERROR(VLOOKUP($D366&amp;$F366,Landbrugsproduktivititet!$D$3:$G$31,MATCH(I$2,Landbrugsproduktivititet!$D$2:$G$2,0),FALSE),1)*IF($A366&lt;&gt;"",IF(VLOOKUP($A366,[1]!Table1[#All],2,FALSE)="Direkte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input'!$A$3:$A$230,$A$1)),IF(VLOOKUP($A366,[1]!Table1[#All],2,FALSE)="Resultat",SUMIF($F$1:$F304,$D366,I$1:I304)+SUMIF($F367:$F$512,$D366,I367:I$512),0))*'[1]Processer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160.45381707610926</v>
      </c>
      <c r="J366" s="404">
        <f>IFERROR(VLOOKUP($D366&amp;$F366,Landbrugsproduktivititet!$D$3:$G$31,MATCH(J$2,Landbrugsproduktivititet!$D$2:$G$2,0),FALSE),1)*IF($A366&lt;&gt;"",IF(VLOOKUP($A366,[1]!Table1[#All],2,FALSE)="Direkte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input'!$A$3:$A$230,$A$1)),IF(VLOOKUP($A366,[1]!Table1[#All],2,FALSE)="Resultat",SUMIF($F$1:$F304,$D366,J$1:J304)+SUMIF($F367:$F$512,$D366,J367:J$512),0))*'[1]Processer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402">
        <f>IFERROR(VLOOKUP($D367&amp;$F367,Landbrugsproduktivititet!$D$3:$G$31,MATCH(H$2,Landbrugsproduktivititet!$D$2:$G$2,0),FALSE),1)*IF($A367&lt;&gt;"",IF(VLOOKUP($A367,[1]!Table1[#All],2,FALSE)="Direkte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input'!$A$3:$A$230,$A$1)),IF(VLOOKUP($A367,[1]!Table1[#All],2,FALSE)="Resultat",SUMIF($F$1:$F305,$D367,H$1:H305)+SUMIF($F368:$F$512,$D367,H368:H$512),0))*'[1]Processer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403">
        <f>IFERROR(VLOOKUP($D367&amp;$F367,Landbrugsproduktivititet!$D$3:$G$31,MATCH(I$2,Landbrugsproduktivititet!$D$2:$G$2,0),FALSE),1)*IF($A367&lt;&gt;"",IF(VLOOKUP($A367,[1]!Table1[#All],2,FALSE)="Direkte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input'!$A$3:$A$230,$A$1)),IF(VLOOKUP($A367,[1]!Table1[#All],2,FALSE)="Resultat",SUMIF($F$1:$F305,$D367,I$1:I305)+SUMIF($F368:$F$512,$D367,I368:I$512),0))*'[1]Processer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-5395.2002221095981</v>
      </c>
      <c r="J367" s="404">
        <f>IFERROR(VLOOKUP($D367&amp;$F367,Landbrugsproduktivititet!$D$3:$G$31,MATCH(J$2,Landbrugsproduktivititet!$D$2:$G$2,0),FALSE),1)*IF($A367&lt;&gt;"",IF(VLOOKUP($A367,[1]!Table1[#All],2,FALSE)="Direkte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input'!$A$3:$A$230,$A$1)),IF(VLOOKUP($A367,[1]!Table1[#All],2,FALSE)="Resultat",SUMIF($F$1:$F305,$D367,J$1:J305)+SUMIF($F368:$F$512,$D367,J368:J$512),0))*'[1]Processer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402">
        <f>IFERROR(VLOOKUP($D368&amp;$F368,Landbrugsproduktivititet!$D$3:$G$31,MATCH(H$2,Landbrugsproduktivititet!$D$2:$G$2,0),FALSE),1)*IF($A368&lt;&gt;"",IF(VLOOKUP($A368,[1]!Table1[#All],2,FALSE)="Direkte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input'!$A$3:$A$230,$A$1)),IF(VLOOKUP($A368,[1]!Table1[#All],2,FALSE)="Resultat",SUMIF($F$1:$F306,$D368,H$1:H306)+SUMIF($F369:$F$512,$D368,H369:H$512),0))*'[1]Processer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403">
        <f>IFERROR(VLOOKUP($D368&amp;$F368,Landbrugsproduktivititet!$D$3:$G$31,MATCH(I$2,Landbrugsproduktivititet!$D$2:$G$2,0),FALSE),1)*IF($A368&lt;&gt;"",IF(VLOOKUP($A368,[1]!Table1[#All],2,FALSE)="Direkte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input'!$A$3:$A$230,$A$1)),IF(VLOOKUP($A368,[1]!Table1[#All],2,FALSE)="Resultat",SUMIF($F$1:$F306,$D368,I$1:I306)+SUMIF($F369:$F$512,$D368,I369:I$512),0))*'[1]Processer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2990.2001672047659</v>
      </c>
      <c r="J368" s="404">
        <f>IFERROR(VLOOKUP($D368&amp;$F368,Landbrugsproduktivititet!$D$3:$G$31,MATCH(J$2,Landbrugsproduktivititet!$D$2:$G$2,0),FALSE),1)*IF($A368&lt;&gt;"",IF(VLOOKUP($A368,[1]!Table1[#All],2,FALSE)="Direkte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input'!$A$3:$A$230,$A$1)),IF(VLOOKUP($A368,[1]!Table1[#All],2,FALSE)="Resultat",SUMIF($F$1:$F306,$D368,J$1:J306)+SUMIF($F369:$F$512,$D368,J369:J$512),0))*'[1]Processer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402">
        <f>IFERROR(VLOOKUP($D369&amp;$F369,Landbrugsproduktivititet!$D$3:$G$31,MATCH(H$2,Landbrugsproduktivititet!$D$2:$G$2,0),FALSE),1)*IF($A369&lt;&gt;"",IF(VLOOKUP($A369,[1]!Table1[#All],2,FALSE)="Direkte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input'!$A$3:$A$230,$A$1)),IF(VLOOKUP($A369,[1]!Table1[#All],2,FALSE)="Resultat",SUMIF($F$1:$F307,$D369,H$1:H307)+SUMIF($F370:$F$512,$D369,H370:H$512),0))*'[1]Processer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403">
        <f>IFERROR(VLOOKUP($D369&amp;$F369,Landbrugsproduktivititet!$D$3:$G$31,MATCH(I$2,Landbrugsproduktivititet!$D$2:$G$2,0),FALSE),1)*IF($A369&lt;&gt;"",IF(VLOOKUP($A369,[1]!Table1[#All],2,FALSE)="Direkte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input'!$A$3:$A$230,$A$1)),IF(VLOOKUP($A369,[1]!Table1[#All],2,FALSE)="Resultat",SUMIF($F$1:$F307,$D369,I$1:I307)+SUMIF($F370:$F$512,$D369,I370:I$512),0))*'[1]Processer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188807.49782034862</v>
      </c>
      <c r="J369" s="404">
        <f>IFERROR(VLOOKUP($D369&amp;$F369,Landbrugsproduktivititet!$D$3:$G$31,MATCH(J$2,Landbrugsproduktivititet!$D$2:$G$2,0),FALSE),1)*IF($A369&lt;&gt;"",IF(VLOOKUP($A369,[1]!Table1[#All],2,FALSE)="Direkte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input'!$A$3:$A$230,$A$1)),IF(VLOOKUP($A369,[1]!Table1[#All],2,FALSE)="Resultat",SUMIF($F$1:$F307,$D369,J$1:J307)+SUMIF($F370:$F$512,$D369,J370:J$512),0))*'[1]Processer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0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402">
        <f>IFERROR(VLOOKUP($D370&amp;$F370,Landbrugsproduktivititet!$D$3:$G$31,MATCH(H$2,Landbrugsproduktivititet!$D$2:$G$2,0),FALSE),1)*IF($A370&lt;&gt;"",IF(VLOOKUP($A370,[1]!Table1[#All],2,FALSE)="Direkte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input'!$A$3:$A$230,$A$1)),IF(VLOOKUP($A370,[1]!Table1[#All],2,FALSE)="Resultat",SUMIF($F$1:$F308,$D370,H$1:H308)+SUMIF($F371:$F$512,$D370,H371:H$512),0))*'[1]Processer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403">
        <f>IFERROR(VLOOKUP($D370&amp;$F370,Landbrugsproduktivititet!$D$3:$G$31,MATCH(I$2,Landbrugsproduktivititet!$D$2:$G$2,0),FALSE),1)*IF($A370&lt;&gt;"",IF(VLOOKUP($A370,[1]!Table1[#All],2,FALSE)="Direkte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input'!$A$3:$A$230,$A$1)),IF(VLOOKUP($A370,[1]!Table1[#All],2,FALSE)="Resultat",SUMIF($F$1:$F308,$D370,I$1:I308)+SUMIF($F371:$F$512,$D370,I371:I$512),0))*'[1]Processer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-386803.45633054746</v>
      </c>
      <c r="J370" s="404">
        <f>IFERROR(VLOOKUP($D370&amp;$F370,Landbrugsproduktivititet!$D$3:$G$31,MATCH(J$2,Landbrugsproduktivititet!$D$2:$G$2,0),FALSE),1)*IF($A370&lt;&gt;"",IF(VLOOKUP($A370,[1]!Table1[#All],2,FALSE)="Direkte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input'!$A$3:$A$230,$A$1)),IF(VLOOKUP($A370,[1]!Table1[#All],2,FALSE)="Resultat",SUMIF($F$1:$F308,$D370,J$1:J308)+SUMIF($F371:$F$512,$D370,J371:J$512),0))*'[1]Processer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0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402">
        <f>IFERROR(VLOOKUP($D371&amp;$F371,Landbrugsproduktivititet!$D$3:$G$31,MATCH(H$2,Landbrugsproduktivititet!$D$2:$G$2,0),FALSE),1)*IF($A371&lt;&gt;"",IF(VLOOKUP($A371,[1]!Table1[#All],2,FALSE)="Direkte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input'!$A$3:$A$230,$A$1)),IF(VLOOKUP($A371,[1]!Table1[#All],2,FALSE)="Resultat",SUMIF($F$1:$F309,$D371,H$1:H309)+SUMIF($F372:$F$512,$D371,H372:H$512),0))*'[1]Processer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403">
        <f>IFERROR(VLOOKUP($D371&amp;$F371,Landbrugsproduktivititet!$D$3:$G$31,MATCH(I$2,Landbrugsproduktivititet!$D$2:$G$2,0),FALSE),1)*IF($A371&lt;&gt;"",IF(VLOOKUP($A371,[1]!Table1[#All],2,FALSE)="Direkte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input'!$A$3:$A$230,$A$1)),IF(VLOOKUP($A371,[1]!Table1[#All],2,FALSE)="Resultat",SUMIF($F$1:$F309,$D371,I$1:I309)+SUMIF($F372:$F$512,$D371,I372:I$512),0))*'[1]Processer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6398.6827116899449</v>
      </c>
      <c r="J371" s="404">
        <f>IFERROR(VLOOKUP($D371&amp;$F371,Landbrugsproduktivititet!$D$3:$G$31,MATCH(J$2,Landbrugsproduktivititet!$D$2:$G$2,0),FALSE),1)*IF($A371&lt;&gt;"",IF(VLOOKUP($A371,[1]!Table1[#All],2,FALSE)="Direkte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input'!$A$3:$A$230,$A$1)),IF(VLOOKUP($A371,[1]!Table1[#All],2,FALSE)="Resultat",SUMIF($F$1:$F309,$D371,J$1:J309)+SUMIF($F372:$F$512,$D371,J372:J$512),0))*'[1]Processer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0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402">
        <f>IFERROR(VLOOKUP($D372&amp;$F372,Landbrugsproduktivititet!$D$3:$G$31,MATCH(H$2,Landbrugsproduktivititet!$D$2:$G$2,0),FALSE),1)*IF($A372&lt;&gt;"",IF(VLOOKUP($A372,[1]!Table1[#All],2,FALSE)="Direkte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input'!$A$3:$A$230,$A$1)),IF(VLOOKUP($A372,[1]!Table1[#All],2,FALSE)="Resultat",SUMIF($F$1:$F310,$D372,H$1:H310)+SUMIF($F373:$F$512,$D372,H373:H$512),0))*'[1]Processer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403">
        <f>IFERROR(VLOOKUP($D372&amp;$F372,Landbrugsproduktivititet!$D$3:$G$31,MATCH(I$2,Landbrugsproduktivititet!$D$2:$G$2,0),FALSE),1)*IF($A372&lt;&gt;"",IF(VLOOKUP($A372,[1]!Table1[#All],2,FALSE)="Direkte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input'!$A$3:$A$230,$A$1)),IF(VLOOKUP($A372,[1]!Table1[#All],2,FALSE)="Resultat",SUMIF($F$1:$F310,$D372,I$1:I310)+SUMIF($F373:$F$512,$D372,I373:I$512),0))*'[1]Processer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1496.586386446407</v>
      </c>
      <c r="J372" s="404">
        <f>IFERROR(VLOOKUP($D372&amp;$F372,Landbrugsproduktivititet!$D$3:$G$31,MATCH(J$2,Landbrugsproduktivititet!$D$2:$G$2,0),FALSE),1)*IF($A372&lt;&gt;"",IF(VLOOKUP($A372,[1]!Table1[#All],2,FALSE)="Direkte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input'!$A$3:$A$230,$A$1)),IF(VLOOKUP($A372,[1]!Table1[#All],2,FALSE)="Resultat",SUMIF($F$1:$F310,$D372,J$1:J310)+SUMIF($F373:$F$512,$D372,J373:J$512),0))*'[1]Processer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402">
        <f>IFERROR(VLOOKUP($D373&amp;$F373,Landbrugsproduktivititet!$D$3:$G$31,MATCH(H$2,Landbrugsproduktivititet!$D$2:$G$2,0),FALSE),1)*IF($A373&lt;&gt;"",IF(VLOOKUP($A373,[1]!Table1[#All],2,FALSE)="Direkte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input'!$A$3:$A$230,$A$1)),IF(VLOOKUP($A373,[1]!Table1[#All],2,FALSE)="Resultat",SUMIF($F$1:$F311,$D373,H$1:H311)+SUMIF($F374:$F$512,$D373,H374:H$512),0))*'[1]Processer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403">
        <f>IFERROR(VLOOKUP($D373&amp;$F373,Landbrugsproduktivititet!$D$3:$G$31,MATCH(I$2,Landbrugsproduktivititet!$D$2:$G$2,0),FALSE),1)*IF($A373&lt;&gt;"",IF(VLOOKUP($A373,[1]!Table1[#All],2,FALSE)="Direkte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input'!$A$3:$A$230,$A$1)),IF(VLOOKUP($A373,[1]!Table1[#All],2,FALSE)="Resultat",SUMIF($F$1:$F311,$D373,I$1:I311)+SUMIF($F374:$F$512,$D373,I374:I$512),0))*'[1]Processer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-2322.7312797648128</v>
      </c>
      <c r="J373" s="404">
        <f>IFERROR(VLOOKUP($D373&amp;$F373,Landbrugsproduktivititet!$D$3:$G$31,MATCH(J$2,Landbrugsproduktivititet!$D$2:$G$2,0),FALSE),1)*IF($A373&lt;&gt;"",IF(VLOOKUP($A373,[1]!Table1[#All],2,FALSE)="Direkte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input'!$A$3:$A$230,$A$1)),IF(VLOOKUP($A373,[1]!Table1[#All],2,FALSE)="Resultat",SUMIF($F$1:$F311,$D373,J$1:J311)+SUMIF($F374:$F$512,$D373,J374:J$512),0))*'[1]Processer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402">
        <f>IFERROR(VLOOKUP($D374&amp;$F374,Landbrugsproduktivititet!$D$3:$G$31,MATCH(H$2,Landbrugsproduktivititet!$D$2:$G$2,0),FALSE),1)*IF($A374&lt;&gt;"",IF(VLOOKUP($A374,[1]!Table1[#All],2,FALSE)="Direkte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input'!$A$3:$A$230,$A$1)),IF(VLOOKUP($A374,[1]!Table1[#All],2,FALSE)="Resultat",SUMIF($F$1:$F312,$D374,H$1:H312)+SUMIF($F375:$F$512,$D374,H375:H$512),0))*'[1]Processer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403">
        <f>IFERROR(VLOOKUP($D374&amp;$F374,Landbrugsproduktivititet!$D$3:$G$31,MATCH(I$2,Landbrugsproduktivititet!$D$2:$G$2,0),FALSE),1)*IF($A374&lt;&gt;"",IF(VLOOKUP($A374,[1]!Table1[#All],2,FALSE)="Direkte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input'!$A$3:$A$230,$A$1)),IF(VLOOKUP($A374,[1]!Table1[#All],2,FALSE)="Resultat",SUMIF($F$1:$F312,$D374,I$1:I312)+SUMIF($F375:$F$512,$D374,I375:I$512),0))*'[1]Processer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229.24618579382675</v>
      </c>
      <c r="J374" s="404">
        <f>IFERROR(VLOOKUP($D374&amp;$F374,Landbrugsproduktivititet!$D$3:$G$31,MATCH(J$2,Landbrugsproduktivititet!$D$2:$G$2,0),FALSE),1)*IF($A374&lt;&gt;"",IF(VLOOKUP($A374,[1]!Table1[#All],2,FALSE)="Direkte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input'!$A$3:$A$230,$A$1)),IF(VLOOKUP($A374,[1]!Table1[#All],2,FALSE)="Resultat",SUMIF($F$1:$F312,$D374,J$1:J312)+SUMIF($F375:$F$512,$D374,J375:J$512),0))*'[1]Processer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402">
        <f>IFERROR(VLOOKUP($D375&amp;$F375,Landbrugsproduktivititet!$D$3:$G$31,MATCH(H$2,Landbrugsproduktivititet!$D$2:$G$2,0),FALSE),1)*IF($A375&lt;&gt;"",IF(VLOOKUP($A375,[1]!Table1[#All],2,FALSE)="Direkte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input'!$A$3:$A$230,$A$1)),IF(VLOOKUP($A375,[1]!Table1[#All],2,FALSE)="Resultat",SUMIF($F$1:$F313,$D375,H$1:H313)+SUMIF($F376:$F$512,$D375,H376:H$512),0))*'[1]Processer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403">
        <f>IFERROR(VLOOKUP($D375&amp;$F375,Landbrugsproduktivititet!$D$3:$G$31,MATCH(I$2,Landbrugsproduktivititet!$D$2:$G$2,0),FALSE),1)*IF($A375&lt;&gt;"",IF(VLOOKUP($A375,[1]!Table1[#All],2,FALSE)="Direkte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input'!$A$3:$A$230,$A$1)),IF(VLOOKUP($A375,[1]!Table1[#All],2,FALSE)="Resultat",SUMIF($F$1:$F313,$D375,I$1:I313)+SUMIF($F376:$F$512,$D375,I376:I$512),0))*'[1]Processer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1087.4509095273229</v>
      </c>
      <c r="J375" s="404">
        <f>IFERROR(VLOOKUP($D375&amp;$F375,Landbrugsproduktivititet!$D$3:$G$31,MATCH(J$2,Landbrugsproduktivititet!$D$2:$G$2,0),FALSE),1)*IF($A375&lt;&gt;"",IF(VLOOKUP($A375,[1]!Table1[#All],2,FALSE)="Direkte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input'!$A$3:$A$230,$A$1)),IF(VLOOKUP($A375,[1]!Table1[#All],2,FALSE)="Resultat",SUMIF($F$1:$F313,$D375,J$1:J313)+SUMIF($F376:$F$512,$D375,J376:J$512),0))*'[1]Processer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402">
        <f>IFERROR(VLOOKUP($D376&amp;$F376,Landbrugsproduktivititet!$D$3:$G$31,MATCH(H$2,Landbrugsproduktivititet!$D$2:$G$2,0),FALSE),1)*IF($A376&lt;&gt;"",IF(VLOOKUP($A376,[1]!Table1[#All],2,FALSE)="Direkte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input'!$A$3:$A$230,$A$1)),IF(VLOOKUP($A376,[1]!Table1[#All],2,FALSE)="Resultat",SUMIF($F$1:$F314,$D376,H$1:H314)+SUMIF($F377:$F$512,$D376,H377:H$512),0))*'[1]Processer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403">
        <f>IFERROR(VLOOKUP($D376&amp;$F376,Landbrugsproduktivititet!$D$3:$G$31,MATCH(I$2,Landbrugsproduktivititet!$D$2:$G$2,0),FALSE),1)*IF($A376&lt;&gt;"",IF(VLOOKUP($A376,[1]!Table1[#All],2,FALSE)="Direkte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input'!$A$3:$A$230,$A$1)),IF(VLOOKUP($A376,[1]!Table1[#All],2,FALSE)="Resultat",SUMIF($F$1:$F314,$D376,I$1:I314)+SUMIF($F377:$F$512,$D376,I377:I$512),0))*'[1]Processer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-1301.9747410765895</v>
      </c>
      <c r="J376" s="404">
        <f>IFERROR(VLOOKUP($D376&amp;$F376,Landbrugsproduktivititet!$D$3:$G$31,MATCH(J$2,Landbrugsproduktivititet!$D$2:$G$2,0),FALSE),1)*IF($A376&lt;&gt;"",IF(VLOOKUP($A376,[1]!Table1[#All],2,FALSE)="Direkte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input'!$A$3:$A$230,$A$1)),IF(VLOOKUP($A376,[1]!Table1[#All],2,FALSE)="Resultat",SUMIF($F$1:$F314,$D376,J$1:J314)+SUMIF($F377:$F$512,$D376,J377:J$512),0))*'[1]Processer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402">
        <f>IFERROR(VLOOKUP($D377&amp;$F377,Landbrugsproduktivititet!$D$3:$G$31,MATCH(H$2,Landbrugsproduktivititet!$D$2:$G$2,0),FALSE),1)*IF($A377&lt;&gt;"",IF(VLOOKUP($A377,[1]!Table1[#All],2,FALSE)="Direkte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input'!$A$3:$A$230,$A$1)),IF(VLOOKUP($A377,[1]!Table1[#All],2,FALSE)="Resultat",SUMIF($F$1:$F315,$D377,H$1:H315)+SUMIF($F378:$F$512,$D377,H378:H$512),0))*'[1]Processer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403">
        <f>IFERROR(VLOOKUP($D377&amp;$F377,Landbrugsproduktivititet!$D$3:$G$31,MATCH(I$2,Landbrugsproduktivititet!$D$2:$G$2,0),FALSE),1)*IF($A377&lt;&gt;"",IF(VLOOKUP($A377,[1]!Table1[#All],2,FALSE)="Direkte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input'!$A$3:$A$230,$A$1)),IF(VLOOKUP($A377,[1]!Table1[#All],2,FALSE)="Resultat",SUMIF($F$1:$F315,$D377,I$1:I315)+SUMIF($F378:$F$512,$D377,I378:I$512),0))*'[1]Processer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381.68724694968699</v>
      </c>
      <c r="J377" s="404">
        <f>IFERROR(VLOOKUP($D377&amp;$F377,Landbrugsproduktivititet!$D$3:$G$31,MATCH(J$2,Landbrugsproduktivititet!$D$2:$G$2,0),FALSE),1)*IF($A377&lt;&gt;"",IF(VLOOKUP($A377,[1]!Table1[#All],2,FALSE)="Direkte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input'!$A$3:$A$230,$A$1)),IF(VLOOKUP($A377,[1]!Table1[#All],2,FALSE)="Resultat",SUMIF($F$1:$F315,$D377,J$1:J315)+SUMIF($F378:$F$512,$D377,J378:J$512),0))*'[1]Processer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402">
        <f>IFERROR(VLOOKUP($D378&amp;$F378,Landbrugsproduktivititet!$D$3:$G$31,MATCH(H$2,Landbrugsproduktivititet!$D$2:$G$2,0),FALSE),1)*IF($A378&lt;&gt;"",IF(VLOOKUP($A378,[1]!Table1[#All],2,FALSE)="Direkte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input'!$A$3:$A$230,$A$1)),IF(VLOOKUP($A378,[1]!Table1[#All],2,FALSE)="Resultat",SUMIF($F$1:$F316,$D378,H$1:H316)+SUMIF($F379:$F$512,$D378,H379:H$512),0))*'[1]Processer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403">
        <f>IFERROR(VLOOKUP($D378&amp;$F378,Landbrugsproduktivititet!$D$3:$G$31,MATCH(I$2,Landbrugsproduktivititet!$D$2:$G$2,0),FALSE),1)*IF($A378&lt;&gt;"",IF(VLOOKUP($A378,[1]!Table1[#All],2,FALSE)="Direkte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input'!$A$3:$A$230,$A$1)),IF(VLOOKUP($A378,[1]!Table1[#All],2,FALSE)="Resultat",SUMIF($F$1:$F316,$D378,I$1:I316)+SUMIF($F379:$F$512,$D378,I379:I$512),0))*'[1]Processer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13760.491170282347</v>
      </c>
      <c r="J378" s="404">
        <f>IFERROR(VLOOKUP($D378&amp;$F378,Landbrugsproduktivititet!$D$3:$G$31,MATCH(J$2,Landbrugsproduktivititet!$D$2:$G$2,0),FALSE),1)*IF($A378&lt;&gt;"",IF(VLOOKUP($A378,[1]!Table1[#All],2,FALSE)="Direkte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input'!$A$3:$A$230,$A$1)),IF(VLOOKUP($A378,[1]!Table1[#All],2,FALSE)="Resultat",SUMIF($F$1:$F316,$D378,J$1:J316)+SUMIF($F379:$F$512,$D378,J379:J$512),0))*'[1]Processer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128654.0299653736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402">
        <f>IFERROR(VLOOKUP($D379&amp;$F379,Landbrugsproduktivititet!$D$3:$G$31,MATCH(H$2,Landbrugsproduktivititet!$D$2:$G$2,0),FALSE),1)*IF($A379&lt;&gt;"",IF(VLOOKUP($A379,[1]!Table1[#All],2,FALSE)="Direkte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input'!$A$3:$A$230,$A$1)),IF(VLOOKUP($A379,[1]!Table1[#All],2,FALSE)="Resultat",SUMIF($F$1:$F317,$D379,H$1:H317)+SUMIF($F380:$F$512,$D379,H380:H$512),0))*'[1]Processer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403">
        <f>IFERROR(VLOOKUP($D379&amp;$F379,Landbrugsproduktivititet!$D$3:$G$31,MATCH(I$2,Landbrugsproduktivititet!$D$2:$G$2,0),FALSE),1)*IF($A379&lt;&gt;"",IF(VLOOKUP($A379,[1]!Table1[#All],2,FALSE)="Direkte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input'!$A$3:$A$230,$A$1)),IF(VLOOKUP($A379,[1]!Table1[#All],2,FALSE)="Resultat",SUMIF($F$1:$F317,$D379,I$1:I317)+SUMIF($F380:$F$512,$D379,I380:I$512),0))*'[1]Processer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-28190.647124277235</v>
      </c>
      <c r="J379" s="404">
        <f>IFERROR(VLOOKUP($D379&amp;$F379,Landbrugsproduktivititet!$D$3:$G$31,MATCH(J$2,Landbrugsproduktivititet!$D$2:$G$2,0),FALSE),1)*IF($A379&lt;&gt;"",IF(VLOOKUP($A379,[1]!Table1[#All],2,FALSE)="Direkte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input'!$A$3:$A$230,$A$1)),IF(VLOOKUP($A379,[1]!Table1[#All],2,FALSE)="Resultat",SUMIF($F$1:$F317,$D379,J$1:J317)+SUMIF($F380:$F$512,$D379,J380:J$512),0))*'[1]Processer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-231536.20968114355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402">
        <f>IFERROR(VLOOKUP($D380&amp;$F380,Landbrugsproduktivititet!$D$3:$G$31,MATCH(H$2,Landbrugsproduktivititet!$D$2:$G$2,0),FALSE),1)*IF($A380&lt;&gt;"",IF(VLOOKUP($A380,[1]!Table1[#All],2,FALSE)="Direkte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input'!$A$3:$A$230,$A$1)),IF(VLOOKUP($A380,[1]!Table1[#All],2,FALSE)="Resultat",SUMIF($F$1:$F318,$D380,H$1:H318)+SUMIF($F381:$F$512,$D380,H381:H$512),0))*'[1]Processer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403">
        <f>IFERROR(VLOOKUP($D380&amp;$F380,Landbrugsproduktivititet!$D$3:$G$31,MATCH(I$2,Landbrugsproduktivititet!$D$2:$G$2,0),FALSE),1)*IF($A380&lt;&gt;"",IF(VLOOKUP($A380,[1]!Table1[#All],2,FALSE)="Direkte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input'!$A$3:$A$230,$A$1)),IF(VLOOKUP($A380,[1]!Table1[#All],2,FALSE)="Resultat",SUMIF($F$1:$F318,$D380,I$1:I318)+SUMIF($F381:$F$512,$D380,I381:I$512),0))*'[1]Processer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818.14526093816903</v>
      </c>
      <c r="J380" s="404">
        <f>IFERROR(VLOOKUP($D380&amp;$F380,Landbrugsproduktivititet!$D$3:$G$31,MATCH(J$2,Landbrugsproduktivititet!$D$2:$G$2,0),FALSE),1)*IF($A380&lt;&gt;"",IF(VLOOKUP($A380,[1]!Table1[#All],2,FALSE)="Direkte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input'!$A$3:$A$230,$A$1)),IF(VLOOKUP($A380,[1]!Table1[#All],2,FALSE)="Resultat",SUMIF($F$1:$F318,$D380,J$1:J318)+SUMIF($F381:$F$512,$D380,J381:J$512),0))*'[1]Processer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5739.1971498031962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402">
        <f>IFERROR(VLOOKUP($D381&amp;$F381,Landbrugsproduktivititet!$D$3:$G$31,MATCH(H$2,Landbrugsproduktivititet!$D$2:$G$2,0),FALSE),1)*IF($A381&lt;&gt;"",IF(VLOOKUP($A381,[1]!Table1[#All],2,FALSE)="Direkte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input'!$A$3:$A$230,$A$1)),IF(VLOOKUP($A381,[1]!Table1[#All],2,FALSE)="Resultat",SUMIF($F$1:$F319,$D381,H$1:H319)+SUMIF($F382:$F$512,$D381,H382:H$512),0))*'[1]Processer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403">
        <f>IFERROR(VLOOKUP($D381&amp;$F381,Landbrugsproduktivititet!$D$3:$G$31,MATCH(I$2,Landbrugsproduktivititet!$D$2:$G$2,0),FALSE),1)*IF($A381&lt;&gt;"",IF(VLOOKUP($A381,[1]!Table1[#All],2,FALSE)="Direkte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input'!$A$3:$A$230,$A$1)),IF(VLOOKUP($A381,[1]!Table1[#All],2,FALSE)="Resultat",SUMIF($F$1:$F319,$D381,I$1:I319)+SUMIF($F382:$F$512,$D381,I382:I$512),0))*'[1]Processer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109.07280692769747</v>
      </c>
      <c r="J381" s="404">
        <f>IFERROR(VLOOKUP($D381&amp;$F381,Landbrugsproduktivititet!$D$3:$G$31,MATCH(J$2,Landbrugsproduktivititet!$D$2:$G$2,0),FALSE),1)*IF($A381&lt;&gt;"",IF(VLOOKUP($A381,[1]!Table1[#All],2,FALSE)="Direkte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input'!$A$3:$A$230,$A$1)),IF(VLOOKUP($A381,[1]!Table1[#All],2,FALSE)="Resultat",SUMIF($F$1:$F319,$D381,J$1:J319)+SUMIF($F382:$F$512,$D381,J382:J$512),0))*'[1]Processer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402">
        <f>IFERROR(VLOOKUP($D382&amp;$F382,Landbrugsproduktivititet!$D$3:$G$31,MATCH(H$2,Landbrugsproduktivititet!$D$2:$G$2,0),FALSE),1)*IF($A382&lt;&gt;"",IF(VLOOKUP($A382,[1]!Table1[#All],2,FALSE)="Direkte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input'!$A$3:$A$230,$A$1)),IF(VLOOKUP($A382,[1]!Table1[#All],2,FALSE)="Resultat",SUMIF($F$1:$F320,$D382,H$1:H320)+SUMIF($F383:$F$512,$D382,H383:H$512),0))*'[1]Processer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403">
        <f>IFERROR(VLOOKUP($D382&amp;$F382,Landbrugsproduktivititet!$D$3:$G$31,MATCH(I$2,Landbrugsproduktivititet!$D$2:$G$2,0),FALSE),1)*IF($A382&lt;&gt;"",IF(VLOOKUP($A382,[1]!Table1[#All],2,FALSE)="Direkte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input'!$A$3:$A$230,$A$1)),IF(VLOOKUP($A382,[1]!Table1[#All],2,FALSE)="Resultat",SUMIF($F$1:$F320,$D382,I$1:I320)+SUMIF($F383:$F$512,$D382,I383:I$512),0))*'[1]Processer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-169.28312506187791</v>
      </c>
      <c r="J382" s="404">
        <f>IFERROR(VLOOKUP($D382&amp;$F382,Landbrugsproduktivititet!$D$3:$G$31,MATCH(J$2,Landbrugsproduktivititet!$D$2:$G$2,0),FALSE),1)*IF($A382&lt;&gt;"",IF(VLOOKUP($A382,[1]!Table1[#All],2,FALSE)="Direkte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input'!$A$3:$A$230,$A$1)),IF(VLOOKUP($A382,[1]!Table1[#All],2,FALSE)="Resultat",SUMIF($F$1:$F320,$D382,J$1:J320)+SUMIF($F383:$F$512,$D382,J383:J$512),0))*'[1]Processer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402">
        <f>IFERROR(VLOOKUP($D383&amp;$F383,Landbrugsproduktivititet!$D$3:$G$31,MATCH(H$2,Landbrugsproduktivititet!$D$2:$G$2,0),FALSE),1)*IF($A383&lt;&gt;"",IF(VLOOKUP($A383,[1]!Table1[#All],2,FALSE)="Direkte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input'!$A$3:$A$230,$A$1)),IF(VLOOKUP($A383,[1]!Table1[#All],2,FALSE)="Resultat",SUMIF($F$1:$F321,$D383,H$1:H321)+SUMIF($F384:$F$512,$D383,H384:H$512),0))*'[1]Processer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403">
        <f>IFERROR(VLOOKUP($D383&amp;$F383,Landbrugsproduktivititet!$D$3:$G$31,MATCH(I$2,Landbrugsproduktivititet!$D$2:$G$2,0),FALSE),1)*IF($A383&lt;&gt;"",IF(VLOOKUP($A383,[1]!Table1[#All],2,FALSE)="Direkte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input'!$A$3:$A$230,$A$1)),IF(VLOOKUP($A383,[1]!Table1[#All],2,FALSE)="Resultat",SUMIF($F$1:$F321,$D383,I$1:I321)+SUMIF($F384:$F$512,$D383,I384:I$512),0))*'[1]Processer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29.311764459381216</v>
      </c>
      <c r="J383" s="404">
        <f>IFERROR(VLOOKUP($D383&amp;$F383,Landbrugsproduktivititet!$D$3:$G$31,MATCH(J$2,Landbrugsproduktivititet!$D$2:$G$2,0),FALSE),1)*IF($A383&lt;&gt;"",IF(VLOOKUP($A383,[1]!Table1[#All],2,FALSE)="Direkte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input'!$A$3:$A$230,$A$1)),IF(VLOOKUP($A383,[1]!Table1[#All],2,FALSE)="Resultat",SUMIF($F$1:$F321,$D383,J$1:J321)+SUMIF($F384:$F$512,$D383,J384:J$512),0))*'[1]Processer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402">
        <f>IFERROR(VLOOKUP($D384&amp;$F384,Landbrugsproduktivititet!$D$3:$G$31,MATCH(H$2,Landbrugsproduktivititet!$D$2:$G$2,0),FALSE),1)*IF($A384&lt;&gt;"",IF(VLOOKUP($A384,[1]!Table1[#All],2,FALSE)="Direkte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input'!$A$3:$A$230,$A$1)),IF(VLOOKUP($A384,[1]!Table1[#All],2,FALSE)="Resultat",SUMIF($F$1:$F322,$D384,H$1:H322)+SUMIF($F385:$F$512,$D384,H385:H$512),0))*'[1]Processer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403">
        <f>IFERROR(VLOOKUP($D384&amp;$F384,Landbrugsproduktivititet!$D$3:$G$31,MATCH(I$2,Landbrugsproduktivititet!$D$2:$G$2,0),FALSE),1)*IF($A384&lt;&gt;"",IF(VLOOKUP($A384,[1]!Table1[#All],2,FALSE)="Direkte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input'!$A$3:$A$230,$A$1)),IF(VLOOKUP($A384,[1]!Table1[#All],2,FALSE)="Resultat",SUMIF($F$1:$F322,$D384,I$1:I322)+SUMIF($F385:$F$512,$D384,I385:I$512),0))*'[1]Processer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79.254578400824045</v>
      </c>
      <c r="J384" s="404">
        <f>IFERROR(VLOOKUP($D384&amp;$F384,Landbrugsproduktivititet!$D$3:$G$31,MATCH(J$2,Landbrugsproduktivititet!$D$2:$G$2,0),FALSE),1)*IF($A384&lt;&gt;"",IF(VLOOKUP($A384,[1]!Table1[#All],2,FALSE)="Direkte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input'!$A$3:$A$230,$A$1)),IF(VLOOKUP($A384,[1]!Table1[#All],2,FALSE)="Resultat",SUMIF($F$1:$F322,$D384,J$1:J322)+SUMIF($F385:$F$512,$D384,J385:J$512),0))*'[1]Processer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402">
        <f>IFERROR(VLOOKUP($D385&amp;$F385,Landbrugsproduktivititet!$D$3:$G$31,MATCH(H$2,Landbrugsproduktivititet!$D$2:$G$2,0),FALSE),1)*IF($A385&lt;&gt;"",IF(VLOOKUP($A385,[1]!Table1[#All],2,FALSE)="Direkte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input'!$A$3:$A$230,$A$1)),IF(VLOOKUP($A385,[1]!Table1[#All],2,FALSE)="Resultat",SUMIF($F$1:$F323,$D385,H$1:H323)+SUMIF($F386:$F$512,$D385,H386:H$512),0))*'[1]Processer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403">
        <f>IFERROR(VLOOKUP($D385&amp;$F385,Landbrugsproduktivititet!$D$3:$G$31,MATCH(I$2,Landbrugsproduktivititet!$D$2:$G$2,0),FALSE),1)*IF($A385&lt;&gt;"",IF(VLOOKUP($A385,[1]!Table1[#All],2,FALSE)="Direkte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input'!$A$3:$A$230,$A$1)),IF(VLOOKUP($A385,[1]!Table1[#All],2,FALSE)="Resultat",SUMIF($F$1:$F323,$D385,I$1:I323)+SUMIF($F386:$F$512,$D385,I386:I$512),0))*'[1]Processer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-94.889303313378193</v>
      </c>
      <c r="J385" s="404">
        <f>IFERROR(VLOOKUP($D385&amp;$F385,Landbrugsproduktivititet!$D$3:$G$31,MATCH(J$2,Landbrugsproduktivititet!$D$2:$G$2,0),FALSE),1)*IF($A385&lt;&gt;"",IF(VLOOKUP($A385,[1]!Table1[#All],2,FALSE)="Direkte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input'!$A$3:$A$230,$A$1)),IF(VLOOKUP($A385,[1]!Table1[#All],2,FALSE)="Resultat",SUMIF($F$1:$F323,$D385,J$1:J323)+SUMIF($F386:$F$512,$D385,J386:J$512),0))*'[1]Processer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402">
        <f>IFERROR(VLOOKUP($D386&amp;$F386,Landbrugsproduktivititet!$D$3:$G$31,MATCH(H$2,Landbrugsproduktivititet!$D$2:$G$2,0),FALSE),1)*IF($A386&lt;&gt;"",IF(VLOOKUP($A386,[1]!Table1[#All],2,FALSE)="Direkte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input'!$A$3:$A$230,$A$1)),IF(VLOOKUP($A386,[1]!Table1[#All],2,FALSE)="Resultat",SUMIF($F$1:$F324,$D386,H$1:H324)+SUMIF($F387:$F$512,$D386,H387:H$512),0))*'[1]Processer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403">
        <f>IFERROR(VLOOKUP($D386&amp;$F386,Landbrugsproduktivititet!$D$3:$G$31,MATCH(I$2,Landbrugsproduktivititet!$D$2:$G$2,0),FALSE),1)*IF($A386&lt;&gt;"",IF(VLOOKUP($A386,[1]!Table1[#All],2,FALSE)="Direkte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input'!$A$3:$A$230,$A$1)),IF(VLOOKUP($A386,[1]!Table1[#All],2,FALSE)="Resultat",SUMIF($F$1:$F324,$D386,I$1:I324)+SUMIF($F387:$F$512,$D386,I387:I$512),0))*'[1]Processer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48.803109377796993</v>
      </c>
      <c r="J386" s="404">
        <f>IFERROR(VLOOKUP($D386&amp;$F386,Landbrugsproduktivititet!$D$3:$G$31,MATCH(J$2,Landbrugsproduktivititet!$D$2:$G$2,0),FALSE),1)*IF($A386&lt;&gt;"",IF(VLOOKUP($A386,[1]!Table1[#All],2,FALSE)="Direkte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input'!$A$3:$A$230,$A$1)),IF(VLOOKUP($A386,[1]!Table1[#All],2,FALSE)="Resultat",SUMIF($F$1:$F324,$D386,J$1:J324)+SUMIF($F387:$F$512,$D386,J387:J$512),0))*'[1]Processer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402">
        <f>IFERROR(VLOOKUP($D387&amp;$F387,Landbrugsproduktivititet!$D$3:$G$31,MATCH(H$2,Landbrugsproduktivititet!$D$2:$G$2,0),FALSE),1)*IF($A387&lt;&gt;"",IF(VLOOKUP($A387,[1]!Table1[#All],2,FALSE)="Direkte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input'!$A$3:$A$230,$A$1)),IF(VLOOKUP($A387,[1]!Table1[#All],2,FALSE)="Resultat",SUMIF($F$1:$F325,$D387,H$1:H325)+SUMIF($F388:$F$512,$D387,H388:H$512),0))*'[1]Processer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403">
        <f>IFERROR(VLOOKUP($D387&amp;$F387,Landbrugsproduktivititet!$D$3:$G$31,MATCH(I$2,Landbrugsproduktivititet!$D$2:$G$2,0),FALSE),1)*IF($A387&lt;&gt;"",IF(VLOOKUP($A387,[1]!Table1[#All],2,FALSE)="Direkte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input'!$A$3:$A$230,$A$1)),IF(VLOOKUP($A387,[1]!Table1[#All],2,FALSE)="Resultat",SUMIF($F$1:$F325,$D387,I$1:I325)+SUMIF($F388:$F$512,$D387,I388:I$512),0))*'[1]Processer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250794.30100236979</v>
      </c>
      <c r="J387" s="404">
        <f>IFERROR(VLOOKUP($D387&amp;$F387,Landbrugsproduktivititet!$D$3:$G$31,MATCH(J$2,Landbrugsproduktivititet!$D$2:$G$2,0),FALSE),1)*IF($A387&lt;&gt;"",IF(VLOOKUP($A387,[1]!Table1[#All],2,FALSE)="Direkte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input'!$A$3:$A$230,$A$1)),IF(VLOOKUP($A387,[1]!Table1[#All],2,FALSE)="Resultat",SUMIF($F$1:$F325,$D387,J$1:J325)+SUMIF($F388:$F$512,$D387,J388:J$512),0))*'[1]Processer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0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402">
        <f>IFERROR(VLOOKUP($D388&amp;$F388,Landbrugsproduktivititet!$D$3:$G$31,MATCH(H$2,Landbrugsproduktivititet!$D$2:$G$2,0),FALSE),1)*IF($A388&lt;&gt;"",IF(VLOOKUP($A388,[1]!Table1[#All],2,FALSE)="Direkte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input'!$A$3:$A$230,$A$1)),IF(VLOOKUP($A388,[1]!Table1[#All],2,FALSE)="Resultat",SUMIF($F$1:$F326,$D388,H$1:H326)+SUMIF($F389:$F$512,$D388,H389:H$512),0))*'[1]Processer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403">
        <f>IFERROR(VLOOKUP($D388&amp;$F388,Landbrugsproduktivititet!$D$3:$G$31,MATCH(I$2,Landbrugsproduktivititet!$D$2:$G$2,0),FALSE),1)*IF($A388&lt;&gt;"",IF(VLOOKUP($A388,[1]!Table1[#All],2,FALSE)="Direkte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input'!$A$3:$A$230,$A$1)),IF(VLOOKUP($A388,[1]!Table1[#All],2,FALSE)="Resultat",SUMIF($F$1:$F326,$D388,I$1:I326)+SUMIF($F389:$F$512,$D388,I389:I$512),0))*'[1]Processer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-1149029.5420949629</v>
      </c>
      <c r="J388" s="404">
        <f>IFERROR(VLOOKUP($D388&amp;$F388,Landbrugsproduktivititet!$D$3:$G$31,MATCH(J$2,Landbrugsproduktivititet!$D$2:$G$2,0),FALSE),1)*IF($A388&lt;&gt;"",IF(VLOOKUP($A388,[1]!Table1[#All],2,FALSE)="Direkte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input'!$A$3:$A$230,$A$1)),IF(VLOOKUP($A388,[1]!Table1[#All],2,FALSE)="Resultat",SUMIF($F$1:$F326,$D388,J$1:J326)+SUMIF($F389:$F$512,$D388,J389:J$512),0))*'[1]Processer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0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402">
        <f>IFERROR(VLOOKUP($D389&amp;$F389,Landbrugsproduktivititet!$D$3:$G$31,MATCH(H$2,Landbrugsproduktivititet!$D$2:$G$2,0),FALSE),1)*IF($A389&lt;&gt;"",IF(VLOOKUP($A389,[1]!Table1[#All],2,FALSE)="Direkte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input'!$A$3:$A$230,$A$1)),IF(VLOOKUP($A389,[1]!Table1[#All],2,FALSE)="Resultat",SUMIF($F$1:$F327,$D389,H$1:H327)+SUMIF($F390:$F$512,$D389,H390:H$512),0))*'[1]Processer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403">
        <f>IFERROR(VLOOKUP($D389&amp;$F389,Landbrugsproduktivititet!$D$3:$G$31,MATCH(I$2,Landbrugsproduktivititet!$D$2:$G$2,0),FALSE),1)*IF($A389&lt;&gt;"",IF(VLOOKUP($A389,[1]!Table1[#All],2,FALSE)="Direkte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input'!$A$3:$A$230,$A$1)),IF(VLOOKUP($A389,[1]!Table1[#All],2,FALSE)="Resultat",SUMIF($F$1:$F327,$D389,I$1:I327)+SUMIF($F390:$F$512,$D389,I390:I$512),0))*'[1]Processer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17423.799435440727</v>
      </c>
      <c r="J389" s="404">
        <f>IFERROR(VLOOKUP($D389&amp;$F389,Landbrugsproduktivititet!$D$3:$G$31,MATCH(J$2,Landbrugsproduktivititet!$D$2:$G$2,0),FALSE),1)*IF($A389&lt;&gt;"",IF(VLOOKUP($A389,[1]!Table1[#All],2,FALSE)="Direkte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input'!$A$3:$A$230,$A$1)),IF(VLOOKUP($A389,[1]!Table1[#All],2,FALSE)="Resultat",SUMIF($F$1:$F327,$D389,J$1:J327)+SUMIF($F390:$F$512,$D389,J390:J$512),0))*'[1]Processer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0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402">
        <f>IFERROR(VLOOKUP($D390&amp;$F390,Landbrugsproduktivititet!$D$3:$G$31,MATCH(H$2,Landbrugsproduktivititet!$D$2:$G$2,0),FALSE),1)*IF($A390&lt;&gt;"",IF(VLOOKUP($A390,[1]!Table1[#All],2,FALSE)="Direkte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input'!$A$3:$A$230,$A$1)),IF(VLOOKUP($A390,[1]!Table1[#All],2,FALSE)="Resultat",SUMIF($F$1:$F328,$D390,H$1:H328)+SUMIF($F391:$F$512,$D390,H391:H$512),0))*'[1]Processer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403">
        <f>IFERROR(VLOOKUP($D390&amp;$F390,Landbrugsproduktivititet!$D$3:$G$31,MATCH(I$2,Landbrugsproduktivititet!$D$2:$G$2,0),FALSE),1)*IF($A390&lt;&gt;"",IF(VLOOKUP($A390,[1]!Table1[#All],2,FALSE)="Direkte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input'!$A$3:$A$230,$A$1)),IF(VLOOKUP($A390,[1]!Table1[#All],2,FALSE)="Resultat",SUMIF($F$1:$F328,$D390,I$1:I328)+SUMIF($F391:$F$512,$D390,I391:I$512),0))*'[1]Processer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1549.4220838736871</v>
      </c>
      <c r="J390" s="404">
        <f>IFERROR(VLOOKUP($D390&amp;$F390,Landbrugsproduktivititet!$D$3:$G$31,MATCH(J$2,Landbrugsproduktivititet!$D$2:$G$2,0),FALSE),1)*IF($A390&lt;&gt;"",IF(VLOOKUP($A390,[1]!Table1[#All],2,FALSE)="Direkte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input'!$A$3:$A$230,$A$1)),IF(VLOOKUP($A390,[1]!Table1[#All],2,FALSE)="Resultat",SUMIF($F$1:$F328,$D390,J$1:J328)+SUMIF($F391:$F$512,$D390,J391:J$512),0))*'[1]Processer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402">
        <f>IFERROR(VLOOKUP($D391&amp;$F391,Landbrugsproduktivititet!$D$3:$G$31,MATCH(H$2,Landbrugsproduktivititet!$D$2:$G$2,0),FALSE),1)*IF($A391&lt;&gt;"",IF(VLOOKUP($A391,[1]!Table1[#All],2,FALSE)="Direkte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input'!$A$3:$A$230,$A$1)),IF(VLOOKUP($A391,[1]!Table1[#All],2,FALSE)="Resultat",SUMIF($F$1:$F329,$D391,H$1:H329)+SUMIF($F392:$F$512,$D391,H392:H$512),0))*'[1]Processer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403">
        <f>IFERROR(VLOOKUP($D391&amp;$F391,Landbrugsproduktivititet!$D$3:$G$31,MATCH(I$2,Landbrugsproduktivititet!$D$2:$G$2,0),FALSE),1)*IF($A391&lt;&gt;"",IF(VLOOKUP($A391,[1]!Table1[#All],2,FALSE)="Direkte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input'!$A$3:$A$230,$A$1)),IF(VLOOKUP($A391,[1]!Table1[#All],2,FALSE)="Resultat",SUMIF($F$1:$F329,$D391,I$1:I329)+SUMIF($F392:$F$512,$D391,I392:I$512),0))*'[1]Processer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-5915.6439508048716</v>
      </c>
      <c r="J391" s="404">
        <f>IFERROR(VLOOKUP($D391&amp;$F391,Landbrugsproduktivititet!$D$3:$G$31,MATCH(J$2,Landbrugsproduktivititet!$D$2:$G$2,0),FALSE),1)*IF($A391&lt;&gt;"",IF(VLOOKUP($A391,[1]!Table1[#All],2,FALSE)="Direkte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input'!$A$3:$A$230,$A$1)),IF(VLOOKUP($A391,[1]!Table1[#All],2,FALSE)="Resultat",SUMIF($F$1:$F329,$D391,J$1:J329)+SUMIF($F392:$F$512,$D391,J392:J$512),0))*'[1]Processer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402">
        <f>IFERROR(VLOOKUP($D392&amp;$F392,Landbrugsproduktivititet!$D$3:$G$31,MATCH(H$2,Landbrugsproduktivititet!$D$2:$G$2,0),FALSE),1)*IF($A392&lt;&gt;"",IF(VLOOKUP($A392,[1]!Table1[#All],2,FALSE)="Direkte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input'!$A$3:$A$230,$A$1)),IF(VLOOKUP($A392,[1]!Table1[#All],2,FALSE)="Resultat",SUMIF($F$1:$F330,$D392,H$1:H330)+SUMIF($F393:$F$512,$D392,H393:H$512),0))*'[1]Processer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403">
        <f>IFERROR(VLOOKUP($D392&amp;$F392,Landbrugsproduktivititet!$D$3:$G$31,MATCH(I$2,Landbrugsproduktivititet!$D$2:$G$2,0),FALSE),1)*IF($A392&lt;&gt;"",IF(VLOOKUP($A392,[1]!Table1[#All],2,FALSE)="Direkte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input'!$A$3:$A$230,$A$1)),IF(VLOOKUP($A392,[1]!Table1[#All],2,FALSE)="Resultat",SUMIF($F$1:$F330,$D392,I$1:I330)+SUMIF($F393:$F$512,$D392,I393:I$512),0))*'[1]Processer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486.5460273898093</v>
      </c>
      <c r="J392" s="404">
        <f>IFERROR(VLOOKUP($D392&amp;$F392,Landbrugsproduktivititet!$D$3:$G$31,MATCH(J$2,Landbrugsproduktivititet!$D$2:$G$2,0),FALSE),1)*IF($A392&lt;&gt;"",IF(VLOOKUP($A392,[1]!Table1[#All],2,FALSE)="Direkte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input'!$A$3:$A$230,$A$1)),IF(VLOOKUP($A392,[1]!Table1[#All],2,FALSE)="Resultat",SUMIF($F$1:$F330,$D392,J$1:J330)+SUMIF($F393:$F$512,$D392,J393:J$512),0))*'[1]Processer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402">
        <f>IFERROR(VLOOKUP($D393&amp;$F393,Landbrugsproduktivititet!$D$3:$G$31,MATCH(H$2,Landbrugsproduktivititet!$D$2:$G$2,0),FALSE),1)*IF($A393&lt;&gt;"",IF(VLOOKUP($A393,[1]!Table1[#All],2,FALSE)="Direkte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input'!$A$3:$A$230,$A$1)),IF(VLOOKUP($A393,[1]!Table1[#All],2,FALSE)="Resultat",SUMIF($F$1:$F331,$D393,H$1:H331)+SUMIF($F394:$F$512,$D393,H394:H$512),0))*'[1]Processer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403">
        <f>IFERROR(VLOOKUP($D393&amp;$F393,Landbrugsproduktivititet!$D$3:$G$31,MATCH(I$2,Landbrugsproduktivititet!$D$2:$G$2,0),FALSE),1)*IF($A393&lt;&gt;"",IF(VLOOKUP($A393,[1]!Table1[#All],2,FALSE)="Direkte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input'!$A$3:$A$230,$A$1)),IF(VLOOKUP($A393,[1]!Table1[#All],2,FALSE)="Resultat",SUMIF($F$1:$F331,$D393,I$1:I331)+SUMIF($F394:$F$512,$D393,I394:I$512),0))*'[1]Processer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1618.1371668517734</v>
      </c>
      <c r="J393" s="404">
        <f>IFERROR(VLOOKUP($D393&amp;$F393,Landbrugsproduktivititet!$D$3:$G$31,MATCH(J$2,Landbrugsproduktivititet!$D$2:$G$2,0),FALSE),1)*IF($A393&lt;&gt;"",IF(VLOOKUP($A393,[1]!Table1[#All],2,FALSE)="Direkte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input'!$A$3:$A$230,$A$1)),IF(VLOOKUP($A393,[1]!Table1[#All],2,FALSE)="Resultat",SUMIF($F$1:$F331,$D393,J$1:J331)+SUMIF($F394:$F$512,$D393,J394:J$512),0))*'[1]Processer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402">
        <f>IFERROR(VLOOKUP($D394&amp;$F394,Landbrugsproduktivititet!$D$3:$G$31,MATCH(H$2,Landbrugsproduktivititet!$D$2:$G$2,0),FALSE),1)*IF($A394&lt;&gt;"",IF(VLOOKUP($A394,[1]!Table1[#All],2,FALSE)="Direkte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input'!$A$3:$A$230,$A$1)),IF(VLOOKUP($A394,[1]!Table1[#All],2,FALSE)="Resultat",SUMIF($F$1:$F332,$D394,H$1:H332)+SUMIF($F395:$F$512,$D394,H395:H$512),0))*'[1]Processer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403">
        <f>IFERROR(VLOOKUP($D394&amp;$F394,Landbrugsproduktivititet!$D$3:$G$31,MATCH(I$2,Landbrugsproduktivititet!$D$2:$G$2,0),FALSE),1)*IF($A394&lt;&gt;"",IF(VLOOKUP($A394,[1]!Table1[#All],2,FALSE)="Direkte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input'!$A$3:$A$230,$A$1)),IF(VLOOKUP($A394,[1]!Table1[#All],2,FALSE)="Resultat",SUMIF($F$1:$F332,$D394,I$1:I332)+SUMIF($F395:$F$512,$D394,I395:I$512),0))*'[1]Processer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-5295.4250909535085</v>
      </c>
      <c r="J394" s="404">
        <f>IFERROR(VLOOKUP($D394&amp;$F394,Landbrugsproduktivititet!$D$3:$G$31,MATCH(J$2,Landbrugsproduktivititet!$D$2:$G$2,0),FALSE),1)*IF($A394&lt;&gt;"",IF(VLOOKUP($A394,[1]!Table1[#All],2,FALSE)="Direkte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input'!$A$3:$A$230,$A$1)),IF(VLOOKUP($A394,[1]!Table1[#All],2,FALSE)="Resultat",SUMIF($F$1:$F332,$D394,J$1:J332)+SUMIF($F395:$F$512,$D394,J395:J$512),0))*'[1]Processer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402">
        <f>IFERROR(VLOOKUP($D395&amp;$F395,Landbrugsproduktivititet!$D$3:$G$31,MATCH(H$2,Landbrugsproduktivititet!$D$2:$G$2,0),FALSE),1)*IF($A395&lt;&gt;"",IF(VLOOKUP($A395,[1]!Table1[#All],2,FALSE)="Direkte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input'!$A$3:$A$230,$A$1)),IF(VLOOKUP($A395,[1]!Table1[#All],2,FALSE)="Resultat",SUMIF($F$1:$F333,$D395,H$1:H333)+SUMIF($F396:$F$512,$D395,H396:H$512),0))*'[1]Processer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403">
        <f>IFERROR(VLOOKUP($D395&amp;$F395,Landbrugsproduktivititet!$D$3:$G$31,MATCH(I$2,Landbrugsproduktivititet!$D$2:$G$2,0),FALSE),1)*IF($A395&lt;&gt;"",IF(VLOOKUP($A395,[1]!Table1[#All],2,FALSE)="Direkte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input'!$A$3:$A$230,$A$1)),IF(VLOOKUP($A395,[1]!Table1[#All],2,FALSE)="Resultat",SUMIF($F$1:$F333,$D395,I$1:I333)+SUMIF($F396:$F$512,$D395,I396:I$512),0))*'[1]Processer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1164.3061270468856</v>
      </c>
      <c r="J395" s="404">
        <f>IFERROR(VLOOKUP($D395&amp;$F395,Landbrugsproduktivititet!$D$3:$G$31,MATCH(J$2,Landbrugsproduktivititet!$D$2:$G$2,0),FALSE),1)*IF($A395&lt;&gt;"",IF(VLOOKUP($A395,[1]!Table1[#All],2,FALSE)="Direkte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input'!$A$3:$A$230,$A$1)),IF(VLOOKUP($A395,[1]!Table1[#All],2,FALSE)="Resultat",SUMIF($F$1:$F333,$D395,J$1:J333)+SUMIF($F396:$F$512,$D395,J396:J$512),0))*'[1]Processer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402">
        <f>IFERROR(VLOOKUP($D396&amp;$F396,Landbrugsproduktivititet!$D$3:$G$31,MATCH(H$2,Landbrugsproduktivititet!$D$2:$G$2,0),FALSE),1)*IF($A396&lt;&gt;"",IF(VLOOKUP($A396,[1]!Table1[#All],2,FALSE)="Direkte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input'!$A$3:$A$230,$A$1)),IF(VLOOKUP($A396,[1]!Table1[#All],2,FALSE)="Resultat",SUMIF($F$1:$F334,$D396,H$1:H334)+SUMIF($F397:$F$512,$D396,H397:H$512),0))*'[1]Processer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403">
        <f>IFERROR(VLOOKUP($D396&amp;$F396,Landbrugsproduktivititet!$D$3:$G$31,MATCH(I$2,Landbrugsproduktivititet!$D$2:$G$2,0),FALSE),1)*IF($A396&lt;&gt;"",IF(VLOOKUP($A396,[1]!Table1[#All],2,FALSE)="Direkte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input'!$A$3:$A$230,$A$1)),IF(VLOOKUP($A396,[1]!Table1[#All],2,FALSE)="Resultat",SUMIF($F$1:$F334,$D396,I$1:I334)+SUMIF($F397:$F$512,$D396,I397:I$512),0))*'[1]Processer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18278.155286947014</v>
      </c>
      <c r="J396" s="404">
        <f>IFERROR(VLOOKUP($D396&amp;$F396,Landbrugsproduktivititet!$D$3:$G$31,MATCH(J$2,Landbrugsproduktivititet!$D$2:$G$2,0),FALSE),1)*IF($A396&lt;&gt;"",IF(VLOOKUP($A396,[1]!Table1[#All],2,FALSE)="Direkte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input'!$A$3:$A$230,$A$1)),IF(VLOOKUP($A396,[1]!Table1[#All],2,FALSE)="Resultat",SUMIF($F$1:$F334,$D396,J$1:J334)+SUMIF($F397:$F$512,$D396,J397:J$512),0))*'[1]Processer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437726.22620455944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402">
        <f>IFERROR(VLOOKUP($D397&amp;$F397,Landbrugsproduktivititet!$D$3:$G$31,MATCH(H$2,Landbrugsproduktivititet!$D$2:$G$2,0),FALSE),1)*IF($A397&lt;&gt;"",IF(VLOOKUP($A397,[1]!Table1[#All],2,FALSE)="Direkte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input'!$A$3:$A$230,$A$1)),IF(VLOOKUP($A397,[1]!Table1[#All],2,FALSE)="Resultat",SUMIF($F$1:$F335,$D397,H$1:H335)+SUMIF($F398:$F$512,$D397,H398:H$512),0))*'[1]Processer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403">
        <f>IFERROR(VLOOKUP($D397&amp;$F397,Landbrugsproduktivititet!$D$3:$G$31,MATCH(I$2,Landbrugsproduktivititet!$D$2:$G$2,0),FALSE),1)*IF($A397&lt;&gt;"",IF(VLOOKUP($A397,[1]!Table1[#All],2,FALSE)="Direkte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input'!$A$3:$A$230,$A$1)),IF(VLOOKUP($A397,[1]!Table1[#All],2,FALSE)="Resultat",SUMIF($F$1:$F335,$D397,I$1:I335)+SUMIF($F398:$F$512,$D397,I398:I$512),0))*'[1]Processer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-83742.494609169371</v>
      </c>
      <c r="J397" s="404">
        <f>IFERROR(VLOOKUP($D397&amp;$F397,Landbrugsproduktivititet!$D$3:$G$31,MATCH(J$2,Landbrugsproduktivititet!$D$2:$G$2,0),FALSE),1)*IF($A397&lt;&gt;"",IF(VLOOKUP($A397,[1]!Table1[#All],2,FALSE)="Direkte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input'!$A$3:$A$230,$A$1)),IF(VLOOKUP($A397,[1]!Table1[#All],2,FALSE)="Resultat",SUMIF($F$1:$F335,$D397,J$1:J335)+SUMIF($F398:$F$512,$D397,J398:J$512),0))*'[1]Processer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-1761734.7254984535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402">
        <f>IFERROR(VLOOKUP($D398&amp;$F398,Landbrugsproduktivititet!$D$3:$G$31,MATCH(H$2,Landbrugsproduktivititet!$D$2:$G$2,0),FALSE),1)*IF($A398&lt;&gt;"",IF(VLOOKUP($A398,[1]!Table1[#All],2,FALSE)="Direkte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input'!$A$3:$A$230,$A$1)),IF(VLOOKUP($A398,[1]!Table1[#All],2,FALSE)="Resultat",SUMIF($F$1:$F336,$D398,H$1:H336)+SUMIF($F399:$F$512,$D398,H399:H$512),0))*'[1]Processer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403">
        <f>IFERROR(VLOOKUP($D398&amp;$F398,Landbrugsproduktivititet!$D$3:$G$31,MATCH(I$2,Landbrugsproduktivititet!$D$2:$G$2,0),FALSE),1)*IF($A398&lt;&gt;"",IF(VLOOKUP($A398,[1]!Table1[#All],2,FALSE)="Direkte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input'!$A$3:$A$230,$A$1)),IF(VLOOKUP($A398,[1]!Table1[#All],2,FALSE)="Resultat",SUMIF($F$1:$F336,$D398,I$1:I336)+SUMIF($F399:$F$512,$D398,I399:I$512),0))*'[1]Processer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2227.8333803924561</v>
      </c>
      <c r="J398" s="404">
        <f>IFERROR(VLOOKUP($D398&amp;$F398,Landbrugsproduktivititet!$D$3:$G$31,MATCH(J$2,Landbrugsproduktivititet!$D$2:$G$2,0),FALSE),1)*IF($A398&lt;&gt;"",IF(VLOOKUP($A398,[1]!Table1[#All],2,FALSE)="Direkte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input'!$A$3:$A$230,$A$1)),IF(VLOOKUP($A398,[1]!Table1[#All],2,FALSE)="Resultat",SUMIF($F$1:$F336,$D398,J$1:J336)+SUMIF($F399:$F$512,$D398,J399:J$512),0))*'[1]Processer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40029.86984964319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402">
        <f>IFERROR(VLOOKUP($D399&amp;$F399,Landbrugsproduktivititet!$D$3:$G$31,MATCH(H$2,Landbrugsproduktivititet!$D$2:$G$2,0),FALSE),1)*IF($A399&lt;&gt;"",IF(VLOOKUP($A399,[1]!Table1[#All],2,FALSE)="Direkte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input'!$A$3:$A$230,$A$1)),IF(VLOOKUP($A399,[1]!Table1[#All],2,FALSE)="Resultat",SUMIF($F$1:$F337,$D399,H$1:H337)+SUMIF($F400:$F$512,$D399,H400:H$512),0))*'[1]Processer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403">
        <f>IFERROR(VLOOKUP($D399&amp;$F399,Landbrugsproduktivititet!$D$3:$G$31,MATCH(I$2,Landbrugsproduktivititet!$D$2:$G$2,0),FALSE),1)*IF($A399&lt;&gt;"",IF(VLOOKUP($A399,[1]!Table1[#All],2,FALSE)="Direkte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input'!$A$3:$A$230,$A$1)),IF(VLOOKUP($A399,[1]!Table1[#All],2,FALSE)="Resultat",SUMIF($F$1:$F337,$D399,I$1:I337)+SUMIF($F400:$F$512,$D399,I400:I$512),0))*'[1]Processer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112.92352872803394</v>
      </c>
      <c r="J399" s="404">
        <f>IFERROR(VLOOKUP($D399&amp;$F399,Landbrugsproduktivititet!$D$3:$G$31,MATCH(J$2,Landbrugsproduktivititet!$D$2:$G$2,0),FALSE),1)*IF($A399&lt;&gt;"",IF(VLOOKUP($A399,[1]!Table1[#All],2,FALSE)="Direkte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input'!$A$3:$A$230,$A$1)),IF(VLOOKUP($A399,[1]!Table1[#All],2,FALSE)="Resultat",SUMIF($F$1:$F337,$D399,J$1:J337)+SUMIF($F400:$F$512,$D399,J400:J$512),0))*'[1]Processer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402">
        <f>IFERROR(VLOOKUP($D400&amp;$F400,Landbrugsproduktivititet!$D$3:$G$31,MATCH(H$2,Landbrugsproduktivititet!$D$2:$G$2,0),FALSE),1)*IF($A400&lt;&gt;"",IF(VLOOKUP($A400,[1]!Table1[#All],2,FALSE)="Direkte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input'!$A$3:$A$230,$A$1)),IF(VLOOKUP($A400,[1]!Table1[#All],2,FALSE)="Resultat",SUMIF($F$1:$F338,$D400,H$1:H338)+SUMIF($F401:$F$512,$D400,H401:H$512),0))*'[1]Processer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403">
        <f>IFERROR(VLOOKUP($D400&amp;$F400,Landbrugsproduktivititet!$D$3:$G$31,MATCH(I$2,Landbrugsproduktivititet!$D$2:$G$2,0),FALSE),1)*IF($A400&lt;&gt;"",IF(VLOOKUP($A400,[1]!Table1[#All],2,FALSE)="Direkte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input'!$A$3:$A$230,$A$1)),IF(VLOOKUP($A400,[1]!Table1[#All],2,FALSE)="Resultat",SUMIF($F$1:$F338,$D400,I$1:I338)+SUMIF($F401:$F$512,$D400,I401:I$512),0))*'[1]Processer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-431.13842030277431</v>
      </c>
      <c r="J400" s="404">
        <f>IFERROR(VLOOKUP($D400&amp;$F400,Landbrugsproduktivititet!$D$3:$G$31,MATCH(J$2,Landbrugsproduktivititet!$D$2:$G$2,0),FALSE),1)*IF($A400&lt;&gt;"",IF(VLOOKUP($A400,[1]!Table1[#All],2,FALSE)="Direkte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input'!$A$3:$A$230,$A$1)),IF(VLOOKUP($A400,[1]!Table1[#All],2,FALSE)="Resultat",SUMIF($F$1:$F338,$D400,J$1:J338)+SUMIF($F401:$F$512,$D400,J401:J$512),0))*'[1]Processer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402">
        <f>IFERROR(VLOOKUP($D401&amp;$F401,Landbrugsproduktivititet!$D$3:$G$31,MATCH(H$2,Landbrugsproduktivititet!$D$2:$G$2,0),FALSE),1)*IF($A401&lt;&gt;"",IF(VLOOKUP($A401,[1]!Table1[#All],2,FALSE)="Direkte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input'!$A$3:$A$230,$A$1)),IF(VLOOKUP($A401,[1]!Table1[#All],2,FALSE)="Resultat",SUMIF($F$1:$F339,$D401,H$1:H339)+SUMIF($F402:$F$512,$D401,H402:H$512),0))*'[1]Processer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403">
        <f>IFERROR(VLOOKUP($D401&amp;$F401,Landbrugsproduktivititet!$D$3:$G$31,MATCH(I$2,Landbrugsproduktivititet!$D$2:$G$2,0),FALSE),1)*IF($A401&lt;&gt;"",IF(VLOOKUP($A401,[1]!Table1[#All],2,FALSE)="Direkte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input'!$A$3:$A$230,$A$1)),IF(VLOOKUP($A401,[1]!Table1[#All],2,FALSE)="Resultat",SUMIF($F$1:$F339,$D401,I$1:I339)+SUMIF($F402:$F$512,$D401,I402:I$512),0))*'[1]Processer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62.210511830822249</v>
      </c>
      <c r="J401" s="404">
        <f>IFERROR(VLOOKUP($D401&amp;$F401,Landbrugsproduktivititet!$D$3:$G$31,MATCH(J$2,Landbrugsproduktivititet!$D$2:$G$2,0),FALSE),1)*IF($A401&lt;&gt;"",IF(VLOOKUP($A401,[1]!Table1[#All],2,FALSE)="Direkte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input'!$A$3:$A$230,$A$1)),IF(VLOOKUP($A401,[1]!Table1[#All],2,FALSE)="Resultat",SUMIF($F$1:$F339,$D401,J$1:J339)+SUMIF($F402:$F$512,$D401,J402:J$512),0))*'[1]Processer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402">
        <f>IFERROR(VLOOKUP($D402&amp;$F402,Landbrugsproduktivititet!$D$3:$G$31,MATCH(H$2,Landbrugsproduktivititet!$D$2:$G$2,0),FALSE),1)*IF($A402&lt;&gt;"",IF(VLOOKUP($A402,[1]!Table1[#All],2,FALSE)="Direkte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input'!$A$3:$A$230,$A$1)),IF(VLOOKUP($A402,[1]!Table1[#All],2,FALSE)="Resultat",SUMIF($F$1:$F340,$D402,H$1:H340)+SUMIF($F403:$F$512,$D402,H403:H$512),0))*'[1]Processer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403">
        <f>IFERROR(VLOOKUP($D402&amp;$F402,Landbrugsproduktivititet!$D$3:$G$31,MATCH(I$2,Landbrugsproduktivititet!$D$2:$G$2,0),FALSE),1)*IF($A402&lt;&gt;"",IF(VLOOKUP($A402,[1]!Table1[#All],2,FALSE)="Direkte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input'!$A$3:$A$230,$A$1)),IF(VLOOKUP($A402,[1]!Table1[#All],2,FALSE)="Resultat",SUMIF($F$1:$F340,$D402,I$1:I340)+SUMIF($F403:$F$512,$D402,I403:I$512),0))*'[1]Processer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117.93155702935101</v>
      </c>
      <c r="J402" s="404">
        <f>IFERROR(VLOOKUP($D402&amp;$F402,Landbrugsproduktivititet!$D$3:$G$31,MATCH(J$2,Landbrugsproduktivititet!$D$2:$G$2,0),FALSE),1)*IF($A402&lt;&gt;"",IF(VLOOKUP($A402,[1]!Table1[#All],2,FALSE)="Direkte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input'!$A$3:$A$230,$A$1)),IF(VLOOKUP($A402,[1]!Table1[#All],2,FALSE)="Resultat",SUMIF($F$1:$F340,$D402,J$1:J340)+SUMIF($F403:$F$512,$D402,J403:J$512),0))*'[1]Processer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402">
        <f>IFERROR(VLOOKUP($D403&amp;$F403,Landbrugsproduktivititet!$D$3:$G$31,MATCH(H$2,Landbrugsproduktivititet!$D$2:$G$2,0),FALSE),1)*IF($A403&lt;&gt;"",IF(VLOOKUP($A403,[1]!Table1[#All],2,FALSE)="Direkte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input'!$A$3:$A$230,$A$1)),IF(VLOOKUP($A403,[1]!Table1[#All],2,FALSE)="Resultat",SUMIF($F$1:$F341,$D403,H$1:H341)+SUMIF($F404:$F$512,$D403,H404:H$512),0))*'[1]Processer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403">
        <f>IFERROR(VLOOKUP($D403&amp;$F403,Landbrugsproduktivititet!$D$3:$G$31,MATCH(I$2,Landbrugsproduktivititet!$D$2:$G$2,0),FALSE),1)*IF($A403&lt;&gt;"",IF(VLOOKUP($A403,[1]!Table1[#All],2,FALSE)="Direkte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input'!$A$3:$A$230,$A$1)),IF(VLOOKUP($A403,[1]!Table1[#All],2,FALSE)="Resultat",SUMIF($F$1:$F341,$D403,I$1:I341)+SUMIF($F404:$F$512,$D403,I404:I$512),0))*'[1]Processer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-385.93621041623726</v>
      </c>
      <c r="J403" s="404">
        <f>IFERROR(VLOOKUP($D403&amp;$F403,Landbrugsproduktivititet!$D$3:$G$31,MATCH(J$2,Landbrugsproduktivititet!$D$2:$G$2,0),FALSE),1)*IF($A403&lt;&gt;"",IF(VLOOKUP($A403,[1]!Table1[#All],2,FALSE)="Direkte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input'!$A$3:$A$230,$A$1)),IF(VLOOKUP($A403,[1]!Table1[#All],2,FALSE)="Resultat",SUMIF($F$1:$F341,$D403,J$1:J341)+SUMIF($F404:$F$512,$D403,J404:J$512),0))*'[1]Processer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402">
        <f>IFERROR(VLOOKUP($D404&amp;$F404,Landbrugsproduktivititet!$D$3:$G$31,MATCH(H$2,Landbrugsproduktivititet!$D$2:$G$2,0),FALSE),1)*IF($A404&lt;&gt;"",IF(VLOOKUP($A404,[1]!Table1[#All],2,FALSE)="Direkte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input'!$A$3:$A$230,$A$1)),IF(VLOOKUP($A404,[1]!Table1[#All],2,FALSE)="Resultat",SUMIF($F$1:$F342,$D404,H$1:H342)+SUMIF($F405:$F$512,$D404,H405:H$512),0))*'[1]Processer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403">
        <f>IFERROR(VLOOKUP($D404&amp;$F404,Landbrugsproduktivititet!$D$3:$G$31,MATCH(I$2,Landbrugsproduktivititet!$D$2:$G$2,0),FALSE),1)*IF($A404&lt;&gt;"",IF(VLOOKUP($A404,[1]!Table1[#All],2,FALSE)="Direkte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input'!$A$3:$A$230,$A$1)),IF(VLOOKUP($A404,[1]!Table1[#All],2,FALSE)="Resultat",SUMIF($F$1:$F342,$D404,I$1:I342)+SUMIF($F405:$F$512,$D404,I405:I$512),0))*'[1]Processer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148.86994449410682</v>
      </c>
      <c r="J404" s="404">
        <f>IFERROR(VLOOKUP($D404&amp;$F404,Landbrugsproduktivititet!$D$3:$G$31,MATCH(J$2,Landbrugsproduktivititet!$D$2:$G$2,0),FALSE),1)*IF($A404&lt;&gt;"",IF(VLOOKUP($A404,[1]!Table1[#All],2,FALSE)="Direkte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input'!$A$3:$A$230,$A$1)),IF(VLOOKUP($A404,[1]!Table1[#All],2,FALSE)="Resultat",SUMIF($F$1:$F342,$D404,J$1:J342)+SUMIF($F405:$F$512,$D404,J405:J$512),0))*'[1]Processer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402">
        <f>IFERROR(VLOOKUP($D405&amp;$F405,Landbrugsproduktivititet!$D$3:$G$31,MATCH(H$2,Landbrugsproduktivititet!$D$2:$G$2,0),FALSE),1)*IF($A405&lt;&gt;"",IF(VLOOKUP($A405,[1]!Table1[#All],2,FALSE)="Direkte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input'!$A$3:$A$230,$A$1)),IF(VLOOKUP($A405,[1]!Table1[#All],2,FALSE)="Resultat",SUMIF($F$1:$F343,$D405,H$1:H343)+SUMIF($F406:$F$512,$D405,H406:H$512),0))*'[1]Processer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403">
        <f>IFERROR(VLOOKUP($D405&amp;$F405,Landbrugsproduktivititet!$D$3:$G$31,MATCH(I$2,Landbrugsproduktivititet!$D$2:$G$2,0),FALSE),1)*IF($A405&lt;&gt;"",IF(VLOOKUP($A405,[1]!Table1[#All],2,FALSE)="Direkte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input'!$A$3:$A$230,$A$1)),IF(VLOOKUP($A405,[1]!Table1[#All],2,FALSE)="Resultat",SUMIF($F$1:$F343,$D405,I$1:I343)+SUMIF($F406:$F$512,$D405,I406:I$512),0))*'[1]Processer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331787.1833204779</v>
      </c>
      <c r="J405" s="404">
        <f>IFERROR(VLOOKUP($D405&amp;$F405,Landbrugsproduktivititet!$D$3:$G$31,MATCH(J$2,Landbrugsproduktivititet!$D$2:$G$2,0),FALSE),1)*IF($A405&lt;&gt;"",IF(VLOOKUP($A405,[1]!Table1[#All],2,FALSE)="Direkte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input'!$A$3:$A$230,$A$1)),IF(VLOOKUP($A405,[1]!Table1[#All],2,FALSE)="Resultat",SUMIF($F$1:$F343,$D405,J$1:J343)+SUMIF($F406:$F$512,$D405,J406:J$512),0))*'[1]Processer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402">
        <f>IFERROR(VLOOKUP($D406&amp;$F406,Landbrugsproduktivititet!$D$3:$G$31,MATCH(H$2,Landbrugsproduktivititet!$D$2:$G$2,0),FALSE),1)*IF($A406&lt;&gt;"",IF(VLOOKUP($A406,[1]!Table1[#All],2,FALSE)="Direkte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input'!$A$3:$A$230,$A$1)),IF(VLOOKUP($A406,[1]!Table1[#All],2,FALSE)="Resultat",SUMIF($F$1:$F344,$D406,H$1:H344)+SUMIF($F407:$F$512,$D406,H407:H$512),0))*'[1]Processer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403">
        <f>IFERROR(VLOOKUP($D406&amp;$F406,Landbrugsproduktivititet!$D$3:$G$31,MATCH(I$2,Landbrugsproduktivititet!$D$2:$G$2,0),FALSE),1)*IF($A406&lt;&gt;"",IF(VLOOKUP($A406,[1]!Table1[#All],2,FALSE)="Direkte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input'!$A$3:$A$230,$A$1)),IF(VLOOKUP($A406,[1]!Table1[#All],2,FALSE)="Resultat",SUMIF($F$1:$F344,$D406,I$1:I344)+SUMIF($F407:$F$512,$D406,I407:I$512),0))*'[1]Processer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-1120246.955350657</v>
      </c>
      <c r="J406" s="404">
        <f>IFERROR(VLOOKUP($D406&amp;$F406,Landbrugsproduktivititet!$D$3:$G$31,MATCH(J$2,Landbrugsproduktivititet!$D$2:$G$2,0),FALSE),1)*IF($A406&lt;&gt;"",IF(VLOOKUP($A406,[1]!Table1[#All],2,FALSE)="Direkte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input'!$A$3:$A$230,$A$1)),IF(VLOOKUP($A406,[1]!Table1[#All],2,FALSE)="Resultat",SUMIF($F$1:$F344,$D406,J$1:J344)+SUMIF($F407:$F$512,$D406,J407:J$512),0))*'[1]Processer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402">
        <f>IFERROR(VLOOKUP($D407&amp;$F407,Landbrugsproduktivititet!$D$3:$G$31,MATCH(H$2,Landbrugsproduktivititet!$D$2:$G$2,0),FALSE),1)*IF($A407&lt;&gt;"",IF(VLOOKUP($A407,[1]!Table1[#All],2,FALSE)="Direkte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input'!$A$3:$A$230,$A$1)),IF(VLOOKUP($A407,[1]!Table1[#All],2,FALSE)="Resultat",SUMIF($F$1:$F345,$D407,H$1:H345)+SUMIF($F408:$F$512,$D407,H408:H$512),0))*'[1]Processer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403">
        <f>IFERROR(VLOOKUP($D407&amp;$F407,Landbrugsproduktivititet!$D$3:$G$31,MATCH(I$2,Landbrugsproduktivititet!$D$2:$G$2,0),FALSE),1)*IF($A407&lt;&gt;"",IF(VLOOKUP($A407,[1]!Table1[#All],2,FALSE)="Direkte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input'!$A$3:$A$230,$A$1)),IF(VLOOKUP($A407,[1]!Table1[#All],2,FALSE)="Resultat",SUMIF($F$1:$F345,$D407,I$1:I345)+SUMIF($F408:$F$512,$D407,I408:I$512),0))*'[1]Processer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40769.621778611785</v>
      </c>
      <c r="J407" s="404">
        <f>IFERROR(VLOOKUP($D407&amp;$F407,Landbrugsproduktivititet!$D$3:$G$31,MATCH(J$2,Landbrugsproduktivititet!$D$2:$G$2,0),FALSE),1)*IF($A407&lt;&gt;"",IF(VLOOKUP($A407,[1]!Table1[#All],2,FALSE)="Direkte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input'!$A$3:$A$230,$A$1)),IF(VLOOKUP($A407,[1]!Table1[#All],2,FALSE)="Resultat",SUMIF($F$1:$F345,$D407,J$1:J345)+SUMIF($F408:$F$512,$D407,J408:J$512),0))*'[1]Processer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402">
        <f>IFERROR(VLOOKUP($D408&amp;$F408,Landbrugsproduktivititet!$D$3:$G$31,MATCH(H$2,Landbrugsproduktivititet!$D$2:$G$2,0),FALSE),1)*IF($A408&lt;&gt;"",IF(VLOOKUP($A408,[1]!Table1[#All],2,FALSE)="Direkte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input'!$A$3:$A$230,$A$1)),IF(VLOOKUP($A408,[1]!Table1[#All],2,FALSE)="Resultat",SUMIF($F$1:$F346,$D408,H$1:H346)+SUMIF($F409:$F$512,$D408,H409:H$512),0))*'[1]Processer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403">
        <f>IFERROR(VLOOKUP($D408&amp;$F408,Landbrugsproduktivititet!$D$3:$G$31,MATCH(I$2,Landbrugsproduktivititet!$D$2:$G$2,0),FALSE),1)*IF($A408&lt;&gt;"",IF(VLOOKUP($A408,[1]!Table1[#All],2,FALSE)="Direkte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input'!$A$3:$A$230,$A$1)),IF(VLOOKUP($A408,[1]!Table1[#All],2,FALSE)="Resultat",SUMIF($F$1:$F346,$D408,I$1:I346)+SUMIF($F409:$F$512,$D408,I409:I$512),0))*'[1]Processer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82187.447619866754</v>
      </c>
      <c r="J408" s="404">
        <f>IFERROR(VLOOKUP($D408&amp;$F408,Landbrugsproduktivititet!$D$3:$G$31,MATCH(J$2,Landbrugsproduktivititet!$D$2:$G$2,0),FALSE),1)*IF($A408&lt;&gt;"",IF(VLOOKUP($A408,[1]!Table1[#All],2,FALSE)="Direkte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input'!$A$3:$A$230,$A$1)),IF(VLOOKUP($A408,[1]!Table1[#All],2,FALSE)="Resultat",SUMIF($F$1:$F346,$D408,J$1:J346)+SUMIF($F409:$F$512,$D408,J409:J$512),0))*'[1]Processer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402">
        <f>IFERROR(VLOOKUP($D409&amp;$F409,Landbrugsproduktivititet!$D$3:$G$31,MATCH(H$2,Landbrugsproduktivititet!$D$2:$G$2,0),FALSE),1)*IF($A409&lt;&gt;"",IF(VLOOKUP($A409,[1]!Table1[#All],2,FALSE)="Direkte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input'!$A$3:$A$230,$A$1)),IF(VLOOKUP($A409,[1]!Table1[#All],2,FALSE)="Resultat",SUMIF($F$1:$F347,$D409,H$1:H347)+SUMIF($F410:$F$512,$D409,H410:H$512),0))*'[1]Processer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403">
        <f>IFERROR(VLOOKUP($D409&amp;$F409,Landbrugsproduktivititet!$D$3:$G$31,MATCH(I$2,Landbrugsproduktivititet!$D$2:$G$2,0),FALSE),1)*IF($A409&lt;&gt;"",IF(VLOOKUP($A409,[1]!Table1[#All],2,FALSE)="Direkte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input'!$A$3:$A$230,$A$1)),IF(VLOOKUP($A409,[1]!Table1[#All],2,FALSE)="Resultat",SUMIF($F$1:$F347,$D409,I$1:I347)+SUMIF($F410:$F$512,$D409,I410:I$512),0))*'[1]Processer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-231248.22826380192</v>
      </c>
      <c r="J409" s="404">
        <f>IFERROR(VLOOKUP($D409&amp;$F409,Landbrugsproduktivititet!$D$3:$G$31,MATCH(J$2,Landbrugsproduktivititet!$D$2:$G$2,0),FALSE),1)*IF($A409&lt;&gt;"",IF(VLOOKUP($A409,[1]!Table1[#All],2,FALSE)="Direkte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input'!$A$3:$A$230,$A$1)),IF(VLOOKUP($A409,[1]!Table1[#All],2,FALSE)="Resultat",SUMIF($F$1:$F347,$D409,J$1:J347)+SUMIF($F410:$F$512,$D409,J410:J$512),0))*'[1]Processer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402">
        <f>IFERROR(VLOOKUP($D410&amp;$F410,Landbrugsproduktivititet!$D$3:$G$31,MATCH(H$2,Landbrugsproduktivititet!$D$2:$G$2,0),FALSE),1)*IF($A410&lt;&gt;"",IF(VLOOKUP($A410,[1]!Table1[#All],2,FALSE)="Direkte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input'!$A$3:$A$230,$A$1)),IF(VLOOKUP($A410,[1]!Table1[#All],2,FALSE)="Resultat",SUMIF($F$1:$F348,$D410,H$1:H348)+SUMIF($F411:$F$512,$D410,H411:H$512),0))*'[1]Processer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403">
        <f>IFERROR(VLOOKUP($D410&amp;$F410,Landbrugsproduktivititet!$D$3:$G$31,MATCH(I$2,Landbrugsproduktivititet!$D$2:$G$2,0),FALSE),1)*IF($A410&lt;&gt;"",IF(VLOOKUP($A410,[1]!Table1[#All],2,FALSE)="Direkte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input'!$A$3:$A$230,$A$1)),IF(VLOOKUP($A410,[1]!Table1[#All],2,FALSE)="Resultat",SUMIF($F$1:$F348,$D410,I$1:I348)+SUMIF($F411:$F$512,$D410,I411:I$512),0))*'[1]Processer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45646.928478463145</v>
      </c>
      <c r="J410" s="404">
        <f>IFERROR(VLOOKUP($D410&amp;$F410,Landbrugsproduktivititet!$D$3:$G$31,MATCH(J$2,Landbrugsproduktivititet!$D$2:$G$2,0),FALSE),1)*IF($A410&lt;&gt;"",IF(VLOOKUP($A410,[1]!Table1[#All],2,FALSE)="Direkte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input'!$A$3:$A$230,$A$1)),IF(VLOOKUP($A410,[1]!Table1[#All],2,FALSE)="Resultat",SUMIF($F$1:$F348,$D410,J$1:J348)+SUMIF($F411:$F$512,$D410,J411:J$512),0))*'[1]Processer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402">
        <f>IFERROR(VLOOKUP($D411&amp;$F411,Landbrugsproduktivititet!$D$3:$G$31,MATCH(H$2,Landbrugsproduktivititet!$D$2:$G$2,0),FALSE),1)*IF($A411&lt;&gt;"",IF(VLOOKUP($A411,[1]!Table1[#All],2,FALSE)="Direkte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input'!$A$3:$A$230,$A$1)),IF(VLOOKUP($A411,[1]!Table1[#All],2,FALSE)="Resultat",SUMIF($F$1:$F349,$D411,H$1:H349)+SUMIF($F412:$F$512,$D411,H412:H$512),0))*'[1]Processer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403">
        <f>IFERROR(VLOOKUP($D411&amp;$F411,Landbrugsproduktivititet!$D$3:$G$31,MATCH(I$2,Landbrugsproduktivititet!$D$2:$G$2,0),FALSE),1)*IF($A411&lt;&gt;"",IF(VLOOKUP($A411,[1]!Table1[#All],2,FALSE)="Direkte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input'!$A$3:$A$230,$A$1)),IF(VLOOKUP($A411,[1]!Table1[#All],2,FALSE)="Resultat",SUMIF($F$1:$F349,$D411,I$1:I349)+SUMIF($F412:$F$512,$D411,I412:I$512),0))*'[1]Processer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83397.912511955161</v>
      </c>
      <c r="J411" s="404">
        <f>IFERROR(VLOOKUP($D411&amp;$F411,Landbrugsproduktivititet!$D$3:$G$31,MATCH(J$2,Landbrugsproduktivititet!$D$2:$G$2,0),FALSE),1)*IF($A411&lt;&gt;"",IF(VLOOKUP($A411,[1]!Table1[#All],2,FALSE)="Direkte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input'!$A$3:$A$230,$A$1)),IF(VLOOKUP($A411,[1]!Table1[#All],2,FALSE)="Resultat",SUMIF($F$1:$F349,$D411,J$1:J349)+SUMIF($F412:$F$512,$D411,J412:J$512),0))*'[1]Processer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402">
        <f>IFERROR(VLOOKUP($D412&amp;$F412,Landbrugsproduktivititet!$D$3:$G$31,MATCH(H$2,Landbrugsproduktivititet!$D$2:$G$2,0),FALSE),1)*IF($A412&lt;&gt;"",IF(VLOOKUP($A412,[1]!Table1[#All],2,FALSE)="Direkte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input'!$A$3:$A$230,$A$1)),IF(VLOOKUP($A412,[1]!Table1[#All],2,FALSE)="Resultat",SUMIF($F$1:$F350,$D412,H$1:H350)+SUMIF($F413:$F$512,$D412,H413:H$512),0))*'[1]Processer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403">
        <f>IFERROR(VLOOKUP($D412&amp;$F412,Landbrugsproduktivititet!$D$3:$G$31,MATCH(I$2,Landbrugsproduktivititet!$D$2:$G$2,0),FALSE),1)*IF($A412&lt;&gt;"",IF(VLOOKUP($A412,[1]!Table1[#All],2,FALSE)="Direkte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input'!$A$3:$A$230,$A$1)),IF(VLOOKUP($A412,[1]!Table1[#All],2,FALSE)="Resultat",SUMIF($F$1:$F350,$D412,I$1:I350)+SUMIF($F413:$F$512,$D412,I413:I$512),0))*'[1]Processer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-201132.06440500679</v>
      </c>
      <c r="J412" s="404">
        <f>IFERROR(VLOOKUP($D412&amp;$F412,Landbrugsproduktivititet!$D$3:$G$31,MATCH(J$2,Landbrugsproduktivititet!$D$2:$G$2,0),FALSE),1)*IF($A412&lt;&gt;"",IF(VLOOKUP($A412,[1]!Table1[#All],2,FALSE)="Direkte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input'!$A$3:$A$230,$A$1)),IF(VLOOKUP($A412,[1]!Table1[#All],2,FALSE)="Resultat",SUMIF($F$1:$F350,$D412,J$1:J350)+SUMIF($F413:$F$512,$D412,J413:J$512),0))*'[1]Processer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402">
        <f>IFERROR(VLOOKUP($D413&amp;$F413,Landbrugsproduktivititet!$D$3:$G$31,MATCH(H$2,Landbrugsproduktivititet!$D$2:$G$2,0),FALSE),1)*IF($A413&lt;&gt;"",IF(VLOOKUP($A413,[1]!Table1[#All],2,FALSE)="Direkte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input'!$A$3:$A$230,$A$1)),IF(VLOOKUP($A413,[1]!Table1[#All],2,FALSE)="Resultat",SUMIF($F$1:$F351,$D413,H$1:H351)+SUMIF($F414:$F$512,$D413,H414:H$512),0))*'[1]Processer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403">
        <f>IFERROR(VLOOKUP($D413&amp;$F413,Landbrugsproduktivititet!$D$3:$G$31,MATCH(I$2,Landbrugsproduktivititet!$D$2:$G$2,0),FALSE),1)*IF($A413&lt;&gt;"",IF(VLOOKUP($A413,[1]!Table1[#All],2,FALSE)="Direkte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input'!$A$3:$A$230,$A$1)),IF(VLOOKUP($A413,[1]!Table1[#All],2,FALSE)="Resultat",SUMIF($F$1:$F351,$D413,I$1:I351)+SUMIF($F414:$F$512,$D413,I414:I$512),0))*'[1]Processer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106135.06908024471</v>
      </c>
      <c r="J413" s="404">
        <f>IFERROR(VLOOKUP($D413&amp;$F413,Landbrugsproduktivititet!$D$3:$G$31,MATCH(J$2,Landbrugsproduktivititet!$D$2:$G$2,0),FALSE),1)*IF($A413&lt;&gt;"",IF(VLOOKUP($A413,[1]!Table1[#All],2,FALSE)="Direkte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input'!$A$3:$A$230,$A$1)),IF(VLOOKUP($A413,[1]!Table1[#All],2,FALSE)="Resultat",SUMIF($F$1:$F351,$D413,J$1:J351)+SUMIF($F414:$F$512,$D413,J414:J$512),0))*'[1]Processer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402">
        <f>IFERROR(VLOOKUP($D414&amp;$F414,Landbrugsproduktivititet!$D$3:$G$31,MATCH(H$2,Landbrugsproduktivititet!$D$2:$G$2,0),FALSE),1)*IF($A414&lt;&gt;"",IF(VLOOKUP($A414,[1]!Table1[#All],2,FALSE)="Direkte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input'!$A$3:$A$230,$A$1)),IF(VLOOKUP($A414,[1]!Table1[#All],2,FALSE)="Resultat",SUMIF($F$1:$F352,$D414,H$1:H352)+SUMIF($F415:$F$512,$D414,H415:H$512),0))*'[1]Processer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403">
        <f>IFERROR(VLOOKUP($D414&amp;$F414,Landbrugsproduktivititet!$D$3:$G$31,MATCH(I$2,Landbrugsproduktivititet!$D$2:$G$2,0),FALSE),1)*IF($A414&lt;&gt;"",IF(VLOOKUP($A414,[1]!Table1[#All],2,FALSE)="Direkte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input'!$A$3:$A$230,$A$1)),IF(VLOOKUP($A414,[1]!Table1[#All],2,FALSE)="Resultat",SUMIF($F$1:$F352,$D414,I$1:I352)+SUMIF($F415:$F$512,$D414,I415:I$512),0))*'[1]Processer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42422.811679308972</v>
      </c>
      <c r="J414" s="404">
        <f>IFERROR(VLOOKUP($D414&amp;$F414,Landbrugsproduktivititet!$D$3:$G$31,MATCH(J$2,Landbrugsproduktivititet!$D$2:$G$2,0),FALSE),1)*IF($A414&lt;&gt;"",IF(VLOOKUP($A414,[1]!Table1[#All],2,FALSE)="Direkte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input'!$A$3:$A$230,$A$1)),IF(VLOOKUP($A414,[1]!Table1[#All],2,FALSE)="Resultat",SUMIF($F$1:$F352,$D414,J$1:J352)+SUMIF($F415:$F$512,$D414,J415:J$512),0))*'[1]Processer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61987.237109032154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402">
        <f>IFERROR(VLOOKUP($D415&amp;$F415,Landbrugsproduktivititet!$D$3:$G$31,MATCH(H$2,Landbrugsproduktivititet!$D$2:$G$2,0),FALSE),1)*IF($A415&lt;&gt;"",IF(VLOOKUP($A415,[1]!Table1[#All],2,FALSE)="Direkte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input'!$A$3:$A$230,$A$1)),IF(VLOOKUP($A415,[1]!Table1[#All],2,FALSE)="Resultat",SUMIF($F$1:$F353,$D415,H$1:H353)+SUMIF($F416:$F$512,$D415,H416:H$512),0))*'[1]Processer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403">
        <f>IFERROR(VLOOKUP($D415&amp;$F415,Landbrugsproduktivititet!$D$3:$G$31,MATCH(I$2,Landbrugsproduktivititet!$D$2:$G$2,0),FALSE),1)*IF($A415&lt;&gt;"",IF(VLOOKUP($A415,[1]!Table1[#All],2,FALSE)="Direkte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input'!$A$3:$A$230,$A$1)),IF(VLOOKUP($A415,[1]!Table1[#All],2,FALSE)="Resultat",SUMIF($F$1:$F353,$D415,I$1:I353)+SUMIF($F416:$F$512,$D415,I416:I$512),0))*'[1]Processer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-143236.47208293769</v>
      </c>
      <c r="J415" s="404">
        <f>IFERROR(VLOOKUP($D415&amp;$F415,Landbrugsproduktivititet!$D$3:$G$31,MATCH(J$2,Landbrugsproduktivititet!$D$2:$G$2,0),FALSE),1)*IF($A415&lt;&gt;"",IF(VLOOKUP($A415,[1]!Table1[#All],2,FALSE)="Direkte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input'!$A$3:$A$230,$A$1)),IF(VLOOKUP($A415,[1]!Table1[#All],2,FALSE)="Resultat",SUMIF($F$1:$F353,$D415,J$1:J353)+SUMIF($F416:$F$512,$D415,J416:J$512),0))*'[1]Processer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-183857.29303676609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402">
        <f>IFERROR(VLOOKUP($D416&amp;$F416,Landbrugsproduktivititet!$D$3:$G$31,MATCH(H$2,Landbrugsproduktivititet!$D$2:$G$2,0),FALSE),1)*IF($A416&lt;&gt;"",IF(VLOOKUP($A416,[1]!Table1[#All],2,FALSE)="Direkte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input'!$A$3:$A$230,$A$1)),IF(VLOOKUP($A416,[1]!Table1[#All],2,FALSE)="Resultat",SUMIF($F$1:$F354,$D416,H$1:H354)+SUMIF($F417:$F$512,$D416,H417:H$512),0))*'[1]Processer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403">
        <f>IFERROR(VLOOKUP($D416&amp;$F416,Landbrugsproduktivititet!$D$3:$G$31,MATCH(I$2,Landbrugsproduktivititet!$D$2:$G$2,0),FALSE),1)*IF($A416&lt;&gt;"",IF(VLOOKUP($A416,[1]!Table1[#All],2,FALSE)="Direkte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input'!$A$3:$A$230,$A$1)),IF(VLOOKUP($A416,[1]!Table1[#All],2,FALSE)="Resultat",SUMIF($F$1:$F354,$D416,I$1:I354)+SUMIF($F417:$F$512,$D416,I417:I$512),0))*'[1]Processer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5212.8655773905921</v>
      </c>
      <c r="J416" s="404">
        <f>IFERROR(VLOOKUP($D416&amp;$F416,Landbrugsproduktivititet!$D$3:$G$31,MATCH(J$2,Landbrugsproduktivititet!$D$2:$G$2,0),FALSE),1)*IF($A416&lt;&gt;"",IF(VLOOKUP($A416,[1]!Table1[#All],2,FALSE)="Direkte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input'!$A$3:$A$230,$A$1)),IF(VLOOKUP($A416,[1]!Table1[#All],2,FALSE)="Resultat",SUMIF($F$1:$F354,$D416,J$1:J354)+SUMIF($F417:$F$512,$D416,J417:J$512),0))*'[1]Processer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5714.9261449854148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402">
        <f>IFERROR(VLOOKUP($D417&amp;$F417,Landbrugsproduktivititet!$D$3:$G$31,MATCH(H$2,Landbrugsproduktivititet!$D$2:$G$2,0),FALSE),1)*IF($A417&lt;&gt;"",IF(VLOOKUP($A417,[1]!Table1[#All],2,FALSE)="Direkte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input'!$A$3:$A$230,$A$1)),IF(VLOOKUP($A417,[1]!Table1[#All],2,FALSE)="Resultat",SUMIF($F$1:$F355,$D417,H$1:H355)+SUMIF($F418:$F$512,$D417,H418:H$512),0))*'[1]Processer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403">
        <f>IFERROR(VLOOKUP($D417&amp;$F417,Landbrugsproduktivititet!$D$3:$G$31,MATCH(I$2,Landbrugsproduktivititet!$D$2:$G$2,0),FALSE),1)*IF($A417&lt;&gt;"",IF(VLOOKUP($A417,[1]!Table1[#All],2,FALSE)="Direkte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input'!$A$3:$A$230,$A$1)),IF(VLOOKUP($A417,[1]!Table1[#All],2,FALSE)="Resultat",SUMIF($F$1:$F355,$D417,I$1:I355)+SUMIF($F418:$F$512,$D417,I418:I$512),0))*'[1]Processer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10508.611507795644</v>
      </c>
      <c r="J417" s="404">
        <f>IFERROR(VLOOKUP($D417&amp;$F417,Landbrugsproduktivititet!$D$3:$G$31,MATCH(J$2,Landbrugsproduktivititet!$D$2:$G$2,0),FALSE),1)*IF($A417&lt;&gt;"",IF(VLOOKUP($A417,[1]!Table1[#All],2,FALSE)="Direkte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input'!$A$3:$A$230,$A$1)),IF(VLOOKUP($A417,[1]!Table1[#All],2,FALSE)="Resultat",SUMIF($F$1:$F355,$D417,J$1:J355)+SUMIF($F418:$F$512,$D417,J418:J$512),0))*'[1]Processer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26806.098330915487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402">
        <f>IFERROR(VLOOKUP($D418&amp;$F418,Landbrugsproduktivititet!$D$3:$G$31,MATCH(H$2,Landbrugsproduktivititet!$D$2:$G$2,0),FALSE),1)*IF($A418&lt;&gt;"",IF(VLOOKUP($A418,[1]!Table1[#All],2,FALSE)="Direkte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input'!$A$3:$A$230,$A$1)),IF(VLOOKUP($A418,[1]!Table1[#All],2,FALSE)="Resultat",SUMIF($F$1:$F356,$D418,H$1:H356)+SUMIF($F419:$F$512,$D418,H419:H$512),0))*'[1]Processer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403">
        <f>IFERROR(VLOOKUP($D418&amp;$F418,Landbrugsproduktivititet!$D$3:$G$31,MATCH(I$2,Landbrugsproduktivititet!$D$2:$G$2,0),FALSE),1)*IF($A418&lt;&gt;"",IF(VLOOKUP($A418,[1]!Table1[#All],2,FALSE)="Direkte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input'!$A$3:$A$230,$A$1)),IF(VLOOKUP($A418,[1]!Table1[#All],2,FALSE)="Resultat",SUMIF($F$1:$F356,$D418,I$1:I356)+SUMIF($F419:$F$512,$D418,I419:I$512),0))*'[1]Processer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-29567.7486412527</v>
      </c>
      <c r="J418" s="404">
        <f>IFERROR(VLOOKUP($D418&amp;$F418,Landbrugsproduktivititet!$D$3:$G$31,MATCH(J$2,Landbrugsproduktivititet!$D$2:$G$2,0),FALSE),1)*IF($A418&lt;&gt;"",IF(VLOOKUP($A418,[1]!Table1[#All],2,FALSE)="Direkte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input'!$A$3:$A$230,$A$1)),IF(VLOOKUP($A418,[1]!Table1[#All],2,FALSE)="Resultat",SUMIF($F$1:$F356,$D418,J$1:J356)+SUMIF($F419:$F$512,$D418,J419:J$512),0))*'[1]Processer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-66256.874074074032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402">
        <f>IFERROR(VLOOKUP($D419&amp;$F419,Landbrugsproduktivititet!$D$3:$G$31,MATCH(H$2,Landbrugsproduktivititet!$D$2:$G$2,0),FALSE),1)*IF($A419&lt;&gt;"",IF(VLOOKUP($A419,[1]!Table1[#All],2,FALSE)="Direkte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input'!$A$3:$A$230,$A$1)),IF(VLOOKUP($A419,[1]!Table1[#All],2,FALSE)="Resultat",SUMIF($F$1:$F357,$D419,H$1:H357)+SUMIF($F420:$F$512,$D419,H420:H$512),0))*'[1]Processer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403">
        <f>IFERROR(VLOOKUP($D419&amp;$F419,Landbrugsproduktivititet!$D$3:$G$31,MATCH(I$2,Landbrugsproduktivititet!$D$2:$G$2,0),FALSE),1)*IF($A419&lt;&gt;"",IF(VLOOKUP($A419,[1]!Table1[#All],2,FALSE)="Direkte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input'!$A$3:$A$230,$A$1)),IF(VLOOKUP($A419,[1]!Table1[#All],2,FALSE)="Resultat",SUMIF($F$1:$F357,$D419,I$1:I357)+SUMIF($F420:$F$512,$D419,I420:I$512),0))*'[1]Processer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5836.4853976600498</v>
      </c>
      <c r="J419" s="404">
        <f>IFERROR(VLOOKUP($D419&amp;$F419,Landbrugsproduktivititet!$D$3:$G$31,MATCH(J$2,Landbrugsproduktivititet!$D$2:$G$2,0),FALSE),1)*IF($A419&lt;&gt;"",IF(VLOOKUP($A419,[1]!Table1[#All],2,FALSE)="Direkte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input'!$A$3:$A$230,$A$1)),IF(VLOOKUP($A419,[1]!Table1[#All],2,FALSE)="Resultat",SUMIF($F$1:$F357,$D419,J$1:J357)+SUMIF($F420:$F$512,$D419,J420:J$512),0))*'[1]Processer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11170.456936242925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402">
        <f>IFERROR(VLOOKUP($D420&amp;$F420,Landbrugsproduktivititet!$D$3:$G$31,MATCH(H$2,Landbrugsproduktivititet!$D$2:$G$2,0),FALSE),1)*IF($A420&lt;&gt;"",IF(VLOOKUP($A420,[1]!Table1[#All],2,FALSE)="Direkte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input'!$A$3:$A$230,$A$1)),IF(VLOOKUP($A420,[1]!Table1[#All],2,FALSE)="Resultat",SUMIF($F$1:$F358,$D420,H$1:H358)+SUMIF($F421:$F$512,$D420,H421:H$512),0))*'[1]Processer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403">
        <f>IFERROR(VLOOKUP($D420&amp;$F420,Landbrugsproduktivititet!$D$3:$G$31,MATCH(I$2,Landbrugsproduktivititet!$D$2:$G$2,0),FALSE),1)*IF($A420&lt;&gt;"",IF(VLOOKUP($A420,[1]!Table1[#All],2,FALSE)="Direkte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input'!$A$3:$A$230,$A$1)),IF(VLOOKUP($A420,[1]!Table1[#All],2,FALSE)="Resultat",SUMIF($F$1:$F358,$D420,I$1:I358)+SUMIF($F421:$F$512,$D420,I421:I$512),0))*'[1]Processer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10663.383381885427</v>
      </c>
      <c r="J420" s="404">
        <f>IFERROR(VLOOKUP($D420&amp;$F420,Landbrugsproduktivititet!$D$3:$G$31,MATCH(J$2,Landbrugsproduktivititet!$D$2:$G$2,0),FALSE),1)*IF($A420&lt;&gt;"",IF(VLOOKUP($A420,[1]!Table1[#All],2,FALSE)="Direkte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input'!$A$3:$A$230,$A$1)),IF(VLOOKUP($A420,[1]!Table1[#All],2,FALSE)="Resultat",SUMIF($F$1:$F358,$D420,J$1:J358)+SUMIF($F421:$F$512,$D420,J421:J$512),0))*'[1]Processer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24343.89828456027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402">
        <f>IFERROR(VLOOKUP($D421&amp;$F421,Landbrugsproduktivititet!$D$3:$G$31,MATCH(H$2,Landbrugsproduktivititet!$D$2:$G$2,0),FALSE),1)*IF($A421&lt;&gt;"",IF(VLOOKUP($A421,[1]!Table1[#All],2,FALSE)="Direkte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input'!$A$3:$A$230,$A$1)),IF(VLOOKUP($A421,[1]!Table1[#All],2,FALSE)="Resultat",SUMIF($F$1:$F359,$D421,H$1:H359)+SUMIF($F422:$F$512,$D421,H422:H$512),0))*'[1]Processer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403">
        <f>IFERROR(VLOOKUP($D421&amp;$F421,Landbrugsproduktivititet!$D$3:$G$31,MATCH(I$2,Landbrugsproduktivititet!$D$2:$G$2,0),FALSE),1)*IF($A421&lt;&gt;"",IF(VLOOKUP($A421,[1]!Table1[#All],2,FALSE)="Direkte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input'!$A$3:$A$230,$A$1)),IF(VLOOKUP($A421,[1]!Table1[#All],2,FALSE)="Resultat",SUMIF($F$1:$F359,$D421,I$1:I359)+SUMIF($F422:$F$512,$D421,I422:I$512),0))*'[1]Processer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-25717.050325848475</v>
      </c>
      <c r="J421" s="404">
        <f>IFERROR(VLOOKUP($D421&amp;$F421,Landbrugsproduktivititet!$D$3:$G$31,MATCH(J$2,Landbrugsproduktivititet!$D$2:$G$2,0),FALSE),1)*IF($A421&lt;&gt;"",IF(VLOOKUP($A421,[1]!Table1[#All],2,FALSE)="Direkte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input'!$A$3:$A$230,$A$1)),IF(VLOOKUP($A421,[1]!Table1[#All],2,FALSE)="Resultat",SUMIF($F$1:$F359,$D421,J$1:J359)+SUMIF($F422:$F$512,$D421,J422:J$512),0))*'[1]Processer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-51575.170370370324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402">
        <f>IFERROR(VLOOKUP($D422&amp;$F422,Landbrugsproduktivititet!$D$3:$G$31,MATCH(H$2,Landbrugsproduktivititet!$D$2:$G$2,0),FALSE),1)*IF($A422&lt;&gt;"",IF(VLOOKUP($A422,[1]!Table1[#All],2,FALSE)="Direkte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input'!$A$3:$A$230,$A$1)),IF(VLOOKUP($A422,[1]!Table1[#All],2,FALSE)="Resultat",SUMIF($F$1:$F360,$D422,H$1:H360)+SUMIF($F423:$F$512,$D422,H423:H$512),0))*'[1]Processer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403">
        <f>IFERROR(VLOOKUP($D422&amp;$F422,Landbrugsproduktivititet!$D$3:$G$31,MATCH(I$2,Landbrugsproduktivititet!$D$2:$G$2,0),FALSE),1)*IF($A422&lt;&gt;"",IF(VLOOKUP($A422,[1]!Table1[#All],2,FALSE)="Direkte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input'!$A$3:$A$230,$A$1)),IF(VLOOKUP($A422,[1]!Table1[#All],2,FALSE)="Resultat",SUMIF($F$1:$F360,$D422,I$1:I360)+SUMIF($F423:$F$512,$D422,I423:I$512),0))*'[1]Processer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13570.590651214497</v>
      </c>
      <c r="J422" s="404">
        <f>IFERROR(VLOOKUP($D422&amp;$F422,Landbrugsproduktivititet!$D$3:$G$31,MATCH(J$2,Landbrugsproduktivititet!$D$2:$G$2,0),FALSE),1)*IF($A422&lt;&gt;"",IF(VLOOKUP($A422,[1]!Table1[#All],2,FALSE)="Direkte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input'!$A$3:$A$230,$A$1)),IF(VLOOKUP($A422,[1]!Table1[#All],2,FALSE)="Resultat",SUMIF($F$1:$F360,$D422,J$1:J360)+SUMIF($F423:$F$512,$D422,J423:J$512),0))*'[1]Processer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23244.76272469978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74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75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178296.99682560615</v>
      </c>
      <c r="J423" s="276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176699.18645513742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74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75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193155.07989440666</v>
      </c>
      <c r="J424" s="276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191424.11865973219</v>
      </c>
    </row>
    <row r="425" spans="1:10" ht="15.75" thickBot="1" x14ac:dyDescent="0.3">
      <c r="A425" t="str">
        <f>IF('[1]Processer - data'!A425&lt;&gt;"",'[1]Processer - data'!A425,"")</f>
        <v>Tømmerproduktion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CO2 - HWP</v>
      </c>
      <c r="E425" t="str">
        <f>IF('[1]Processer - data'!E425&lt;&gt;"",'[1]Processer - data'!E425,"")</f>
        <v>t CO2-ækvivalenter</v>
      </c>
      <c r="F425" t="str">
        <f>IF('[1]Processer - data'!F425&lt;&gt;"",'[1]Processer - data'!F425,"")</f>
        <v>CO2 - atmosfære</v>
      </c>
      <c r="G425" t="str">
        <f>IF('[1]Processer - data'!G425&lt;&gt;"",'[1]Processer - data'!G425,"")</f>
        <v>t CO2-ækvivalenter</v>
      </c>
      <c r="H425" s="313">
        <f ca="1">SUMIFS(H3:H424,$F$3:$F$424,$D$425)*H423/SUM(H423:H424)*'[1]Processer - data'!H$425</f>
        <v>-27463.486962461298</v>
      </c>
      <c r="I425" s="314">
        <f ca="1">SUMIFS(I3:I424,$F$3:$F$424,$D$425)*I423/SUM(I423:I424)*'[1]Processer - data'!I$425</f>
        <v>-27168.989628195013</v>
      </c>
      <c r="J425" s="315">
        <f ca="1">SUMIFS(J3:J424,$F$3:$F$424,$D$425)*J423/SUM(J423:J424)*'[1]Processer - data'!J$425</f>
        <v>-81424.245852058768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74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75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96903.161700864599</v>
      </c>
      <c r="J426" s="276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0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74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75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3772.4502281445671</v>
      </c>
      <c r="J427" s="276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0</v>
      </c>
    </row>
    <row r="428" spans="1:10" x14ac:dyDescent="0.25">
      <c r="A428" t="str">
        <f>IF('[1]Processer - data'!A428&lt;&gt;"",'[1]Processer - data'!A428,"")</f>
        <v>Mejeri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Råmælk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Industriaffald</v>
      </c>
      <c r="G428" t="str">
        <f>IF('[1]Processer - data'!G428&lt;&gt;"",'[1]Processer - data'!G428,"")</f>
        <v>Ton</v>
      </c>
      <c r="H428" s="274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75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495.69995997819609</v>
      </c>
      <c r="J428" s="276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0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74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75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50222.397196773512</v>
      </c>
      <c r="J429" s="276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0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74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75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188256.52671213137</v>
      </c>
      <c r="J430" s="276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56767.111740145512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74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75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3606.6994555636797</v>
      </c>
      <c r="J431" s="276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1087.5687264759874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74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75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16789.441156648147</v>
      </c>
      <c r="J432" s="276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5062.7093723631606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74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75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16566.149032335536</v>
      </c>
      <c r="J433" s="276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4995.3775821037389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74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75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6251.0678007025454</v>
      </c>
      <c r="J434" s="276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278.2619831544028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74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75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3031.8185402921181</v>
      </c>
      <c r="J435" s="276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134.95931678923023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74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75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400.18991592828291</v>
      </c>
      <c r="J436" s="276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17.814178824309419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74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75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4113.3444523261478</v>
      </c>
      <c r="J437" s="276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183.10269880176259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74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75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15605.83144011804</v>
      </c>
      <c r="J438" s="276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1259.2854048567958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280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281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57.561851959140412</v>
      </c>
      <c r="J439" s="282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4.6448534528144823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49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50">
        <f>SUMIFS('Forbrug af biomasse'!$E$1:$E$425,'Forbrug af biomasse'!$A$1:$A$425,$F440,'Forbrug af biomasse'!$C$1:$C$425,$D440,'Forbrug af biomasse'!$B$1:$B$425,$A$1,'Forbrug af biomasse'!$D$1:$D$425,I$2)*'[1]Processer - data'!I440</f>
        <v>378619113.82686299</v>
      </c>
      <c r="J440" s="251">
        <f>SUMIFS('Forbrug af biomasse'!$E$1:$E$425,'Forbrug af biomasse'!$A$1:$A$425,$F440,'Forbrug af biomasse'!$C$1:$C$425,$D440,'Forbrug af biomasse'!$B$1:$B$425,$A$1,'Forbrug af biomasse'!$D$1:$D$425,J$2)*'[1]Processer - data'!J440</f>
        <v>44571511.725990079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52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53">
        <f>SUMIFS('Forbrug af biomasse'!$E$1:$E$425,'Forbrug af biomasse'!$A$1:$A$425,$F441,'Forbrug af biomasse'!$C$1:$C$425,$D441,'Forbrug af biomasse'!$B$1:$B$425,$A$1,'Forbrug af biomasse'!$D$1:$D$425,I$2)*'[1]Processer - data'!I441</f>
        <v>12424984.999467187</v>
      </c>
      <c r="J441" s="254">
        <f>SUMIFS('Forbrug af biomasse'!$E$1:$E$425,'Forbrug af biomasse'!$A$1:$A$425,$F441,'Forbrug af biomasse'!$C$1:$C$425,$D441,'Forbrug af biomasse'!$B$1:$B$425,$A$1,'Forbrug af biomasse'!$D$1:$D$425,J$2)*'[1]Processer - data'!J441</f>
        <v>5502655.768640751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52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53">
        <f>SUMIFS('Forbrug af biomasse'!$E$1:$E$425,'Forbrug af biomasse'!$A$1:$A$425,$F442,'Forbrug af biomasse'!$C$1:$C$425,$D442,'Forbrug af biomasse'!$B$1:$B$425,$A$1,'Forbrug af biomasse'!$D$1:$D$425,I$2)*'[1]Processer - data'!I442</f>
        <v>24660142.299999285</v>
      </c>
      <c r="J442" s="254">
        <f>SUMIFS('Forbrug af biomasse'!$E$1:$E$425,'Forbrug af biomasse'!$A$1:$A$425,$F442,'Forbrug af biomasse'!$C$1:$C$425,$D442,'Forbrug af biomasse'!$B$1:$B$425,$A$1,'Forbrug af biomasse'!$D$1:$D$425,J$2)*'[1]Processer - data'!J442</f>
        <v>55026557.686407506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52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53">
        <f>SUMIFS('Forbrug af biomasse'!$E$1:$E$425,'Forbrug af biomasse'!$A$1:$A$425,$F443,'Forbrug af biomasse'!$C$1:$C$425,$D443,'Forbrug af biomasse'!$B$1:$B$425,$A$1,'Forbrug af biomasse'!$D$1:$D$425,I$2)*'[1]Processer - data'!I443</f>
        <v>7341704.6709060464</v>
      </c>
      <c r="J443" s="254">
        <f>SUMIFS('Forbrug af biomasse'!$E$1:$E$425,'Forbrug af biomasse'!$A$1:$A$425,$F443,'Forbrug af biomasse'!$C$1:$C$425,$D443,'Forbrug af biomasse'!$B$1:$B$425,$A$1,'Forbrug af biomasse'!$D$1:$D$425,J$2)*'[1]Processer - data'!J443</f>
        <v>5813058.169621163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52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53">
        <f>SUMIFS('Forbrug af biomasse'!$E$1:$E$425,'Forbrug af biomasse'!$A$1:$A$425,$F444,'Forbrug af biomasse'!$C$1:$C$425,$D444,'Forbrug af biomasse'!$B$1:$B$425,$A$1,'Forbrug af biomasse'!$D$1:$D$425,I$2)*'[1]Processer - data'!I444</f>
        <v>13459791.896661084</v>
      </c>
      <c r="J444" s="254">
        <f>SUMIFS('Forbrug af biomasse'!$E$1:$E$425,'Forbrug af biomasse'!$A$1:$A$425,$F444,'Forbrug af biomasse'!$C$1:$C$425,$D444,'Forbrug af biomasse'!$B$1:$B$425,$A$1,'Forbrug af biomasse'!$D$1:$D$425,J$2)*'[1]Processer - data'!J444</f>
        <v>10657273.310972132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52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53">
        <f>SUMIFS('Forbrug af biomasse'!$E$1:$E$425,'Forbrug af biomasse'!$A$1:$A$425,$F445,'Forbrug af biomasse'!$C$1:$C$425,$D445,'Forbrug af biomasse'!$B$1:$B$425,$A$1,'Forbrug af biomasse'!$D$1:$D$425,I$2)*'[1]Processer - data'!I445</f>
        <v>107758682.50987008</v>
      </c>
      <c r="J445" s="254">
        <f>SUMIFS('Forbrug af biomasse'!$E$1:$E$425,'Forbrug af biomasse'!$A$1:$A$425,$F445,'Forbrug af biomasse'!$C$1:$C$425,$D445,'Forbrug af biomasse'!$B$1:$B$425,$A$1,'Forbrug af biomasse'!$D$1:$D$425,J$2)*'[1]Processer - data'!J445</f>
        <v>13756639.421601877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52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53">
        <f>SUMIFS('Forbrug af biomasse'!$E$1:$E$425,'Forbrug af biomasse'!$A$1:$A$425,$F446,'Forbrug af biomasse'!$C$1:$C$425,$D446,'Forbrug af biomasse'!$B$1:$B$425,$A$1,'Forbrug af biomasse'!$D$1:$D$425,I$2)*'[1]Processer - data'!I446</f>
        <v>39294971.296594463</v>
      </c>
      <c r="J446" s="254">
        <f>SUMIFS('Forbrug af biomasse'!$E$1:$E$425,'Forbrug af biomasse'!$A$1:$A$425,$F446,'Forbrug af biomasse'!$C$1:$C$425,$D446,'Forbrug af biomasse'!$B$1:$B$425,$A$1,'Forbrug af biomasse'!$D$1:$D$425,J$2)*'[1]Processer - data'!J446</f>
        <v>55026557.686407506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52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53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54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52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53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54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52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53">
        <f>SUMIFS('Forbrug af biomasse'!$E$1:$E$425,'Forbrug af biomasse'!$A$1:$A$425,$F449,'Forbrug af biomasse'!$C$1:$C$425,$D449,'Forbrug af biomasse'!$B$1:$B$425,$A$1,'Forbrug af biomasse'!$D$1:$D$425,I$2)*'[1]Processer - data'!I449</f>
        <v>213850679.64485303</v>
      </c>
      <c r="J449" s="254">
        <f>SUMIFS('Forbrug af biomasse'!$E$1:$E$425,'Forbrug af biomasse'!$A$1:$A$425,$F449,'Forbrug af biomasse'!$C$1:$C$425,$D449,'Forbrug af biomasse'!$B$1:$B$425,$A$1,'Forbrug af biomasse'!$D$1:$D$425,J$2)*'[1]Processer - data'!J449</f>
        <v>169323950.78691387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52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53">
        <f>SUMIFS('Forbrug af biomasse'!$E$1:$E$425,'Forbrug af biomasse'!$A$1:$A$425,$F450,'Forbrug af biomasse'!$C$1:$C$425,$D450,'Forbrug af biomasse'!$B$1:$B$425,$A$1,'Forbrug af biomasse'!$D$1:$D$425,I$2)*'[1]Processer - data'!I450</f>
        <v>9898245.3379461169</v>
      </c>
      <c r="J450" s="254">
        <f>SUMIFS('Forbrug af biomasse'!$E$1:$E$425,'Forbrug af biomasse'!$A$1:$A$425,$F450,'Forbrug af biomasse'!$C$1:$C$425,$D450,'Forbrug af biomasse'!$B$1:$B$425,$A$1,'Forbrug af biomasse'!$D$1:$D$425,J$2)*'[1]Processer - data'!J450</f>
        <v>0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52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145943205.79363212</v>
      </c>
      <c r="J451" s="254">
        <f>SUMIFS('Forbrug af biomasse'!$E$1:$E$425,'Forbrug af biomasse'!$A$1:$A$425,$F451,'Forbrug af biomasse'!$C$1:$C$425,$D451,'Forbrug af biomasse'!$B$1:$B$425,$A$1,'Forbrug af biomasse'!$D$1:$D$425,J$2)*'[1]Processer - data'!J451</f>
        <v>325757221.50353241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52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45384596.450556815</v>
      </c>
      <c r="J452" s="254">
        <f>SUMIFS('Forbrug af biomasse'!$E$1:$E$425,'Forbrug af biomasse'!$A$1:$A$425,$F452,'Forbrug af biomasse'!$C$1:$C$425,$D452,'Forbrug af biomasse'!$B$1:$B$425,$A$1,'Forbrug af biomasse'!$D$1:$D$425,J$2)*'[1]Processer - data'!J452</f>
        <v>101271034.21706381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52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53">
        <f>SUMIFS('Forbrug af biomasse'!$E$1:$E$425,'Forbrug af biomasse'!$A$1:$A$425,$F453,'Forbrug af biomasse'!$C$1:$C$425,$D453,'Forbrug af biomasse'!$B$1:$B$425,$A$1,'Forbrug af biomasse'!$D$1:$D$425,I$2)*'[1]Processer - data'!I453</f>
        <v>14252617.05805796</v>
      </c>
      <c r="J453" s="254">
        <f>SUMIFS('Forbrug af biomasse'!$E$1:$E$425,'Forbrug af biomasse'!$A$1:$A$425,$F453,'Forbrug af biomasse'!$C$1:$C$425,$D453,'Forbrug af biomasse'!$B$1:$B$425,$A$1,'Forbrug af biomasse'!$D$1:$D$425,J$2)*'[1]Processer - data'!J453</f>
        <v>15407436.152194101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52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53">
        <f>SUMIFS('Forbrug af biomasse'!$E$1:$E$425,'Forbrug af biomasse'!$A$1:$A$425,$F454,'Forbrug af biomasse'!$C$1:$C$425,$D454,'Forbrug af biomasse'!$B$1:$B$425,$A$1,'Forbrug af biomasse'!$D$1:$D$425,I$2)*'[1]Processer - data'!I454</f>
        <v>243266078.67369413</v>
      </c>
      <c r="J454" s="254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52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53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54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52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53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54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52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53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54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52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53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18684586.801977415</v>
      </c>
      <c r="J458" s="254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0</v>
      </c>
    </row>
    <row r="459" spans="1:10" x14ac:dyDescent="0.25">
      <c r="A459" t="str">
        <f>IF('[1]Processer - data'!A459&lt;&gt;"",'[1]Processer - data'!A459,"")</f>
        <v>Biogasanlæg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Svinegylle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CO2 - atmosfære</v>
      </c>
      <c r="G459" t="str">
        <f>IF('[1]Processer - data'!G459&lt;&gt;"",'[1]Processer - data'!G459,"")</f>
        <v>t CO2-ækvivalenter</v>
      </c>
      <c r="H459" s="258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59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-19817.495652019519</v>
      </c>
      <c r="J459" s="260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0</v>
      </c>
    </row>
    <row r="460" spans="1:10" x14ac:dyDescent="0.25">
      <c r="A460" t="str">
        <f>IF('[1]Processer - data'!A460&lt;&gt;"",'[1]Processer - data'!A460,"")</f>
        <v>Biogasanlæg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Kvæggylle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Biogas</v>
      </c>
      <c r="G460" t="str">
        <f>IF('[1]Processer - data'!G460&lt;&gt;"",'[1]Processer - data'!G460,"")</f>
        <v>Nm3 CH4</v>
      </c>
      <c r="H460" s="252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53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4560851.5937913787</v>
      </c>
      <c r="J460" s="254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62002.961624042982</v>
      </c>
    </row>
    <row r="461" spans="1:10" x14ac:dyDescent="0.25">
      <c r="A461" t="str">
        <f>IF('[1]Processer - data'!A461&lt;&gt;"",'[1]Processer - data'!A461,"")</f>
        <v>Biogasanlæg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Kvæggylle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CO2 - atmosfære</v>
      </c>
      <c r="G461" t="str">
        <f>IF('[1]Processer - data'!G461&lt;&gt;"",'[1]Processer - data'!G461,"")</f>
        <v>t CO2-ækvivalenter</v>
      </c>
      <c r="H461" s="258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59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-9518.3855984121692</v>
      </c>
      <c r="J461" s="260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-129.39866269373474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52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53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6757.8172914172883</v>
      </c>
      <c r="J462" s="254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13898.98079966574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52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53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14375484.865012852</v>
      </c>
      <c r="J463" s="254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34704874.544449471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52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53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54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52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53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54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52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53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54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52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53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54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52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53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54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52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53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54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52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53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54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52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53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7950899.9463570174</v>
      </c>
      <c r="J471" s="254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21289933.329723641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52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53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0</v>
      </c>
      <c r="J472" s="254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0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52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53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17602644.692720275</v>
      </c>
      <c r="J473" s="254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18407167.358469933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58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59">
        <f ca="1">SUMIFS('Forbrug af biomasse'!$E$1:$E$425,'Forbrug af biomasse'!$A$1:$A$425,"Biogas",'Forbrug af biomasse'!$B$1:$B$425,$A$1,'Forbrug af biomasse'!$D$1:$D$425,I$2)*'[1]Processer - data'!I474</f>
        <v>3575622.450604124</v>
      </c>
      <c r="J474" s="260">
        <f ca="1">SUMIFS('Forbrug af biomasse'!$E$1:$E$425,'Forbrug af biomasse'!$A$1:$A$425,"Biogas",'Forbrug af biomasse'!$B$1:$B$425,$A$1,'Forbrug af biomasse'!$D$1:$D$425,J$2)*'[1]Processer - data'!J474</f>
        <v>2991109.452383338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58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59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2750786.3902911195</v>
      </c>
      <c r="J475" s="260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58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59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862572.40544517804</v>
      </c>
      <c r="J476" s="260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3908.776146511771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58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59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1203.6824692091864</v>
      </c>
      <c r="J477" s="260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825.215145018322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58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59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423278.16546982288</v>
      </c>
      <c r="J478" s="260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340621.91682515218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58">
        <f ca="1">H474*'[1]Processer - data'!H$479*Biogasanlæg!AA$3</f>
        <v>12613034.84027173</v>
      </c>
      <c r="I479" s="259">
        <f ca="1">I474*'[1]Processer - data'!I$479*Biogasanlæg!AB$3</f>
        <v>21579235.982688293</v>
      </c>
      <c r="J479" s="260">
        <f ca="1">J474*'[1]Processer - data'!J$479*Biogasanlæg!AC$3</f>
        <v>573009.80725780409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58">
        <f ca="1">-SUMIFS('Resultater - Østdanmark'!H$3:H$504,'Resultater - Østdanmark'!$F$3:$F$504,"Gødning",'Resultater - Østdanmark'!$A$3:$A$504,"&lt;&gt;Gødning")-SUM(H475:H479)</f>
        <v>59971256.963903613</v>
      </c>
      <c r="I480" s="259">
        <f ca="1">-SUMIFS('Resultater - Østdanmark'!I$3:I$504,'Resultater - Østdanmark'!$F$3:$F$504,"Gødning",'Resultater - Østdanmark'!$A$3:$A$504,"&lt;&gt;Gødning")-SUM(I475:I479)</f>
        <v>56429187.626490176</v>
      </c>
      <c r="J480" s="260">
        <f ca="1">-SUMIFS('Resultater - Østdanmark'!J$3:J$504,'Resultater - Østdanmark'!$F$3:$F$504,"Gødning",'Resultater - Østdanmark'!$A$3:$A$504,"&lt;&gt;Gødning")-SUM(J475:J479)</f>
        <v>56184677.657626025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61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63">
        <f>SUMIFS('Forbrug af biomasse'!$E$1:$E$425,'Forbrug af biomasse'!$A$1:$A$425,$F481,'Forbrug af biomasse'!$C$1:$C$425,$D481,'Forbrug af biomasse'!$B$1:$B$425,$A$1,'Forbrug af biomasse'!$D$1:$D$425,I$2)*'[1]Processer - data'!I481</f>
        <v>5.3110800689342366</v>
      </c>
      <c r="J481" s="264">
        <f>SUMIFS('Forbrug af biomasse'!$E$1:$E$425,'Forbrug af biomasse'!$A$1:$A$425,$F481,'Forbrug af biomasse'!$C$1:$C$425,$D481,'Forbrug af biomasse'!$B$1:$B$425,$A$1,'Forbrug af biomasse'!$D$1:$D$425,J$2)*'[1]Processer - data'!J481</f>
        <v>1.3259802632011832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61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63">
        <f>SUMIFS('Forbrug af biomasse'!$E$1:$E$425,'Forbrug af biomasse'!$A$1:$A$425,$F482,'Forbrug af biomasse'!$C$1:$C$425,$D482,'Forbrug af biomasse'!$B$1:$B$425,$A$1,'Forbrug af biomasse'!$D$1:$D$425,I$2)*'[1]Processer - data'!I482</f>
        <v>2.5290083432349122</v>
      </c>
      <c r="J482" s="264">
        <f>SUMIFS('Forbrug af biomasse'!$E$1:$E$425,'Forbrug af biomasse'!$A$1:$A$425,$F482,'Forbrug af biomasse'!$C$1:$C$425,$D482,'Forbrug af biomasse'!$B$1:$B$425,$A$1,'Forbrug af biomasse'!$D$1:$D$425,J$2)*'[1]Processer - data'!J482</f>
        <v>2.4190053031646266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61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63">
        <f>SUMIFS('Forbrug af biomasse'!$E$1:$E$425,'Forbrug af biomasse'!$A$1:$A$425,$F483,'Forbrug af biomasse'!$C$1:$C$425,$D483,'Forbrug af biomasse'!$B$1:$B$425,$A$1,'Forbrug af biomasse'!$D$1:$D$425,I$2)*'[1]Processer - data'!I483</f>
        <v>5.0134640195147124</v>
      </c>
      <c r="J483" s="264">
        <f>SUMIFS('Forbrug af biomasse'!$E$1:$E$425,'Forbrug af biomasse'!$A$1:$A$425,$F483,'Forbrug af biomasse'!$C$1:$C$425,$D483,'Forbrug af biomasse'!$B$1:$B$425,$A$1,'Forbrug af biomasse'!$D$1:$D$425,J$2)*'[1]Processer - data'!J483</f>
        <v>8.0541625621638921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61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63">
        <f ca="1">SUMIFS('Forbrug af biomasse'!$E$1:$E$425,'Forbrug af biomasse'!$A$1:$A$425,$F484,'Forbrug af biomasse'!$C$1:$C$425,$D484,'Forbrug af biomasse'!$B$1:$B$425,$A$1,'Forbrug af biomasse'!$D$1:$D$425,I$2)*'[1]Processer - data'!I484</f>
        <v>9.3707988062214476</v>
      </c>
      <c r="J484" s="264">
        <f ca="1">SUMIFS('Forbrug af biomasse'!$E$1:$E$425,'Forbrug af biomasse'!$A$1:$A$425,$F484,'Forbrug af biomasse'!$C$1:$C$425,$D484,'Forbrug af biomasse'!$B$1:$B$425,$A$1,'Forbrug af biomasse'!$D$1:$D$425,J$2)*'[1]Processer - data'!J484</f>
        <v>8.8663382993828446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61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63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64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61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63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64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x14ac:dyDescent="0.25">
      <c r="A487" t="str">
        <f>IF('[1]Processer - data'!A487&lt;&gt;"",'[1]Processer - data'!A487,"")</f>
        <v>Til energi</v>
      </c>
      <c r="B487" t="str">
        <f>IF('[1]Processer - data'!B487&lt;&gt;"",'[1]Processer - data'!B487,"")</f>
        <v/>
      </c>
      <c r="C487" t="str">
        <f>IF('[1]Processer - data'!C487&lt;&gt;"",'[1]Processer - data'!C487,"")</f>
        <v/>
      </c>
      <c r="D487" t="str">
        <f>IF('[1]Processer - data'!D487&lt;&gt;"",'[1]Processer - data'!D487,"")</f>
        <v>Pyrolyseolie</v>
      </c>
      <c r="E487" t="str">
        <f>IF('[1]Processer - data'!E487&lt;&gt;"",'[1]Processer - data'!E487,"")</f>
        <v>Ton</v>
      </c>
      <c r="F487" t="str">
        <f>IF('[1]Processer - data'!F487&lt;&gt;"",'[1]Processer - data'!F487,"")</f>
        <v>Energi</v>
      </c>
      <c r="G487" t="str">
        <f>IF('[1]Processer - data'!G487&lt;&gt;"",'[1]Processer - data'!G487,"")</f>
        <v>PJ</v>
      </c>
      <c r="H487" s="261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63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64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x14ac:dyDescent="0.25">
      <c r="A488" t="str">
        <f>IF('[1]Processer - data'!A488&lt;&gt;"",'[1]Processer - data'!A488,"")</f>
        <v>Til energi</v>
      </c>
      <c r="B488" t="str">
        <f>IF('[1]Processer - data'!B488&lt;&gt;"",'[1]Processer - data'!B488,"")</f>
        <v/>
      </c>
      <c r="C488" t="str">
        <f>IF('[1]Processer - data'!C488&lt;&gt;"",'[1]Processer - data'!C488,"")</f>
        <v/>
      </c>
      <c r="D488" t="str">
        <f>IF('[1]Processer - data'!D488&lt;&gt;"",'[1]Processer - data'!D488,"")</f>
        <v>Pyrolysegas</v>
      </c>
      <c r="E488" t="str">
        <f>IF('[1]Processer - data'!E488&lt;&gt;"",'[1]Processer - data'!E488,"")</f>
        <v>Ton</v>
      </c>
      <c r="F488" t="str">
        <f>IF('[1]Processer - data'!F488&lt;&gt;"",'[1]Processer - data'!F488,"")</f>
        <v>Energi</v>
      </c>
      <c r="G488" t="str">
        <f>IF('[1]Processer - data'!G488&lt;&gt;"",'[1]Processer - data'!G488,"")</f>
        <v>PJ</v>
      </c>
      <c r="H488" s="261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63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64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58">
        <f ca="1">SUM(H455:H473)*'[1]Processer - data'!$H$489</f>
        <v>3.9778561239632375</v>
      </c>
      <c r="I489" s="259">
        <f ca="1">SUM(I455:I473)*'[1]Processer - data'!$H$489</f>
        <v>2.2671528451088072</v>
      </c>
      <c r="J489" s="260">
        <f ca="1">SUM(J455:J473)*'[1]Processer - data'!$H$489</f>
        <v>2.6737511451729059</v>
      </c>
    </row>
    <row r="490" spans="1:10" x14ac:dyDescent="0.25">
      <c r="A490" t="str">
        <f>IF('[1]Processer - data'!A490&lt;&gt;"",'[1]Processer - data'!A490,"")</f>
        <v>Proteinproces</v>
      </c>
      <c r="B490" t="str">
        <f>IF('[1]Processer - data'!B490&lt;&gt;"",'[1]Processer - data'!B490,"")</f>
        <v/>
      </c>
      <c r="C490" t="str">
        <f>IF('[1]Processer - data'!C490&lt;&gt;"",'[1]Processer - data'!C490,"")</f>
        <v/>
      </c>
      <c r="D490" t="str">
        <f>IF('[1]Processer - data'!D490&lt;&gt;"",'[1]Processer - data'!D490,"")</f>
        <v>Græs</v>
      </c>
      <c r="E490" t="str">
        <f>IF('[1]Processer - data'!E490&lt;&gt;"",'[1]Processer - data'!E490,"")</f>
        <v>Ton</v>
      </c>
      <c r="F490" t="str">
        <f>IF('[1]Processer - data'!F490&lt;&gt;"",'[1]Processer - data'!F490,"")</f>
        <v>Græsprotein</v>
      </c>
      <c r="G490" t="str">
        <f>IF('[1]Processer - data'!G490&lt;&gt;"",'[1]Processer - data'!G490,"")</f>
        <v>Ton</v>
      </c>
      <c r="H490" s="252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53">
        <f>SUMIFS('Forbrug af biomasse'!$E$1:$E$425,'Forbrug af biomasse'!$A$1:$A$425,$A490,'Forbrug af biomasse'!$C$1:$C$425,$D490,'Forbrug af biomasse'!$B$1:$B$425,$A$1,'Forbrug af biomasse'!$D$1:$D$425,I$2)*'[1]Processer - data'!I490</f>
        <v>229215.13358867078</v>
      </c>
      <c r="J490" s="254">
        <f>SUMIFS('Forbrug af biomasse'!$E$1:$E$425,'Forbrug af biomasse'!$A$1:$A$425,$A490,'Forbrug af biomasse'!$C$1:$C$425,$D490,'Forbrug af biomasse'!$B$1:$B$425,$A$1,'Forbrug af biomasse'!$D$1:$D$425,J$2)*'[1]Processer - data'!J490</f>
        <v>511469.86978315056</v>
      </c>
    </row>
    <row r="491" spans="1:10" x14ac:dyDescent="0.25">
      <c r="A491" t="str">
        <f>IF('[1]Processer - data'!A491&lt;&gt;"",'[1]Processer - data'!A491,"")</f>
        <v>Proteinproces</v>
      </c>
      <c r="B491" t="str">
        <f>IF('[1]Processer - data'!B491&lt;&gt;"",'[1]Processer - data'!B491,"")</f>
        <v/>
      </c>
      <c r="C491" t="str">
        <f>IF('[1]Processer - data'!C491&lt;&gt;"",'[1]Processer - data'!C491,"")</f>
        <v/>
      </c>
      <c r="D491" t="str">
        <f>IF('[1]Processer - data'!D491&lt;&gt;"",'[1]Processer - data'!D491,"")</f>
        <v>Græs</v>
      </c>
      <c r="E491" t="str">
        <f>IF('[1]Processer - data'!E491&lt;&gt;"",'[1]Processer - data'!E491,"")</f>
        <v>Ton</v>
      </c>
      <c r="F491" t="str">
        <f>IF('[1]Processer - data'!F491&lt;&gt;"",'[1]Processer - data'!F491,"")</f>
        <v>Fiberfraktion</v>
      </c>
      <c r="G491" t="str">
        <f>IF('[1]Processer - data'!G491&lt;&gt;"",'[1]Processer - data'!G491,"")</f>
        <v>Ton</v>
      </c>
      <c r="H491" s="252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53">
        <f>SUMIFS('Forbrug af biomasse'!$E$1:$E$425,'Forbrug af biomasse'!$A$1:$A$425,$A491,'Forbrug af biomasse'!$C$1:$C$425,$D491,'Forbrug af biomasse'!$B$1:$B$425,$A$1,'Forbrug af biomasse'!$D$1:$D$425,I$2)*'[1]Processer - data'!I491</f>
        <v>471913.51032961637</v>
      </c>
      <c r="J491" s="254">
        <f>SUMIFS('Forbrug af biomasse'!$E$1:$E$425,'Forbrug af biomasse'!$A$1:$A$425,$A491,'Forbrug af biomasse'!$C$1:$C$425,$D491,'Forbrug af biomasse'!$B$1:$B$425,$A$1,'Forbrug af biomasse'!$D$1:$D$425,J$2)*'[1]Processer - data'!J491</f>
        <v>1053026.2024947219</v>
      </c>
    </row>
    <row r="492" spans="1:10" ht="15.75" thickBot="1" x14ac:dyDescent="0.3">
      <c r="A492" t="str">
        <f>IF('[1]Processer - data'!A492&lt;&gt;"",'[1]Processer - data'!A492,"")</f>
        <v>Proteinproces</v>
      </c>
      <c r="B492" t="str">
        <f>IF('[1]Processer - data'!B492&lt;&gt;"",'[1]Processer - data'!B492,"")</f>
        <v/>
      </c>
      <c r="C492" t="str">
        <f>IF('[1]Processer - data'!C492&lt;&gt;"",'[1]Processer - data'!C492,"")</f>
        <v/>
      </c>
      <c r="D492" t="str">
        <f>IF('[1]Processer - data'!D492&lt;&gt;"",'[1]Processer - data'!D492,"")</f>
        <v>Græs</v>
      </c>
      <c r="E492" t="str">
        <f>IF('[1]Processer - data'!E492&lt;&gt;"",'[1]Processer - data'!E492,"")</f>
        <v>Ton</v>
      </c>
      <c r="F492" t="str">
        <f>IF('[1]Processer - data'!F492&lt;&gt;"",'[1]Processer - data'!F492,"")</f>
        <v>Brun saft</v>
      </c>
      <c r="G492" t="str">
        <f>IF('[1]Processer - data'!G492&lt;&gt;"",'[1]Processer - data'!G492,"")</f>
        <v>PJ</v>
      </c>
      <c r="H492" s="252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53">
        <f>SUMIFS('Forbrug af biomasse'!$E$1:$E$425,'Forbrug af biomasse'!$A$1:$A$425,$A492,'Forbrug af biomasse'!$C$1:$C$425,$D492,'Forbrug af biomasse'!$B$1:$B$425,$A$1,'Forbrug af biomasse'!$D$1:$D$425,I$2)*'[1]Processer - data'!I492</f>
        <v>670009.86905929213</v>
      </c>
      <c r="J492" s="254">
        <f>SUMIFS('Forbrug af biomasse'!$E$1:$E$425,'Forbrug af biomasse'!$A$1:$A$425,$A492,'Forbrug af biomasse'!$C$1:$C$425,$D492,'Forbrug af biomasse'!$B$1:$B$425,$A$1,'Forbrug af biomasse'!$D$1:$D$425,J$2)*'[1]Processer - data'!J492</f>
        <v>1495057.7438579726</v>
      </c>
    </row>
    <row r="493" spans="1:10" x14ac:dyDescent="0.25">
      <c r="A493" t="str">
        <f>IF('[1]Processer - data'!A493&lt;&gt;"",'[1]Processer - data'!A493,"")</f>
        <v>Rapskageproduktion</v>
      </c>
      <c r="B493" t="str">
        <f>IF('[1]Processer - data'!B493&lt;&gt;"",'[1]Processer - data'!B493,"")</f>
        <v/>
      </c>
      <c r="C493" t="str">
        <f>IF('[1]Processer - data'!C493&lt;&gt;"",'[1]Processer - data'!C493,"")</f>
        <v/>
      </c>
      <c r="D493" t="str">
        <f>IF('[1]Processer - data'!D493&lt;&gt;"",'[1]Processer - data'!D493,"")</f>
        <v>Raps</v>
      </c>
      <c r="E493" t="str">
        <f>IF('[1]Processer - data'!E493&lt;&gt;"",'[1]Processer - data'!E493,"")</f>
        <v>Ton</v>
      </c>
      <c r="F493" t="str">
        <f>IF('[1]Processer - data'!F493&lt;&gt;"",'[1]Processer - data'!F493,"")</f>
        <v>Rapskage</v>
      </c>
      <c r="G493" t="str">
        <f>IF('[1]Processer - data'!G493&lt;&gt;"",'[1]Processer - data'!G493,"")</f>
        <v>Ton</v>
      </c>
      <c r="H493" s="27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27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112902.15818013002</v>
      </c>
      <c r="J493" s="27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107991.30817699226</v>
      </c>
    </row>
    <row r="494" spans="1:10" ht="15.75" thickBot="1" x14ac:dyDescent="0.3">
      <c r="A494" t="str">
        <f>IF('[1]Processer - data'!A494&lt;&gt;"",'[1]Processer - data'!A494,"")</f>
        <v>Rapskageproduktion</v>
      </c>
      <c r="B494" t="str">
        <f>IF('[1]Processer - data'!B494&lt;&gt;"",'[1]Processer - data'!B494,"")</f>
        <v/>
      </c>
      <c r="C494" t="str">
        <f>IF('[1]Processer - data'!C494&lt;&gt;"",'[1]Processer - data'!C494,"")</f>
        <v/>
      </c>
      <c r="D494" t="str">
        <f>IF('[1]Processer - data'!D494&lt;&gt;"",'[1]Processer - data'!D494,"")</f>
        <v>Raps</v>
      </c>
      <c r="E494" t="str">
        <f>IF('[1]Processer - data'!E494&lt;&gt;"",'[1]Processer - data'!E494,"")</f>
        <v>Ton</v>
      </c>
      <c r="F494" t="str">
        <f>IF('[1]Processer - data'!F494&lt;&gt;"",'[1]Processer - data'!F494,"")</f>
        <v>Rapsolie</v>
      </c>
      <c r="G494" t="str">
        <f>IF('[1]Processer - data'!G494&lt;&gt;"",'[1]Processer - data'!G494,"")</f>
        <v>Ton</v>
      </c>
      <c r="H494" s="274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75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72257.381235283217</v>
      </c>
      <c r="J494" s="276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69114.43723327505</v>
      </c>
    </row>
    <row r="495" spans="1:10" x14ac:dyDescent="0.25">
      <c r="A495" t="str">
        <f>IF('[1]Processer - data'!A495&lt;&gt;"",'[1]Processer - data'!A495,"")</f>
        <v>Pyrolyseproces</v>
      </c>
      <c r="B495" t="str">
        <f>IF('[1]Processer - data'!B495&lt;&gt;"",'[1]Processer - data'!B495,"")</f>
        <v/>
      </c>
      <c r="C495" t="str">
        <f>IF('[1]Processer - data'!C495&lt;&gt;"",'[1]Processer - data'!C495,"")</f>
        <v/>
      </c>
      <c r="D495" t="str">
        <f>IF('[1]Processer - data'!D495&lt;&gt;"",'[1]Processer - data'!D495,"")</f>
        <v>Halm</v>
      </c>
      <c r="E495" t="str">
        <f>IF('[1]Processer - data'!E495&lt;&gt;"",'[1]Processer - data'!E495,"")</f>
        <v>Ton</v>
      </c>
      <c r="F495" t="str">
        <f>IF('[1]Processer - data'!F495&lt;&gt;"",'[1]Processer - data'!F495,"")</f>
        <v>CO2 - atmosfære</v>
      </c>
      <c r="G495" t="str">
        <f>IF('[1]Processer - data'!G495&lt;&gt;"",'[1]Processer - data'!G495,"")</f>
        <v>t CO2-ækvivalenter</v>
      </c>
      <c r="H495" s="249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50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51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t="str">
        <f>IF('[1]Processer - data'!A496&lt;&gt;"",'[1]Processer - data'!A496,"")</f>
        <v>Pyrolyseproces</v>
      </c>
      <c r="B496" t="str">
        <f>IF('[1]Processer - data'!B496&lt;&gt;"",'[1]Processer - data'!B496,"")</f>
        <v/>
      </c>
      <c r="C496" t="str">
        <f>IF('[1]Processer - data'!C496&lt;&gt;"",'[1]Processer - data'!C496,"")</f>
        <v/>
      </c>
      <c r="D496" t="str">
        <f>IF('[1]Processer - data'!D496&lt;&gt;"",'[1]Processer - data'!D496,"")</f>
        <v>Halm</v>
      </c>
      <c r="E496" t="str">
        <f>IF('[1]Processer - data'!E496&lt;&gt;"",'[1]Processer - data'!E496,"")</f>
        <v>Ton</v>
      </c>
      <c r="F496" t="str">
        <f>IF('[1]Processer - data'!F496&lt;&gt;"",'[1]Processer - data'!F496,"")</f>
        <v>Pyrolyseolie</v>
      </c>
      <c r="G496" t="str">
        <f>IF('[1]Processer - data'!G496&lt;&gt;"",'[1]Processer - data'!G496,"")</f>
        <v>Ton</v>
      </c>
      <c r="H496" s="252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53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54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t="str">
        <f>IF('[1]Processer - data'!A497&lt;&gt;"",'[1]Processer - data'!A497,"")</f>
        <v>Pyrolyseproces</v>
      </c>
      <c r="B497" t="str">
        <f>IF('[1]Processer - data'!B497&lt;&gt;"",'[1]Processer - data'!B497,"")</f>
        <v/>
      </c>
      <c r="C497" t="str">
        <f>IF('[1]Processer - data'!C497&lt;&gt;"",'[1]Processer - data'!C497,"")</f>
        <v/>
      </c>
      <c r="D497" t="str">
        <f>IF('[1]Processer - data'!D497&lt;&gt;"",'[1]Processer - data'!D497,"")</f>
        <v>Halm</v>
      </c>
      <c r="E497" t="str">
        <f>IF('[1]Processer - data'!E497&lt;&gt;"",'[1]Processer - data'!E497,"")</f>
        <v>Ton</v>
      </c>
      <c r="F497" t="str">
        <f>IF('[1]Processer - data'!F497&lt;&gt;"",'[1]Processer - data'!F497,"")</f>
        <v>Pyrolysegas</v>
      </c>
      <c r="G497" t="str">
        <f>IF('[1]Processer - data'!G497&lt;&gt;"",'[1]Processer - data'!G497,"")</f>
        <v>Ton</v>
      </c>
      <c r="H497" s="255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56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57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3"/>
      <c r="I498" s="93"/>
      <c r="J498" s="93"/>
    </row>
    <row r="499" spans="1:10" x14ac:dyDescent="0.25">
      <c r="H499" s="93"/>
      <c r="I499" s="93"/>
      <c r="J499" s="93"/>
    </row>
    <row r="500" spans="1:10" x14ac:dyDescent="0.25">
      <c r="H500" s="93"/>
      <c r="I500" s="93"/>
      <c r="J500" s="93"/>
    </row>
    <row r="501" spans="1:10" x14ac:dyDescent="0.25">
      <c r="H501" s="93"/>
      <c r="I501" s="93"/>
      <c r="J501" s="93"/>
    </row>
    <row r="502" spans="1:10" x14ac:dyDescent="0.25">
      <c r="H502" s="93"/>
      <c r="I502" s="93"/>
      <c r="J502" s="93"/>
    </row>
  </sheetData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295" zoomScale="70" zoomScaleNormal="70" workbookViewId="0">
      <selection activeCell="J304" sqref="J30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4" t="str">
        <f>'Resultater - Vestdanmark'!A2</f>
        <v>Processer</v>
      </c>
      <c r="B2" s="94" t="str">
        <f>'Resultater - Vestdanmark'!B2</f>
        <v>Konventionel/økologisk</v>
      </c>
      <c r="C2" s="94" t="str">
        <f>'Resultater - Vestdanmark'!C2</f>
        <v>Jordbundstype</v>
      </c>
      <c r="D2" s="94" t="str">
        <f>'Resultater - Vestdanmark'!D2</f>
        <v>Input</v>
      </c>
      <c r="E2" s="94" t="str">
        <f>'Resultater - Vestdanmark'!E2</f>
        <v>Enhed</v>
      </c>
      <c r="F2" s="94" t="str">
        <f>'Resultater - Vestdanmark'!F2</f>
        <v>Output</v>
      </c>
      <c r="G2" s="94" t="str">
        <f>'Resultater - Vestdanmark'!G2</f>
        <v>Enhed</v>
      </c>
      <c r="H2" s="94">
        <f>'Resultater - Vestdanmark'!H2</f>
        <v>2019</v>
      </c>
      <c r="I2" s="94">
        <f>'Resultater - Vestdanmark'!I2</f>
        <v>2030</v>
      </c>
      <c r="J2" s="94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4" t="str">
        <f>'Resultater - Vestdanmark'!A3</f>
        <v>Spildevandsproduktion</v>
      </c>
      <c r="B3" s="94" t="str">
        <f>'Resultater - Vestdanmark'!B3</f>
        <v/>
      </c>
      <c r="C3" s="94" t="str">
        <f>'Resultater - Vestdanmark'!C3</f>
        <v/>
      </c>
      <c r="D3" s="94" t="str">
        <f>'Resultater - Vestdanmark'!D3</f>
        <v>Befolkning</v>
      </c>
      <c r="E3" s="94" t="str">
        <f>'Resultater - Vestdanmark'!E3</f>
        <v>Antal</v>
      </c>
      <c r="F3" s="94" t="str">
        <f>'Resultater - Vestdanmark'!F3</f>
        <v>Spildevandsslam</v>
      </c>
      <c r="G3" s="94" t="str">
        <f>'Resultater - Vestdanmark'!G3</f>
        <v>Ton</v>
      </c>
      <c r="H3" s="249">
        <f>'Resultater - Vestdanmark'!H3+'Resultater - Østdanmark'!H3</f>
        <v>6905432.901678659</v>
      </c>
      <c r="I3" s="250">
        <f>'Resultater - Vestdanmark'!I3+'Resultater - Østdanmark'!I3</f>
        <v>7187550.2724163011</v>
      </c>
      <c r="J3" s="251">
        <f>'Resultater - Vestdanmark'!J3+'Resultater - Østdanmark'!J3</f>
        <v>7494121.763909651</v>
      </c>
      <c r="L3" s="94" t="s">
        <v>111</v>
      </c>
      <c r="M3" s="94">
        <f ca="1">SUMIF($F$3:$F$509,$L$3,H$3:H$509)</f>
        <v>15057851.655114515</v>
      </c>
      <c r="N3" s="94">
        <f ca="1">SUMIF($F$3:$F$509,$L$3,I$3:I$509)</f>
        <v>9292321.1635638494</v>
      </c>
      <c r="O3" s="94">
        <f ca="1">SUMIF($F$3:$F$509,$L$3,J$3:J$509)</f>
        <v>1316600.6510551358</v>
      </c>
      <c r="Q3" s="94"/>
      <c r="U3" s="94"/>
    </row>
    <row r="4" spans="1:21" x14ac:dyDescent="0.25">
      <c r="A4" s="94" t="str">
        <f>'Resultater - Vestdanmark'!A4</f>
        <v>Bioaffaldsproduktion</v>
      </c>
      <c r="B4" s="94" t="str">
        <f>'Resultater - Vestdanmark'!B4</f>
        <v/>
      </c>
      <c r="C4" s="94" t="str">
        <f>'Resultater - Vestdanmark'!C4</f>
        <v/>
      </c>
      <c r="D4" s="94" t="str">
        <f>'Resultater - Vestdanmark'!D4</f>
        <v>Befolkning</v>
      </c>
      <c r="E4" s="94" t="str">
        <f>'Resultater - Vestdanmark'!E4</f>
        <v>Antal</v>
      </c>
      <c r="F4" s="94" t="str">
        <f>'Resultater - Vestdanmark'!F4</f>
        <v>Bioaffald</v>
      </c>
      <c r="G4" s="94" t="str">
        <f>'Resultater - Vestdanmark'!G4</f>
        <v>Ton</v>
      </c>
      <c r="H4" s="252">
        <f ca="1">'Resultater - Vestdanmark'!H4+'Resultater - Østdanmark'!H4</f>
        <v>358674.32551850227</v>
      </c>
      <c r="I4" s="253">
        <f ca="1">'Resultater - Vestdanmark'!I4+'Resultater - Østdanmark'!I4</f>
        <v>363994.97174274386</v>
      </c>
      <c r="J4" s="254">
        <f ca="1">'Resultater - Vestdanmark'!J4+'Resultater - Østdanmark'!J4</f>
        <v>369776.8151095995</v>
      </c>
      <c r="L4" s="94" t="s">
        <v>167</v>
      </c>
      <c r="M4" s="94">
        <f t="shared" ref="M4:O6" si="0">SUMIFS(H$3:H$509,$F$3:$F$509,$L$3,$A$3:$A$509,$L4)</f>
        <v>1549282.418632678</v>
      </c>
      <c r="N4" s="94">
        <f t="shared" si="0"/>
        <v>1439333.3437619719</v>
      </c>
      <c r="O4" s="94">
        <f t="shared" si="0"/>
        <v>1357948.1707950979</v>
      </c>
    </row>
    <row r="5" spans="1:21" x14ac:dyDescent="0.25">
      <c r="A5" s="94" t="str">
        <f>'Resultater - Vestdanmark'!A5</f>
        <v>Bioaffaldsproduktion</v>
      </c>
      <c r="B5" s="94" t="str">
        <f>'Resultater - Vestdanmark'!B5</f>
        <v/>
      </c>
      <c r="C5" s="94" t="str">
        <f>'Resultater - Vestdanmark'!C5</f>
        <v/>
      </c>
      <c r="D5" s="94" t="str">
        <f>'Resultater - Vestdanmark'!D5</f>
        <v>Befolkning</v>
      </c>
      <c r="E5" s="94" t="str">
        <f>'Resultater - Vestdanmark'!E5</f>
        <v>Antal</v>
      </c>
      <c r="F5" s="94" t="str">
        <f>'Resultater - Vestdanmark'!F5</f>
        <v>Have/parkaffald</v>
      </c>
      <c r="G5" s="94" t="str">
        <f>'Resultater - Vestdanmark'!G5</f>
        <v>Ton</v>
      </c>
      <c r="H5" s="252">
        <f>'Resultater - Vestdanmark'!H5+'Resultater - Østdanmark'!H5</f>
        <v>982809</v>
      </c>
      <c r="I5" s="253">
        <f>'Resultater - Vestdanmark'!I5+'Resultater - Østdanmark'!I5</f>
        <v>982809</v>
      </c>
      <c r="J5" s="254">
        <f>'Resultater - Vestdanmark'!J5+'Resultater - Østdanmark'!J5</f>
        <v>982809</v>
      </c>
      <c r="L5" s="94" t="s">
        <v>168</v>
      </c>
      <c r="M5" s="94">
        <f t="shared" si="0"/>
        <v>4613599.2928801989</v>
      </c>
      <c r="N5" s="94">
        <f t="shared" si="0"/>
        <v>3086281.5635976405</v>
      </c>
      <c r="O5" s="94">
        <f t="shared" si="0"/>
        <v>265218.26227537642</v>
      </c>
    </row>
    <row r="6" spans="1:21" x14ac:dyDescent="0.25">
      <c r="A6" s="94" t="str">
        <f>'Resultater - Vestdanmark'!A6</f>
        <v>Bioaffaldsproduktion</v>
      </c>
      <c r="B6" s="94" t="str">
        <f>'Resultater - Vestdanmark'!B6</f>
        <v/>
      </c>
      <c r="C6" s="94" t="str">
        <f>'Resultater - Vestdanmark'!C6</f>
        <v/>
      </c>
      <c r="D6" s="94" t="str">
        <f>'Resultater - Vestdanmark'!D6</f>
        <v>Befolkning</v>
      </c>
      <c r="E6" s="94" t="str">
        <f>'Resultater - Vestdanmark'!E6</f>
        <v>Antal</v>
      </c>
      <c r="F6" s="94" t="str">
        <f>'Resultater - Vestdanmark'!F6</f>
        <v>Industriaffald</v>
      </c>
      <c r="G6" s="94" t="str">
        <f>'Resultater - Vestdanmark'!G6</f>
        <v>Ton</v>
      </c>
      <c r="H6" s="252">
        <f>'Resultater - Vestdanmark'!H6+'Resultater - Østdanmark'!H6</f>
        <v>355018</v>
      </c>
      <c r="I6" s="253">
        <f>'Resultater - Vestdanmark'!I6+'Resultater - Østdanmark'!I6</f>
        <v>355018</v>
      </c>
      <c r="J6" s="254">
        <f>'Resultater - Vestdanmark'!J6+'Resultater - Østdanmark'!J6</f>
        <v>355018</v>
      </c>
      <c r="L6" s="94" t="s">
        <v>169</v>
      </c>
      <c r="M6" s="94">
        <f t="shared" si="0"/>
        <v>18691.617312245358</v>
      </c>
      <c r="N6" s="94">
        <f t="shared" si="0"/>
        <v>18691.617312245358</v>
      </c>
      <c r="O6" s="94">
        <f t="shared" si="0"/>
        <v>20272.662494864089</v>
      </c>
    </row>
    <row r="7" spans="1:21" x14ac:dyDescent="0.25">
      <c r="A7" s="94" t="str">
        <f>'Resultater - Vestdanmark'!A7</f>
        <v>Muslingefarm</v>
      </c>
      <c r="B7" s="94" t="str">
        <f>'Resultater - Vestdanmark'!B7</f>
        <v/>
      </c>
      <c r="C7" s="94" t="str">
        <f>'Resultater - Vestdanmark'!C7</f>
        <v/>
      </c>
      <c r="D7" s="94" t="str">
        <f>'Resultater - Vestdanmark'!D7</f>
        <v>Muslingeareal</v>
      </c>
      <c r="E7" s="94" t="str">
        <f>'Resultater - Vestdanmark'!E7</f>
        <v>Hektar</v>
      </c>
      <c r="F7" s="94" t="str">
        <f>'Resultater - Vestdanmark'!F7</f>
        <v>Muslinger</v>
      </c>
      <c r="G7" s="94" t="str">
        <f>'Resultater - Vestdanmark'!G7</f>
        <v>Ton</v>
      </c>
      <c r="H7" s="252">
        <f>'Resultater - Vestdanmark'!H7+'Resultater - Østdanmark'!H7</f>
        <v>880.09999999999991</v>
      </c>
      <c r="I7" s="253">
        <f>'Resultater - Vestdanmark'!I7+'Resultater - Østdanmark'!I7</f>
        <v>880.09999999999991</v>
      </c>
      <c r="J7" s="254">
        <f>'Resultater - Vestdanmark'!J7+'Resultater - Østdanmark'!J7</f>
        <v>880.09999999999991</v>
      </c>
      <c r="L7" s="94" t="s">
        <v>42</v>
      </c>
      <c r="M7" s="94">
        <f>SUMIFS(H$3:H$509,$F$3:$F$509,$L$3,$C$3:$C$509,$L7)+SUMIFS(H$3:H$509,$F$3:$F$509,$L$3,$C$3:$C$509,"",$A$3:$A$509,"Grøntsager I drivhus")</f>
        <v>5792.400747147125</v>
      </c>
      <c r="N7" s="94">
        <f>SUMIFS(I$3:I$509,$F$3:$F$509,$L$3,$C$3:$C$509,$L7)+SUMIFS(I$3:I$509,$F$3:$F$509,$L$3,$C$3:$C$509,"",$A$3:$A$509,"Grøntsager I drivhus")</f>
        <v>7439.0578124574986</v>
      </c>
      <c r="O7" s="94">
        <f>SUMIFS(J$3:J$509,$F$3:$F$509,$L$3,$C$3:$C$509,$L7)+SUMIFS(J$3:J$509,$F$3:$F$509,$L$3,$C$3:$C$509,"",$A$3:$A$509,"Grøntsager I drivhus")</f>
        <v>8996.4166620185933</v>
      </c>
    </row>
    <row r="8" spans="1:21" x14ac:dyDescent="0.25">
      <c r="A8" s="94" t="str">
        <f>'Resultater - Vestdanmark'!A8</f>
        <v>Muslingefarm</v>
      </c>
      <c r="B8" s="94" t="str">
        <f>'Resultater - Vestdanmark'!B8</f>
        <v/>
      </c>
      <c r="C8" s="94" t="str">
        <f>'Resultater - Vestdanmark'!C8</f>
        <v/>
      </c>
      <c r="D8" s="94" t="str">
        <f>'Resultater - Vestdanmark'!D8</f>
        <v>Muslingeareal</v>
      </c>
      <c r="E8" s="94" t="str">
        <f>'Resultater - Vestdanmark'!E8</f>
        <v>Hektar</v>
      </c>
      <c r="F8" s="94" t="str">
        <f>'Resultater - Vestdanmark'!F8</f>
        <v>CO2 - atmosfære</v>
      </c>
      <c r="G8" s="94" t="str">
        <f>'Resultater - Vestdanmark'!G8</f>
        <v>t CO2-ækvivalenter</v>
      </c>
      <c r="H8" s="252">
        <f>'Resultater - Vestdanmark'!H8+'Resultater - Østdanmark'!H8</f>
        <v>-142.57619999999997</v>
      </c>
      <c r="I8" s="253">
        <f>'Resultater - Vestdanmark'!I8+'Resultater - Østdanmark'!I8</f>
        <v>-142.57619999999997</v>
      </c>
      <c r="J8" s="254">
        <f>'Resultater - Vestdanmark'!J8+'Resultater - Østdanmark'!J8</f>
        <v>-142.57619999999997</v>
      </c>
      <c r="L8" s="94" t="s">
        <v>41</v>
      </c>
      <c r="M8" s="94">
        <f>SUMIFS(H$3:H$509,$F$3:$F$509,$L$3,$C$3:$C$509,$L8)+SUMIFS(H$3:H$509,$F$3:$F$509,$L$3,$C$3:$C$509,"",$A$3:$A$509,"Grøntsager I drivhus")</f>
        <v>1473136.3400311922</v>
      </c>
      <c r="N8" s="94">
        <f>SUMIFS(I$3:I$509,$F$3:$F$509,$L$3,$C$3:$C$509,$L8)+SUMIFS(I$3:I$509,$F$3:$F$509,$L$3,$C$3:$C$509,"",$A$3:$A$509,"Grøntsager I drivhus")</f>
        <v>949198.10164500773</v>
      </c>
      <c r="O8" s="94">
        <f>SUMIFS(J$3:J$509,$F$3:$F$509,$L$3,$C$3:$C$509,$L8)</f>
        <v>84719.757662516611</v>
      </c>
    </row>
    <row r="9" spans="1:21" x14ac:dyDescent="0.25">
      <c r="A9" s="94" t="str">
        <f>'Resultater - Vestdanmark'!A9</f>
        <v>Tangfarm</v>
      </c>
      <c r="B9" s="94" t="str">
        <f>'Resultater - Vestdanmark'!B9</f>
        <v/>
      </c>
      <c r="C9" s="94" t="str">
        <f>'Resultater - Vestdanmark'!C9</f>
        <v/>
      </c>
      <c r="D9" s="94" t="str">
        <f>'Resultater - Vestdanmark'!D9</f>
        <v>Tangfarmareal</v>
      </c>
      <c r="E9" s="94" t="str">
        <f>'Resultater - Vestdanmark'!E9</f>
        <v>Hektar</v>
      </c>
      <c r="F9" s="94" t="str">
        <f>'Resultater - Vestdanmark'!F9</f>
        <v>Tang</v>
      </c>
      <c r="G9" s="94" t="str">
        <f>'Resultater - Vestdanmark'!G9</f>
        <v>Ton</v>
      </c>
      <c r="H9" s="252">
        <f>'Resultater - Vestdanmark'!H9+'Resultater - Østdanmark'!H9</f>
        <v>76.5</v>
      </c>
      <c r="I9" s="253">
        <f>'Resultater - Vestdanmark'!I9+'Resultater - Østdanmark'!I9</f>
        <v>76.5</v>
      </c>
      <c r="J9" s="254">
        <f>'Resultater - Vestdanmark'!J9+'Resultater - Østdanmark'!J9</f>
        <v>76.5</v>
      </c>
      <c r="L9" s="94" t="s">
        <v>40</v>
      </c>
      <c r="M9" s="94">
        <f>SUMIFS(H$3:H$509,$F$3:$F$509,$L$3,$C$3:$C$509,$L9)+SUMIFS(H$3:H$509,$F$3:$F$509,$L$3,$C$3:$C$509,"",$A$3:$A$509,"Grøntsager I drivhus")</f>
        <v>2862788.0827837912</v>
      </c>
      <c r="N9" s="94">
        <f>SUMIFS(I$3:I$509,$F$3:$F$509,$L$3,$C$3:$C$509,$L9)+SUMIFS(I$3:I$509,$F$3:$F$509,$L$3,$C$3:$C$509,"",$A$3:$A$509,"Grøntsager I drivhus")</f>
        <v>1878359.8929958479</v>
      </c>
      <c r="O9" s="94">
        <f>SUMIFS(J$3:J$509,$F$3:$F$509,$L$3,$C$3:$C$509,$L9)</f>
        <v>176294.5487547456</v>
      </c>
    </row>
    <row r="10" spans="1:21" x14ac:dyDescent="0.25">
      <c r="A10" s="94" t="str">
        <f>'Resultater - Vestdanmark'!A10</f>
        <v>Tangfarm</v>
      </c>
      <c r="B10" s="94" t="str">
        <f>'Resultater - Vestdanmark'!B10</f>
        <v/>
      </c>
      <c r="C10" s="94" t="str">
        <f>'Resultater - Vestdanmark'!C10</f>
        <v/>
      </c>
      <c r="D10" s="94" t="str">
        <f>'Resultater - Vestdanmark'!D10</f>
        <v>Tangfarmareal</v>
      </c>
      <c r="E10" s="94" t="str">
        <f>'Resultater - Vestdanmark'!E10</f>
        <v>Hektar</v>
      </c>
      <c r="F10" s="94" t="str">
        <f>'Resultater - Vestdanmark'!F10</f>
        <v>CO2 - atmosfære</v>
      </c>
      <c r="G10" s="94" t="str">
        <f>'Resultater - Vestdanmark'!G10</f>
        <v>t CO2-ækvivalenter</v>
      </c>
      <c r="H10" s="252">
        <f>'Resultater - Vestdanmark'!H10+'Resultater - Østdanmark'!H10</f>
        <v>-15.861000000000001</v>
      </c>
      <c r="I10" s="253">
        <f>'Resultater - Vestdanmark'!I10+'Resultater - Østdanmark'!I10</f>
        <v>-15.861000000000001</v>
      </c>
      <c r="J10" s="254">
        <f>'Resultater - Vestdanmark'!J10+'Resultater - Østdanmark'!J10</f>
        <v>-15.861000000000001</v>
      </c>
    </row>
    <row r="11" spans="1:21" x14ac:dyDescent="0.25">
      <c r="A11" s="94" t="str">
        <f>'Resultater - Vestdanmark'!A11</f>
        <v>Skovproduktion</v>
      </c>
      <c r="B11" s="94" t="str">
        <f>'Resultater - Vestdanmark'!B11</f>
        <v/>
      </c>
      <c r="C11" s="94" t="str">
        <f>'Resultater - Vestdanmark'!C11</f>
        <v>Basisskov</v>
      </c>
      <c r="D11" s="94" t="str">
        <f>'Resultater - Vestdanmark'!D11</f>
        <v>Areal-basisskov</v>
      </c>
      <c r="E11" s="94" t="str">
        <f>'Resultater - Vestdanmark'!E11</f>
        <v>Hektar</v>
      </c>
      <c r="F11" s="94" t="str">
        <f>'Resultater - Vestdanmark'!F11</f>
        <v>Træer</v>
      </c>
      <c r="G11" s="94" t="str">
        <f>'Resultater - Vestdanmark'!G11</f>
        <v>m3</v>
      </c>
      <c r="H11" s="252">
        <f>'Resultater - Vestdanmark'!H11+'Resultater - Østdanmark'!H11</f>
        <v>1724391.5316257188</v>
      </c>
      <c r="I11" s="253">
        <f>'Resultater - Vestdanmark'!I11+'Resultater - Østdanmark'!I11</f>
        <v>1631885.8233455163</v>
      </c>
      <c r="J11" s="254">
        <f>'Resultater - Vestdanmark'!J11+'Resultater - Østdanmark'!J11</f>
        <v>1476221.0184099278</v>
      </c>
    </row>
    <row r="12" spans="1:21" x14ac:dyDescent="0.25">
      <c r="A12" s="94" t="str">
        <f>'Resultater - Vestdanmark'!A12</f>
        <v>Skovproduktion</v>
      </c>
      <c r="B12" s="94" t="str">
        <f>'Resultater - Vestdanmark'!B12</f>
        <v/>
      </c>
      <c r="C12" s="94" t="str">
        <f>'Resultater - Vestdanmark'!C12</f>
        <v>Basisskov</v>
      </c>
      <c r="D12" s="94" t="str">
        <f>'Resultater - Vestdanmark'!D12</f>
        <v>Areal-basisskov</v>
      </c>
      <c r="E12" s="94" t="str">
        <f>'Resultater - Vestdanmark'!E12</f>
        <v>Hektar</v>
      </c>
      <c r="F12" s="94" t="str">
        <f>'Resultater - Vestdanmark'!F12</f>
        <v>Træ til energi</v>
      </c>
      <c r="G12" s="94" t="str">
        <f>'Resultater - Vestdanmark'!G12</f>
        <v>m3</v>
      </c>
      <c r="H12" s="252">
        <f>'Resultater - Vestdanmark'!H12+'Resultater - Østdanmark'!H12</f>
        <v>2113608.4683742807</v>
      </c>
      <c r="I12" s="253">
        <f>'Resultater - Vestdanmark'!I12+'Resultater - Østdanmark'!I12</f>
        <v>2000223.0539784776</v>
      </c>
      <c r="J12" s="254">
        <f>'Resultater - Vestdanmark'!J12+'Resultater - Østdanmark'!J12</f>
        <v>1809422.7375158332</v>
      </c>
    </row>
    <row r="13" spans="1:21" x14ac:dyDescent="0.25">
      <c r="A13" s="94" t="str">
        <f>'Resultater - Vestdanmark'!A13</f>
        <v>Skovproduktion</v>
      </c>
      <c r="B13" s="94" t="str">
        <f>'Resultater - Vestdanmark'!B13</f>
        <v/>
      </c>
      <c r="C13" s="94" t="str">
        <f>'Resultater - Vestdanmark'!C13</f>
        <v>Basisskov</v>
      </c>
      <c r="D13" s="94" t="str">
        <f>'Resultater - Vestdanmark'!D13</f>
        <v>Areal-basisskov</v>
      </c>
      <c r="E13" s="94" t="str">
        <f>'Resultater - Vestdanmark'!E13</f>
        <v>Hektar</v>
      </c>
      <c r="F13" s="94" t="str">
        <f>'Resultater - Vestdanmark'!F13</f>
        <v>CO2 - atmosfære</v>
      </c>
      <c r="G13" s="94" t="str">
        <f>'Resultater - Vestdanmark'!G13</f>
        <v>t CO2-ækvivalenter</v>
      </c>
      <c r="H13" s="252">
        <f>'Resultater - Vestdanmark'!H13+'Resultater - Østdanmark'!H13</f>
        <v>-562410</v>
      </c>
      <c r="I13" s="253">
        <f>'Resultater - Vestdanmark'!I13+'Resultater - Østdanmark'!I13</f>
        <v>-532239.27923287847</v>
      </c>
      <c r="J13" s="254">
        <f>'Resultater - Vestdanmark'!J13+'Resultater - Østdanmark'!J13</f>
        <v>-481469.23000787059</v>
      </c>
    </row>
    <row r="14" spans="1:21" x14ac:dyDescent="0.25">
      <c r="A14" s="94" t="str">
        <f>'Resultater - Vestdanmark'!A14</f>
        <v>Skovproduktion</v>
      </c>
      <c r="B14" s="94" t="str">
        <f>'Resultater - Vestdanmark'!B14</f>
        <v/>
      </c>
      <c r="C14" s="94" t="str">
        <f>'Resultater - Vestdanmark'!C14</f>
        <v>Basisskov</v>
      </c>
      <c r="D14" s="94" t="str">
        <f>'Resultater - Vestdanmark'!D14</f>
        <v>Areal-basisskov</v>
      </c>
      <c r="E14" s="94" t="str">
        <f>'Resultater - Vestdanmark'!E14</f>
        <v>Hektar</v>
      </c>
      <c r="F14" s="94" t="str">
        <f>'Resultater - Vestdanmark'!F14</f>
        <v>CO2 - HWP</v>
      </c>
      <c r="G14" s="94" t="str">
        <f>'Resultater - Vestdanmark'!G14</f>
        <v>t CO2-ækvivalenter</v>
      </c>
      <c r="H14" s="252">
        <f>'Resultater - Vestdanmark'!H14+'Resultater - Østdanmark'!H14</f>
        <v>-1263438.0423418714</v>
      </c>
      <c r="I14" s="253">
        <f>'Resultater - Vestdanmark'!I14+'Resultater - Østdanmark'!I14</f>
        <v>-1195660.3776807606</v>
      </c>
      <c r="J14" s="254">
        <f>'Resultater - Vestdanmark'!J14+'Resultater - Østdanmark'!J14</f>
        <v>-1081606.9084991238</v>
      </c>
    </row>
    <row r="15" spans="1:21" x14ac:dyDescent="0.25">
      <c r="A15" s="94" t="str">
        <f>'Resultater - Vestdanmark'!A15</f>
        <v>Skovproduktion</v>
      </c>
      <c r="B15" s="94" t="str">
        <f>'Resultater - Vestdanmark'!B15</f>
        <v/>
      </c>
      <c r="C15" s="94" t="str">
        <f>'Resultater - Vestdanmark'!C15</f>
        <v>Skovtype1</v>
      </c>
      <c r="D15" s="94" t="str">
        <f>'Resultater - Vestdanmark'!D15</f>
        <v>Areal-skovtype1-10</v>
      </c>
      <c r="E15" s="94" t="str">
        <f>'Resultater - Vestdanmark'!E15</f>
        <v>Hektar</v>
      </c>
      <c r="F15" s="94" t="str">
        <f>'Resultater - Vestdanmark'!F15</f>
        <v>Træer</v>
      </c>
      <c r="G15" s="94" t="str">
        <f>'Resultater - Vestdanmark'!G15</f>
        <v>m3</v>
      </c>
      <c r="H15" s="252">
        <f ca="1">'Resultater - Vestdanmark'!H15+'Resultater - Østdanmark'!H15</f>
        <v>0</v>
      </c>
      <c r="I15" s="253">
        <f ca="1">'Resultater - Vestdanmark'!I15+'Resultater - Østdanmark'!I15</f>
        <v>0</v>
      </c>
      <c r="J15" s="254">
        <f ca="1">'Resultater - Vestdanmark'!J15+'Resultater - Østdanmark'!J15</f>
        <v>0</v>
      </c>
    </row>
    <row r="16" spans="1:21" x14ac:dyDescent="0.25">
      <c r="A16" s="94" t="str">
        <f>'Resultater - Vestdanmark'!A16</f>
        <v>Skovproduktion</v>
      </c>
      <c r="B16" s="94" t="str">
        <f>'Resultater - Vestdanmark'!B16</f>
        <v/>
      </c>
      <c r="C16" s="94" t="str">
        <f>'Resultater - Vestdanmark'!C16</f>
        <v>Skovtype1</v>
      </c>
      <c r="D16" s="94" t="str">
        <f>'Resultater - Vestdanmark'!D16</f>
        <v>Areal-skovtype1-10</v>
      </c>
      <c r="E16" s="94" t="str">
        <f>'Resultater - Vestdanmark'!E16</f>
        <v>Hektar</v>
      </c>
      <c r="F16" s="94" t="str">
        <f>'Resultater - Vestdanmark'!F16</f>
        <v>Træ til energi</v>
      </c>
      <c r="G16" s="94" t="str">
        <f>'Resultater - Vestdanmark'!G16</f>
        <v>m3</v>
      </c>
      <c r="H16" s="252">
        <f ca="1">'Resultater - Vestdanmark'!H16+'Resultater - Østdanmark'!H16</f>
        <v>0</v>
      </c>
      <c r="I16" s="253">
        <f ca="1">'Resultater - Vestdanmark'!I16+'Resultater - Østdanmark'!I16</f>
        <v>0</v>
      </c>
      <c r="J16" s="254">
        <f ca="1">'Resultater - Vestdanmark'!J16+'Resultater - Østdanmark'!J16</f>
        <v>0</v>
      </c>
    </row>
    <row r="17" spans="1:10" x14ac:dyDescent="0.25">
      <c r="A17" s="94" t="str">
        <f>'Resultater - Vestdanmark'!A17</f>
        <v>Skovproduktion</v>
      </c>
      <c r="B17" s="94" t="str">
        <f>'Resultater - Vestdanmark'!B17</f>
        <v/>
      </c>
      <c r="C17" s="94" t="str">
        <f>'Resultater - Vestdanmark'!C17</f>
        <v>Skovtype1</v>
      </c>
      <c r="D17" s="94" t="str">
        <f>'Resultater - Vestdanmark'!D17</f>
        <v>Areal-skovtype1-10</v>
      </c>
      <c r="E17" s="94" t="str">
        <f>'Resultater - Vestdanmark'!E17</f>
        <v>Hektar</v>
      </c>
      <c r="F17" s="94" t="str">
        <f>'Resultater - Vestdanmark'!F17</f>
        <v>CO2 - atmosfære</v>
      </c>
      <c r="G17" s="94" t="str">
        <f>'Resultater - Vestdanmark'!G17</f>
        <v>t CO2-ækvivalenter</v>
      </c>
      <c r="H17" s="252">
        <f ca="1">'Resultater - Vestdanmark'!H17+'Resultater - Østdanmark'!H17</f>
        <v>0</v>
      </c>
      <c r="I17" s="253">
        <f ca="1">'Resultater - Vestdanmark'!I17+'Resultater - Østdanmark'!I17</f>
        <v>0</v>
      </c>
      <c r="J17" s="254">
        <f ca="1">'Resultater - Vestdanmark'!J17+'Resultater - Østdanmark'!J17</f>
        <v>0</v>
      </c>
    </row>
    <row r="18" spans="1:10" x14ac:dyDescent="0.25">
      <c r="A18" s="94" t="str">
        <f>'Resultater - Vestdanmark'!A18</f>
        <v>Skovproduktion</v>
      </c>
      <c r="B18" s="94" t="str">
        <f>'Resultater - Vestdanmark'!B18</f>
        <v/>
      </c>
      <c r="C18" s="94" t="str">
        <f>'Resultater - Vestdanmark'!C18</f>
        <v>Skovtype1</v>
      </c>
      <c r="D18" s="94" t="str">
        <f>'Resultater - Vestdanmark'!D18</f>
        <v>Areal-skovtype1-10</v>
      </c>
      <c r="E18" s="94" t="str">
        <f>'Resultater - Vestdanmark'!E18</f>
        <v>Hektar</v>
      </c>
      <c r="F18" s="94" t="str">
        <f>'Resultater - Vestdanmark'!F18</f>
        <v>CO2 - HWP</v>
      </c>
      <c r="G18" s="94" t="str">
        <f>'Resultater - Vestdanmark'!G18</f>
        <v>t CO2-ækvivalenter</v>
      </c>
      <c r="H18" s="252">
        <f ca="1">'Resultater - Vestdanmark'!H18+'Resultater - Østdanmark'!H18</f>
        <v>0</v>
      </c>
      <c r="I18" s="253">
        <f ca="1">'Resultater - Vestdanmark'!I18+'Resultater - Østdanmark'!I18</f>
        <v>0</v>
      </c>
      <c r="J18" s="254">
        <f ca="1">'Resultater - Vestdanmark'!J18+'Resultater - Østdanmark'!J18</f>
        <v>0</v>
      </c>
    </row>
    <row r="19" spans="1:10" x14ac:dyDescent="0.25">
      <c r="A19" s="94" t="str">
        <f>'Resultater - Vestdanmark'!A19</f>
        <v>Skovproduktion</v>
      </c>
      <c r="B19" s="94" t="str">
        <f>'Resultater - Vestdanmark'!B19</f>
        <v/>
      </c>
      <c r="C19" s="94" t="str">
        <f>'Resultater - Vestdanmark'!C19</f>
        <v>Skovtype1</v>
      </c>
      <c r="D19" s="94" t="str">
        <f>'Resultater - Vestdanmark'!D19</f>
        <v>Areal-skovtype1-20</v>
      </c>
      <c r="E19" s="94" t="str">
        <f>'Resultater - Vestdanmark'!E19</f>
        <v>Hektar</v>
      </c>
      <c r="F19" s="94" t="str">
        <f>'Resultater - Vestdanmark'!F19</f>
        <v>Træer</v>
      </c>
      <c r="G19" s="94" t="str">
        <f>'Resultater - Vestdanmark'!G19</f>
        <v>m3</v>
      </c>
      <c r="H19" s="252">
        <f ca="1">'Resultater - Vestdanmark'!H19+'Resultater - Østdanmark'!H19</f>
        <v>0</v>
      </c>
      <c r="I19" s="253">
        <f ca="1">'Resultater - Vestdanmark'!I19+'Resultater - Østdanmark'!I19</f>
        <v>0</v>
      </c>
      <c r="J19" s="254">
        <f ca="1">'Resultater - Vestdanmark'!J19+'Resultater - Østdanmark'!J19</f>
        <v>0</v>
      </c>
    </row>
    <row r="20" spans="1:10" x14ac:dyDescent="0.25">
      <c r="A20" s="94" t="str">
        <f>'Resultater - Vestdanmark'!A20</f>
        <v>Skovproduktion</v>
      </c>
      <c r="B20" s="94" t="str">
        <f>'Resultater - Vestdanmark'!B20</f>
        <v/>
      </c>
      <c r="C20" s="94" t="str">
        <f>'Resultater - Vestdanmark'!C20</f>
        <v>Skovtype1</v>
      </c>
      <c r="D20" s="94" t="str">
        <f>'Resultater - Vestdanmark'!D20</f>
        <v>Areal-skovtype1-20</v>
      </c>
      <c r="E20" s="94" t="str">
        <f>'Resultater - Vestdanmark'!E20</f>
        <v>Hektar</v>
      </c>
      <c r="F20" s="94" t="str">
        <f>'Resultater - Vestdanmark'!F20</f>
        <v>Træ til energi</v>
      </c>
      <c r="G20" s="94" t="str">
        <f>'Resultater - Vestdanmark'!G20</f>
        <v>m3</v>
      </c>
      <c r="H20" s="252">
        <f ca="1">'Resultater - Vestdanmark'!H20+'Resultater - Østdanmark'!H20</f>
        <v>0</v>
      </c>
      <c r="I20" s="253">
        <f ca="1">'Resultater - Vestdanmark'!I20+'Resultater - Østdanmark'!I20</f>
        <v>0</v>
      </c>
      <c r="J20" s="254">
        <f ca="1">'Resultater - Vestdanmark'!J20+'Resultater - Østdanmark'!J20</f>
        <v>0</v>
      </c>
    </row>
    <row r="21" spans="1:10" x14ac:dyDescent="0.25">
      <c r="A21" s="94" t="str">
        <f>'Resultater - Vestdanmark'!A21</f>
        <v>Skovproduktion</v>
      </c>
      <c r="B21" s="94" t="str">
        <f>'Resultater - Vestdanmark'!B21</f>
        <v/>
      </c>
      <c r="C21" s="94" t="str">
        <f>'Resultater - Vestdanmark'!C21</f>
        <v>Skovtype1</v>
      </c>
      <c r="D21" s="94" t="str">
        <f>'Resultater - Vestdanmark'!D21</f>
        <v>Areal-skovtype1-20</v>
      </c>
      <c r="E21" s="94" t="str">
        <f>'Resultater - Vestdanmark'!E21</f>
        <v>Hektar</v>
      </c>
      <c r="F21" s="94" t="str">
        <f>'Resultater - Vestdanmark'!F21</f>
        <v>CO2 - atmosfære</v>
      </c>
      <c r="G21" s="94" t="str">
        <f>'Resultater - Vestdanmark'!G21</f>
        <v>t CO2-ækvivalenter</v>
      </c>
      <c r="H21" s="252">
        <f ca="1">'Resultater - Vestdanmark'!H21+'Resultater - Østdanmark'!H21</f>
        <v>0</v>
      </c>
      <c r="I21" s="253">
        <f ca="1">'Resultater - Vestdanmark'!I21+'Resultater - Østdanmark'!I21</f>
        <v>0</v>
      </c>
      <c r="J21" s="254">
        <f ca="1">'Resultater - Vestdanmark'!J21+'Resultater - Østdanmark'!J21</f>
        <v>0</v>
      </c>
    </row>
    <row r="22" spans="1:10" x14ac:dyDescent="0.25">
      <c r="A22" s="94" t="str">
        <f>'Resultater - Vestdanmark'!A22</f>
        <v>Skovproduktion</v>
      </c>
      <c r="B22" s="94" t="str">
        <f>'Resultater - Vestdanmark'!B22</f>
        <v/>
      </c>
      <c r="C22" s="94" t="str">
        <f>'Resultater - Vestdanmark'!C22</f>
        <v>Skovtype1</v>
      </c>
      <c r="D22" s="94" t="str">
        <f>'Resultater - Vestdanmark'!D22</f>
        <v>Areal-skovtype1-20</v>
      </c>
      <c r="E22" s="94" t="str">
        <f>'Resultater - Vestdanmark'!E22</f>
        <v>Hektar</v>
      </c>
      <c r="F22" s="94" t="str">
        <f>'Resultater - Vestdanmark'!F22</f>
        <v>CO2 - HWP</v>
      </c>
      <c r="G22" s="94" t="str">
        <f>'Resultater - Vestdanmark'!G22</f>
        <v>t CO2-ækvivalenter</v>
      </c>
      <c r="H22" s="252">
        <f ca="1">'Resultater - Vestdanmark'!H22+'Resultater - Østdanmark'!H22</f>
        <v>0</v>
      </c>
      <c r="I22" s="253">
        <f ca="1">'Resultater - Vestdanmark'!I22+'Resultater - Østdanmark'!I22</f>
        <v>0</v>
      </c>
      <c r="J22" s="254">
        <f ca="1">'Resultater - Vestdanmark'!J22+'Resultater - Østdanmark'!J22</f>
        <v>0</v>
      </c>
    </row>
    <row r="23" spans="1:10" x14ac:dyDescent="0.25">
      <c r="A23" s="94" t="str">
        <f>'Resultater - Vestdanmark'!A23</f>
        <v>Skovproduktion</v>
      </c>
      <c r="B23" s="94" t="str">
        <f>'Resultater - Vestdanmark'!B23</f>
        <v/>
      </c>
      <c r="C23" s="94" t="str">
        <f>'Resultater - Vestdanmark'!C23</f>
        <v>Skovtype1</v>
      </c>
      <c r="D23" s="94" t="str">
        <f>'Resultater - Vestdanmark'!D23</f>
        <v>Areal-skovtype1-30</v>
      </c>
      <c r="E23" s="94" t="str">
        <f>'Resultater - Vestdanmark'!E23</f>
        <v>Hektar</v>
      </c>
      <c r="F23" s="94" t="str">
        <f>'Resultater - Vestdanmark'!F23</f>
        <v>Træer</v>
      </c>
      <c r="G23" s="94" t="str">
        <f>'Resultater - Vestdanmark'!G23</f>
        <v>m3</v>
      </c>
      <c r="H23" s="252">
        <f ca="1">'Resultater - Vestdanmark'!H23+'Resultater - Østdanmark'!H23</f>
        <v>0</v>
      </c>
      <c r="I23" s="253">
        <f ca="1">'Resultater - Vestdanmark'!I23+'Resultater - Østdanmark'!I23</f>
        <v>0</v>
      </c>
      <c r="J23" s="254">
        <f ca="1">'Resultater - Vestdanmark'!J23+'Resultater - Østdanmark'!J23</f>
        <v>0</v>
      </c>
    </row>
    <row r="24" spans="1:10" x14ac:dyDescent="0.25">
      <c r="A24" s="94" t="str">
        <f>'Resultater - Vestdanmark'!A24</f>
        <v>Skovproduktion</v>
      </c>
      <c r="B24" s="94" t="str">
        <f>'Resultater - Vestdanmark'!B24</f>
        <v/>
      </c>
      <c r="C24" s="94" t="str">
        <f>'Resultater - Vestdanmark'!C24</f>
        <v>Skovtype1</v>
      </c>
      <c r="D24" s="94" t="str">
        <f>'Resultater - Vestdanmark'!D24</f>
        <v>Areal-skovtype1-30</v>
      </c>
      <c r="E24" s="94" t="str">
        <f>'Resultater - Vestdanmark'!E24</f>
        <v>Hektar</v>
      </c>
      <c r="F24" s="94" t="str">
        <f>'Resultater - Vestdanmark'!F24</f>
        <v>Træ til energi</v>
      </c>
      <c r="G24" s="94" t="str">
        <f>'Resultater - Vestdanmark'!G24</f>
        <v>m3</v>
      </c>
      <c r="H24" s="252">
        <f ca="1">'Resultater - Vestdanmark'!H24+'Resultater - Østdanmark'!H24</f>
        <v>0</v>
      </c>
      <c r="I24" s="253">
        <f ca="1">'Resultater - Vestdanmark'!I24+'Resultater - Østdanmark'!I24</f>
        <v>0</v>
      </c>
      <c r="J24" s="254">
        <f ca="1">'Resultater - Vestdanmark'!J24+'Resultater - Østdanmark'!J24</f>
        <v>0</v>
      </c>
    </row>
    <row r="25" spans="1:10" x14ac:dyDescent="0.25">
      <c r="A25" s="94" t="str">
        <f>'Resultater - Vestdanmark'!A25</f>
        <v>Skovproduktion</v>
      </c>
      <c r="B25" s="94" t="str">
        <f>'Resultater - Vestdanmark'!B25</f>
        <v/>
      </c>
      <c r="C25" s="94" t="str">
        <f>'Resultater - Vestdanmark'!C25</f>
        <v>Skovtype1</v>
      </c>
      <c r="D25" s="94" t="str">
        <f>'Resultater - Vestdanmark'!D25</f>
        <v>Areal-skovtype1-30</v>
      </c>
      <c r="E25" s="94" t="str">
        <f>'Resultater - Vestdanmark'!E25</f>
        <v>Hektar</v>
      </c>
      <c r="F25" s="94" t="str">
        <f>'Resultater - Vestdanmark'!F25</f>
        <v>CO2 - atmosfære</v>
      </c>
      <c r="G25" s="94" t="str">
        <f>'Resultater - Vestdanmark'!G25</f>
        <v>t CO2-ækvivalenter</v>
      </c>
      <c r="H25" s="252">
        <f ca="1">'Resultater - Vestdanmark'!H25+'Resultater - Østdanmark'!H25</f>
        <v>0</v>
      </c>
      <c r="I25" s="253">
        <f ca="1">'Resultater - Vestdanmark'!I25+'Resultater - Østdanmark'!I25</f>
        <v>0</v>
      </c>
      <c r="J25" s="254">
        <f ca="1">'Resultater - Vestdanmark'!J25+'Resultater - Østdanmark'!J25</f>
        <v>0</v>
      </c>
    </row>
    <row r="26" spans="1:10" x14ac:dyDescent="0.25">
      <c r="A26" s="94" t="str">
        <f>'Resultater - Vestdanmark'!A26</f>
        <v>Skovproduktion</v>
      </c>
      <c r="B26" s="94" t="str">
        <f>'Resultater - Vestdanmark'!B26</f>
        <v/>
      </c>
      <c r="C26" s="94" t="str">
        <f>'Resultater - Vestdanmark'!C26</f>
        <v>Skovtype1</v>
      </c>
      <c r="D26" s="94" t="str">
        <f>'Resultater - Vestdanmark'!D26</f>
        <v>Areal-skovtype1-30</v>
      </c>
      <c r="E26" s="94" t="str">
        <f>'Resultater - Vestdanmark'!E26</f>
        <v>Hektar</v>
      </c>
      <c r="F26" s="94" t="str">
        <f>'Resultater - Vestdanmark'!F26</f>
        <v>CO2 - HWP</v>
      </c>
      <c r="G26" s="94" t="str">
        <f>'Resultater - Vestdanmark'!G26</f>
        <v>t CO2-ækvivalenter</v>
      </c>
      <c r="H26" s="252">
        <f ca="1">'Resultater - Vestdanmark'!H26+'Resultater - Østdanmark'!H26</f>
        <v>0</v>
      </c>
      <c r="I26" s="253">
        <f ca="1">'Resultater - Vestdanmark'!I26+'Resultater - Østdanmark'!I26</f>
        <v>0</v>
      </c>
      <c r="J26" s="254">
        <f ca="1">'Resultater - Vestdanmark'!J26+'Resultater - Østdanmark'!J26</f>
        <v>0</v>
      </c>
    </row>
    <row r="27" spans="1:10" x14ac:dyDescent="0.25">
      <c r="A27" s="94" t="str">
        <f>'Resultater - Vestdanmark'!A27</f>
        <v>Skovproduktion</v>
      </c>
      <c r="B27" s="94" t="str">
        <f>'Resultater - Vestdanmark'!B27</f>
        <v/>
      </c>
      <c r="C27" s="94" t="str">
        <f>'Resultater - Vestdanmark'!C27</f>
        <v>Skovtype1</v>
      </c>
      <c r="D27" s="94" t="str">
        <f>'Resultater - Vestdanmark'!D27</f>
        <v>Areal-skovtype1-40</v>
      </c>
      <c r="E27" s="94" t="str">
        <f>'Resultater - Vestdanmark'!E27</f>
        <v>Hektar</v>
      </c>
      <c r="F27" s="94" t="str">
        <f>'Resultater - Vestdanmark'!F27</f>
        <v>Træer</v>
      </c>
      <c r="G27" s="94" t="str">
        <f>'Resultater - Vestdanmark'!G27</f>
        <v>m3</v>
      </c>
      <c r="H27" s="252">
        <f ca="1">'Resultater - Vestdanmark'!H27+'Resultater - Østdanmark'!H27</f>
        <v>0</v>
      </c>
      <c r="I27" s="253">
        <f ca="1">'Resultater - Vestdanmark'!I27+'Resultater - Østdanmark'!I27</f>
        <v>0</v>
      </c>
      <c r="J27" s="254">
        <f ca="1">'Resultater - Vestdanmark'!J27+'Resultater - Østdanmark'!J27</f>
        <v>0</v>
      </c>
    </row>
    <row r="28" spans="1:10" x14ac:dyDescent="0.25">
      <c r="A28" s="94" t="str">
        <f>'Resultater - Vestdanmark'!A28</f>
        <v>Skovproduktion</v>
      </c>
      <c r="B28" s="94" t="str">
        <f>'Resultater - Vestdanmark'!B28</f>
        <v/>
      </c>
      <c r="C28" s="94" t="str">
        <f>'Resultater - Vestdanmark'!C28</f>
        <v>Skovtype1</v>
      </c>
      <c r="D28" s="94" t="str">
        <f>'Resultater - Vestdanmark'!D28</f>
        <v>Areal-skovtype1-40</v>
      </c>
      <c r="E28" s="94" t="str">
        <f>'Resultater - Vestdanmark'!E28</f>
        <v>Hektar</v>
      </c>
      <c r="F28" s="94" t="str">
        <f>'Resultater - Vestdanmark'!F28</f>
        <v>Træ til energi</v>
      </c>
      <c r="G28" s="94" t="str">
        <f>'Resultater - Vestdanmark'!G28</f>
        <v>m3</v>
      </c>
      <c r="H28" s="252">
        <f ca="1">'Resultater - Vestdanmark'!H28+'Resultater - Østdanmark'!H28</f>
        <v>0</v>
      </c>
      <c r="I28" s="253">
        <f ca="1">'Resultater - Vestdanmark'!I28+'Resultater - Østdanmark'!I28</f>
        <v>0</v>
      </c>
      <c r="J28" s="254">
        <f ca="1">'Resultater - Vestdanmark'!J28+'Resultater - Østdanmark'!J28</f>
        <v>0</v>
      </c>
    </row>
    <row r="29" spans="1:10" x14ac:dyDescent="0.25">
      <c r="A29" s="94" t="str">
        <f>'Resultater - Vestdanmark'!A29</f>
        <v>Skovproduktion</v>
      </c>
      <c r="B29" s="94" t="str">
        <f>'Resultater - Vestdanmark'!B29</f>
        <v/>
      </c>
      <c r="C29" s="94" t="str">
        <f>'Resultater - Vestdanmark'!C29</f>
        <v>Skovtype1</v>
      </c>
      <c r="D29" s="94" t="str">
        <f>'Resultater - Vestdanmark'!D29</f>
        <v>Areal-skovtype1-40</v>
      </c>
      <c r="E29" s="94" t="str">
        <f>'Resultater - Vestdanmark'!E29</f>
        <v>Hektar</v>
      </c>
      <c r="F29" s="94" t="str">
        <f>'Resultater - Vestdanmark'!F29</f>
        <v>CO2 - atmosfære</v>
      </c>
      <c r="G29" s="94" t="str">
        <f>'Resultater - Vestdanmark'!G29</f>
        <v>t CO2-ækvivalenter</v>
      </c>
      <c r="H29" s="252">
        <f ca="1">'Resultater - Vestdanmark'!H29+'Resultater - Østdanmark'!H29</f>
        <v>0</v>
      </c>
      <c r="I29" s="253">
        <f ca="1">'Resultater - Vestdanmark'!I29+'Resultater - Østdanmark'!I29</f>
        <v>0</v>
      </c>
      <c r="J29" s="254">
        <f ca="1">'Resultater - Vestdanmark'!J29+'Resultater - Østdanmark'!J29</f>
        <v>0</v>
      </c>
    </row>
    <row r="30" spans="1:10" x14ac:dyDescent="0.25">
      <c r="A30" s="94" t="str">
        <f>'Resultater - Vestdanmark'!A30</f>
        <v>Skovproduktion</v>
      </c>
      <c r="B30" s="94" t="str">
        <f>'Resultater - Vestdanmark'!B30</f>
        <v/>
      </c>
      <c r="C30" s="94" t="str">
        <f>'Resultater - Vestdanmark'!C30</f>
        <v>Skovtype1</v>
      </c>
      <c r="D30" s="94" t="str">
        <f>'Resultater - Vestdanmark'!D30</f>
        <v>Areal-skovtype1-40</v>
      </c>
      <c r="E30" s="94" t="str">
        <f>'Resultater - Vestdanmark'!E30</f>
        <v>Hektar</v>
      </c>
      <c r="F30" s="94" t="str">
        <f>'Resultater - Vestdanmark'!F30</f>
        <v>CO2 - HWP</v>
      </c>
      <c r="G30" s="94" t="str">
        <f>'Resultater - Vestdanmark'!G30</f>
        <v>t CO2-ækvivalenter</v>
      </c>
      <c r="H30" s="252">
        <f ca="1">'Resultater - Vestdanmark'!H30+'Resultater - Østdanmark'!H30</f>
        <v>0</v>
      </c>
      <c r="I30" s="253">
        <f ca="1">'Resultater - Vestdanmark'!I30+'Resultater - Østdanmark'!I30</f>
        <v>0</v>
      </c>
      <c r="J30" s="254">
        <f ca="1">'Resultater - Vestdanmark'!J30+'Resultater - Østdanmark'!J30</f>
        <v>0</v>
      </c>
    </row>
    <row r="31" spans="1:10" x14ac:dyDescent="0.25">
      <c r="A31" s="94" t="str">
        <f>'Resultater - Vestdanmark'!A31</f>
        <v>Skovproduktion</v>
      </c>
      <c r="B31" s="94" t="str">
        <f>'Resultater - Vestdanmark'!B31</f>
        <v/>
      </c>
      <c r="C31" s="94" t="str">
        <f>'Resultater - Vestdanmark'!C31</f>
        <v>Skovtype2</v>
      </c>
      <c r="D31" s="94" t="str">
        <f>'Resultater - Vestdanmark'!D31</f>
        <v>Areal-skovtype2-10</v>
      </c>
      <c r="E31" s="94" t="str">
        <f>'Resultater - Vestdanmark'!E31</f>
        <v>Hektar</v>
      </c>
      <c r="F31" s="94" t="str">
        <f>'Resultater - Vestdanmark'!F31</f>
        <v>Træer</v>
      </c>
      <c r="G31" s="94" t="str">
        <f>'Resultater - Vestdanmark'!G31</f>
        <v>m3</v>
      </c>
      <c r="H31" s="252">
        <f ca="1">'Resultater - Vestdanmark'!H31+'Resultater - Østdanmark'!H31</f>
        <v>0</v>
      </c>
      <c r="I31" s="253">
        <f ca="1">'Resultater - Vestdanmark'!I31+'Resultater - Østdanmark'!I31</f>
        <v>0</v>
      </c>
      <c r="J31" s="254">
        <f ca="1">'Resultater - Vestdanmark'!J31+'Resultater - Østdanmark'!J31</f>
        <v>0</v>
      </c>
    </row>
    <row r="32" spans="1:10" x14ac:dyDescent="0.25">
      <c r="A32" s="94" t="str">
        <f>'Resultater - Vestdanmark'!A32</f>
        <v>Skovproduktion</v>
      </c>
      <c r="B32" s="94" t="str">
        <f>'Resultater - Vestdanmark'!B32</f>
        <v/>
      </c>
      <c r="C32" s="94" t="str">
        <f>'Resultater - Vestdanmark'!C32</f>
        <v>Skovtype2</v>
      </c>
      <c r="D32" s="94" t="str">
        <f>'Resultater - Vestdanmark'!D32</f>
        <v>Areal-skovtype2-10</v>
      </c>
      <c r="E32" s="94" t="str">
        <f>'Resultater - Vestdanmark'!E32</f>
        <v>Hektar</v>
      </c>
      <c r="F32" s="94" t="str">
        <f>'Resultater - Vestdanmark'!F32</f>
        <v>Træ til energi</v>
      </c>
      <c r="G32" s="94" t="str">
        <f>'Resultater - Vestdanmark'!G32</f>
        <v>m3</v>
      </c>
      <c r="H32" s="252">
        <f ca="1">'Resultater - Vestdanmark'!H32+'Resultater - Østdanmark'!H32</f>
        <v>0</v>
      </c>
      <c r="I32" s="253">
        <f ca="1">'Resultater - Vestdanmark'!I32+'Resultater - Østdanmark'!I32</f>
        <v>0</v>
      </c>
      <c r="J32" s="254">
        <f ca="1">'Resultater - Vestdanmark'!J32+'Resultater - Østdanmark'!J32</f>
        <v>0</v>
      </c>
    </row>
    <row r="33" spans="1:10" x14ac:dyDescent="0.25">
      <c r="A33" s="94" t="str">
        <f>'Resultater - Vestdanmark'!A33</f>
        <v>Skovproduktion</v>
      </c>
      <c r="B33" s="94" t="str">
        <f>'Resultater - Vestdanmark'!B33</f>
        <v/>
      </c>
      <c r="C33" s="94" t="str">
        <f>'Resultater - Vestdanmark'!C33</f>
        <v>Skovtype2</v>
      </c>
      <c r="D33" s="94" t="str">
        <f>'Resultater - Vestdanmark'!D33</f>
        <v>Areal-skovtype2-10</v>
      </c>
      <c r="E33" s="94" t="str">
        <f>'Resultater - Vestdanmark'!E33</f>
        <v>Hektar</v>
      </c>
      <c r="F33" s="94" t="str">
        <f>'Resultater - Vestdanmark'!F33</f>
        <v>CO2 - atmosfære</v>
      </c>
      <c r="G33" s="94" t="str">
        <f>'Resultater - Vestdanmark'!G33</f>
        <v>t CO2-ækvivalenter</v>
      </c>
      <c r="H33" s="252">
        <f ca="1">'Resultater - Vestdanmark'!H33+'Resultater - Østdanmark'!H33</f>
        <v>0</v>
      </c>
      <c r="I33" s="253">
        <f ca="1">'Resultater - Vestdanmark'!I33+'Resultater - Østdanmark'!I33</f>
        <v>-705083.29165918217</v>
      </c>
      <c r="J33" s="254">
        <f ca="1">'Resultater - Vestdanmark'!J33+'Resultater - Østdanmark'!J33</f>
        <v>-452532.23245382868</v>
      </c>
    </row>
    <row r="34" spans="1:10" x14ac:dyDescent="0.25">
      <c r="A34" s="94" t="str">
        <f>'Resultater - Vestdanmark'!A34</f>
        <v>Skovproduktion</v>
      </c>
      <c r="B34" s="94" t="str">
        <f>'Resultater - Vestdanmark'!B34</f>
        <v/>
      </c>
      <c r="C34" s="94" t="str">
        <f>'Resultater - Vestdanmark'!C34</f>
        <v>Skovtype2</v>
      </c>
      <c r="D34" s="94" t="str">
        <f>'Resultater - Vestdanmark'!D34</f>
        <v>Areal-skovtype2-10</v>
      </c>
      <c r="E34" s="94" t="str">
        <f>'Resultater - Vestdanmark'!E34</f>
        <v>Hektar</v>
      </c>
      <c r="F34" s="94" t="str">
        <f>'Resultater - Vestdanmark'!F34</f>
        <v>CO2 - HWP</v>
      </c>
      <c r="G34" s="94" t="str">
        <f>'Resultater - Vestdanmark'!G34</f>
        <v>t CO2-ækvivalenter</v>
      </c>
      <c r="H34" s="252">
        <f ca="1">'Resultater - Vestdanmark'!H34+'Resultater - Østdanmark'!H34</f>
        <v>0</v>
      </c>
      <c r="I34" s="253">
        <f ca="1">'Resultater - Vestdanmark'!I34+'Resultater - Østdanmark'!I34</f>
        <v>0</v>
      </c>
      <c r="J34" s="254">
        <f ca="1">'Resultater - Vestdanmark'!J34+'Resultater - Østdanmark'!J34</f>
        <v>0</v>
      </c>
    </row>
    <row r="35" spans="1:10" x14ac:dyDescent="0.25">
      <c r="A35" s="94" t="str">
        <f>'Resultater - Vestdanmark'!A35</f>
        <v>Skovproduktion</v>
      </c>
      <c r="B35" s="94" t="str">
        <f>'Resultater - Vestdanmark'!B35</f>
        <v/>
      </c>
      <c r="C35" s="94" t="str">
        <f>'Resultater - Vestdanmark'!C35</f>
        <v>Skovtype2</v>
      </c>
      <c r="D35" s="94" t="str">
        <f>'Resultater - Vestdanmark'!D35</f>
        <v>Areal-skovtype2-20</v>
      </c>
      <c r="E35" s="94" t="str">
        <f>'Resultater - Vestdanmark'!E35</f>
        <v>Hektar</v>
      </c>
      <c r="F35" s="94" t="str">
        <f>'Resultater - Vestdanmark'!F35</f>
        <v>Træer</v>
      </c>
      <c r="G35" s="94" t="str">
        <f>'Resultater - Vestdanmark'!G35</f>
        <v>m3</v>
      </c>
      <c r="H35" s="252">
        <f ca="1">'Resultater - Vestdanmark'!H35+'Resultater - Østdanmark'!H35</f>
        <v>0</v>
      </c>
      <c r="I35" s="253">
        <f ca="1">'Resultater - Vestdanmark'!I35+'Resultater - Østdanmark'!I35</f>
        <v>12927.982373246849</v>
      </c>
      <c r="J35" s="254">
        <f ca="1">'Resultater - Vestdanmark'!J35+'Resultater - Østdanmark'!J35</f>
        <v>81443.80328445365</v>
      </c>
    </row>
    <row r="36" spans="1:10" x14ac:dyDescent="0.25">
      <c r="A36" s="94" t="str">
        <f>'Resultater - Vestdanmark'!A36</f>
        <v>Skovproduktion</v>
      </c>
      <c r="B36" s="94" t="str">
        <f>'Resultater - Vestdanmark'!B36</f>
        <v/>
      </c>
      <c r="C36" s="94" t="str">
        <f>'Resultater - Vestdanmark'!C36</f>
        <v>Skovtype2</v>
      </c>
      <c r="D36" s="94" t="str">
        <f>'Resultater - Vestdanmark'!D36</f>
        <v>Areal-skovtype2-20</v>
      </c>
      <c r="E36" s="94" t="str">
        <f>'Resultater - Vestdanmark'!E36</f>
        <v>Hektar</v>
      </c>
      <c r="F36" s="94" t="str">
        <f>'Resultater - Vestdanmark'!F36</f>
        <v>Træ til energi</v>
      </c>
      <c r="G36" s="94" t="str">
        <f>'Resultater - Vestdanmark'!G36</f>
        <v>m3</v>
      </c>
      <c r="H36" s="252">
        <f ca="1">'Resultater - Vestdanmark'!H36+'Resultater - Østdanmark'!H36</f>
        <v>0</v>
      </c>
      <c r="I36" s="253">
        <f ca="1">'Resultater - Vestdanmark'!I36+'Resultater - Østdanmark'!I36</f>
        <v>3231.9955933117117</v>
      </c>
      <c r="J36" s="254">
        <f ca="1">'Resultater - Vestdanmark'!J36+'Resultater - Østdanmark'!J36</f>
        <v>20360.950821113409</v>
      </c>
    </row>
    <row r="37" spans="1:10" x14ac:dyDescent="0.25">
      <c r="A37" s="94" t="str">
        <f>'Resultater - Vestdanmark'!A37</f>
        <v>Skovproduktion</v>
      </c>
      <c r="B37" s="94" t="str">
        <f>'Resultater - Vestdanmark'!B37</f>
        <v/>
      </c>
      <c r="C37" s="94" t="str">
        <f>'Resultater - Vestdanmark'!C37</f>
        <v>Skovtype2</v>
      </c>
      <c r="D37" s="94" t="str">
        <f>'Resultater - Vestdanmark'!D37</f>
        <v>Areal-skovtype2-20</v>
      </c>
      <c r="E37" s="94" t="str">
        <f>'Resultater - Vestdanmark'!E37</f>
        <v>Hektar</v>
      </c>
      <c r="F37" s="94" t="str">
        <f>'Resultater - Vestdanmark'!F37</f>
        <v>CO2 - atmosfære</v>
      </c>
      <c r="G37" s="94" t="str">
        <f>'Resultater - Vestdanmark'!G37</f>
        <v>t CO2-ækvivalenter</v>
      </c>
      <c r="H37" s="252">
        <f ca="1">'Resultater - Vestdanmark'!H37+'Resultater - Østdanmark'!H37</f>
        <v>0</v>
      </c>
      <c r="I37" s="253">
        <f ca="1">'Resultater - Vestdanmark'!I37+'Resultater - Østdanmark'!I37</f>
        <v>-90585.999585824335</v>
      </c>
      <c r="J37" s="254">
        <f ca="1">'Resultater - Vestdanmark'!J37+'Resultater - Østdanmark'!J37</f>
        <v>-570674.38039371208</v>
      </c>
    </row>
    <row r="38" spans="1:10" x14ac:dyDescent="0.25">
      <c r="A38" s="94" t="str">
        <f>'Resultater - Vestdanmark'!A38</f>
        <v>Skovproduktion</v>
      </c>
      <c r="B38" s="94" t="str">
        <f>'Resultater - Vestdanmark'!B38</f>
        <v/>
      </c>
      <c r="C38" s="94" t="str">
        <f>'Resultater - Vestdanmark'!C38</f>
        <v>Skovtype2</v>
      </c>
      <c r="D38" s="94" t="str">
        <f>'Resultater - Vestdanmark'!D38</f>
        <v>Areal-skovtype2-20</v>
      </c>
      <c r="E38" s="94" t="str">
        <f>'Resultater - Vestdanmark'!E38</f>
        <v>Hektar</v>
      </c>
      <c r="F38" s="94" t="str">
        <f>'Resultater - Vestdanmark'!F38</f>
        <v>CO2 - HWP</v>
      </c>
      <c r="G38" s="94" t="str">
        <f>'Resultater - Vestdanmark'!G38</f>
        <v>t CO2-ækvivalenter</v>
      </c>
      <c r="H38" s="252">
        <f ca="1">'Resultater - Vestdanmark'!H38+'Resultater - Østdanmark'!H38</f>
        <v>0</v>
      </c>
      <c r="I38" s="253">
        <f ca="1">'Resultater - Vestdanmark'!I38+'Resultater - Østdanmark'!I38</f>
        <v>-81527.399627241917</v>
      </c>
      <c r="J38" s="254">
        <f ca="1">'Resultater - Vestdanmark'!J38+'Resultater - Østdanmark'!J38</f>
        <v>-513606.94235434092</v>
      </c>
    </row>
    <row r="39" spans="1:10" x14ac:dyDescent="0.25">
      <c r="A39" s="94" t="str">
        <f>'Resultater - Vestdanmark'!A39</f>
        <v>Skovproduktion</v>
      </c>
      <c r="B39" s="94" t="str">
        <f>'Resultater - Vestdanmark'!B39</f>
        <v/>
      </c>
      <c r="C39" s="94" t="str">
        <f>'Resultater - Vestdanmark'!C39</f>
        <v>Skovtype2</v>
      </c>
      <c r="D39" s="94" t="str">
        <f>'Resultater - Vestdanmark'!D39</f>
        <v>Areal-skovtype2-30</v>
      </c>
      <c r="E39" s="94" t="str">
        <f>'Resultater - Vestdanmark'!E39</f>
        <v>Hektar</v>
      </c>
      <c r="F39" s="94" t="str">
        <f>'Resultater - Vestdanmark'!F39</f>
        <v>Træer</v>
      </c>
      <c r="G39" s="94" t="str">
        <f>'Resultater - Vestdanmark'!G39</f>
        <v>m3</v>
      </c>
      <c r="H39" s="252">
        <f ca="1">'Resultater - Vestdanmark'!H39+'Resultater - Østdanmark'!H39</f>
        <v>0</v>
      </c>
      <c r="I39" s="253">
        <f ca="1">'Resultater - Vestdanmark'!I39+'Resultater - Østdanmark'!I39</f>
        <v>0</v>
      </c>
      <c r="J39" s="254">
        <f ca="1">'Resultater - Vestdanmark'!J39+'Resultater - Østdanmark'!J39</f>
        <v>132871.977276352</v>
      </c>
    </row>
    <row r="40" spans="1:10" x14ac:dyDescent="0.25">
      <c r="A40" s="94" t="str">
        <f>'Resultater - Vestdanmark'!A40</f>
        <v>Skovproduktion</v>
      </c>
      <c r="B40" s="94" t="str">
        <f>'Resultater - Vestdanmark'!B40</f>
        <v/>
      </c>
      <c r="C40" s="94" t="str">
        <f>'Resultater - Vestdanmark'!C40</f>
        <v>Skovtype2</v>
      </c>
      <c r="D40" s="94" t="str">
        <f>'Resultater - Vestdanmark'!D40</f>
        <v>Areal-skovtype2-30</v>
      </c>
      <c r="E40" s="94" t="str">
        <f>'Resultater - Vestdanmark'!E40</f>
        <v>Hektar</v>
      </c>
      <c r="F40" s="94" t="str">
        <f>'Resultater - Vestdanmark'!F40</f>
        <v>Træ til energi</v>
      </c>
      <c r="G40" s="94" t="str">
        <f>'Resultater - Vestdanmark'!G40</f>
        <v>m3</v>
      </c>
      <c r="H40" s="252">
        <f ca="1">'Resultater - Vestdanmark'!H40+'Resultater - Østdanmark'!H40</f>
        <v>0</v>
      </c>
      <c r="I40" s="253">
        <f ca="1">'Resultater - Vestdanmark'!I40+'Resultater - Østdanmark'!I40</f>
        <v>0</v>
      </c>
      <c r="J40" s="254">
        <f ca="1">'Resultater - Vestdanmark'!J40+'Resultater - Østdanmark'!J40</f>
        <v>45994.145980275694</v>
      </c>
    </row>
    <row r="41" spans="1:10" x14ac:dyDescent="0.25">
      <c r="A41" s="94" t="str">
        <f>'Resultater - Vestdanmark'!A41</f>
        <v>Skovproduktion</v>
      </c>
      <c r="B41" s="94" t="str">
        <f>'Resultater - Vestdanmark'!B41</f>
        <v/>
      </c>
      <c r="C41" s="94" t="str">
        <f>'Resultater - Vestdanmark'!C41</f>
        <v>Skovtype2</v>
      </c>
      <c r="D41" s="94" t="str">
        <f>'Resultater - Vestdanmark'!D41</f>
        <v>Areal-skovtype2-30</v>
      </c>
      <c r="E41" s="94" t="str">
        <f>'Resultater - Vestdanmark'!E41</f>
        <v>Hektar</v>
      </c>
      <c r="F41" s="94" t="str">
        <f>'Resultater - Vestdanmark'!F41</f>
        <v>CO2 - atmosfære</v>
      </c>
      <c r="G41" s="94" t="str">
        <f>'Resultater - Vestdanmark'!G41</f>
        <v>t CO2-ækvivalenter</v>
      </c>
      <c r="H41" s="252">
        <f ca="1">'Resultater - Vestdanmark'!H41+'Resultater - Østdanmark'!H41</f>
        <v>0</v>
      </c>
      <c r="I41" s="253">
        <f ca="1">'Resultater - Vestdanmark'!I41+'Resultater - Østdanmark'!I41</f>
        <v>0</v>
      </c>
      <c r="J41" s="254">
        <f ca="1">'Resultater - Vestdanmark'!J41+'Resultater - Østdanmark'!J41</f>
        <v>-27511.677797335858</v>
      </c>
    </row>
    <row r="42" spans="1:10" x14ac:dyDescent="0.25">
      <c r="A42" s="94" t="str">
        <f>'Resultater - Vestdanmark'!A42</f>
        <v>Skovproduktion</v>
      </c>
      <c r="B42" s="94" t="str">
        <f>'Resultater - Vestdanmark'!B42</f>
        <v/>
      </c>
      <c r="C42" s="94" t="str">
        <f>'Resultater - Vestdanmark'!C42</f>
        <v>Skovtype2</v>
      </c>
      <c r="D42" s="94" t="str">
        <f>'Resultater - Vestdanmark'!D42</f>
        <v>Areal-skovtype2-30</v>
      </c>
      <c r="E42" s="94" t="str">
        <f>'Resultater - Vestdanmark'!E42</f>
        <v>Hektar</v>
      </c>
      <c r="F42" s="94" t="str">
        <f>'Resultater - Vestdanmark'!F42</f>
        <v>CO2 - HWP</v>
      </c>
      <c r="G42" s="94" t="str">
        <f>'Resultater - Vestdanmark'!G42</f>
        <v>t CO2-ækvivalenter</v>
      </c>
      <c r="H42" s="252">
        <f ca="1">'Resultater - Vestdanmark'!H42+'Resultater - Østdanmark'!H42</f>
        <v>0</v>
      </c>
      <c r="I42" s="253">
        <f ca="1">'Resultater - Vestdanmark'!I42+'Resultater - Østdanmark'!I42</f>
        <v>0</v>
      </c>
      <c r="J42" s="254">
        <f ca="1">'Resultater - Vestdanmark'!J42+'Resultater - Østdanmark'!J42</f>
        <v>-837927.1009131436</v>
      </c>
    </row>
    <row r="43" spans="1:10" x14ac:dyDescent="0.25">
      <c r="A43" s="94" t="str">
        <f>'Resultater - Vestdanmark'!A43</f>
        <v>Skovproduktion</v>
      </c>
      <c r="B43" s="94" t="str">
        <f>'Resultater - Vestdanmark'!B43</f>
        <v/>
      </c>
      <c r="C43" s="94" t="str">
        <f>'Resultater - Vestdanmark'!C43</f>
        <v>Skovtype2</v>
      </c>
      <c r="D43" s="94" t="str">
        <f>'Resultater - Vestdanmark'!D43</f>
        <v>Areal-skovtype2-40</v>
      </c>
      <c r="E43" s="94" t="str">
        <f>'Resultater - Vestdanmark'!E43</f>
        <v>Hektar</v>
      </c>
      <c r="F43" s="94" t="str">
        <f>'Resultater - Vestdanmark'!F43</f>
        <v>Træer</v>
      </c>
      <c r="G43" s="94" t="str">
        <f>'Resultater - Vestdanmark'!G43</f>
        <v>m3</v>
      </c>
      <c r="H43" s="252">
        <f ca="1">'Resultater - Vestdanmark'!H43+'Resultater - Østdanmark'!H43</f>
        <v>0</v>
      </c>
      <c r="I43" s="253">
        <f ca="1">'Resultater - Vestdanmark'!I43+'Resultater - Østdanmark'!I43</f>
        <v>0</v>
      </c>
      <c r="J43" s="254">
        <f ca="1">'Resultater - Vestdanmark'!J43+'Resultater - Østdanmark'!J43</f>
        <v>6086.4109261192116</v>
      </c>
    </row>
    <row r="44" spans="1:10" x14ac:dyDescent="0.25">
      <c r="A44" s="94" t="str">
        <f>'Resultater - Vestdanmark'!A44</f>
        <v>Skovproduktion</v>
      </c>
      <c r="B44" s="94" t="str">
        <f>'Resultater - Vestdanmark'!B44</f>
        <v/>
      </c>
      <c r="C44" s="94" t="str">
        <f>'Resultater - Vestdanmark'!C44</f>
        <v>Skovtype2</v>
      </c>
      <c r="D44" s="94" t="str">
        <f>'Resultater - Vestdanmark'!D44</f>
        <v>Areal-skovtype2-40</v>
      </c>
      <c r="E44" s="94" t="str">
        <f>'Resultater - Vestdanmark'!E44</f>
        <v>Hektar</v>
      </c>
      <c r="F44" s="94" t="str">
        <f>'Resultater - Vestdanmark'!F44</f>
        <v>Træ til energi</v>
      </c>
      <c r="G44" s="94" t="str">
        <f>'Resultater - Vestdanmark'!G44</f>
        <v>m3</v>
      </c>
      <c r="H44" s="252">
        <f ca="1">'Resultater - Vestdanmark'!H44+'Resultater - Østdanmark'!H44</f>
        <v>0</v>
      </c>
      <c r="I44" s="253">
        <f ca="1">'Resultater - Vestdanmark'!I44+'Resultater - Østdanmark'!I44</f>
        <v>0</v>
      </c>
      <c r="J44" s="254">
        <f ca="1">'Resultater - Vestdanmark'!J44+'Resultater - Østdanmark'!J44</f>
        <v>3043.2054630596062</v>
      </c>
    </row>
    <row r="45" spans="1:10" x14ac:dyDescent="0.25">
      <c r="A45" s="94" t="str">
        <f>'Resultater - Vestdanmark'!A45</f>
        <v>Skovproduktion</v>
      </c>
      <c r="B45" s="94" t="str">
        <f>'Resultater - Vestdanmark'!B45</f>
        <v/>
      </c>
      <c r="C45" s="94" t="str">
        <f>'Resultater - Vestdanmark'!C45</f>
        <v>Skovtype2</v>
      </c>
      <c r="D45" s="94" t="str">
        <f>'Resultater - Vestdanmark'!D45</f>
        <v>Areal-skovtype2-40</v>
      </c>
      <c r="E45" s="94" t="str">
        <f>'Resultater - Vestdanmark'!E45</f>
        <v>Hektar</v>
      </c>
      <c r="F45" s="94" t="str">
        <f>'Resultater - Vestdanmark'!F45</f>
        <v>CO2 - atmosfære</v>
      </c>
      <c r="G45" s="94" t="str">
        <f>'Resultater - Vestdanmark'!G45</f>
        <v>t CO2-ækvivalenter</v>
      </c>
      <c r="H45" s="252">
        <f ca="1">'Resultater - Vestdanmark'!H45+'Resultater - Østdanmark'!H45</f>
        <v>0</v>
      </c>
      <c r="I45" s="253">
        <f ca="1">'Resultater - Vestdanmark'!I45+'Resultater - Østdanmark'!I45</f>
        <v>0</v>
      </c>
      <c r="J45" s="254">
        <f ca="1">'Resultater - Vestdanmark'!J45+'Resultater - Østdanmark'!J45</f>
        <v>-68540.312890833738</v>
      </c>
    </row>
    <row r="46" spans="1:10" x14ac:dyDescent="0.25">
      <c r="A46" s="94" t="str">
        <f>'Resultater - Vestdanmark'!A46</f>
        <v>Skovproduktion</v>
      </c>
      <c r="B46" s="94" t="str">
        <f>'Resultater - Vestdanmark'!B46</f>
        <v/>
      </c>
      <c r="C46" s="94" t="str">
        <f>'Resultater - Vestdanmark'!C46</f>
        <v>Skovtype2</v>
      </c>
      <c r="D46" s="94" t="str">
        <f>'Resultater - Vestdanmark'!D46</f>
        <v>Areal-skovtype2-40</v>
      </c>
      <c r="E46" s="94" t="str">
        <f>'Resultater - Vestdanmark'!E46</f>
        <v>Hektar</v>
      </c>
      <c r="F46" s="94" t="str">
        <f>'Resultater - Vestdanmark'!F46</f>
        <v>CO2 - HWP</v>
      </c>
      <c r="G46" s="94" t="str">
        <f>'Resultater - Vestdanmark'!G46</f>
        <v>t CO2-ækvivalenter</v>
      </c>
      <c r="H46" s="252">
        <f ca="1">'Resultater - Vestdanmark'!H46+'Resultater - Østdanmark'!H46</f>
        <v>0</v>
      </c>
      <c r="I46" s="253">
        <f ca="1">'Resultater - Vestdanmark'!I46+'Resultater - Østdanmark'!I46</f>
        <v>0</v>
      </c>
      <c r="J46" s="254">
        <f ca="1">'Resultater - Vestdanmark'!J46+'Resultater - Østdanmark'!J46</f>
        <v>-38382.575218866892</v>
      </c>
    </row>
    <row r="47" spans="1:10" x14ac:dyDescent="0.25">
      <c r="A47" s="94" t="str">
        <f>'Resultater - Vestdanmark'!A47</f>
        <v>Skovproduktion</v>
      </c>
      <c r="B47" s="94" t="str">
        <f>'Resultater - Vestdanmark'!B47</f>
        <v/>
      </c>
      <c r="C47" s="94" t="str">
        <f>'Resultater - Vestdanmark'!C47</f>
        <v>Skovtype3</v>
      </c>
      <c r="D47" s="94" t="str">
        <f>'Resultater - Vestdanmark'!D47</f>
        <v>Areal-skovtype3-10</v>
      </c>
      <c r="E47" s="94" t="str">
        <f>'Resultater - Vestdanmark'!E47</f>
        <v>Hektar</v>
      </c>
      <c r="F47" s="94" t="str">
        <f>'Resultater - Vestdanmark'!F47</f>
        <v>Træer</v>
      </c>
      <c r="G47" s="94" t="str">
        <f>'Resultater - Vestdanmark'!G47</f>
        <v>m3</v>
      </c>
      <c r="H47" s="252">
        <f ca="1">'Resultater - Vestdanmark'!H47+'Resultater - Østdanmark'!H47</f>
        <v>0</v>
      </c>
      <c r="I47" s="253">
        <f ca="1">'Resultater - Vestdanmark'!I47+'Resultater - Østdanmark'!I47</f>
        <v>0</v>
      </c>
      <c r="J47" s="254">
        <f ca="1">'Resultater - Vestdanmark'!J47+'Resultater - Østdanmark'!J47</f>
        <v>0</v>
      </c>
    </row>
    <row r="48" spans="1:10" x14ac:dyDescent="0.25">
      <c r="A48" s="94" t="str">
        <f>'Resultater - Vestdanmark'!A48</f>
        <v>Skovproduktion</v>
      </c>
      <c r="B48" s="94" t="str">
        <f>'Resultater - Vestdanmark'!B48</f>
        <v/>
      </c>
      <c r="C48" s="94" t="str">
        <f>'Resultater - Vestdanmark'!C48</f>
        <v>Skovtype3</v>
      </c>
      <c r="D48" s="94" t="str">
        <f>'Resultater - Vestdanmark'!D48</f>
        <v>Areal-skovtype3-10</v>
      </c>
      <c r="E48" s="94" t="str">
        <f>'Resultater - Vestdanmark'!E48</f>
        <v>Hektar</v>
      </c>
      <c r="F48" s="94" t="str">
        <f>'Resultater - Vestdanmark'!F48</f>
        <v>Træ til energi</v>
      </c>
      <c r="G48" s="94" t="str">
        <f>'Resultater - Vestdanmark'!G48</f>
        <v>m3</v>
      </c>
      <c r="H48" s="252">
        <f ca="1">'Resultater - Vestdanmark'!H48+'Resultater - Østdanmark'!H48</f>
        <v>0</v>
      </c>
      <c r="I48" s="253">
        <f ca="1">'Resultater - Vestdanmark'!I48+'Resultater - Østdanmark'!I48</f>
        <v>0</v>
      </c>
      <c r="J48" s="254">
        <f ca="1">'Resultater - Vestdanmark'!J48+'Resultater - Østdanmark'!J48</f>
        <v>0</v>
      </c>
    </row>
    <row r="49" spans="1:10" x14ac:dyDescent="0.25">
      <c r="A49" s="94" t="str">
        <f>'Resultater - Vestdanmark'!A49</f>
        <v>Skovproduktion</v>
      </c>
      <c r="B49" s="94" t="str">
        <f>'Resultater - Vestdanmark'!B49</f>
        <v/>
      </c>
      <c r="C49" s="94" t="str">
        <f>'Resultater - Vestdanmark'!C49</f>
        <v>Skovtype3</v>
      </c>
      <c r="D49" s="94" t="str">
        <f>'Resultater - Vestdanmark'!D49</f>
        <v>Areal-skovtype3-10</v>
      </c>
      <c r="E49" s="94" t="str">
        <f>'Resultater - Vestdanmark'!E49</f>
        <v>Hektar</v>
      </c>
      <c r="F49" s="94" t="str">
        <f>'Resultater - Vestdanmark'!F49</f>
        <v>CO2 - atmosfære</v>
      </c>
      <c r="G49" s="94" t="str">
        <f>'Resultater - Vestdanmark'!G49</f>
        <v>t CO2-ækvivalenter</v>
      </c>
      <c r="H49" s="252">
        <f ca="1">'Resultater - Vestdanmark'!H49+'Resultater - Østdanmark'!H49</f>
        <v>0</v>
      </c>
      <c r="I49" s="253">
        <f ca="1">'Resultater - Vestdanmark'!I49+'Resultater - Østdanmark'!I49</f>
        <v>0</v>
      </c>
      <c r="J49" s="254">
        <f ca="1">'Resultater - Vestdanmark'!J49+'Resultater - Østdanmark'!J49</f>
        <v>0</v>
      </c>
    </row>
    <row r="50" spans="1:10" x14ac:dyDescent="0.25">
      <c r="A50" s="94" t="str">
        <f>'Resultater - Vestdanmark'!A50</f>
        <v>Skovproduktion</v>
      </c>
      <c r="B50" s="94" t="str">
        <f>'Resultater - Vestdanmark'!B50</f>
        <v/>
      </c>
      <c r="C50" s="94" t="str">
        <f>'Resultater - Vestdanmark'!C50</f>
        <v>Skovtype3</v>
      </c>
      <c r="D50" s="94" t="str">
        <f>'Resultater - Vestdanmark'!D50</f>
        <v>Areal-skovtype3-10</v>
      </c>
      <c r="E50" s="94" t="str">
        <f>'Resultater - Vestdanmark'!E50</f>
        <v>Hektar</v>
      </c>
      <c r="F50" s="94" t="str">
        <f>'Resultater - Vestdanmark'!F50</f>
        <v>CO2 - HWP</v>
      </c>
      <c r="G50" s="94" t="str">
        <f>'Resultater - Vestdanmark'!G50</f>
        <v>t CO2-ækvivalenter</v>
      </c>
      <c r="H50" s="252">
        <f ca="1">'Resultater - Vestdanmark'!H50+'Resultater - Østdanmark'!H50</f>
        <v>0</v>
      </c>
      <c r="I50" s="253">
        <f ca="1">'Resultater - Vestdanmark'!I50+'Resultater - Østdanmark'!I50</f>
        <v>0</v>
      </c>
      <c r="J50" s="254">
        <f ca="1">'Resultater - Vestdanmark'!J50+'Resultater - Østdanmark'!J50</f>
        <v>0</v>
      </c>
    </row>
    <row r="51" spans="1:10" x14ac:dyDescent="0.25">
      <c r="A51" s="94" t="str">
        <f>'Resultater - Vestdanmark'!A51</f>
        <v>Skovproduktion</v>
      </c>
      <c r="B51" s="94" t="str">
        <f>'Resultater - Vestdanmark'!B51</f>
        <v/>
      </c>
      <c r="C51" s="94" t="str">
        <f>'Resultater - Vestdanmark'!C51</f>
        <v>Skovtype3</v>
      </c>
      <c r="D51" s="94" t="str">
        <f>'Resultater - Vestdanmark'!D51</f>
        <v>Areal-skovtype3-20</v>
      </c>
      <c r="E51" s="94" t="str">
        <f>'Resultater - Vestdanmark'!E51</f>
        <v>Hektar</v>
      </c>
      <c r="F51" s="94" t="str">
        <f>'Resultater - Vestdanmark'!F51</f>
        <v>Træer</v>
      </c>
      <c r="G51" s="94" t="str">
        <f>'Resultater - Vestdanmark'!G51</f>
        <v>m3</v>
      </c>
      <c r="H51" s="252">
        <f ca="1">'Resultater - Vestdanmark'!H51+'Resultater - Østdanmark'!H51</f>
        <v>0</v>
      </c>
      <c r="I51" s="253">
        <f ca="1">'Resultater - Vestdanmark'!I51+'Resultater - Østdanmark'!I51</f>
        <v>0</v>
      </c>
      <c r="J51" s="254">
        <f ca="1">'Resultater - Vestdanmark'!J51+'Resultater - Østdanmark'!J51</f>
        <v>0</v>
      </c>
    </row>
    <row r="52" spans="1:10" x14ac:dyDescent="0.25">
      <c r="A52" s="94" t="str">
        <f>'Resultater - Vestdanmark'!A52</f>
        <v>Skovproduktion</v>
      </c>
      <c r="B52" s="94" t="str">
        <f>'Resultater - Vestdanmark'!B52</f>
        <v/>
      </c>
      <c r="C52" s="94" t="str">
        <f>'Resultater - Vestdanmark'!C52</f>
        <v>Skovtype3</v>
      </c>
      <c r="D52" s="94" t="str">
        <f>'Resultater - Vestdanmark'!D52</f>
        <v>Areal-skovtype3-20</v>
      </c>
      <c r="E52" s="94" t="str">
        <f>'Resultater - Vestdanmark'!E52</f>
        <v>Hektar</v>
      </c>
      <c r="F52" s="94" t="str">
        <f>'Resultater - Vestdanmark'!F52</f>
        <v>Træ til energi</v>
      </c>
      <c r="G52" s="94" t="str">
        <f>'Resultater - Vestdanmark'!G52</f>
        <v>m3</v>
      </c>
      <c r="H52" s="252">
        <f ca="1">'Resultater - Vestdanmark'!H52+'Resultater - Østdanmark'!H52</f>
        <v>0</v>
      </c>
      <c r="I52" s="253">
        <f ca="1">'Resultater - Vestdanmark'!I52+'Resultater - Østdanmark'!I52</f>
        <v>0</v>
      </c>
      <c r="J52" s="254">
        <f ca="1">'Resultater - Vestdanmark'!J52+'Resultater - Østdanmark'!J52</f>
        <v>0</v>
      </c>
    </row>
    <row r="53" spans="1:10" x14ac:dyDescent="0.25">
      <c r="A53" s="94" t="str">
        <f>'Resultater - Vestdanmark'!A53</f>
        <v>Skovproduktion</v>
      </c>
      <c r="B53" s="94" t="str">
        <f>'Resultater - Vestdanmark'!B53</f>
        <v/>
      </c>
      <c r="C53" s="94" t="str">
        <f>'Resultater - Vestdanmark'!C53</f>
        <v>Skovtype3</v>
      </c>
      <c r="D53" s="94" t="str">
        <f>'Resultater - Vestdanmark'!D53</f>
        <v>Areal-skovtype3-20</v>
      </c>
      <c r="E53" s="94" t="str">
        <f>'Resultater - Vestdanmark'!E53</f>
        <v>Hektar</v>
      </c>
      <c r="F53" s="94" t="str">
        <f>'Resultater - Vestdanmark'!F53</f>
        <v>CO2 - atmosfære</v>
      </c>
      <c r="G53" s="94" t="str">
        <f>'Resultater - Vestdanmark'!G53</f>
        <v>t CO2-ækvivalenter</v>
      </c>
      <c r="H53" s="252">
        <f ca="1">'Resultater - Vestdanmark'!H53+'Resultater - Østdanmark'!H53</f>
        <v>0</v>
      </c>
      <c r="I53" s="253">
        <f ca="1">'Resultater - Vestdanmark'!I53+'Resultater - Østdanmark'!I53</f>
        <v>0</v>
      </c>
      <c r="J53" s="254">
        <f ca="1">'Resultater - Vestdanmark'!J53+'Resultater - Østdanmark'!J53</f>
        <v>0</v>
      </c>
    </row>
    <row r="54" spans="1:10" x14ac:dyDescent="0.25">
      <c r="A54" s="94" t="str">
        <f>'Resultater - Vestdanmark'!A54</f>
        <v>Skovproduktion</v>
      </c>
      <c r="B54" s="94" t="str">
        <f>'Resultater - Vestdanmark'!B54</f>
        <v/>
      </c>
      <c r="C54" s="94" t="str">
        <f>'Resultater - Vestdanmark'!C54</f>
        <v>Skovtype3</v>
      </c>
      <c r="D54" s="94" t="str">
        <f>'Resultater - Vestdanmark'!D54</f>
        <v>Areal-skovtype3-20</v>
      </c>
      <c r="E54" s="94" t="str">
        <f>'Resultater - Vestdanmark'!E54</f>
        <v>Hektar</v>
      </c>
      <c r="F54" s="94" t="str">
        <f>'Resultater - Vestdanmark'!F54</f>
        <v>CO2 - HWP</v>
      </c>
      <c r="G54" s="94" t="str">
        <f>'Resultater - Vestdanmark'!G54</f>
        <v>t CO2-ækvivalenter</v>
      </c>
      <c r="H54" s="252">
        <f ca="1">'Resultater - Vestdanmark'!H54+'Resultater - Østdanmark'!H54</f>
        <v>0</v>
      </c>
      <c r="I54" s="253">
        <f ca="1">'Resultater - Vestdanmark'!I54+'Resultater - Østdanmark'!I54</f>
        <v>0</v>
      </c>
      <c r="J54" s="254">
        <f ca="1">'Resultater - Vestdanmark'!J54+'Resultater - Østdanmark'!J54</f>
        <v>0</v>
      </c>
    </row>
    <row r="55" spans="1:10" x14ac:dyDescent="0.25">
      <c r="A55" s="94" t="str">
        <f>'Resultater - Vestdanmark'!A55</f>
        <v>Skovproduktion</v>
      </c>
      <c r="B55" s="94" t="str">
        <f>'Resultater - Vestdanmark'!B55</f>
        <v/>
      </c>
      <c r="C55" s="94" t="str">
        <f>'Resultater - Vestdanmark'!C55</f>
        <v>Skovtype3</v>
      </c>
      <c r="D55" s="94" t="str">
        <f>'Resultater - Vestdanmark'!D55</f>
        <v>Areal-skovtype3-30</v>
      </c>
      <c r="E55" s="94" t="str">
        <f>'Resultater - Vestdanmark'!E55</f>
        <v>Hektar</v>
      </c>
      <c r="F55" s="94" t="str">
        <f>'Resultater - Vestdanmark'!F55</f>
        <v>Træer</v>
      </c>
      <c r="G55" s="94" t="str">
        <f>'Resultater - Vestdanmark'!G55</f>
        <v>m3</v>
      </c>
      <c r="H55" s="252">
        <f ca="1">'Resultater - Vestdanmark'!H55+'Resultater - Østdanmark'!H55</f>
        <v>0</v>
      </c>
      <c r="I55" s="253">
        <f ca="1">'Resultater - Vestdanmark'!I55+'Resultater - Østdanmark'!I55</f>
        <v>0</v>
      </c>
      <c r="J55" s="254">
        <f ca="1">'Resultater - Vestdanmark'!J55+'Resultater - Østdanmark'!J55</f>
        <v>0</v>
      </c>
    </row>
    <row r="56" spans="1:10" x14ac:dyDescent="0.25">
      <c r="A56" s="94" t="str">
        <f>'Resultater - Vestdanmark'!A56</f>
        <v>Skovproduktion</v>
      </c>
      <c r="B56" s="94" t="str">
        <f>'Resultater - Vestdanmark'!B56</f>
        <v/>
      </c>
      <c r="C56" s="94" t="str">
        <f>'Resultater - Vestdanmark'!C56</f>
        <v>Skovtype3</v>
      </c>
      <c r="D56" s="94" t="str">
        <f>'Resultater - Vestdanmark'!D56</f>
        <v>Areal-skovtype3-30</v>
      </c>
      <c r="E56" s="94" t="str">
        <f>'Resultater - Vestdanmark'!E56</f>
        <v>Hektar</v>
      </c>
      <c r="F56" s="94" t="str">
        <f>'Resultater - Vestdanmark'!F56</f>
        <v>Træ til energi</v>
      </c>
      <c r="G56" s="94" t="str">
        <f>'Resultater - Vestdanmark'!G56</f>
        <v>m3</v>
      </c>
      <c r="H56" s="252">
        <f ca="1">'Resultater - Vestdanmark'!H56+'Resultater - Østdanmark'!H56</f>
        <v>0</v>
      </c>
      <c r="I56" s="253">
        <f ca="1">'Resultater - Vestdanmark'!I56+'Resultater - Østdanmark'!I56</f>
        <v>0</v>
      </c>
      <c r="J56" s="254">
        <f ca="1">'Resultater - Vestdanmark'!J56+'Resultater - Østdanmark'!J56</f>
        <v>0</v>
      </c>
    </row>
    <row r="57" spans="1:10" x14ac:dyDescent="0.25">
      <c r="A57" s="94" t="str">
        <f>'Resultater - Vestdanmark'!A57</f>
        <v>Skovproduktion</v>
      </c>
      <c r="B57" s="94" t="str">
        <f>'Resultater - Vestdanmark'!B57</f>
        <v/>
      </c>
      <c r="C57" s="94" t="str">
        <f>'Resultater - Vestdanmark'!C57</f>
        <v>Skovtype3</v>
      </c>
      <c r="D57" s="94" t="str">
        <f>'Resultater - Vestdanmark'!D57</f>
        <v>Areal-skovtype3-30</v>
      </c>
      <c r="E57" s="94" t="str">
        <f>'Resultater - Vestdanmark'!E57</f>
        <v>Hektar</v>
      </c>
      <c r="F57" s="94" t="str">
        <f>'Resultater - Vestdanmark'!F57</f>
        <v>CO2 - atmosfære</v>
      </c>
      <c r="G57" s="94" t="str">
        <f>'Resultater - Vestdanmark'!G57</f>
        <v>t CO2-ækvivalenter</v>
      </c>
      <c r="H57" s="252">
        <f ca="1">'Resultater - Vestdanmark'!H57+'Resultater - Østdanmark'!H57</f>
        <v>0</v>
      </c>
      <c r="I57" s="253">
        <f ca="1">'Resultater - Vestdanmark'!I57+'Resultater - Østdanmark'!I57</f>
        <v>0</v>
      </c>
      <c r="J57" s="254">
        <f ca="1">'Resultater - Vestdanmark'!J57+'Resultater - Østdanmark'!J57</f>
        <v>0</v>
      </c>
    </row>
    <row r="58" spans="1:10" x14ac:dyDescent="0.25">
      <c r="A58" s="94" t="str">
        <f>'Resultater - Vestdanmark'!A58</f>
        <v>Skovproduktion</v>
      </c>
      <c r="B58" s="94" t="str">
        <f>'Resultater - Vestdanmark'!B58</f>
        <v/>
      </c>
      <c r="C58" s="94" t="str">
        <f>'Resultater - Vestdanmark'!C58</f>
        <v>Skovtype3</v>
      </c>
      <c r="D58" s="94" t="str">
        <f>'Resultater - Vestdanmark'!D58</f>
        <v>Areal-skovtype3-30</v>
      </c>
      <c r="E58" s="94" t="str">
        <f>'Resultater - Vestdanmark'!E58</f>
        <v>Hektar</v>
      </c>
      <c r="F58" s="94" t="str">
        <f>'Resultater - Vestdanmark'!F58</f>
        <v>CO2 - HWP</v>
      </c>
      <c r="G58" s="94" t="str">
        <f>'Resultater - Vestdanmark'!G58</f>
        <v>t CO2-ækvivalenter</v>
      </c>
      <c r="H58" s="252">
        <f ca="1">'Resultater - Vestdanmark'!H58+'Resultater - Østdanmark'!H58</f>
        <v>0</v>
      </c>
      <c r="I58" s="253">
        <f ca="1">'Resultater - Vestdanmark'!I58+'Resultater - Østdanmark'!I58</f>
        <v>0</v>
      </c>
      <c r="J58" s="254">
        <f ca="1">'Resultater - Vestdanmark'!J58+'Resultater - Østdanmark'!J58</f>
        <v>0</v>
      </c>
    </row>
    <row r="59" spans="1:10" x14ac:dyDescent="0.25">
      <c r="A59" s="94" t="str">
        <f>'Resultater - Vestdanmark'!A59</f>
        <v>Skovproduktion</v>
      </c>
      <c r="B59" s="94" t="str">
        <f>'Resultater - Vestdanmark'!B59</f>
        <v/>
      </c>
      <c r="C59" s="94" t="str">
        <f>'Resultater - Vestdanmark'!C59</f>
        <v>Skovtype3</v>
      </c>
      <c r="D59" s="94" t="str">
        <f>'Resultater - Vestdanmark'!D59</f>
        <v>Areal-skovtype3-40</v>
      </c>
      <c r="E59" s="94" t="str">
        <f>'Resultater - Vestdanmark'!E59</f>
        <v>Hektar</v>
      </c>
      <c r="F59" s="94" t="str">
        <f>'Resultater - Vestdanmark'!F59</f>
        <v>Træer</v>
      </c>
      <c r="G59" s="94" t="str">
        <f>'Resultater - Vestdanmark'!G59</f>
        <v>m3</v>
      </c>
      <c r="H59" s="252">
        <f ca="1">'Resultater - Vestdanmark'!H59+'Resultater - Østdanmark'!H59</f>
        <v>0</v>
      </c>
      <c r="I59" s="253">
        <f ca="1">'Resultater - Vestdanmark'!I59+'Resultater - Østdanmark'!I59</f>
        <v>0</v>
      </c>
      <c r="J59" s="254">
        <f ca="1">'Resultater - Vestdanmark'!J59+'Resultater - Østdanmark'!J59</f>
        <v>0</v>
      </c>
    </row>
    <row r="60" spans="1:10" x14ac:dyDescent="0.25">
      <c r="A60" s="94" t="str">
        <f>'Resultater - Vestdanmark'!A60</f>
        <v>Skovproduktion</v>
      </c>
      <c r="B60" s="94" t="str">
        <f>'Resultater - Vestdanmark'!B60</f>
        <v/>
      </c>
      <c r="C60" s="94" t="str">
        <f>'Resultater - Vestdanmark'!C60</f>
        <v>Skovtype3</v>
      </c>
      <c r="D60" s="94" t="str">
        <f>'Resultater - Vestdanmark'!D60</f>
        <v>Areal-skovtype3-40</v>
      </c>
      <c r="E60" s="94" t="str">
        <f>'Resultater - Vestdanmark'!E60</f>
        <v>Hektar</v>
      </c>
      <c r="F60" s="94" t="str">
        <f>'Resultater - Vestdanmark'!F60</f>
        <v>Træ til energi</v>
      </c>
      <c r="G60" s="94" t="str">
        <f>'Resultater - Vestdanmark'!G60</f>
        <v>m3</v>
      </c>
      <c r="H60" s="252">
        <f ca="1">'Resultater - Vestdanmark'!H60+'Resultater - Østdanmark'!H60</f>
        <v>0</v>
      </c>
      <c r="I60" s="253">
        <f ca="1">'Resultater - Vestdanmark'!I60+'Resultater - Østdanmark'!I60</f>
        <v>0</v>
      </c>
      <c r="J60" s="254">
        <f ca="1">'Resultater - Vestdanmark'!J60+'Resultater - Østdanmark'!J60</f>
        <v>0</v>
      </c>
    </row>
    <row r="61" spans="1:10" x14ac:dyDescent="0.25">
      <c r="A61" s="94" t="str">
        <f>'Resultater - Vestdanmark'!A61</f>
        <v>Skovproduktion</v>
      </c>
      <c r="B61" s="94" t="str">
        <f>'Resultater - Vestdanmark'!B61</f>
        <v/>
      </c>
      <c r="C61" s="94" t="str">
        <f>'Resultater - Vestdanmark'!C61</f>
        <v>Skovtype3</v>
      </c>
      <c r="D61" s="94" t="str">
        <f>'Resultater - Vestdanmark'!D61</f>
        <v>Areal-skovtype3-40</v>
      </c>
      <c r="E61" s="94" t="str">
        <f>'Resultater - Vestdanmark'!E61</f>
        <v>Hektar</v>
      </c>
      <c r="F61" s="94" t="str">
        <f>'Resultater - Vestdanmark'!F61</f>
        <v>CO2 - atmosfære</v>
      </c>
      <c r="G61" s="94" t="str">
        <f>'Resultater - Vestdanmark'!G61</f>
        <v>t CO2-ækvivalenter</v>
      </c>
      <c r="H61" s="252">
        <f ca="1">'Resultater - Vestdanmark'!H61+'Resultater - Østdanmark'!H61</f>
        <v>0</v>
      </c>
      <c r="I61" s="253">
        <f ca="1">'Resultater - Vestdanmark'!I61+'Resultater - Østdanmark'!I61</f>
        <v>0</v>
      </c>
      <c r="J61" s="254">
        <f ca="1">'Resultater - Vestdanmark'!J61+'Resultater - Østdanmark'!J61</f>
        <v>0</v>
      </c>
    </row>
    <row r="62" spans="1:10" x14ac:dyDescent="0.25">
      <c r="A62" s="94" t="str">
        <f>'Resultater - Vestdanmark'!A62</f>
        <v>Skovproduktion</v>
      </c>
      <c r="B62" s="94" t="str">
        <f>'Resultater - Vestdanmark'!B62</f>
        <v/>
      </c>
      <c r="C62" s="94" t="str">
        <f>'Resultater - Vestdanmark'!C62</f>
        <v>Skovtype3</v>
      </c>
      <c r="D62" s="94" t="str">
        <f>'Resultater - Vestdanmark'!D62</f>
        <v>Areal-skovtype3-40</v>
      </c>
      <c r="E62" s="94" t="str">
        <f>'Resultater - Vestdanmark'!E62</f>
        <v>Hektar</v>
      </c>
      <c r="F62" s="94" t="str">
        <f>'Resultater - Vestdanmark'!F62</f>
        <v>CO2 - HWP</v>
      </c>
      <c r="G62" s="94" t="str">
        <f>'Resultater - Vestdanmark'!G62</f>
        <v>t CO2-ækvivalenter</v>
      </c>
      <c r="H62" s="252">
        <f ca="1">'Resultater - Vestdanmark'!H62+'Resultater - Østdanmark'!H62</f>
        <v>0</v>
      </c>
      <c r="I62" s="253">
        <f ca="1">'Resultater - Vestdanmark'!I62+'Resultater - Østdanmark'!I62</f>
        <v>0</v>
      </c>
      <c r="J62" s="254">
        <f ca="1">'Resultater - Vestdanmark'!J62+'Resultater - Østdanmark'!J62</f>
        <v>0</v>
      </c>
    </row>
    <row r="63" spans="1:10" x14ac:dyDescent="0.25">
      <c r="A63" s="94" t="str">
        <f>'Resultater - Vestdanmark'!A63</f>
        <v>Skovproduktion</v>
      </c>
      <c r="B63" s="94" t="str">
        <f>'Resultater - Vestdanmark'!B63</f>
        <v/>
      </c>
      <c r="C63" s="94" t="str">
        <f>'Resultater - Vestdanmark'!C63</f>
        <v>Skovtype4</v>
      </c>
      <c r="D63" s="94" t="str">
        <f>'Resultater - Vestdanmark'!D63</f>
        <v>Areal-skovtype4-10</v>
      </c>
      <c r="E63" s="94" t="str">
        <f>'Resultater - Vestdanmark'!E63</f>
        <v>Hektar</v>
      </c>
      <c r="F63" s="94" t="str">
        <f>'Resultater - Vestdanmark'!F63</f>
        <v>Træer</v>
      </c>
      <c r="G63" s="94" t="str">
        <f>'Resultater - Vestdanmark'!G63</f>
        <v>m3</v>
      </c>
      <c r="H63" s="252">
        <f ca="1">'Resultater - Vestdanmark'!H63+'Resultater - Østdanmark'!H63</f>
        <v>0</v>
      </c>
      <c r="I63" s="253">
        <f ca="1">'Resultater - Vestdanmark'!I63+'Resultater - Østdanmark'!I63</f>
        <v>0</v>
      </c>
      <c r="J63" s="254">
        <f ca="1">'Resultater - Vestdanmark'!J63+'Resultater - Østdanmark'!J63</f>
        <v>0</v>
      </c>
    </row>
    <row r="64" spans="1:10" x14ac:dyDescent="0.25">
      <c r="A64" s="94" t="str">
        <f>'Resultater - Vestdanmark'!A64</f>
        <v>Skovproduktion</v>
      </c>
      <c r="B64" s="94" t="str">
        <f>'Resultater - Vestdanmark'!B64</f>
        <v/>
      </c>
      <c r="C64" s="94" t="str">
        <f>'Resultater - Vestdanmark'!C64</f>
        <v>Skovtype4</v>
      </c>
      <c r="D64" s="94" t="str">
        <f>'Resultater - Vestdanmark'!D64</f>
        <v>Areal-skovtype4-10</v>
      </c>
      <c r="E64" s="94" t="str">
        <f>'Resultater - Vestdanmark'!E64</f>
        <v>Hektar</v>
      </c>
      <c r="F64" s="94" t="str">
        <f>'Resultater - Vestdanmark'!F64</f>
        <v>Træ til energi</v>
      </c>
      <c r="G64" s="94" t="str">
        <f>'Resultater - Vestdanmark'!G64</f>
        <v>m3</v>
      </c>
      <c r="H64" s="252">
        <f ca="1">'Resultater - Vestdanmark'!H64+'Resultater - Østdanmark'!H64</f>
        <v>0</v>
      </c>
      <c r="I64" s="253">
        <f ca="1">'Resultater - Vestdanmark'!I64+'Resultater - Østdanmark'!I64</f>
        <v>0</v>
      </c>
      <c r="J64" s="254">
        <f ca="1">'Resultater - Vestdanmark'!J64+'Resultater - Østdanmark'!J64</f>
        <v>0</v>
      </c>
    </row>
    <row r="65" spans="1:10" x14ac:dyDescent="0.25">
      <c r="A65" s="94" t="str">
        <f>'Resultater - Vestdanmark'!A65</f>
        <v>Skovproduktion</v>
      </c>
      <c r="B65" s="94" t="str">
        <f>'Resultater - Vestdanmark'!B65</f>
        <v/>
      </c>
      <c r="C65" s="94" t="str">
        <f>'Resultater - Vestdanmark'!C65</f>
        <v>Skovtype4</v>
      </c>
      <c r="D65" s="94" t="str">
        <f>'Resultater - Vestdanmark'!D65</f>
        <v>Areal-skovtype4-10</v>
      </c>
      <c r="E65" s="94" t="str">
        <f>'Resultater - Vestdanmark'!E65</f>
        <v>Hektar</v>
      </c>
      <c r="F65" s="94" t="str">
        <f>'Resultater - Vestdanmark'!F65</f>
        <v>CO2 - atmosfære</v>
      </c>
      <c r="G65" s="94" t="str">
        <f>'Resultater - Vestdanmark'!G65</f>
        <v>t CO2-ækvivalenter</v>
      </c>
      <c r="H65" s="252">
        <f ca="1">'Resultater - Vestdanmark'!H65+'Resultater - Østdanmark'!H65</f>
        <v>0</v>
      </c>
      <c r="I65" s="253">
        <f ca="1">'Resultater - Vestdanmark'!I65+'Resultater - Østdanmark'!I65</f>
        <v>0</v>
      </c>
      <c r="J65" s="254">
        <f ca="1">'Resultater - Vestdanmark'!J65+'Resultater - Østdanmark'!J65</f>
        <v>0</v>
      </c>
    </row>
    <row r="66" spans="1:10" x14ac:dyDescent="0.25">
      <c r="A66" s="94" t="str">
        <f>'Resultater - Vestdanmark'!A66</f>
        <v>Skovproduktion</v>
      </c>
      <c r="B66" s="94" t="str">
        <f>'Resultater - Vestdanmark'!B66</f>
        <v/>
      </c>
      <c r="C66" s="94" t="str">
        <f>'Resultater - Vestdanmark'!C66</f>
        <v>Skovtype4</v>
      </c>
      <c r="D66" s="94" t="str">
        <f>'Resultater - Vestdanmark'!D66</f>
        <v>Areal-skovtype4-10</v>
      </c>
      <c r="E66" s="94" t="str">
        <f>'Resultater - Vestdanmark'!E66</f>
        <v>Hektar</v>
      </c>
      <c r="F66" s="94" t="str">
        <f>'Resultater - Vestdanmark'!F66</f>
        <v>CO2 - HWP</v>
      </c>
      <c r="G66" s="94" t="str">
        <f>'Resultater - Vestdanmark'!G66</f>
        <v>t CO2-ækvivalenter</v>
      </c>
      <c r="H66" s="252">
        <f ca="1">'Resultater - Vestdanmark'!H66+'Resultater - Østdanmark'!H66</f>
        <v>0</v>
      </c>
      <c r="I66" s="253">
        <f ca="1">'Resultater - Vestdanmark'!I66+'Resultater - Østdanmark'!I66</f>
        <v>0</v>
      </c>
      <c r="J66" s="254">
        <f ca="1">'Resultater - Vestdanmark'!J66+'Resultater - Østdanmark'!J66</f>
        <v>0</v>
      </c>
    </row>
    <row r="67" spans="1:10" x14ac:dyDescent="0.25">
      <c r="A67" s="94" t="str">
        <f>'Resultater - Vestdanmark'!A67</f>
        <v>Skovproduktion</v>
      </c>
      <c r="B67" s="94" t="str">
        <f>'Resultater - Vestdanmark'!B67</f>
        <v/>
      </c>
      <c r="C67" s="94" t="str">
        <f>'Resultater - Vestdanmark'!C67</f>
        <v>Skovtype4</v>
      </c>
      <c r="D67" s="94" t="str">
        <f>'Resultater - Vestdanmark'!D67</f>
        <v>Areal-skovtype4-20</v>
      </c>
      <c r="E67" s="94" t="str">
        <f>'Resultater - Vestdanmark'!E67</f>
        <v>Hektar</v>
      </c>
      <c r="F67" s="94" t="str">
        <f>'Resultater - Vestdanmark'!F67</f>
        <v>Træer</v>
      </c>
      <c r="G67" s="94" t="str">
        <f>'Resultater - Vestdanmark'!G67</f>
        <v>m3</v>
      </c>
      <c r="H67" s="252">
        <f ca="1">'Resultater - Vestdanmark'!H67+'Resultater - Østdanmark'!H67</f>
        <v>0</v>
      </c>
      <c r="I67" s="253">
        <f ca="1">'Resultater - Vestdanmark'!I67+'Resultater - Østdanmark'!I67</f>
        <v>0</v>
      </c>
      <c r="J67" s="254">
        <f ca="1">'Resultater - Vestdanmark'!J67+'Resultater - Østdanmark'!J67</f>
        <v>0</v>
      </c>
    </row>
    <row r="68" spans="1:10" x14ac:dyDescent="0.25">
      <c r="A68" s="94" t="str">
        <f>'Resultater - Vestdanmark'!A68</f>
        <v>Skovproduktion</v>
      </c>
      <c r="B68" s="94" t="str">
        <f>'Resultater - Vestdanmark'!B68</f>
        <v/>
      </c>
      <c r="C68" s="94" t="str">
        <f>'Resultater - Vestdanmark'!C68</f>
        <v>Skovtype4</v>
      </c>
      <c r="D68" s="94" t="str">
        <f>'Resultater - Vestdanmark'!D68</f>
        <v>Areal-skovtype4-20</v>
      </c>
      <c r="E68" s="94" t="str">
        <f>'Resultater - Vestdanmark'!E68</f>
        <v>Hektar</v>
      </c>
      <c r="F68" s="94" t="str">
        <f>'Resultater - Vestdanmark'!F68</f>
        <v>Træ til energi</v>
      </c>
      <c r="G68" s="94" t="str">
        <f>'Resultater - Vestdanmark'!G68</f>
        <v>m3</v>
      </c>
      <c r="H68" s="252">
        <f ca="1">'Resultater - Vestdanmark'!H68+'Resultater - Østdanmark'!H68</f>
        <v>0</v>
      </c>
      <c r="I68" s="253">
        <f ca="1">'Resultater - Vestdanmark'!I68+'Resultater - Østdanmark'!I68</f>
        <v>0</v>
      </c>
      <c r="J68" s="254">
        <f ca="1">'Resultater - Vestdanmark'!J68+'Resultater - Østdanmark'!J68</f>
        <v>0</v>
      </c>
    </row>
    <row r="69" spans="1:10" x14ac:dyDescent="0.25">
      <c r="A69" s="94" t="str">
        <f>'Resultater - Vestdanmark'!A69</f>
        <v>Skovproduktion</v>
      </c>
      <c r="B69" s="94" t="str">
        <f>'Resultater - Vestdanmark'!B69</f>
        <v/>
      </c>
      <c r="C69" s="94" t="str">
        <f>'Resultater - Vestdanmark'!C69</f>
        <v>Skovtype4</v>
      </c>
      <c r="D69" s="94" t="str">
        <f>'Resultater - Vestdanmark'!D69</f>
        <v>Areal-skovtype4-20</v>
      </c>
      <c r="E69" s="94" t="str">
        <f>'Resultater - Vestdanmark'!E69</f>
        <v>Hektar</v>
      </c>
      <c r="F69" s="94" t="str">
        <f>'Resultater - Vestdanmark'!F69</f>
        <v>CO2 - atmosfære</v>
      </c>
      <c r="G69" s="94" t="str">
        <f>'Resultater - Vestdanmark'!G69</f>
        <v>t CO2-ækvivalenter</v>
      </c>
      <c r="H69" s="252">
        <f ca="1">'Resultater - Vestdanmark'!H69+'Resultater - Østdanmark'!H69</f>
        <v>0</v>
      </c>
      <c r="I69" s="253">
        <f ca="1">'Resultater - Vestdanmark'!I69+'Resultater - Østdanmark'!I69</f>
        <v>0</v>
      </c>
      <c r="J69" s="254">
        <f ca="1">'Resultater - Vestdanmark'!J69+'Resultater - Østdanmark'!J69</f>
        <v>0</v>
      </c>
    </row>
    <row r="70" spans="1:10" x14ac:dyDescent="0.25">
      <c r="A70" s="94" t="str">
        <f>'Resultater - Vestdanmark'!A70</f>
        <v>Skovproduktion</v>
      </c>
      <c r="B70" s="94" t="str">
        <f>'Resultater - Vestdanmark'!B70</f>
        <v/>
      </c>
      <c r="C70" s="94" t="str">
        <f>'Resultater - Vestdanmark'!C70</f>
        <v>Skovtype4</v>
      </c>
      <c r="D70" s="94" t="str">
        <f>'Resultater - Vestdanmark'!D70</f>
        <v>Areal-skovtype4-20</v>
      </c>
      <c r="E70" s="94" t="str">
        <f>'Resultater - Vestdanmark'!E70</f>
        <v>Hektar</v>
      </c>
      <c r="F70" s="94" t="str">
        <f>'Resultater - Vestdanmark'!F70</f>
        <v>CO2 - HWP</v>
      </c>
      <c r="G70" s="94" t="str">
        <f>'Resultater - Vestdanmark'!G70</f>
        <v>t CO2-ækvivalenter</v>
      </c>
      <c r="H70" s="252">
        <f ca="1">'Resultater - Vestdanmark'!H70+'Resultater - Østdanmark'!H70</f>
        <v>0</v>
      </c>
      <c r="I70" s="253">
        <f ca="1">'Resultater - Vestdanmark'!I70+'Resultater - Østdanmark'!I70</f>
        <v>0</v>
      </c>
      <c r="J70" s="254">
        <f ca="1">'Resultater - Vestdanmark'!J70+'Resultater - Østdanmark'!J70</f>
        <v>0</v>
      </c>
    </row>
    <row r="71" spans="1:10" x14ac:dyDescent="0.25">
      <c r="A71" s="94" t="str">
        <f>'Resultater - Vestdanmark'!A71</f>
        <v>Skovproduktion</v>
      </c>
      <c r="B71" s="94" t="str">
        <f>'Resultater - Vestdanmark'!B71</f>
        <v/>
      </c>
      <c r="C71" s="94" t="str">
        <f>'Resultater - Vestdanmark'!C71</f>
        <v>Skovtype4</v>
      </c>
      <c r="D71" s="94" t="str">
        <f>'Resultater - Vestdanmark'!D71</f>
        <v>Areal-skovtype4-30</v>
      </c>
      <c r="E71" s="94" t="str">
        <f>'Resultater - Vestdanmark'!E71</f>
        <v>Hektar</v>
      </c>
      <c r="F71" s="94" t="str">
        <f>'Resultater - Vestdanmark'!F71</f>
        <v>Træer</v>
      </c>
      <c r="G71" s="94" t="str">
        <f>'Resultater - Vestdanmark'!G71</f>
        <v>m3</v>
      </c>
      <c r="H71" s="252">
        <f ca="1">'Resultater - Vestdanmark'!H71+'Resultater - Østdanmark'!H71</f>
        <v>0</v>
      </c>
      <c r="I71" s="253">
        <f ca="1">'Resultater - Vestdanmark'!I71+'Resultater - Østdanmark'!I71</f>
        <v>0</v>
      </c>
      <c r="J71" s="254">
        <f ca="1">'Resultater - Vestdanmark'!J71+'Resultater - Østdanmark'!J71</f>
        <v>0</v>
      </c>
    </row>
    <row r="72" spans="1:10" x14ac:dyDescent="0.25">
      <c r="A72" s="94" t="str">
        <f>'Resultater - Vestdanmark'!A72</f>
        <v>Skovproduktion</v>
      </c>
      <c r="B72" s="94" t="str">
        <f>'Resultater - Vestdanmark'!B72</f>
        <v/>
      </c>
      <c r="C72" s="94" t="str">
        <f>'Resultater - Vestdanmark'!C72</f>
        <v>Skovtype4</v>
      </c>
      <c r="D72" s="94" t="str">
        <f>'Resultater - Vestdanmark'!D72</f>
        <v>Areal-skovtype4-30</v>
      </c>
      <c r="E72" s="94" t="str">
        <f>'Resultater - Vestdanmark'!E72</f>
        <v>Hektar</v>
      </c>
      <c r="F72" s="94" t="str">
        <f>'Resultater - Vestdanmark'!F72</f>
        <v>Træ til energi</v>
      </c>
      <c r="G72" s="94" t="str">
        <f>'Resultater - Vestdanmark'!G72</f>
        <v>m3</v>
      </c>
      <c r="H72" s="252">
        <f ca="1">'Resultater - Vestdanmark'!H72+'Resultater - Østdanmark'!H72</f>
        <v>0</v>
      </c>
      <c r="I72" s="253">
        <f ca="1">'Resultater - Vestdanmark'!I72+'Resultater - Østdanmark'!I72</f>
        <v>0</v>
      </c>
      <c r="J72" s="254">
        <f ca="1">'Resultater - Vestdanmark'!J72+'Resultater - Østdanmark'!J72</f>
        <v>0</v>
      </c>
    </row>
    <row r="73" spans="1:10" x14ac:dyDescent="0.25">
      <c r="A73" s="94" t="str">
        <f>'Resultater - Vestdanmark'!A73</f>
        <v>Skovproduktion</v>
      </c>
      <c r="B73" s="94" t="str">
        <f>'Resultater - Vestdanmark'!B73</f>
        <v/>
      </c>
      <c r="C73" s="94" t="str">
        <f>'Resultater - Vestdanmark'!C73</f>
        <v>Skovtype4</v>
      </c>
      <c r="D73" s="94" t="str">
        <f>'Resultater - Vestdanmark'!D73</f>
        <v>Areal-skovtype4-30</v>
      </c>
      <c r="E73" s="94" t="str">
        <f>'Resultater - Vestdanmark'!E73</f>
        <v>Hektar</v>
      </c>
      <c r="F73" s="94" t="str">
        <f>'Resultater - Vestdanmark'!F73</f>
        <v>CO2 - atmosfære</v>
      </c>
      <c r="G73" s="94" t="str">
        <f>'Resultater - Vestdanmark'!G73</f>
        <v>t CO2-ækvivalenter</v>
      </c>
      <c r="H73" s="252">
        <f ca="1">'Resultater - Vestdanmark'!H73+'Resultater - Østdanmark'!H73</f>
        <v>0</v>
      </c>
      <c r="I73" s="253">
        <f ca="1">'Resultater - Vestdanmark'!I73+'Resultater - Østdanmark'!I73</f>
        <v>0</v>
      </c>
      <c r="J73" s="254">
        <f ca="1">'Resultater - Vestdanmark'!J73+'Resultater - Østdanmark'!J73</f>
        <v>0</v>
      </c>
    </row>
    <row r="74" spans="1:10" x14ac:dyDescent="0.25">
      <c r="A74" s="94" t="str">
        <f>'Resultater - Vestdanmark'!A74</f>
        <v>Skovproduktion</v>
      </c>
      <c r="B74" s="94" t="str">
        <f>'Resultater - Vestdanmark'!B74</f>
        <v/>
      </c>
      <c r="C74" s="94" t="str">
        <f>'Resultater - Vestdanmark'!C74</f>
        <v>Skovtype4</v>
      </c>
      <c r="D74" s="94" t="str">
        <f>'Resultater - Vestdanmark'!D74</f>
        <v>Areal-skovtype4-30</v>
      </c>
      <c r="E74" s="94" t="str">
        <f>'Resultater - Vestdanmark'!E74</f>
        <v>Hektar</v>
      </c>
      <c r="F74" s="94" t="str">
        <f>'Resultater - Vestdanmark'!F74</f>
        <v>CO2 - HWP</v>
      </c>
      <c r="G74" s="94" t="str">
        <f>'Resultater - Vestdanmark'!G74</f>
        <v>t CO2-ækvivalenter</v>
      </c>
      <c r="H74" s="252">
        <f ca="1">'Resultater - Vestdanmark'!H74+'Resultater - Østdanmark'!H74</f>
        <v>0</v>
      </c>
      <c r="I74" s="253">
        <f ca="1">'Resultater - Vestdanmark'!I74+'Resultater - Østdanmark'!I74</f>
        <v>0</v>
      </c>
      <c r="J74" s="254">
        <f ca="1">'Resultater - Vestdanmark'!J74+'Resultater - Østdanmark'!J74</f>
        <v>0</v>
      </c>
    </row>
    <row r="75" spans="1:10" x14ac:dyDescent="0.25">
      <c r="A75" s="94" t="str">
        <f>'Resultater - Vestdanmark'!A75</f>
        <v>Skovproduktion</v>
      </c>
      <c r="B75" s="94" t="str">
        <f>'Resultater - Vestdanmark'!B75</f>
        <v/>
      </c>
      <c r="C75" s="94" t="str">
        <f>'Resultater - Vestdanmark'!C75</f>
        <v>Skovtype4</v>
      </c>
      <c r="D75" s="94" t="str">
        <f>'Resultater - Vestdanmark'!D75</f>
        <v>Areal-skovtype4-40</v>
      </c>
      <c r="E75" s="94" t="str">
        <f>'Resultater - Vestdanmark'!E75</f>
        <v>Hektar</v>
      </c>
      <c r="F75" s="94" t="str">
        <f>'Resultater - Vestdanmark'!F75</f>
        <v>Træer</v>
      </c>
      <c r="G75" s="94" t="str">
        <f>'Resultater - Vestdanmark'!G75</f>
        <v>m3</v>
      </c>
      <c r="H75" s="252">
        <f ca="1">'Resultater - Vestdanmark'!H75+'Resultater - Østdanmark'!H75</f>
        <v>0</v>
      </c>
      <c r="I75" s="253">
        <f ca="1">'Resultater - Vestdanmark'!I75+'Resultater - Østdanmark'!I75</f>
        <v>0</v>
      </c>
      <c r="J75" s="254">
        <f ca="1">'Resultater - Vestdanmark'!J75+'Resultater - Østdanmark'!J75</f>
        <v>0</v>
      </c>
    </row>
    <row r="76" spans="1:10" x14ac:dyDescent="0.25">
      <c r="A76" s="94" t="str">
        <f>'Resultater - Vestdanmark'!A76</f>
        <v>Skovproduktion</v>
      </c>
      <c r="B76" s="94" t="str">
        <f>'Resultater - Vestdanmark'!B76</f>
        <v/>
      </c>
      <c r="C76" s="94" t="str">
        <f>'Resultater - Vestdanmark'!C76</f>
        <v>Skovtype4</v>
      </c>
      <c r="D76" s="94" t="str">
        <f>'Resultater - Vestdanmark'!D76</f>
        <v>Areal-skovtype4-40</v>
      </c>
      <c r="E76" s="94" t="str">
        <f>'Resultater - Vestdanmark'!E76</f>
        <v>Hektar</v>
      </c>
      <c r="F76" s="94" t="str">
        <f>'Resultater - Vestdanmark'!F76</f>
        <v>Træ til energi</v>
      </c>
      <c r="G76" s="94" t="str">
        <f>'Resultater - Vestdanmark'!G76</f>
        <v>m3</v>
      </c>
      <c r="H76" s="252">
        <f ca="1">'Resultater - Vestdanmark'!H76+'Resultater - Østdanmark'!H76</f>
        <v>0</v>
      </c>
      <c r="I76" s="253">
        <f ca="1">'Resultater - Vestdanmark'!I76+'Resultater - Østdanmark'!I76</f>
        <v>0</v>
      </c>
      <c r="J76" s="254">
        <f ca="1">'Resultater - Vestdanmark'!J76+'Resultater - Østdanmark'!J76</f>
        <v>0</v>
      </c>
    </row>
    <row r="77" spans="1:10" x14ac:dyDescent="0.25">
      <c r="A77" s="94" t="str">
        <f>'Resultater - Vestdanmark'!A77</f>
        <v>Skovproduktion</v>
      </c>
      <c r="B77" s="94" t="str">
        <f>'Resultater - Vestdanmark'!B77</f>
        <v/>
      </c>
      <c r="C77" s="94" t="str">
        <f>'Resultater - Vestdanmark'!C77</f>
        <v>Skovtype4</v>
      </c>
      <c r="D77" s="94" t="str">
        <f>'Resultater - Vestdanmark'!D77</f>
        <v>Areal-skovtype4-40</v>
      </c>
      <c r="E77" s="94" t="str">
        <f>'Resultater - Vestdanmark'!E77</f>
        <v>Hektar</v>
      </c>
      <c r="F77" s="94" t="str">
        <f>'Resultater - Vestdanmark'!F77</f>
        <v>CO2 - atmosfære</v>
      </c>
      <c r="G77" s="94" t="str">
        <f>'Resultater - Vestdanmark'!G77</f>
        <v>t CO2-ækvivalenter</v>
      </c>
      <c r="H77" s="252">
        <f ca="1">'Resultater - Vestdanmark'!H77+'Resultater - Østdanmark'!H77</f>
        <v>0</v>
      </c>
      <c r="I77" s="253">
        <f ca="1">'Resultater - Vestdanmark'!I77+'Resultater - Østdanmark'!I77</f>
        <v>0</v>
      </c>
      <c r="J77" s="254">
        <f ca="1">'Resultater - Vestdanmark'!J77+'Resultater - Østdanmark'!J77</f>
        <v>0</v>
      </c>
    </row>
    <row r="78" spans="1:10" x14ac:dyDescent="0.25">
      <c r="A78" s="94" t="str">
        <f>'Resultater - Vestdanmark'!A78</f>
        <v>Skovproduktion</v>
      </c>
      <c r="B78" s="94" t="str">
        <f>'Resultater - Vestdanmark'!B78</f>
        <v/>
      </c>
      <c r="C78" s="94" t="str">
        <f>'Resultater - Vestdanmark'!C78</f>
        <v>Skovtype4</v>
      </c>
      <c r="D78" s="94" t="str">
        <f>'Resultater - Vestdanmark'!D78</f>
        <v>Areal-skovtype4-40</v>
      </c>
      <c r="E78" s="94" t="str">
        <f>'Resultater - Vestdanmark'!E78</f>
        <v>Hektar</v>
      </c>
      <c r="F78" s="94" t="str">
        <f>'Resultater - Vestdanmark'!F78</f>
        <v>CO2 - HWP</v>
      </c>
      <c r="G78" s="94" t="str">
        <f>'Resultater - Vestdanmark'!G78</f>
        <v>t CO2-ækvivalenter</v>
      </c>
      <c r="H78" s="252">
        <f ca="1">'Resultater - Vestdanmark'!H78+'Resultater - Østdanmark'!H78</f>
        <v>0</v>
      </c>
      <c r="I78" s="253">
        <f ca="1">'Resultater - Vestdanmark'!I78+'Resultater - Østdanmark'!I78</f>
        <v>0</v>
      </c>
      <c r="J78" s="254">
        <f ca="1">'Resultater - Vestdanmark'!J78+'Resultater - Østdanmark'!J78</f>
        <v>0</v>
      </c>
    </row>
    <row r="79" spans="1:10" x14ac:dyDescent="0.25">
      <c r="A79" s="94" t="str">
        <f>'Resultater - Vestdanmark'!A79</f>
        <v>Skovproduktion</v>
      </c>
      <c r="B79" s="94" t="str">
        <f>'Resultater - Vestdanmark'!B79</f>
        <v/>
      </c>
      <c r="C79" s="94" t="str">
        <f>'Resultater - Vestdanmark'!C79</f>
        <v>Skovtype5</v>
      </c>
      <c r="D79" s="94" t="str">
        <f>'Resultater - Vestdanmark'!D79</f>
        <v>Areal-skovtype5-10</v>
      </c>
      <c r="E79" s="94" t="str">
        <f>'Resultater - Vestdanmark'!E79</f>
        <v>Hektar</v>
      </c>
      <c r="F79" s="94" t="str">
        <f>'Resultater - Vestdanmark'!F79</f>
        <v>Træer</v>
      </c>
      <c r="G79" s="94" t="str">
        <f>'Resultater - Vestdanmark'!G79</f>
        <v>m3</v>
      </c>
      <c r="H79" s="252">
        <f ca="1">'Resultater - Vestdanmark'!H79+'Resultater - Østdanmark'!H79</f>
        <v>0</v>
      </c>
      <c r="I79" s="253">
        <f ca="1">'Resultater - Vestdanmark'!I79+'Resultater - Østdanmark'!I79</f>
        <v>0</v>
      </c>
      <c r="J79" s="254">
        <f ca="1">'Resultater - Vestdanmark'!J79+'Resultater - Østdanmark'!J79</f>
        <v>0</v>
      </c>
    </row>
    <row r="80" spans="1:10" x14ac:dyDescent="0.25">
      <c r="A80" s="94" t="str">
        <f>'Resultater - Vestdanmark'!A80</f>
        <v>Skovproduktion</v>
      </c>
      <c r="B80" s="94" t="str">
        <f>'Resultater - Vestdanmark'!B80</f>
        <v/>
      </c>
      <c r="C80" s="94" t="str">
        <f>'Resultater - Vestdanmark'!C80</f>
        <v>Skovtype5</v>
      </c>
      <c r="D80" s="94" t="str">
        <f>'Resultater - Vestdanmark'!D80</f>
        <v>Areal-skovtype5-10</v>
      </c>
      <c r="E80" s="94" t="str">
        <f>'Resultater - Vestdanmark'!E80</f>
        <v>Hektar</v>
      </c>
      <c r="F80" s="94" t="str">
        <f>'Resultater - Vestdanmark'!F80</f>
        <v>Træ til energi</v>
      </c>
      <c r="G80" s="94" t="str">
        <f>'Resultater - Vestdanmark'!G80</f>
        <v>m3</v>
      </c>
      <c r="H80" s="252">
        <f ca="1">'Resultater - Vestdanmark'!H80+'Resultater - Østdanmark'!H80</f>
        <v>0</v>
      </c>
      <c r="I80" s="253">
        <f ca="1">'Resultater - Vestdanmark'!I80+'Resultater - Østdanmark'!I80</f>
        <v>0</v>
      </c>
      <c r="J80" s="254">
        <f ca="1">'Resultater - Vestdanmark'!J80+'Resultater - Østdanmark'!J80</f>
        <v>0</v>
      </c>
    </row>
    <row r="81" spans="1:10" x14ac:dyDescent="0.25">
      <c r="A81" s="94" t="str">
        <f>'Resultater - Vestdanmark'!A81</f>
        <v>Skovproduktion</v>
      </c>
      <c r="B81" s="94" t="str">
        <f>'Resultater - Vestdanmark'!B81</f>
        <v/>
      </c>
      <c r="C81" s="94" t="str">
        <f>'Resultater - Vestdanmark'!C81</f>
        <v>Skovtype5</v>
      </c>
      <c r="D81" s="94" t="str">
        <f>'Resultater - Vestdanmark'!D81</f>
        <v>Areal-skovtype5-10</v>
      </c>
      <c r="E81" s="94" t="str">
        <f>'Resultater - Vestdanmark'!E81</f>
        <v>Hektar</v>
      </c>
      <c r="F81" s="94" t="str">
        <f>'Resultater - Vestdanmark'!F81</f>
        <v>CO2 - atmosfære</v>
      </c>
      <c r="G81" s="94" t="str">
        <f>'Resultater - Vestdanmark'!G81</f>
        <v>t CO2-ækvivalenter</v>
      </c>
      <c r="H81" s="252">
        <f ca="1">'Resultater - Vestdanmark'!H81+'Resultater - Østdanmark'!H81</f>
        <v>0</v>
      </c>
      <c r="I81" s="253">
        <f ca="1">'Resultater - Vestdanmark'!I81+'Resultater - Østdanmark'!I81</f>
        <v>-845970.20642091054</v>
      </c>
      <c r="J81" s="254">
        <f ca="1">'Resultater - Vestdanmark'!J81+'Resultater - Østdanmark'!J81</f>
        <v>-523493.64181392553</v>
      </c>
    </row>
    <row r="82" spans="1:10" x14ac:dyDescent="0.25">
      <c r="A82" s="94" t="str">
        <f>'Resultater - Vestdanmark'!A82</f>
        <v>Skovproduktion</v>
      </c>
      <c r="B82" s="94" t="str">
        <f>'Resultater - Vestdanmark'!B82</f>
        <v/>
      </c>
      <c r="C82" s="94" t="str">
        <f>'Resultater - Vestdanmark'!C82</f>
        <v>Skovtype5</v>
      </c>
      <c r="D82" s="94" t="str">
        <f>'Resultater - Vestdanmark'!D82</f>
        <v>Areal-skovtype5-10</v>
      </c>
      <c r="E82" s="94" t="str">
        <f>'Resultater - Vestdanmark'!E82</f>
        <v>Hektar</v>
      </c>
      <c r="F82" s="94" t="str">
        <f>'Resultater - Vestdanmark'!F82</f>
        <v>CO2 - HWP</v>
      </c>
      <c r="G82" s="94" t="str">
        <f>'Resultater - Vestdanmark'!G82</f>
        <v>t CO2-ækvivalenter</v>
      </c>
      <c r="H82" s="252">
        <f ca="1">'Resultater - Vestdanmark'!H82+'Resultater - Østdanmark'!H82</f>
        <v>0</v>
      </c>
      <c r="I82" s="253">
        <f ca="1">'Resultater - Vestdanmark'!I82+'Resultater - Østdanmark'!I82</f>
        <v>0</v>
      </c>
      <c r="J82" s="254">
        <f ca="1">'Resultater - Vestdanmark'!J82+'Resultater - Østdanmark'!J82</f>
        <v>0</v>
      </c>
    </row>
    <row r="83" spans="1:10" x14ac:dyDescent="0.25">
      <c r="A83" s="94" t="str">
        <f>'Resultater - Vestdanmark'!A83</f>
        <v>Skovproduktion</v>
      </c>
      <c r="B83" s="94" t="str">
        <f>'Resultater - Vestdanmark'!B83</f>
        <v/>
      </c>
      <c r="C83" s="94" t="str">
        <f>'Resultater - Vestdanmark'!C83</f>
        <v>Skovtype5</v>
      </c>
      <c r="D83" s="94" t="str">
        <f>'Resultater - Vestdanmark'!D83</f>
        <v>Areal-skovtype5-20</v>
      </c>
      <c r="E83" s="94" t="str">
        <f>'Resultater - Vestdanmark'!E83</f>
        <v>Hektar</v>
      </c>
      <c r="F83" s="94" t="str">
        <f>'Resultater - Vestdanmark'!F83</f>
        <v>Træer</v>
      </c>
      <c r="G83" s="94" t="str">
        <f>'Resultater - Vestdanmark'!G83</f>
        <v>m3</v>
      </c>
      <c r="H83" s="252">
        <f ca="1">'Resultater - Vestdanmark'!H83+'Resultater - Østdanmark'!H83</f>
        <v>0</v>
      </c>
      <c r="I83" s="253">
        <f ca="1">'Resultater - Vestdanmark'!I83+'Resultater - Østdanmark'!I83</f>
        <v>0</v>
      </c>
      <c r="J83" s="254">
        <f ca="1">'Resultater - Vestdanmark'!J83+'Resultater - Østdanmark'!J83</f>
        <v>0</v>
      </c>
    </row>
    <row r="84" spans="1:10" x14ac:dyDescent="0.25">
      <c r="A84" s="94" t="str">
        <f>'Resultater - Vestdanmark'!A84</f>
        <v>Skovproduktion</v>
      </c>
      <c r="B84" s="94" t="str">
        <f>'Resultater - Vestdanmark'!B84</f>
        <v/>
      </c>
      <c r="C84" s="94" t="str">
        <f>'Resultater - Vestdanmark'!C84</f>
        <v>Skovtype5</v>
      </c>
      <c r="D84" s="94" t="str">
        <f>'Resultater - Vestdanmark'!D84</f>
        <v>Areal-skovtype5-20</v>
      </c>
      <c r="E84" s="94" t="str">
        <f>'Resultater - Vestdanmark'!E84</f>
        <v>Hektar</v>
      </c>
      <c r="F84" s="94" t="str">
        <f>'Resultater - Vestdanmark'!F84</f>
        <v>Træ til energi</v>
      </c>
      <c r="G84" s="94" t="str">
        <f>'Resultater - Vestdanmark'!G84</f>
        <v>m3</v>
      </c>
      <c r="H84" s="252">
        <f ca="1">'Resultater - Vestdanmark'!H84+'Resultater - Østdanmark'!H84</f>
        <v>0</v>
      </c>
      <c r="I84" s="253">
        <f ca="1">'Resultater - Vestdanmark'!I84+'Resultater - Østdanmark'!I84</f>
        <v>0</v>
      </c>
      <c r="J84" s="254">
        <f ca="1">'Resultater - Vestdanmark'!J84+'Resultater - Østdanmark'!J84</f>
        <v>0</v>
      </c>
    </row>
    <row r="85" spans="1:10" x14ac:dyDescent="0.25">
      <c r="A85" s="94" t="str">
        <f>'Resultater - Vestdanmark'!A85</f>
        <v>Skovproduktion</v>
      </c>
      <c r="B85" s="94" t="str">
        <f>'Resultater - Vestdanmark'!B85</f>
        <v/>
      </c>
      <c r="C85" s="94" t="str">
        <f>'Resultater - Vestdanmark'!C85</f>
        <v>Skovtype5</v>
      </c>
      <c r="D85" s="94" t="str">
        <f>'Resultater - Vestdanmark'!D85</f>
        <v>Areal-skovtype5-20</v>
      </c>
      <c r="E85" s="94" t="str">
        <f>'Resultater - Vestdanmark'!E85</f>
        <v>Hektar</v>
      </c>
      <c r="F85" s="94" t="str">
        <f>'Resultater - Vestdanmark'!F85</f>
        <v>CO2 - atmosfære</v>
      </c>
      <c r="G85" s="94" t="str">
        <f>'Resultater - Vestdanmark'!G85</f>
        <v>t CO2-ækvivalenter</v>
      </c>
      <c r="H85" s="252">
        <f ca="1">'Resultater - Vestdanmark'!H85+'Resultater - Østdanmark'!H85</f>
        <v>0</v>
      </c>
      <c r="I85" s="253">
        <f ca="1">'Resultater - Vestdanmark'!I85+'Resultater - Østdanmark'!I85</f>
        <v>-85054.118181818179</v>
      </c>
      <c r="J85" s="254">
        <f ca="1">'Resultater - Vestdanmark'!J85+'Resultater - Østdanmark'!J85</f>
        <v>-531126.65353612159</v>
      </c>
    </row>
    <row r="86" spans="1:10" x14ac:dyDescent="0.25">
      <c r="A86" s="94" t="str">
        <f>'Resultater - Vestdanmark'!A86</f>
        <v>Skovproduktion</v>
      </c>
      <c r="B86" s="94" t="str">
        <f>'Resultater - Vestdanmark'!B86</f>
        <v/>
      </c>
      <c r="C86" s="94" t="str">
        <f>'Resultater - Vestdanmark'!C86</f>
        <v>Skovtype5</v>
      </c>
      <c r="D86" s="94" t="str">
        <f>'Resultater - Vestdanmark'!D86</f>
        <v>Areal-skovtype5-20</v>
      </c>
      <c r="E86" s="94" t="str">
        <f>'Resultater - Vestdanmark'!E86</f>
        <v>Hektar</v>
      </c>
      <c r="F86" s="94" t="str">
        <f>'Resultater - Vestdanmark'!F86</f>
        <v>CO2 - HWP</v>
      </c>
      <c r="G86" s="94" t="str">
        <f>'Resultater - Vestdanmark'!G86</f>
        <v>t CO2-ækvivalenter</v>
      </c>
      <c r="H86" s="252">
        <f ca="1">'Resultater - Vestdanmark'!H86+'Resultater - Østdanmark'!H86</f>
        <v>0</v>
      </c>
      <c r="I86" s="253">
        <f ca="1">'Resultater - Vestdanmark'!I86+'Resultater - Østdanmark'!I86</f>
        <v>0</v>
      </c>
      <c r="J86" s="254">
        <f ca="1">'Resultater - Vestdanmark'!J86+'Resultater - Østdanmark'!J86</f>
        <v>0</v>
      </c>
    </row>
    <row r="87" spans="1:10" x14ac:dyDescent="0.25">
      <c r="A87" s="94" t="str">
        <f>'Resultater - Vestdanmark'!A87</f>
        <v>Skovproduktion</v>
      </c>
      <c r="B87" s="94" t="str">
        <f>'Resultater - Vestdanmark'!B87</f>
        <v/>
      </c>
      <c r="C87" s="94" t="str">
        <f>'Resultater - Vestdanmark'!C87</f>
        <v>Skovtype5</v>
      </c>
      <c r="D87" s="94" t="str">
        <f>'Resultater - Vestdanmark'!D87</f>
        <v>Areal-skovtype5-30</v>
      </c>
      <c r="E87" s="94" t="str">
        <f>'Resultater - Vestdanmark'!E87</f>
        <v>Hektar</v>
      </c>
      <c r="F87" s="94" t="str">
        <f>'Resultater - Vestdanmark'!F87</f>
        <v>Træer</v>
      </c>
      <c r="G87" s="94" t="str">
        <f>'Resultater - Vestdanmark'!G87</f>
        <v>m3</v>
      </c>
      <c r="H87" s="252">
        <f ca="1">'Resultater - Vestdanmark'!H87+'Resultater - Østdanmark'!H87</f>
        <v>0</v>
      </c>
      <c r="I87" s="253">
        <f ca="1">'Resultater - Vestdanmark'!I87+'Resultater - Østdanmark'!I87</f>
        <v>0</v>
      </c>
      <c r="J87" s="254">
        <f ca="1">'Resultater - Vestdanmark'!J87+'Resultater - Østdanmark'!J87</f>
        <v>0</v>
      </c>
    </row>
    <row r="88" spans="1:10" x14ac:dyDescent="0.25">
      <c r="A88" s="94" t="str">
        <f>'Resultater - Vestdanmark'!A88</f>
        <v>Skovproduktion</v>
      </c>
      <c r="B88" s="94" t="str">
        <f>'Resultater - Vestdanmark'!B88</f>
        <v/>
      </c>
      <c r="C88" s="94" t="str">
        <f>'Resultater - Vestdanmark'!C88</f>
        <v>Skovtype5</v>
      </c>
      <c r="D88" s="94" t="str">
        <f>'Resultater - Vestdanmark'!D88</f>
        <v>Areal-skovtype5-30</v>
      </c>
      <c r="E88" s="94" t="str">
        <f>'Resultater - Vestdanmark'!E88</f>
        <v>Hektar</v>
      </c>
      <c r="F88" s="94" t="str">
        <f>'Resultater - Vestdanmark'!F88</f>
        <v>Træ til energi</v>
      </c>
      <c r="G88" s="94" t="str">
        <f>'Resultater - Vestdanmark'!G88</f>
        <v>m3</v>
      </c>
      <c r="H88" s="252">
        <f ca="1">'Resultater - Vestdanmark'!H88+'Resultater - Østdanmark'!H88</f>
        <v>0</v>
      </c>
      <c r="I88" s="253">
        <f ca="1">'Resultater - Vestdanmark'!I88+'Resultater - Østdanmark'!I88</f>
        <v>0</v>
      </c>
      <c r="J88" s="254">
        <f ca="1">'Resultater - Vestdanmark'!J88+'Resultater - Østdanmark'!J88</f>
        <v>0</v>
      </c>
    </row>
    <row r="89" spans="1:10" x14ac:dyDescent="0.25">
      <c r="A89" s="94" t="str">
        <f>'Resultater - Vestdanmark'!A89</f>
        <v>Skovproduktion</v>
      </c>
      <c r="B89" s="94" t="str">
        <f>'Resultater - Vestdanmark'!B89</f>
        <v/>
      </c>
      <c r="C89" s="94" t="str">
        <f>'Resultater - Vestdanmark'!C89</f>
        <v>Skovtype5</v>
      </c>
      <c r="D89" s="94" t="str">
        <f>'Resultater - Vestdanmark'!D89</f>
        <v>Areal-skovtype5-30</v>
      </c>
      <c r="E89" s="94" t="str">
        <f>'Resultater - Vestdanmark'!E89</f>
        <v>Hektar</v>
      </c>
      <c r="F89" s="94" t="str">
        <f>'Resultater - Vestdanmark'!F89</f>
        <v>CO2 - atmosfære</v>
      </c>
      <c r="G89" s="94" t="str">
        <f>'Resultater - Vestdanmark'!G89</f>
        <v>t CO2-ækvivalenter</v>
      </c>
      <c r="H89" s="252">
        <f ca="1">'Resultater - Vestdanmark'!H89+'Resultater - Østdanmark'!H89</f>
        <v>0</v>
      </c>
      <c r="I89" s="253">
        <f ca="1">'Resultater - Vestdanmark'!I89+'Resultater - Østdanmark'!I89</f>
        <v>0</v>
      </c>
      <c r="J89" s="254">
        <f ca="1">'Resultater - Vestdanmark'!J89+'Resultater - Østdanmark'!J89</f>
        <v>-845970.20642091054</v>
      </c>
    </row>
    <row r="90" spans="1:10" x14ac:dyDescent="0.25">
      <c r="A90" s="94" t="str">
        <f>'Resultater - Vestdanmark'!A90</f>
        <v>Skovproduktion</v>
      </c>
      <c r="B90" s="94" t="str">
        <f>'Resultater - Vestdanmark'!B90</f>
        <v/>
      </c>
      <c r="C90" s="94" t="str">
        <f>'Resultater - Vestdanmark'!C90</f>
        <v>Skovtype5</v>
      </c>
      <c r="D90" s="94" t="str">
        <f>'Resultater - Vestdanmark'!D90</f>
        <v>Areal-skovtype5-30</v>
      </c>
      <c r="E90" s="94" t="str">
        <f>'Resultater - Vestdanmark'!E90</f>
        <v>Hektar</v>
      </c>
      <c r="F90" s="94" t="str">
        <f>'Resultater - Vestdanmark'!F90</f>
        <v>CO2 - HWP</v>
      </c>
      <c r="G90" s="94" t="str">
        <f>'Resultater - Vestdanmark'!G90</f>
        <v>t CO2-ækvivalenter</v>
      </c>
      <c r="H90" s="252">
        <f ca="1">'Resultater - Vestdanmark'!H90+'Resultater - Østdanmark'!H90</f>
        <v>0</v>
      </c>
      <c r="I90" s="253">
        <f ca="1">'Resultater - Vestdanmark'!I90+'Resultater - Østdanmark'!I90</f>
        <v>0</v>
      </c>
      <c r="J90" s="254">
        <f ca="1">'Resultater - Vestdanmark'!J90+'Resultater - Østdanmark'!J90</f>
        <v>0</v>
      </c>
    </row>
    <row r="91" spans="1:10" x14ac:dyDescent="0.25">
      <c r="A91" s="94" t="str">
        <f>'Resultater - Vestdanmark'!A91</f>
        <v>Skovproduktion</v>
      </c>
      <c r="B91" s="94" t="str">
        <f>'Resultater - Vestdanmark'!B91</f>
        <v/>
      </c>
      <c r="C91" s="94" t="str">
        <f>'Resultater - Vestdanmark'!C91</f>
        <v>Skovtype5</v>
      </c>
      <c r="D91" s="94" t="str">
        <f>'Resultater - Vestdanmark'!D91</f>
        <v>Areal-skovtype5-40</v>
      </c>
      <c r="E91" s="94" t="str">
        <f>'Resultater - Vestdanmark'!E91</f>
        <v>Hektar</v>
      </c>
      <c r="F91" s="94" t="str">
        <f>'Resultater - Vestdanmark'!F91</f>
        <v>Træer</v>
      </c>
      <c r="G91" s="94" t="str">
        <f>'Resultater - Vestdanmark'!G91</f>
        <v>m3</v>
      </c>
      <c r="H91" s="252">
        <f ca="1">'Resultater - Vestdanmark'!H91+'Resultater - Østdanmark'!H91</f>
        <v>0</v>
      </c>
      <c r="I91" s="253">
        <f ca="1">'Resultater - Vestdanmark'!I91+'Resultater - Østdanmark'!I91</f>
        <v>0</v>
      </c>
      <c r="J91" s="254">
        <f ca="1">'Resultater - Vestdanmark'!J91+'Resultater - Østdanmark'!J91</f>
        <v>0</v>
      </c>
    </row>
    <row r="92" spans="1:10" x14ac:dyDescent="0.25">
      <c r="A92" s="94" t="str">
        <f>'Resultater - Vestdanmark'!A92</f>
        <v>Skovproduktion</v>
      </c>
      <c r="B92" s="94" t="str">
        <f>'Resultater - Vestdanmark'!B92</f>
        <v/>
      </c>
      <c r="C92" s="94" t="str">
        <f>'Resultater - Vestdanmark'!C92</f>
        <v>Skovtype5</v>
      </c>
      <c r="D92" s="94" t="str">
        <f>'Resultater - Vestdanmark'!D92</f>
        <v>Areal-skovtype5-40</v>
      </c>
      <c r="E92" s="94" t="str">
        <f>'Resultater - Vestdanmark'!E92</f>
        <v>Hektar</v>
      </c>
      <c r="F92" s="94" t="str">
        <f>'Resultater - Vestdanmark'!F92</f>
        <v>Træ til energi</v>
      </c>
      <c r="G92" s="94" t="str">
        <f>'Resultater - Vestdanmark'!G92</f>
        <v>m3</v>
      </c>
      <c r="H92" s="252">
        <f ca="1">'Resultater - Vestdanmark'!H92+'Resultater - Østdanmark'!H92</f>
        <v>0</v>
      </c>
      <c r="I92" s="253">
        <f ca="1">'Resultater - Vestdanmark'!I92+'Resultater - Østdanmark'!I92</f>
        <v>0</v>
      </c>
      <c r="J92" s="254">
        <f ca="1">'Resultater - Vestdanmark'!J92+'Resultater - Østdanmark'!J92</f>
        <v>0</v>
      </c>
    </row>
    <row r="93" spans="1:10" x14ac:dyDescent="0.25">
      <c r="A93" s="94" t="str">
        <f>'Resultater - Vestdanmark'!A93</f>
        <v>Skovproduktion</v>
      </c>
      <c r="B93" s="94" t="str">
        <f>'Resultater - Vestdanmark'!B93</f>
        <v/>
      </c>
      <c r="C93" s="94" t="str">
        <f>'Resultater - Vestdanmark'!C93</f>
        <v>Skovtype5</v>
      </c>
      <c r="D93" s="94" t="str">
        <f>'Resultater - Vestdanmark'!D93</f>
        <v>Areal-skovtype5-40</v>
      </c>
      <c r="E93" s="94" t="str">
        <f>'Resultater - Vestdanmark'!E93</f>
        <v>Hektar</v>
      </c>
      <c r="F93" s="94" t="str">
        <f>'Resultater - Vestdanmark'!F93</f>
        <v>CO2 - atmosfære</v>
      </c>
      <c r="G93" s="94" t="str">
        <f>'Resultater - Vestdanmark'!G93</f>
        <v>t CO2-ækvivalenter</v>
      </c>
      <c r="H93" s="252">
        <f ca="1">'Resultater - Vestdanmark'!H93+'Resultater - Østdanmark'!H93</f>
        <v>0</v>
      </c>
      <c r="I93" s="253">
        <f ca="1">'Resultater - Vestdanmark'!I93+'Resultater - Østdanmark'!I93</f>
        <v>0</v>
      </c>
      <c r="J93" s="254">
        <f ca="1">'Resultater - Vestdanmark'!J93+'Resultater - Østdanmark'!J93</f>
        <v>-85054.118181818179</v>
      </c>
    </row>
    <row r="94" spans="1:10" x14ac:dyDescent="0.25">
      <c r="A94" s="94" t="str">
        <f>'Resultater - Vestdanmark'!A94</f>
        <v>Skovproduktion</v>
      </c>
      <c r="B94" s="94" t="str">
        <f>'Resultater - Vestdanmark'!B94</f>
        <v/>
      </c>
      <c r="C94" s="94" t="str">
        <f>'Resultater - Vestdanmark'!C94</f>
        <v>Skovtype5</v>
      </c>
      <c r="D94" s="94" t="str">
        <f>'Resultater - Vestdanmark'!D94</f>
        <v>Areal-skovtype5-40</v>
      </c>
      <c r="E94" s="94" t="str">
        <f>'Resultater - Vestdanmark'!E94</f>
        <v>Hektar</v>
      </c>
      <c r="F94" s="94" t="str">
        <f>'Resultater - Vestdanmark'!F94</f>
        <v>CO2 - HWP</v>
      </c>
      <c r="G94" s="94" t="str">
        <f>'Resultater - Vestdanmark'!G94</f>
        <v>t CO2-ækvivalenter</v>
      </c>
      <c r="H94" s="252">
        <f ca="1">'Resultater - Vestdanmark'!H94+'Resultater - Østdanmark'!H94</f>
        <v>0</v>
      </c>
      <c r="I94" s="253">
        <f ca="1">'Resultater - Vestdanmark'!I94+'Resultater - Østdanmark'!I94</f>
        <v>0</v>
      </c>
      <c r="J94" s="254">
        <f ca="1">'Resultater - Vestdanmark'!J94+'Resultater - Østdanmark'!J94</f>
        <v>0</v>
      </c>
    </row>
    <row r="95" spans="1:10" x14ac:dyDescent="0.25">
      <c r="A95" s="94" t="str">
        <f>'Resultater - Vestdanmark'!A95</f>
        <v>Grisestald</v>
      </c>
      <c r="B95" s="94" t="str">
        <f>'Resultater - Vestdanmark'!B95</f>
        <v>Konventionel</v>
      </c>
      <c r="C95" s="94" t="str">
        <f>'Resultater - Vestdanmark'!C95</f>
        <v/>
      </c>
      <c r="D95" s="94" t="str">
        <f>'Resultater - Vestdanmark'!D95</f>
        <v>Svin</v>
      </c>
      <c r="E95" s="94" t="str">
        <f>'Resultater - Vestdanmark'!E95</f>
        <v>Antal</v>
      </c>
      <c r="F95" s="94" t="str">
        <f>'Resultater - Vestdanmark'!F95</f>
        <v>Slagtesvin</v>
      </c>
      <c r="G95" s="94" t="str">
        <f>'Resultater - Vestdanmark'!G95</f>
        <v>Antal</v>
      </c>
      <c r="H95" s="252">
        <f>'Resultater - Vestdanmark'!H95+'Resultater - Østdanmark'!H95</f>
        <v>16367972</v>
      </c>
      <c r="I95" s="253">
        <f>'Resultater - Vestdanmark'!I95+'Resultater - Østdanmark'!I95</f>
        <v>15206373.987096775</v>
      </c>
      <c r="J95" s="254">
        <f>'Resultater - Vestdanmark'!J95+'Resultater - Østdanmark'!J95</f>
        <v>0</v>
      </c>
    </row>
    <row r="96" spans="1:10" x14ac:dyDescent="0.25">
      <c r="A96" s="94" t="str">
        <f>'Resultater - Vestdanmark'!A96</f>
        <v>Grisestald</v>
      </c>
      <c r="B96" s="94" t="str">
        <f>'Resultater - Vestdanmark'!B96</f>
        <v>Konventionel</v>
      </c>
      <c r="C96" s="94" t="str">
        <f>'Resultater - Vestdanmark'!C96</f>
        <v/>
      </c>
      <c r="D96" s="94" t="str">
        <f>'Resultater - Vestdanmark'!D96</f>
        <v>Svin</v>
      </c>
      <c r="E96" s="94" t="str">
        <f>'Resultater - Vestdanmark'!E96</f>
        <v>Antal</v>
      </c>
      <c r="F96" s="94" t="str">
        <f>'Resultater - Vestdanmark'!F96</f>
        <v>Svinegylle</v>
      </c>
      <c r="G96" s="94" t="str">
        <f>'Resultater - Vestdanmark'!G96</f>
        <v>Ton</v>
      </c>
      <c r="H96" s="252">
        <f>'Resultater - Vestdanmark'!H96+'Resultater - Østdanmark'!H96</f>
        <v>17657000</v>
      </c>
      <c r="I96" s="253">
        <f>'Resultater - Vestdanmark'!I96+'Resultater - Østdanmark'!I96</f>
        <v>16403922.580645163</v>
      </c>
      <c r="J96" s="254">
        <f>'Resultater - Vestdanmark'!J96+'Resultater - Østdanmark'!J96</f>
        <v>0</v>
      </c>
    </row>
    <row r="97" spans="1:10" x14ac:dyDescent="0.25">
      <c r="A97" s="94" t="str">
        <f>'Resultater - Vestdanmark'!A97</f>
        <v>Grisestald</v>
      </c>
      <c r="B97" s="94" t="str">
        <f>'Resultater - Vestdanmark'!B97</f>
        <v>Konventionel</v>
      </c>
      <c r="C97" s="94" t="str">
        <f>'Resultater - Vestdanmark'!C97</f>
        <v/>
      </c>
      <c r="D97" s="94" t="str">
        <f>'Resultater - Vestdanmark'!D97</f>
        <v>Svin</v>
      </c>
      <c r="E97" s="94" t="str">
        <f>'Resultater - Vestdanmark'!E97</f>
        <v>Antal</v>
      </c>
      <c r="F97" s="94" t="str">
        <f>'Resultater - Vestdanmark'!F97</f>
        <v>Dybstrøelse</v>
      </c>
      <c r="G97" s="94" t="str">
        <f>'Resultater - Vestdanmark'!G97</f>
        <v>Ton</v>
      </c>
      <c r="H97" s="252">
        <f>'Resultater - Vestdanmark'!H97+'Resultater - Østdanmark'!H97</f>
        <v>2263500</v>
      </c>
      <c r="I97" s="253">
        <f>'Resultater - Vestdanmark'!I97+'Resultater - Østdanmark'!I97</f>
        <v>2102864.5161290327</v>
      </c>
      <c r="J97" s="254">
        <f>'Resultater - Vestdanmark'!J97+'Resultater - Østdanmark'!J97</f>
        <v>0</v>
      </c>
    </row>
    <row r="98" spans="1:10" x14ac:dyDescent="0.25">
      <c r="A98" s="94" t="str">
        <f>'Resultater - Vestdanmark'!A98</f>
        <v>Grisestald</v>
      </c>
      <c r="B98" s="94" t="str">
        <f>'Resultater - Vestdanmark'!B98</f>
        <v>Konventionel</v>
      </c>
      <c r="C98" s="94" t="str">
        <f>'Resultater - Vestdanmark'!C98</f>
        <v/>
      </c>
      <c r="D98" s="94" t="str">
        <f>'Resultater - Vestdanmark'!D98</f>
        <v>Svin</v>
      </c>
      <c r="E98" s="94" t="str">
        <f>'Resultater - Vestdanmark'!E98</f>
        <v>Antal</v>
      </c>
      <c r="F98" s="94" t="str">
        <f>'Resultater - Vestdanmark'!F98</f>
        <v>Industriaffald</v>
      </c>
      <c r="G98" s="94" t="str">
        <f>'Resultater - Vestdanmark'!G98</f>
        <v>Ton</v>
      </c>
      <c r="H98" s="252">
        <f>'Resultater - Vestdanmark'!H98+'Resultater - Østdanmark'!H98</f>
        <v>185011.20708453766</v>
      </c>
      <c r="I98" s="253">
        <f>'Resultater - Vestdanmark'!I98+'Resultater - Østdanmark'!I98</f>
        <v>171881.37948498983</v>
      </c>
      <c r="J98" s="254">
        <f>'Resultater - Vestdanmark'!J98+'Resultater - Østdanmark'!J98</f>
        <v>0</v>
      </c>
    </row>
    <row r="99" spans="1:10" x14ac:dyDescent="0.25">
      <c r="A99" s="94" t="str">
        <f>'Resultater - Vestdanmark'!A99</f>
        <v>Grisestald</v>
      </c>
      <c r="B99" s="94" t="str">
        <f>'Resultater - Vestdanmark'!B99</f>
        <v>Konventionel</v>
      </c>
      <c r="C99" s="94" t="str">
        <f>'Resultater - Vestdanmark'!C99</f>
        <v/>
      </c>
      <c r="D99" s="94" t="str">
        <f>'Resultater - Vestdanmark'!D99</f>
        <v>Svin</v>
      </c>
      <c r="E99" s="94" t="str">
        <f>'Resultater - Vestdanmark'!E99</f>
        <v>Antal</v>
      </c>
      <c r="F99" s="94" t="str">
        <f>'Resultater - Vestdanmark'!F99</f>
        <v>Foder</v>
      </c>
      <c r="G99" s="94" t="str">
        <f>'Resultater - Vestdanmark'!G99</f>
        <v>FE</v>
      </c>
      <c r="H99" s="252">
        <f>'Resultater - Vestdanmark'!H99+'Resultater - Østdanmark'!H99</f>
        <v>-10101447931.960001</v>
      </c>
      <c r="I99" s="253">
        <f>'Resultater - Vestdanmark'!I99+'Resultater - Østdanmark'!I99</f>
        <v>-9384570981.9499359</v>
      </c>
      <c r="J99" s="254">
        <f>'Resultater - Vestdanmark'!J99+'Resultater - Østdanmark'!J99</f>
        <v>0</v>
      </c>
    </row>
    <row r="100" spans="1:10" x14ac:dyDescent="0.25">
      <c r="A100" s="94" t="str">
        <f>'Resultater - Vestdanmark'!A100</f>
        <v>Grisestald</v>
      </c>
      <c r="B100" s="94" t="str">
        <f>'Resultater - Vestdanmark'!B100</f>
        <v>Konventionel</v>
      </c>
      <c r="C100" s="94" t="str">
        <f>'Resultater - Vestdanmark'!C100</f>
        <v/>
      </c>
      <c r="D100" s="94" t="str">
        <f>'Resultater - Vestdanmark'!D100</f>
        <v>Svin</v>
      </c>
      <c r="E100" s="94" t="str">
        <f>'Resultater - Vestdanmark'!E100</f>
        <v>Antal</v>
      </c>
      <c r="F100" s="94" t="str">
        <f>'Resultater - Vestdanmark'!F100</f>
        <v>Halm</v>
      </c>
      <c r="G100" s="94" t="str">
        <f>'Resultater - Vestdanmark'!G100</f>
        <v>Ton</v>
      </c>
      <c r="H100" s="252">
        <f>'Resultater - Vestdanmark'!H100+'Resultater - Østdanmark'!H100</f>
        <v>-775790.06759999995</v>
      </c>
      <c r="I100" s="253">
        <f>'Resultater - Vestdanmark'!I100+'Resultater - Østdanmark'!I100</f>
        <v>-720733.99828645156</v>
      </c>
      <c r="J100" s="254">
        <f>'Resultater - Vestdanmark'!J100+'Resultater - Østdanmark'!J100</f>
        <v>0</v>
      </c>
    </row>
    <row r="101" spans="1:10" x14ac:dyDescent="0.25">
      <c r="A101" s="94" t="str">
        <f>'Resultater - Vestdanmark'!A101</f>
        <v>Grisestald</v>
      </c>
      <c r="B101" s="94" t="str">
        <f>'Resultater - Vestdanmark'!B101</f>
        <v>Konventionel</v>
      </c>
      <c r="C101" s="94" t="str">
        <f>'Resultater - Vestdanmark'!C101</f>
        <v/>
      </c>
      <c r="D101" s="94" t="str">
        <f>'Resultater - Vestdanmark'!D101</f>
        <v>Svin</v>
      </c>
      <c r="E101" s="94" t="str">
        <f>'Resultater - Vestdanmark'!E101</f>
        <v>Antal</v>
      </c>
      <c r="F101" s="94" t="str">
        <f>'Resultater - Vestdanmark'!F101</f>
        <v>CO2 - atmosfære</v>
      </c>
      <c r="G101" s="94" t="str">
        <f>'Resultater - Vestdanmark'!G101</f>
        <v>t CO2-ækvivalenter</v>
      </c>
      <c r="H101" s="252">
        <f>'Resultater - Vestdanmark'!H101+'Resultater - Østdanmark'!H101</f>
        <v>1481527.9486119426</v>
      </c>
      <c r="I101" s="253">
        <f>'Resultater - Vestdanmark'!I101+'Resultater - Østdanmark'!I101</f>
        <v>1376387.2554846434</v>
      </c>
      <c r="J101" s="254">
        <f>'Resultater - Vestdanmark'!J101+'Resultater - Østdanmark'!J101</f>
        <v>0</v>
      </c>
    </row>
    <row r="102" spans="1:10" x14ac:dyDescent="0.25">
      <c r="A102" s="94" t="str">
        <f>'Resultater - Vestdanmark'!A102</f>
        <v>Grisestald</v>
      </c>
      <c r="B102" s="94" t="str">
        <f>'Resultater - Vestdanmark'!B102</f>
        <v>Økologisk</v>
      </c>
      <c r="C102" s="94" t="str">
        <f>'Resultater - Vestdanmark'!C102</f>
        <v/>
      </c>
      <c r="D102" s="94" t="str">
        <f>'Resultater - Vestdanmark'!D102</f>
        <v>Svin</v>
      </c>
      <c r="E102" s="94" t="str">
        <f>'Resultater - Vestdanmark'!E102</f>
        <v>Antal</v>
      </c>
      <c r="F102" s="94" t="str">
        <f>'Resultater - Vestdanmark'!F102</f>
        <v>Slagtesvin</v>
      </c>
      <c r="G102" s="94" t="str">
        <f>'Resultater - Vestdanmark'!G102</f>
        <v>Antal</v>
      </c>
      <c r="H102" s="252">
        <f>'Resultater - Vestdanmark'!H102+'Resultater - Østdanmark'!H102</f>
        <v>232028</v>
      </c>
      <c r="I102" s="253">
        <f>'Resultater - Vestdanmark'!I102+'Resultater - Østdanmark'!I102</f>
        <v>215561.49677419357</v>
      </c>
      <c r="J102" s="254">
        <f>'Resultater - Vestdanmark'!J102+'Resultater - Østdanmark'!J102</f>
        <v>4650349.9780430375</v>
      </c>
    </row>
    <row r="103" spans="1:10" x14ac:dyDescent="0.25">
      <c r="A103" s="94" t="str">
        <f>'Resultater - Vestdanmark'!A103</f>
        <v>Grisestald</v>
      </c>
      <c r="B103" s="94" t="str">
        <f>'Resultater - Vestdanmark'!B103</f>
        <v>Økologisk</v>
      </c>
      <c r="C103" s="94" t="str">
        <f>'Resultater - Vestdanmark'!C103</f>
        <v/>
      </c>
      <c r="D103" s="94" t="str">
        <f>'Resultater - Vestdanmark'!D103</f>
        <v>Svin</v>
      </c>
      <c r="E103" s="94" t="str">
        <f>'Resultater - Vestdanmark'!E103</f>
        <v>Antal</v>
      </c>
      <c r="F103" s="94" t="str">
        <f>'Resultater - Vestdanmark'!F103</f>
        <v>Svinegylle</v>
      </c>
      <c r="G103" s="94" t="str">
        <f>'Resultater - Vestdanmark'!G103</f>
        <v>Ton</v>
      </c>
      <c r="H103" s="252">
        <f>'Resultater - Vestdanmark'!H103+'Resultater - Østdanmark'!H103</f>
        <v>0</v>
      </c>
      <c r="I103" s="253">
        <f>'Resultater - Vestdanmark'!I103+'Resultater - Østdanmark'!I103</f>
        <v>0</v>
      </c>
      <c r="J103" s="254">
        <f>'Resultater - Vestdanmark'!J103+'Resultater - Østdanmark'!J103</f>
        <v>0</v>
      </c>
    </row>
    <row r="104" spans="1:10" x14ac:dyDescent="0.25">
      <c r="A104" s="94" t="str">
        <f>'Resultater - Vestdanmark'!A104</f>
        <v>Grisestald</v>
      </c>
      <c r="B104" s="94" t="str">
        <f>'Resultater - Vestdanmark'!B104</f>
        <v>Økologisk</v>
      </c>
      <c r="C104" s="94" t="str">
        <f>'Resultater - Vestdanmark'!C104</f>
        <v/>
      </c>
      <c r="D104" s="94" t="str">
        <f>'Resultater - Vestdanmark'!D104</f>
        <v>Svin</v>
      </c>
      <c r="E104" s="94" t="str">
        <f>'Resultater - Vestdanmark'!E104</f>
        <v>Antal</v>
      </c>
      <c r="F104" s="94" t="str">
        <f>'Resultater - Vestdanmark'!F104</f>
        <v>Dybstrøelse</v>
      </c>
      <c r="G104" s="94" t="str">
        <f>'Resultater - Vestdanmark'!G104</f>
        <v>Ton</v>
      </c>
      <c r="H104" s="252">
        <f>'Resultater - Vestdanmark'!H104+'Resultater - Østdanmark'!H104</f>
        <v>251500.00000000003</v>
      </c>
      <c r="I104" s="253">
        <f>'Resultater - Vestdanmark'!I104+'Resultater - Østdanmark'!I104</f>
        <v>233651.61290322582</v>
      </c>
      <c r="J104" s="254">
        <f>'Resultater - Vestdanmark'!J104+'Resultater - Østdanmark'!J104</f>
        <v>5040611.5618710844</v>
      </c>
    </row>
    <row r="105" spans="1:10" x14ac:dyDescent="0.25">
      <c r="A105" s="94" t="str">
        <f>'Resultater - Vestdanmark'!A105</f>
        <v>Grisestald</v>
      </c>
      <c r="B105" s="94" t="str">
        <f>'Resultater - Vestdanmark'!B105</f>
        <v>Økologisk</v>
      </c>
      <c r="C105" s="94" t="str">
        <f>'Resultater - Vestdanmark'!C105</f>
        <v/>
      </c>
      <c r="D105" s="94" t="str">
        <f>'Resultater - Vestdanmark'!D105</f>
        <v>Svin</v>
      </c>
      <c r="E105" s="94" t="str">
        <f>'Resultater - Vestdanmark'!E105</f>
        <v>Antal</v>
      </c>
      <c r="F105" s="94" t="str">
        <f>'Resultater - Vestdanmark'!F105</f>
        <v>Industriaffald</v>
      </c>
      <c r="G105" s="94" t="str">
        <f>'Resultater - Vestdanmark'!G105</f>
        <v>Ton</v>
      </c>
      <c r="H105" s="252">
        <f>'Resultater - Vestdanmark'!H105+'Resultater - Østdanmark'!H105</f>
        <v>7691.8969154623392</v>
      </c>
      <c r="I105" s="253">
        <f>'Resultater - Vestdanmark'!I105+'Resultater - Østdanmark'!I105</f>
        <v>7146.0203601714647</v>
      </c>
      <c r="J105" s="254">
        <f>'Resultater - Vestdanmark'!J105+'Resultater - Østdanmark'!J105</f>
        <v>154162.48319999999</v>
      </c>
    </row>
    <row r="106" spans="1:10" x14ac:dyDescent="0.25">
      <c r="A106" s="94" t="str">
        <f>'Resultater - Vestdanmark'!A106</f>
        <v>Grisestald</v>
      </c>
      <c r="B106" s="94" t="str">
        <f>'Resultater - Vestdanmark'!B106</f>
        <v>Økologisk</v>
      </c>
      <c r="C106" s="94" t="str">
        <f>'Resultater - Vestdanmark'!C106</f>
        <v/>
      </c>
      <c r="D106" s="94" t="str">
        <f>'Resultater - Vestdanmark'!D106</f>
        <v>Svin</v>
      </c>
      <c r="E106" s="94" t="str">
        <f>'Resultater - Vestdanmark'!E106</f>
        <v>Antal</v>
      </c>
      <c r="F106" s="94" t="str">
        <f>'Resultater - Vestdanmark'!F106</f>
        <v>Foder</v>
      </c>
      <c r="G106" s="94" t="str">
        <f>'Resultater - Vestdanmark'!G106</f>
        <v>FE</v>
      </c>
      <c r="H106" s="252">
        <f>'Resultater - Vestdanmark'!H106+'Resultater - Østdanmark'!H106</f>
        <v>-419970754.27999997</v>
      </c>
      <c r="I106" s="253">
        <f>'Resultater - Vestdanmark'!I106+'Resultater - Østdanmark'!I106</f>
        <v>-390166378.16980648</v>
      </c>
      <c r="J106" s="254">
        <f>'Resultater - Vestdanmark'!J106+'Resultater - Østdanmark'!J106</f>
        <v>-8417134948.9920006</v>
      </c>
    </row>
    <row r="107" spans="1:10" x14ac:dyDescent="0.25">
      <c r="A107" s="94" t="str">
        <f>'Resultater - Vestdanmark'!A107</f>
        <v>Grisestald</v>
      </c>
      <c r="B107" s="94" t="str">
        <f>'Resultater - Vestdanmark'!B107</f>
        <v>Økologisk</v>
      </c>
      <c r="C107" s="94" t="str">
        <f>'Resultater - Vestdanmark'!C107</f>
        <v/>
      </c>
      <c r="D107" s="94" t="str">
        <f>'Resultater - Vestdanmark'!D107</f>
        <v>Svin</v>
      </c>
      <c r="E107" s="94" t="str">
        <f>'Resultater - Vestdanmark'!E107</f>
        <v>Antal</v>
      </c>
      <c r="F107" s="94" t="str">
        <f>'Resultater - Vestdanmark'!F107</f>
        <v>Halm</v>
      </c>
      <c r="G107" s="94" t="str">
        <f>'Resultater - Vestdanmark'!G107</f>
        <v>Ton</v>
      </c>
      <c r="H107" s="252">
        <f>'Resultater - Vestdanmark'!H107+'Resultater - Østdanmark'!H107</f>
        <v>-28350.861000000001</v>
      </c>
      <c r="I107" s="253">
        <f>'Resultater - Vestdanmark'!I107+'Resultater - Østdanmark'!I107</f>
        <v>-26338.864412903229</v>
      </c>
      <c r="J107" s="254">
        <f>'Resultater - Vestdanmark'!J107+'Resultater - Østdanmark'!J107</f>
        <v>-568213.43040000007</v>
      </c>
    </row>
    <row r="108" spans="1:10" x14ac:dyDescent="0.25">
      <c r="A108" s="94" t="str">
        <f>'Resultater - Vestdanmark'!A108</f>
        <v>Grisestald</v>
      </c>
      <c r="B108" s="94" t="str">
        <f>'Resultater - Vestdanmark'!B108</f>
        <v>Økologisk</v>
      </c>
      <c r="C108" s="94" t="str">
        <f>'Resultater - Vestdanmark'!C108</f>
        <v/>
      </c>
      <c r="D108" s="94" t="str">
        <f>'Resultater - Vestdanmark'!D108</f>
        <v>Svin</v>
      </c>
      <c r="E108" s="94" t="str">
        <f>'Resultater - Vestdanmark'!E108</f>
        <v>Antal</v>
      </c>
      <c r="F108" s="94" t="str">
        <f>'Resultater - Vestdanmark'!F108</f>
        <v>CO2 - atmosfære</v>
      </c>
      <c r="G108" s="94" t="str">
        <f>'Resultater - Vestdanmark'!G108</f>
        <v>t CO2-ækvivalenter</v>
      </c>
      <c r="H108" s="252">
        <f>'Resultater - Vestdanmark'!H108+'Resultater - Østdanmark'!H108</f>
        <v>67754.470020735505</v>
      </c>
      <c r="I108" s="253">
        <f>'Resultater - Vestdanmark'!I108+'Resultater - Østdanmark'!I108</f>
        <v>62946.088277328468</v>
      </c>
      <c r="J108" s="254">
        <f>'Resultater - Vestdanmark'!J108+'Resultater - Østdanmark'!J108</f>
        <v>1357948.1707950979</v>
      </c>
    </row>
    <row r="109" spans="1:10" x14ac:dyDescent="0.25">
      <c r="A109" s="94" t="str">
        <f>'Resultater - Vestdanmark'!A109</f>
        <v>Kostald</v>
      </c>
      <c r="B109" s="94" t="str">
        <f>'Resultater - Vestdanmark'!B109</f>
        <v>Konventionel</v>
      </c>
      <c r="C109" s="94" t="str">
        <f>'Resultater - Vestdanmark'!C109</f>
        <v/>
      </c>
      <c r="D109" s="94" t="str">
        <f>'Resultater - Vestdanmark'!D109</f>
        <v>Køer</v>
      </c>
      <c r="E109" s="94" t="str">
        <f>'Resultater - Vestdanmark'!E109</f>
        <v>Antal</v>
      </c>
      <c r="F109" s="94" t="str">
        <f>'Resultater - Vestdanmark'!F109</f>
        <v>Slagtekøer</v>
      </c>
      <c r="G109" s="94" t="str">
        <f>'Resultater - Vestdanmark'!G109</f>
        <v>Antal</v>
      </c>
      <c r="H109" s="252">
        <f>'Resultater - Vestdanmark'!H109+'Resultater - Østdanmark'!H109</f>
        <v>440600</v>
      </c>
      <c r="I109" s="253">
        <f>'Resultater - Vestdanmark'!I109+'Resultater - Østdanmark'!I109</f>
        <v>358822.29867456091</v>
      </c>
      <c r="J109" s="254">
        <f>'Resultater - Vestdanmark'!J109+'Resultater - Østdanmark'!J109</f>
        <v>0</v>
      </c>
    </row>
    <row r="110" spans="1:10" x14ac:dyDescent="0.25">
      <c r="A110" s="94" t="str">
        <f>'Resultater - Vestdanmark'!A110</f>
        <v>Kostald</v>
      </c>
      <c r="B110" s="94" t="str">
        <f>'Resultater - Vestdanmark'!B110</f>
        <v>Konventionel</v>
      </c>
      <c r="C110" s="94" t="str">
        <f>'Resultater - Vestdanmark'!C110</f>
        <v/>
      </c>
      <c r="D110" s="94" t="str">
        <f>'Resultater - Vestdanmark'!D110</f>
        <v>Køer</v>
      </c>
      <c r="E110" s="94" t="str">
        <f>'Resultater - Vestdanmark'!E110</f>
        <v>Antal</v>
      </c>
      <c r="F110" s="94" t="str">
        <f>'Resultater - Vestdanmark'!F110</f>
        <v>Kvæggylle</v>
      </c>
      <c r="G110" s="94" t="str">
        <f>'Resultater - Vestdanmark'!G110</f>
        <v>Ton</v>
      </c>
      <c r="H110" s="252">
        <f>'Resultater - Vestdanmark'!H110+'Resultater - Østdanmark'!H110</f>
        <v>12785500</v>
      </c>
      <c r="I110" s="253">
        <f>'Resultater - Vestdanmark'!I110+'Resultater - Østdanmark'!I110</f>
        <v>5914467.0999520076</v>
      </c>
      <c r="J110" s="254">
        <f>'Resultater - Vestdanmark'!J110+'Resultater - Østdanmark'!J110</f>
        <v>0</v>
      </c>
    </row>
    <row r="111" spans="1:10" x14ac:dyDescent="0.25">
      <c r="A111" s="94" t="str">
        <f>'Resultater - Vestdanmark'!A111</f>
        <v>Kostald</v>
      </c>
      <c r="B111" s="94" t="str">
        <f>'Resultater - Vestdanmark'!B111</f>
        <v>Konventionel</v>
      </c>
      <c r="C111" s="94" t="str">
        <f>'Resultater - Vestdanmark'!C111</f>
        <v/>
      </c>
      <c r="D111" s="94" t="str">
        <f>'Resultater - Vestdanmark'!D111</f>
        <v>Køer</v>
      </c>
      <c r="E111" s="94" t="str">
        <f>'Resultater - Vestdanmark'!E111</f>
        <v>Antal</v>
      </c>
      <c r="F111" s="94" t="str">
        <f>'Resultater - Vestdanmark'!F111</f>
        <v>Dybstrøelse</v>
      </c>
      <c r="G111" s="94" t="str">
        <f>'Resultater - Vestdanmark'!G111</f>
        <v>Ton</v>
      </c>
      <c r="H111" s="252">
        <f>'Resultater - Vestdanmark'!H111+'Resultater - Østdanmark'!H111</f>
        <v>250560.00000000003</v>
      </c>
      <c r="I111" s="253">
        <f>'Resultater - Vestdanmark'!I111+'Resultater - Østdanmark'!I111</f>
        <v>167612.88952172227</v>
      </c>
      <c r="J111" s="254">
        <f>'Resultater - Vestdanmark'!J111+'Resultater - Østdanmark'!J111</f>
        <v>0</v>
      </c>
    </row>
    <row r="112" spans="1:10" x14ac:dyDescent="0.25">
      <c r="A112" s="94" t="str">
        <f>'Resultater - Vestdanmark'!A112</f>
        <v>Kostald</v>
      </c>
      <c r="B112" s="94" t="str">
        <f>'Resultater - Vestdanmark'!B112</f>
        <v>Konventionel</v>
      </c>
      <c r="C112" s="94" t="str">
        <f>'Resultater - Vestdanmark'!C112</f>
        <v/>
      </c>
      <c r="D112" s="94" t="str">
        <f>'Resultater - Vestdanmark'!D112</f>
        <v>Køer</v>
      </c>
      <c r="E112" s="94" t="str">
        <f>'Resultater - Vestdanmark'!E112</f>
        <v>Antal</v>
      </c>
      <c r="F112" s="94" t="str">
        <f>'Resultater - Vestdanmark'!F112</f>
        <v>Råmælk</v>
      </c>
      <c r="G112" s="94" t="str">
        <f>'Resultater - Vestdanmark'!G112</f>
        <v>Ton</v>
      </c>
      <c r="H112" s="252">
        <f>'Resultater - Vestdanmark'!H112+'Resultater - Østdanmark'!H112</f>
        <v>4786000</v>
      </c>
      <c r="I112" s="253">
        <f>'Resultater - Vestdanmark'!I112+'Resultater - Østdanmark'!I112</f>
        <v>2065554.5494246767</v>
      </c>
      <c r="J112" s="254">
        <f>'Resultater - Vestdanmark'!J112+'Resultater - Østdanmark'!J112</f>
        <v>0</v>
      </c>
    </row>
    <row r="113" spans="1:10" x14ac:dyDescent="0.25">
      <c r="A113" s="94" t="str">
        <f>'Resultater - Vestdanmark'!A113</f>
        <v>Kostald</v>
      </c>
      <c r="B113" s="94" t="str">
        <f>'Resultater - Vestdanmark'!B113</f>
        <v>Konventionel</v>
      </c>
      <c r="C113" s="94" t="str">
        <f>'Resultater - Vestdanmark'!C113</f>
        <v/>
      </c>
      <c r="D113" s="94" t="str">
        <f>'Resultater - Vestdanmark'!D113</f>
        <v>Køer</v>
      </c>
      <c r="E113" s="94" t="str">
        <f>'Resultater - Vestdanmark'!E113</f>
        <v>Antal</v>
      </c>
      <c r="F113" s="94" t="str">
        <f>'Resultater - Vestdanmark'!F113</f>
        <v>Industriaffald</v>
      </c>
      <c r="G113" s="94" t="str">
        <f>'Resultater - Vestdanmark'!G113</f>
        <v>Ton</v>
      </c>
      <c r="H113" s="252">
        <f>'Resultater - Vestdanmark'!H113+'Resultater - Østdanmark'!H113</f>
        <v>54522.149641311174</v>
      </c>
      <c r="I113" s="253">
        <f>'Resultater - Vestdanmark'!I113+'Resultater - Østdanmark'!I113</f>
        <v>36472.761192193087</v>
      </c>
      <c r="J113" s="254">
        <f>'Resultater - Vestdanmark'!J113+'Resultater - Østdanmark'!J113</f>
        <v>0</v>
      </c>
    </row>
    <row r="114" spans="1:10" x14ac:dyDescent="0.25">
      <c r="A114" s="94" t="str">
        <f>'Resultater - Vestdanmark'!A114</f>
        <v>Kostald</v>
      </c>
      <c r="B114" s="94" t="str">
        <f>'Resultater - Vestdanmark'!B114</f>
        <v>Konventionel</v>
      </c>
      <c r="C114" s="94" t="str">
        <f>'Resultater - Vestdanmark'!C114</f>
        <v/>
      </c>
      <c r="D114" s="94" t="str">
        <f>'Resultater - Vestdanmark'!D114</f>
        <v>Køer</v>
      </c>
      <c r="E114" s="94" t="str">
        <f>'Resultater - Vestdanmark'!E114</f>
        <v>Antal</v>
      </c>
      <c r="F114" s="94" t="str">
        <f>'Resultater - Vestdanmark'!F114</f>
        <v>Foder</v>
      </c>
      <c r="G114" s="94" t="str">
        <f>'Resultater - Vestdanmark'!G114</f>
        <v>FE</v>
      </c>
      <c r="H114" s="252">
        <f>'Resultater - Vestdanmark'!H114+'Resultater - Østdanmark'!H114</f>
        <v>-3317225912</v>
      </c>
      <c r="I114" s="253">
        <f>'Resultater - Vestdanmark'!I114+'Resultater - Østdanmark'!I114</f>
        <v>-1534521412.5088806</v>
      </c>
      <c r="J114" s="254">
        <f>'Resultater - Vestdanmark'!J114+'Resultater - Østdanmark'!J114</f>
        <v>0</v>
      </c>
    </row>
    <row r="115" spans="1:10" x14ac:dyDescent="0.25">
      <c r="A115" s="94" t="str">
        <f>'Resultater - Vestdanmark'!A115</f>
        <v>Kostald</v>
      </c>
      <c r="B115" s="94" t="str">
        <f>'Resultater - Vestdanmark'!B115</f>
        <v>Konventionel</v>
      </c>
      <c r="C115" s="94" t="str">
        <f>'Resultater - Vestdanmark'!C115</f>
        <v/>
      </c>
      <c r="D115" s="94" t="str">
        <f>'Resultater - Vestdanmark'!D115</f>
        <v>Køer</v>
      </c>
      <c r="E115" s="94" t="str">
        <f>'Resultater - Vestdanmark'!E115</f>
        <v>Antal</v>
      </c>
      <c r="F115" s="94" t="str">
        <f>'Resultater - Vestdanmark'!F115</f>
        <v>Halm</v>
      </c>
      <c r="G115" s="94" t="str">
        <f>'Resultater - Vestdanmark'!G115</f>
        <v>Ton</v>
      </c>
      <c r="H115" s="252">
        <f>'Resultater - Vestdanmark'!H115+'Resultater - Østdanmark'!H115</f>
        <v>-13874.569799999999</v>
      </c>
      <c r="I115" s="253">
        <f>'Resultater - Vestdanmark'!I115+'Resultater - Østdanmark'!I115</f>
        <v>-9281.4365223851546</v>
      </c>
      <c r="J115" s="254">
        <f>'Resultater - Vestdanmark'!J115+'Resultater - Østdanmark'!J115</f>
        <v>0</v>
      </c>
    </row>
    <row r="116" spans="1:10" x14ac:dyDescent="0.25">
      <c r="A116" s="94" t="str">
        <f>'Resultater - Vestdanmark'!A116</f>
        <v>Kostald</v>
      </c>
      <c r="B116" s="94" t="str">
        <f>'Resultater - Vestdanmark'!B116</f>
        <v>Konventionel</v>
      </c>
      <c r="C116" s="94" t="str">
        <f>'Resultater - Vestdanmark'!C116</f>
        <v/>
      </c>
      <c r="D116" s="94" t="str">
        <f>'Resultater - Vestdanmark'!D116</f>
        <v>Køer</v>
      </c>
      <c r="E116" s="94" t="str">
        <f>'Resultater - Vestdanmark'!E116</f>
        <v>Antal</v>
      </c>
      <c r="F116" s="94" t="str">
        <f>'Resultater - Vestdanmark'!F116</f>
        <v>CO2 - atmosfære</v>
      </c>
      <c r="G116" s="94" t="str">
        <f>'Resultater - Vestdanmark'!G116</f>
        <v>t CO2-ækvivalenter</v>
      </c>
      <c r="H116" s="252">
        <f>'Resultater - Vestdanmark'!H116+'Resultater - Østdanmark'!H116</f>
        <v>4018587.4258306376</v>
      </c>
      <c r="I116" s="253">
        <f>'Resultater - Vestdanmark'!I116+'Resultater - Østdanmark'!I116</f>
        <v>2688246.5287321717</v>
      </c>
      <c r="J116" s="254">
        <f>'Resultater - Vestdanmark'!J116+'Resultater - Østdanmark'!J116</f>
        <v>0</v>
      </c>
    </row>
    <row r="117" spans="1:10" x14ac:dyDescent="0.25">
      <c r="A117" s="94" t="str">
        <f>'Resultater - Vestdanmark'!A117</f>
        <v>Kostald</v>
      </c>
      <c r="B117" s="94" t="str">
        <f>'Resultater - Vestdanmark'!B117</f>
        <v>Økologisk</v>
      </c>
      <c r="C117" s="94" t="str">
        <f>'Resultater - Vestdanmark'!C117</f>
        <v/>
      </c>
      <c r="D117" s="94" t="str">
        <f>'Resultater - Vestdanmark'!D117</f>
        <v>Køer</v>
      </c>
      <c r="E117" s="94" t="str">
        <f>'Resultater - Vestdanmark'!E117</f>
        <v>Antal</v>
      </c>
      <c r="F117" s="94" t="str">
        <f>'Resultater - Vestdanmark'!F117</f>
        <v>Slagtekøer</v>
      </c>
      <c r="G117" s="94" t="str">
        <f>'Resultater - Vestdanmark'!G117</f>
        <v>Antal</v>
      </c>
      <c r="H117" s="252">
        <f>'Resultater - Vestdanmark'!H117+'Resultater - Østdanmark'!H117</f>
        <v>23400.000000000004</v>
      </c>
      <c r="I117" s="253">
        <f>'Resultater - Vestdanmark'!I117+'Resultater - Østdanmark'!I117</f>
        <v>19056.835653619433</v>
      </c>
      <c r="J117" s="254">
        <f>'Resultater - Vestdanmark'!J117+'Resultater - Østdanmark'!J117</f>
        <v>16821.02972855468</v>
      </c>
    </row>
    <row r="118" spans="1:10" x14ac:dyDescent="0.25">
      <c r="A118" s="94" t="str">
        <f>'Resultater - Vestdanmark'!A118</f>
        <v>Kostald</v>
      </c>
      <c r="B118" s="94" t="str">
        <f>'Resultater - Vestdanmark'!B118</f>
        <v>Økologisk</v>
      </c>
      <c r="C118" s="94" t="str">
        <f>'Resultater - Vestdanmark'!C118</f>
        <v/>
      </c>
      <c r="D118" s="94" t="str">
        <f>'Resultater - Vestdanmark'!D118</f>
        <v>Køer</v>
      </c>
      <c r="E118" s="94" t="str">
        <f>'Resultater - Vestdanmark'!E118</f>
        <v>Antal</v>
      </c>
      <c r="F118" s="94" t="str">
        <f>'Resultater - Vestdanmark'!F118</f>
        <v>Kvæggylle</v>
      </c>
      <c r="G118" s="94" t="str">
        <f>'Resultater - Vestdanmark'!G118</f>
        <v>Ton</v>
      </c>
      <c r="H118" s="252">
        <f>'Resultater - Vestdanmark'!H118+'Resultater - Østdanmark'!H118</f>
        <v>1264500</v>
      </c>
      <c r="I118" s="253">
        <f>'Resultater - Vestdanmark'!I118+'Resultater - Østdanmark'!I118</f>
        <v>584947.29559964908</v>
      </c>
      <c r="J118" s="254">
        <f>'Resultater - Vestdanmark'!J118+'Resultater - Østdanmark'!J118</f>
        <v>73630.792601451292</v>
      </c>
    </row>
    <row r="119" spans="1:10" x14ac:dyDescent="0.25">
      <c r="A119" s="94" t="str">
        <f>'Resultater - Vestdanmark'!A119</f>
        <v>Kostald</v>
      </c>
      <c r="B119" s="94" t="str">
        <f>'Resultater - Vestdanmark'!B119</f>
        <v>Økologisk</v>
      </c>
      <c r="C119" s="94" t="str">
        <f>'Resultater - Vestdanmark'!C119</f>
        <v/>
      </c>
      <c r="D119" s="94" t="str">
        <f>'Resultater - Vestdanmark'!D119</f>
        <v>Køer</v>
      </c>
      <c r="E119" s="94" t="str">
        <f>'Resultater - Vestdanmark'!E119</f>
        <v>Antal</v>
      </c>
      <c r="F119" s="94" t="str">
        <f>'Resultater - Vestdanmark'!F119</f>
        <v>Dybstrøelse</v>
      </c>
      <c r="G119" s="94" t="str">
        <f>'Resultater - Vestdanmark'!G119</f>
        <v>Ton</v>
      </c>
      <c r="H119" s="252">
        <f>'Resultater - Vestdanmark'!H119+'Resultater - Østdanmark'!H119</f>
        <v>10440.000000000002</v>
      </c>
      <c r="I119" s="253">
        <f>'Resultater - Vestdanmark'!I119+'Resultater - Østdanmark'!I119</f>
        <v>6983.8703967384272</v>
      </c>
      <c r="J119" s="254">
        <f>'Resultater - Vestdanmark'!J119+'Resultater - Østdanmark'!J119</f>
        <v>4653.4847647404922</v>
      </c>
    </row>
    <row r="120" spans="1:10" x14ac:dyDescent="0.25">
      <c r="A120" s="94" t="str">
        <f>'Resultater - Vestdanmark'!A120</f>
        <v>Kostald</v>
      </c>
      <c r="B120" s="94" t="str">
        <f>'Resultater - Vestdanmark'!B120</f>
        <v>Økologisk</v>
      </c>
      <c r="C120" s="94" t="str">
        <f>'Resultater - Vestdanmark'!C120</f>
        <v/>
      </c>
      <c r="D120" s="94" t="str">
        <f>'Resultater - Vestdanmark'!D120</f>
        <v>Køer</v>
      </c>
      <c r="E120" s="94" t="str">
        <f>'Resultater - Vestdanmark'!E120</f>
        <v>Antal</v>
      </c>
      <c r="F120" s="94" t="str">
        <f>'Resultater - Vestdanmark'!F120</f>
        <v>Råmælk</v>
      </c>
      <c r="G120" s="94" t="str">
        <f>'Resultater - Vestdanmark'!G120</f>
        <v>Ton</v>
      </c>
      <c r="H120" s="252">
        <f>'Resultater - Vestdanmark'!H120+'Resultater - Østdanmark'!H120</f>
        <v>482999.99999999994</v>
      </c>
      <c r="I120" s="253">
        <f>'Resultater - Vestdanmark'!I120+'Resultater - Østdanmark'!I120</f>
        <v>208454.41859007906</v>
      </c>
      <c r="J120" s="254">
        <f>'Resultater - Vestdanmark'!J120+'Resultater - Østdanmark'!J120</f>
        <v>0</v>
      </c>
    </row>
    <row r="121" spans="1:10" x14ac:dyDescent="0.25">
      <c r="A121" s="94" t="str">
        <f>'Resultater - Vestdanmark'!A121</f>
        <v>Kostald</v>
      </c>
      <c r="B121" s="94" t="str">
        <f>'Resultater - Vestdanmark'!B121</f>
        <v>Økologisk</v>
      </c>
      <c r="C121" s="94" t="str">
        <f>'Resultater - Vestdanmark'!C121</f>
        <v/>
      </c>
      <c r="D121" s="94" t="str">
        <f>'Resultater - Vestdanmark'!D121</f>
        <v>Køer</v>
      </c>
      <c r="E121" s="94" t="str">
        <f>'Resultater - Vestdanmark'!E121</f>
        <v>Antal</v>
      </c>
      <c r="F121" s="94" t="str">
        <f>'Resultater - Vestdanmark'!F121</f>
        <v>Industriaffald</v>
      </c>
      <c r="G121" s="94" t="str">
        <f>'Resultater - Vestdanmark'!G121</f>
        <v>Ton</v>
      </c>
      <c r="H121" s="252">
        <f>'Resultater - Vestdanmark'!H121+'Resultater - Østdanmark'!H121</f>
        <v>9653.6103586888312</v>
      </c>
      <c r="I121" s="253">
        <f>'Resultater - Vestdanmark'!I121+'Resultater - Østdanmark'!I121</f>
        <v>6457.8126059094211</v>
      </c>
      <c r="J121" s="254">
        <f>'Resultater - Vestdanmark'!J121+'Resultater - Østdanmark'!J121</f>
        <v>4302.9625219252375</v>
      </c>
    </row>
    <row r="122" spans="1:10" x14ac:dyDescent="0.25">
      <c r="A122" s="94" t="str">
        <f>'Resultater - Vestdanmark'!A122</f>
        <v>Kostald</v>
      </c>
      <c r="B122" s="94" t="str">
        <f>'Resultater - Vestdanmark'!B122</f>
        <v>Økologisk</v>
      </c>
      <c r="C122" s="94" t="str">
        <f>'Resultater - Vestdanmark'!C122</f>
        <v/>
      </c>
      <c r="D122" s="94" t="str">
        <f>'Resultater - Vestdanmark'!D122</f>
        <v>Køer</v>
      </c>
      <c r="E122" s="94" t="str">
        <f>'Resultater - Vestdanmark'!E122</f>
        <v>Antal</v>
      </c>
      <c r="F122" s="94" t="str">
        <f>'Resultater - Vestdanmark'!F122</f>
        <v>Foder</v>
      </c>
      <c r="G122" s="94" t="str">
        <f>'Resultater - Vestdanmark'!G122</f>
        <v>FE</v>
      </c>
      <c r="H122" s="252">
        <f>'Resultater - Vestdanmark'!H122+'Resultater - Østdanmark'!H122</f>
        <v>-587343064</v>
      </c>
      <c r="I122" s="253">
        <f>'Resultater - Vestdanmark'!I122+'Resultater - Østdanmark'!I122</f>
        <v>-271700068.70384467</v>
      </c>
      <c r="J122" s="254">
        <f>'Resultater - Vestdanmark'!J122+'Resultater - Østdanmark'!J122</f>
        <v>-34200502.436761513</v>
      </c>
    </row>
    <row r="123" spans="1:10" x14ac:dyDescent="0.25">
      <c r="A123" s="94" t="str">
        <f>'Resultater - Vestdanmark'!A123</f>
        <v>Kostald</v>
      </c>
      <c r="B123" s="94" t="str">
        <f>'Resultater - Vestdanmark'!B123</f>
        <v>Økologisk</v>
      </c>
      <c r="C123" s="94" t="str">
        <f>'Resultater - Vestdanmark'!C123</f>
        <v/>
      </c>
      <c r="D123" s="94" t="str">
        <f>'Resultater - Vestdanmark'!D123</f>
        <v>Køer</v>
      </c>
      <c r="E123" s="94" t="str">
        <f>'Resultater - Vestdanmark'!E123</f>
        <v>Antal</v>
      </c>
      <c r="F123" s="94" t="str">
        <f>'Resultater - Vestdanmark'!F123</f>
        <v>Halm</v>
      </c>
      <c r="G123" s="94" t="str">
        <f>'Resultater - Vestdanmark'!G123</f>
        <v>Ton</v>
      </c>
      <c r="H123" s="252">
        <f>'Resultater - Vestdanmark'!H123+'Resultater - Østdanmark'!H123</f>
        <v>-2961.3935999999999</v>
      </c>
      <c r="I123" s="253">
        <f>'Resultater - Vestdanmark'!I123+'Resultater - Østdanmark'!I123</f>
        <v>-1981.0334383266895</v>
      </c>
      <c r="J123" s="254">
        <f>'Resultater - Vestdanmark'!J123+'Resultater - Østdanmark'!J123</f>
        <v>-1320</v>
      </c>
    </row>
    <row r="124" spans="1:10" x14ac:dyDescent="0.25">
      <c r="A124" s="94" t="str">
        <f>'Resultater - Vestdanmark'!A124</f>
        <v>Kostald</v>
      </c>
      <c r="B124" s="94" t="str">
        <f>'Resultater - Vestdanmark'!B124</f>
        <v>Økologisk</v>
      </c>
      <c r="C124" s="94" t="str">
        <f>'Resultater - Vestdanmark'!C124</f>
        <v/>
      </c>
      <c r="D124" s="94" t="str">
        <f>'Resultater - Vestdanmark'!D124</f>
        <v>Køer</v>
      </c>
      <c r="E124" s="94" t="str">
        <f>'Resultater - Vestdanmark'!E124</f>
        <v>Antal</v>
      </c>
      <c r="F124" s="94" t="str">
        <f>'Resultater - Vestdanmark'!F124</f>
        <v>CO2 - atmosfære</v>
      </c>
      <c r="G124" s="94" t="str">
        <f>'Resultater - Vestdanmark'!G124</f>
        <v>t CO2-ækvivalenter</v>
      </c>
      <c r="H124" s="252">
        <f>'Resultater - Vestdanmark'!H124+'Resultater - Østdanmark'!H124</f>
        <v>595011.86704956158</v>
      </c>
      <c r="I124" s="253">
        <f>'Resultater - Vestdanmark'!I124+'Resultater - Østdanmark'!I124</f>
        <v>398035.03486546874</v>
      </c>
      <c r="J124" s="254">
        <f>'Resultater - Vestdanmark'!J124+'Resultater - Østdanmark'!J124</f>
        <v>265218.26227537642</v>
      </c>
    </row>
    <row r="125" spans="1:10" x14ac:dyDescent="0.25">
      <c r="A125" s="94" t="str">
        <f>'Resultater - Vestdanmark'!A125</f>
        <v>Fjerkræbrug</v>
      </c>
      <c r="B125" s="94" t="str">
        <f>'Resultater - Vestdanmark'!B125</f>
        <v>Konventionel</v>
      </c>
      <c r="C125" s="94" t="str">
        <f>'Resultater - Vestdanmark'!C125</f>
        <v/>
      </c>
      <c r="D125" s="94" t="str">
        <f>'Resultater - Vestdanmark'!D125</f>
        <v>Fjerkræ</v>
      </c>
      <c r="E125" s="94" t="str">
        <f>'Resultater - Vestdanmark'!E125</f>
        <v>Antal</v>
      </c>
      <c r="F125" s="94" t="str">
        <f>'Resultater - Vestdanmark'!F125</f>
        <v>Slagtefjerkræ</v>
      </c>
      <c r="G125" s="94" t="str">
        <f>'Resultater - Vestdanmark'!G125</f>
        <v>Antal</v>
      </c>
      <c r="H125" s="252">
        <f>'Resultater - Vestdanmark'!H125+'Resultater - Østdanmark'!H125</f>
        <v>105566999.99999999</v>
      </c>
      <c r="I125" s="253">
        <f>'Resultater - Vestdanmark'!I125+'Resultater - Østdanmark'!I125</f>
        <v>105566999.99999997</v>
      </c>
      <c r="J125" s="254">
        <f>'Resultater - Vestdanmark'!J125+'Resultater - Østdanmark'!J125</f>
        <v>0</v>
      </c>
    </row>
    <row r="126" spans="1:10" x14ac:dyDescent="0.25">
      <c r="A126" s="94" t="str">
        <f>'Resultater - Vestdanmark'!A126</f>
        <v>Fjerkræbrug</v>
      </c>
      <c r="B126" s="94" t="str">
        <f>'Resultater - Vestdanmark'!B126</f>
        <v>Konventionel</v>
      </c>
      <c r="C126" s="94" t="str">
        <f>'Resultater - Vestdanmark'!C126</f>
        <v/>
      </c>
      <c r="D126" s="94" t="str">
        <f>'Resultater - Vestdanmark'!D126</f>
        <v>Fjerkræ</v>
      </c>
      <c r="E126" s="94" t="str">
        <f>'Resultater - Vestdanmark'!E126</f>
        <v>Antal</v>
      </c>
      <c r="F126" s="94" t="str">
        <f>'Resultater - Vestdanmark'!F126</f>
        <v>Fjerkrægylle</v>
      </c>
      <c r="G126" s="94" t="str">
        <f>'Resultater - Vestdanmark'!G126</f>
        <v>Ton</v>
      </c>
      <c r="H126" s="252">
        <f>'Resultater - Vestdanmark'!H126+'Resultater - Østdanmark'!H126</f>
        <v>6719.2238038686164</v>
      </c>
      <c r="I126" s="253">
        <f>'Resultater - Vestdanmark'!I126+'Resultater - Østdanmark'!I126</f>
        <v>6719.2238038686164</v>
      </c>
      <c r="J126" s="254">
        <f>'Resultater - Vestdanmark'!J126+'Resultater - Østdanmark'!J126</f>
        <v>0</v>
      </c>
    </row>
    <row r="127" spans="1:10" x14ac:dyDescent="0.25">
      <c r="A127" s="94" t="str">
        <f>'Resultater - Vestdanmark'!A127</f>
        <v>Fjerkræbrug</v>
      </c>
      <c r="B127" s="94" t="str">
        <f>'Resultater - Vestdanmark'!B127</f>
        <v>Konventionel</v>
      </c>
      <c r="C127" s="94" t="str">
        <f>'Resultater - Vestdanmark'!C127</f>
        <v/>
      </c>
      <c r="D127" s="94" t="str">
        <f>'Resultater - Vestdanmark'!D127</f>
        <v>Fjerkræ</v>
      </c>
      <c r="E127" s="94" t="str">
        <f>'Resultater - Vestdanmark'!E127</f>
        <v>Antal</v>
      </c>
      <c r="F127" s="94" t="str">
        <f>'Resultater - Vestdanmark'!F127</f>
        <v>Dybstrøelse</v>
      </c>
      <c r="G127" s="94" t="str">
        <f>'Resultater - Vestdanmark'!G127</f>
        <v>Ton</v>
      </c>
      <c r="H127" s="252">
        <f>'Resultater - Vestdanmark'!H127+'Resultater - Østdanmark'!H127</f>
        <v>148922.51453359297</v>
      </c>
      <c r="I127" s="253">
        <f>'Resultater - Vestdanmark'!I127+'Resultater - Østdanmark'!I127</f>
        <v>148922.51453359294</v>
      </c>
      <c r="J127" s="254">
        <f>'Resultater - Vestdanmark'!J127+'Resultater - Østdanmark'!J127</f>
        <v>0</v>
      </c>
    </row>
    <row r="128" spans="1:10" x14ac:dyDescent="0.25">
      <c r="A128" s="94" t="str">
        <f>'Resultater - Vestdanmark'!A128</f>
        <v>Fjerkræbrug</v>
      </c>
      <c r="B128" s="94" t="str">
        <f>'Resultater - Vestdanmark'!B128</f>
        <v>Konventionel</v>
      </c>
      <c r="C128" s="94" t="str">
        <f>'Resultater - Vestdanmark'!C128</f>
        <v/>
      </c>
      <c r="D128" s="94" t="str">
        <f>'Resultater - Vestdanmark'!D128</f>
        <v>Fjerkræ</v>
      </c>
      <c r="E128" s="94" t="str">
        <f>'Resultater - Vestdanmark'!E128</f>
        <v>Antal</v>
      </c>
      <c r="F128" s="94" t="str">
        <f>'Resultater - Vestdanmark'!F128</f>
        <v>Æg</v>
      </c>
      <c r="G128" s="94" t="str">
        <f>'Resultater - Vestdanmark'!G128</f>
        <v>Ton</v>
      </c>
      <c r="H128" s="252">
        <f>'Resultater - Vestdanmark'!H128+'Resultater - Østdanmark'!H128</f>
        <v>220000</v>
      </c>
      <c r="I128" s="253">
        <f>'Resultater - Vestdanmark'!I128+'Resultater - Østdanmark'!I128</f>
        <v>220000</v>
      </c>
      <c r="J128" s="254">
        <f>'Resultater - Vestdanmark'!J128+'Resultater - Østdanmark'!J128</f>
        <v>0</v>
      </c>
    </row>
    <row r="129" spans="1:10" x14ac:dyDescent="0.25">
      <c r="A129" s="94" t="str">
        <f>'Resultater - Vestdanmark'!A129</f>
        <v>Fjerkræbrug</v>
      </c>
      <c r="B129" s="94" t="str">
        <f>'Resultater - Vestdanmark'!B129</f>
        <v>Konventionel</v>
      </c>
      <c r="C129" s="94" t="str">
        <f>'Resultater - Vestdanmark'!C129</f>
        <v/>
      </c>
      <c r="D129" s="94" t="str">
        <f>'Resultater - Vestdanmark'!D129</f>
        <v>Fjerkræ</v>
      </c>
      <c r="E129" s="94" t="str">
        <f>'Resultater - Vestdanmark'!E129</f>
        <v>Antal</v>
      </c>
      <c r="F129" s="94" t="str">
        <f>'Resultater - Vestdanmark'!F129</f>
        <v>Industriaffald</v>
      </c>
      <c r="G129" s="94" t="str">
        <f>'Resultater - Vestdanmark'!G129</f>
        <v>Ton</v>
      </c>
      <c r="H129" s="252">
        <f>'Resultater - Vestdanmark'!H129+'Resultater - Østdanmark'!H129</f>
        <v>9291.4831667730468</v>
      </c>
      <c r="I129" s="253">
        <f>'Resultater - Vestdanmark'!I129+'Resultater - Østdanmark'!I129</f>
        <v>9291.4831667730468</v>
      </c>
      <c r="J129" s="254">
        <f>'Resultater - Vestdanmark'!J129+'Resultater - Østdanmark'!J129</f>
        <v>0</v>
      </c>
    </row>
    <row r="130" spans="1:10" x14ac:dyDescent="0.25">
      <c r="A130" s="94" t="str">
        <f>'Resultater - Vestdanmark'!A130</f>
        <v>Fjerkræbrug</v>
      </c>
      <c r="B130" s="94" t="str">
        <f>'Resultater - Vestdanmark'!B130</f>
        <v>Konventionel</v>
      </c>
      <c r="C130" s="94" t="str">
        <f>'Resultater - Vestdanmark'!C130</f>
        <v/>
      </c>
      <c r="D130" s="94" t="str">
        <f>'Resultater - Vestdanmark'!D130</f>
        <v>Fjerkræ</v>
      </c>
      <c r="E130" s="94" t="str">
        <f>'Resultater - Vestdanmark'!E130</f>
        <v>Antal</v>
      </c>
      <c r="F130" s="94" t="str">
        <f>'Resultater - Vestdanmark'!F130</f>
        <v>Foder</v>
      </c>
      <c r="G130" s="94" t="str">
        <f>'Resultater - Vestdanmark'!G130</f>
        <v>FE</v>
      </c>
      <c r="H130" s="252">
        <f>'Resultater - Vestdanmark'!H130+'Resultater - Østdanmark'!H130</f>
        <v>-365582337.12</v>
      </c>
      <c r="I130" s="253">
        <f>'Resultater - Vestdanmark'!I130+'Resultater - Østdanmark'!I130</f>
        <v>-365582337.12</v>
      </c>
      <c r="J130" s="254">
        <f>'Resultater - Vestdanmark'!J130+'Resultater - Østdanmark'!J130</f>
        <v>0</v>
      </c>
    </row>
    <row r="131" spans="1:10" x14ac:dyDescent="0.25">
      <c r="A131" s="94" t="str">
        <f>'Resultater - Vestdanmark'!A131</f>
        <v>Fjerkræbrug</v>
      </c>
      <c r="B131" s="94" t="str">
        <f>'Resultater - Vestdanmark'!B131</f>
        <v>Konventionel</v>
      </c>
      <c r="C131" s="94" t="str">
        <f>'Resultater - Vestdanmark'!C131</f>
        <v/>
      </c>
      <c r="D131" s="94" t="str">
        <f>'Resultater - Vestdanmark'!D131</f>
        <v>Fjerkræ</v>
      </c>
      <c r="E131" s="94" t="str">
        <f>'Resultater - Vestdanmark'!E131</f>
        <v>Antal</v>
      </c>
      <c r="F131" s="94" t="str">
        <f>'Resultater - Vestdanmark'!F131</f>
        <v>Halm</v>
      </c>
      <c r="G131" s="94" t="str">
        <f>'Resultater - Vestdanmark'!G131</f>
        <v>Ton</v>
      </c>
      <c r="H131" s="252">
        <f>'Resultater - Vestdanmark'!H131+'Resultater - Østdanmark'!H131</f>
        <v>-8664.776171999998</v>
      </c>
      <c r="I131" s="253">
        <f>'Resultater - Vestdanmark'!I131+'Resultater - Østdanmark'!I131</f>
        <v>-8664.776171999998</v>
      </c>
      <c r="J131" s="254">
        <f>'Resultater - Vestdanmark'!J131+'Resultater - Østdanmark'!J131</f>
        <v>0</v>
      </c>
    </row>
    <row r="132" spans="1:10" x14ac:dyDescent="0.25">
      <c r="A132" s="94" t="str">
        <f>'Resultater - Vestdanmark'!A132</f>
        <v>Fjerkræbrug</v>
      </c>
      <c r="B132" s="94" t="str">
        <f>'Resultater - Vestdanmark'!B132</f>
        <v>Konventionel</v>
      </c>
      <c r="C132" s="94" t="str">
        <f>'Resultater - Vestdanmark'!C132</f>
        <v/>
      </c>
      <c r="D132" s="94" t="str">
        <f>'Resultater - Vestdanmark'!D132</f>
        <v>Fjerkræ</v>
      </c>
      <c r="E132" s="94" t="str">
        <f>'Resultater - Vestdanmark'!E132</f>
        <v>Antal</v>
      </c>
      <c r="F132" s="94" t="str">
        <f>'Resultater - Vestdanmark'!F132</f>
        <v>CO2 - atmosfære</v>
      </c>
      <c r="G132" s="94" t="str">
        <f>'Resultater - Vestdanmark'!G132</f>
        <v>t CO2-ækvivalenter</v>
      </c>
      <c r="H132" s="252">
        <f>'Resultater - Vestdanmark'!H132+'Resultater - Østdanmark'!H132</f>
        <v>15810.451826187315</v>
      </c>
      <c r="I132" s="253">
        <f>'Resultater - Vestdanmark'!I132+'Resultater - Østdanmark'!I132</f>
        <v>15810.451826187313</v>
      </c>
      <c r="J132" s="254">
        <f>'Resultater - Vestdanmark'!J132+'Resultater - Østdanmark'!J132</f>
        <v>0</v>
      </c>
    </row>
    <row r="133" spans="1:10" x14ac:dyDescent="0.25">
      <c r="A133" s="94" t="str">
        <f>'Resultater - Vestdanmark'!A133</f>
        <v>Fjerkræbrug</v>
      </c>
      <c r="B133" s="94" t="str">
        <f>'Resultater - Vestdanmark'!B133</f>
        <v>Økologisk</v>
      </c>
      <c r="C133" s="94" t="str">
        <f>'Resultater - Vestdanmark'!C133</f>
        <v/>
      </c>
      <c r="D133" s="94" t="str">
        <f>'Resultater - Vestdanmark'!D133</f>
        <v>Fjerkræ</v>
      </c>
      <c r="E133" s="94" t="str">
        <f>'Resultater - Vestdanmark'!E133</f>
        <v>Antal</v>
      </c>
      <c r="F133" s="94" t="str">
        <f>'Resultater - Vestdanmark'!F133</f>
        <v>Slagtefjerkræ</v>
      </c>
      <c r="G133" s="94" t="str">
        <f>'Resultater - Vestdanmark'!G133</f>
        <v>Antal</v>
      </c>
      <c r="H133" s="252">
        <f>'Resultater - Vestdanmark'!H133+'Resultater - Østdanmark'!H133</f>
        <v>1224707</v>
      </c>
      <c r="I133" s="253">
        <f>'Resultater - Vestdanmark'!I133+'Resultater - Østdanmark'!I133</f>
        <v>1224707.0000000005</v>
      </c>
      <c r="J133" s="254">
        <f>'Resultater - Vestdanmark'!J133+'Resultater - Østdanmark'!J133</f>
        <v>8617370.9168183934</v>
      </c>
    </row>
    <row r="134" spans="1:10" x14ac:dyDescent="0.25">
      <c r="A134" s="94" t="str">
        <f>'Resultater - Vestdanmark'!A134</f>
        <v>Fjerkræbrug</v>
      </c>
      <c r="B134" s="94" t="str">
        <f>'Resultater - Vestdanmark'!B134</f>
        <v>Økologisk</v>
      </c>
      <c r="C134" s="94" t="str">
        <f>'Resultater - Vestdanmark'!C134</f>
        <v/>
      </c>
      <c r="D134" s="94" t="str">
        <f>'Resultater - Vestdanmark'!D134</f>
        <v>Fjerkræ</v>
      </c>
      <c r="E134" s="94" t="str">
        <f>'Resultater - Vestdanmark'!E134</f>
        <v>Antal</v>
      </c>
      <c r="F134" s="94" t="str">
        <f>'Resultater - Vestdanmark'!F134</f>
        <v>Fjerkrægylle</v>
      </c>
      <c r="G134" s="94" t="str">
        <f>'Resultater - Vestdanmark'!G134</f>
        <v>Ton</v>
      </c>
      <c r="H134" s="252">
        <f>'Resultater - Vestdanmark'!H134+'Resultater - Østdanmark'!H134</f>
        <v>2163.7761961313831</v>
      </c>
      <c r="I134" s="253">
        <f>'Resultater - Vestdanmark'!I134+'Resultater - Østdanmark'!I134</f>
        <v>2163.7761961313836</v>
      </c>
      <c r="J134" s="254">
        <f>'Resultater - Vestdanmark'!J134+'Resultater - Østdanmark'!J134</f>
        <v>15224.916705013127</v>
      </c>
    </row>
    <row r="135" spans="1:10" x14ac:dyDescent="0.25">
      <c r="A135" s="94" t="str">
        <f>'Resultater - Vestdanmark'!A135</f>
        <v>Fjerkræbrug</v>
      </c>
      <c r="B135" s="94" t="str">
        <f>'Resultater - Vestdanmark'!B135</f>
        <v>Økologisk</v>
      </c>
      <c r="C135" s="94" t="str">
        <f>'Resultater - Vestdanmark'!C135</f>
        <v/>
      </c>
      <c r="D135" s="94" t="str">
        <f>'Resultater - Vestdanmark'!D135</f>
        <v>Fjerkræ</v>
      </c>
      <c r="E135" s="94" t="str">
        <f>'Resultater - Vestdanmark'!E135</f>
        <v>Antal</v>
      </c>
      <c r="F135" s="94" t="str">
        <f>'Resultater - Vestdanmark'!F135</f>
        <v>Dybstrøelse</v>
      </c>
      <c r="G135" s="94" t="str">
        <f>'Resultater - Vestdanmark'!G135</f>
        <v>Ton</v>
      </c>
      <c r="H135" s="252">
        <f>'Resultater - Vestdanmark'!H135+'Resultater - Østdanmark'!H135</f>
        <v>8147.4854664070526</v>
      </c>
      <c r="I135" s="253">
        <f>'Resultater - Vestdanmark'!I135+'Resultater - Østdanmark'!I135</f>
        <v>8147.4854664070535</v>
      </c>
      <c r="J135" s="254">
        <f>'Resultater - Vestdanmark'!J135+'Resultater - Østdanmark'!J135</f>
        <v>57327.919497003502</v>
      </c>
    </row>
    <row r="136" spans="1:10" x14ac:dyDescent="0.25">
      <c r="A136" s="94" t="str">
        <f>'Resultater - Vestdanmark'!A136</f>
        <v>Fjerkræbrug</v>
      </c>
      <c r="B136" s="94" t="str">
        <f>'Resultater - Vestdanmark'!B136</f>
        <v>Økologisk</v>
      </c>
      <c r="C136" s="94" t="str">
        <f>'Resultater - Vestdanmark'!C136</f>
        <v/>
      </c>
      <c r="D136" s="94" t="str">
        <f>'Resultater - Vestdanmark'!D136</f>
        <v>Fjerkræ</v>
      </c>
      <c r="E136" s="94" t="str">
        <f>'Resultater - Vestdanmark'!E136</f>
        <v>Antal</v>
      </c>
      <c r="F136" s="94" t="str">
        <f>'Resultater - Vestdanmark'!F136</f>
        <v>Æg</v>
      </c>
      <c r="G136" s="94" t="str">
        <f>'Resultater - Vestdanmark'!G136</f>
        <v>Ton</v>
      </c>
      <c r="H136" s="252">
        <f>'Resultater - Vestdanmark'!H136+'Resultater - Østdanmark'!H136</f>
        <v>15000</v>
      </c>
      <c r="I136" s="253">
        <f>'Resultater - Vestdanmark'!I136+'Resultater - Østdanmark'!I136</f>
        <v>15000.000000000002</v>
      </c>
      <c r="J136" s="254">
        <f>'Resultater - Vestdanmark'!J136+'Resultater - Østdanmark'!J136</f>
        <v>105544.07197172538</v>
      </c>
    </row>
    <row r="137" spans="1:10" x14ac:dyDescent="0.25">
      <c r="A137" s="94" t="str">
        <f>'Resultater - Vestdanmark'!A137</f>
        <v>Fjerkræbrug</v>
      </c>
      <c r="B137" s="94" t="str">
        <f>'Resultater - Vestdanmark'!B137</f>
        <v>Økologisk</v>
      </c>
      <c r="C137" s="94" t="str">
        <f>'Resultater - Vestdanmark'!C137</f>
        <v/>
      </c>
      <c r="D137" s="94" t="str">
        <f>'Resultater - Vestdanmark'!D137</f>
        <v>Fjerkræ</v>
      </c>
      <c r="E137" s="94" t="str">
        <f>'Resultater - Vestdanmark'!E137</f>
        <v>Antal</v>
      </c>
      <c r="F137" s="94" t="str">
        <f>'Resultater - Vestdanmark'!F137</f>
        <v>Industriaffald</v>
      </c>
      <c r="G137" s="94" t="str">
        <f>'Resultater - Vestdanmark'!G137</f>
        <v>Ton</v>
      </c>
      <c r="H137" s="252">
        <f>'Resultater - Vestdanmark'!H137+'Resultater - Østdanmark'!H137</f>
        <v>1539.2752332269538</v>
      </c>
      <c r="I137" s="253">
        <f>'Resultater - Vestdanmark'!I137+'Resultater - Østdanmark'!I137</f>
        <v>1539.275233226954</v>
      </c>
      <c r="J137" s="254">
        <f>'Resultater - Vestdanmark'!J137+'Resultater - Østdanmark'!J137</f>
        <v>10830.758400000001</v>
      </c>
    </row>
    <row r="138" spans="1:10" x14ac:dyDescent="0.25">
      <c r="A138" s="94" t="str">
        <f>'Resultater - Vestdanmark'!A138</f>
        <v>Fjerkræbrug</v>
      </c>
      <c r="B138" s="94" t="str">
        <f>'Resultater - Vestdanmark'!B138</f>
        <v>Økologisk</v>
      </c>
      <c r="C138" s="94" t="str">
        <f>'Resultater - Vestdanmark'!C138</f>
        <v/>
      </c>
      <c r="D138" s="94" t="str">
        <f>'Resultater - Vestdanmark'!D138</f>
        <v>Fjerkræ</v>
      </c>
      <c r="E138" s="94" t="str">
        <f>'Resultater - Vestdanmark'!E138</f>
        <v>Antal</v>
      </c>
      <c r="F138" s="94" t="str">
        <f>'Resultater - Vestdanmark'!F138</f>
        <v>Foder</v>
      </c>
      <c r="G138" s="94" t="str">
        <f>'Resultater - Vestdanmark'!G138</f>
        <v>FE</v>
      </c>
      <c r="H138" s="252">
        <f>'Resultater - Vestdanmark'!H138+'Resultater - Østdanmark'!H138</f>
        <v>-60564263.759999998</v>
      </c>
      <c r="I138" s="253">
        <f>'Resultater - Vestdanmark'!I138+'Resultater - Østdanmark'!I138</f>
        <v>-60564263.760000013</v>
      </c>
      <c r="J138" s="254">
        <f>'Resultater - Vestdanmark'!J138+'Resultater - Østdanmark'!J138</f>
        <v>-426146600.88</v>
      </c>
    </row>
    <row r="139" spans="1:10" x14ac:dyDescent="0.25">
      <c r="A139" s="94" t="str">
        <f>'Resultater - Vestdanmark'!A139</f>
        <v>Fjerkræbrug</v>
      </c>
      <c r="B139" s="94" t="str">
        <f>'Resultater - Vestdanmark'!B139</f>
        <v>Økologisk</v>
      </c>
      <c r="C139" s="94" t="str">
        <f>'Resultater - Vestdanmark'!C139</f>
        <v/>
      </c>
      <c r="D139" s="94" t="str">
        <f>'Resultater - Vestdanmark'!D139</f>
        <v>Fjerkræ</v>
      </c>
      <c r="E139" s="94" t="str">
        <f>'Resultater - Vestdanmark'!E139</f>
        <v>Antal</v>
      </c>
      <c r="F139" s="94" t="str">
        <f>'Resultater - Vestdanmark'!F139</f>
        <v>Halm</v>
      </c>
      <c r="G139" s="94" t="str">
        <f>'Resultater - Vestdanmark'!G139</f>
        <v>Ton</v>
      </c>
      <c r="H139" s="252">
        <f>'Resultater - Vestdanmark'!H139+'Resultater - Østdanmark'!H139</f>
        <v>-2703.7617749999999</v>
      </c>
      <c r="I139" s="253">
        <f>'Resultater - Vestdanmark'!I139+'Resultater - Østdanmark'!I139</f>
        <v>-2703.7617750000004</v>
      </c>
      <c r="J139" s="254">
        <f>'Resultater - Vestdanmark'!J139+'Resultater - Østdanmark'!J139</f>
        <v>-19024.401825000001</v>
      </c>
    </row>
    <row r="140" spans="1:10" x14ac:dyDescent="0.25">
      <c r="A140" s="94" t="str">
        <f>'Resultater - Vestdanmark'!A140</f>
        <v>Fjerkræbrug</v>
      </c>
      <c r="B140" s="94" t="str">
        <f>'Resultater - Vestdanmark'!B140</f>
        <v>Økologisk</v>
      </c>
      <c r="C140" s="94" t="str">
        <f>'Resultater - Vestdanmark'!C140</f>
        <v/>
      </c>
      <c r="D140" s="94" t="str">
        <f>'Resultater - Vestdanmark'!D140</f>
        <v>Fjerkræ</v>
      </c>
      <c r="E140" s="94" t="str">
        <f>'Resultater - Vestdanmark'!E140</f>
        <v>Antal</v>
      </c>
      <c r="F140" s="94" t="str">
        <f>'Resultater - Vestdanmark'!F140</f>
        <v>CO2 - atmosfære</v>
      </c>
      <c r="G140" s="94" t="str">
        <f>'Resultater - Vestdanmark'!G140</f>
        <v>t CO2-ækvivalenter</v>
      </c>
      <c r="H140" s="252">
        <f>'Resultater - Vestdanmark'!H140+'Resultater - Østdanmark'!H140</f>
        <v>2881.1654860580434</v>
      </c>
      <c r="I140" s="253">
        <f>'Resultater - Vestdanmark'!I140+'Resultater - Østdanmark'!I140</f>
        <v>2881.1654860580443</v>
      </c>
      <c r="J140" s="254">
        <f>'Resultater - Vestdanmark'!J140+'Resultater - Østdanmark'!J140</f>
        <v>20272.662494864089</v>
      </c>
    </row>
    <row r="141" spans="1:10" x14ac:dyDescent="0.25">
      <c r="A141" s="94" t="str">
        <f>'Resultater - Vestdanmark'!A141</f>
        <v>Kornmark</v>
      </c>
      <c r="B141" s="94" t="str">
        <f>'Resultater - Vestdanmark'!B141</f>
        <v>Konventionel</v>
      </c>
      <c r="C141" s="94" t="str">
        <f>'Resultater - Vestdanmark'!C141</f>
        <v>JB1-10</v>
      </c>
      <c r="D141" s="94" t="str">
        <f>'Resultater - Vestdanmark'!D141</f>
        <v>Areal-korn</v>
      </c>
      <c r="E141" s="94" t="str">
        <f>'Resultater - Vestdanmark'!E141</f>
        <v>Hektar</v>
      </c>
      <c r="F141" s="94" t="str">
        <f>'Resultater - Vestdanmark'!F141</f>
        <v>Korn</v>
      </c>
      <c r="G141" s="94" t="str">
        <f>'Resultater - Vestdanmark'!G141</f>
        <v>Ton</v>
      </c>
      <c r="H141" s="252">
        <f>'Resultater - Vestdanmark'!H141+'Resultater - Østdanmark'!H141</f>
        <v>8028892.7421747725</v>
      </c>
      <c r="I141" s="253">
        <f>'Resultater - Vestdanmark'!I141+'Resultater - Østdanmark'!I141</f>
        <v>5447797.8646546435</v>
      </c>
      <c r="J141" s="254">
        <f>'Resultater - Vestdanmark'!J141+'Resultater - Østdanmark'!J141</f>
        <v>0</v>
      </c>
    </row>
    <row r="142" spans="1:10" x14ac:dyDescent="0.25">
      <c r="A142" s="94" t="str">
        <f>'Resultater - Vestdanmark'!A142</f>
        <v>Kornmark</v>
      </c>
      <c r="B142" s="94" t="str">
        <f>'Resultater - Vestdanmark'!B142</f>
        <v>Konventionel</v>
      </c>
      <c r="C142" s="94" t="str">
        <f>'Resultater - Vestdanmark'!C142</f>
        <v>JB1-10</v>
      </c>
      <c r="D142" s="94" t="str">
        <f>'Resultater - Vestdanmark'!D142</f>
        <v>Areal-korn</v>
      </c>
      <c r="E142" s="94" t="str">
        <f>'Resultater - Vestdanmark'!E142</f>
        <v>Hektar</v>
      </c>
      <c r="F142" s="94" t="str">
        <f>'Resultater - Vestdanmark'!F142</f>
        <v>Halm</v>
      </c>
      <c r="G142" s="94" t="str">
        <f>'Resultater - Vestdanmark'!G142</f>
        <v>Ton</v>
      </c>
      <c r="H142" s="252">
        <f>'Resultater - Vestdanmark'!H142+'Resultater - Østdanmark'!H142</f>
        <v>2620610.5188139905</v>
      </c>
      <c r="I142" s="253">
        <f>'Resultater - Vestdanmark'!I142+'Resultater - Østdanmark'!I142</f>
        <v>1778147.6035286144</v>
      </c>
      <c r="J142" s="254">
        <f>'Resultater - Vestdanmark'!J142+'Resultater - Østdanmark'!J142</f>
        <v>0</v>
      </c>
    </row>
    <row r="143" spans="1:10" x14ac:dyDescent="0.25">
      <c r="A143" s="94" t="str">
        <f>'Resultater - Vestdanmark'!A143</f>
        <v>Kornmark</v>
      </c>
      <c r="B143" s="94" t="str">
        <f>'Resultater - Vestdanmark'!B143</f>
        <v>Konventionel</v>
      </c>
      <c r="C143" s="94" t="str">
        <f>'Resultater - Vestdanmark'!C143</f>
        <v>JB1-10</v>
      </c>
      <c r="D143" s="94" t="str">
        <f>'Resultater - Vestdanmark'!D143</f>
        <v>Areal-korn</v>
      </c>
      <c r="E143" s="94" t="str">
        <f>'Resultater - Vestdanmark'!E143</f>
        <v>Hektar</v>
      </c>
      <c r="F143" s="94" t="str">
        <f>'Resultater - Vestdanmark'!F143</f>
        <v>Gødning</v>
      </c>
      <c r="G143" s="94" t="str">
        <f>'Resultater - Vestdanmark'!G143</f>
        <v>kg N</v>
      </c>
      <c r="H143" s="252">
        <f>'Resultater - Vestdanmark'!H143+'Resultater - Østdanmark'!H143</f>
        <v>-183255754.45762676</v>
      </c>
      <c r="I143" s="253">
        <f>'Resultater - Vestdanmark'!I143+'Resultater - Østdanmark'!I143</f>
        <v>-115790086.49254373</v>
      </c>
      <c r="J143" s="254">
        <f>'Resultater - Vestdanmark'!J143+'Resultater - Østdanmark'!J143</f>
        <v>0</v>
      </c>
    </row>
    <row r="144" spans="1:10" x14ac:dyDescent="0.25">
      <c r="A144" s="94" t="str">
        <f>'Resultater - Vestdanmark'!A144</f>
        <v>Kornmark</v>
      </c>
      <c r="B144" s="94" t="str">
        <f>'Resultater - Vestdanmark'!B144</f>
        <v>Konventionel</v>
      </c>
      <c r="C144" s="94" t="str">
        <f>'Resultater - Vestdanmark'!C144</f>
        <v>JB1-10</v>
      </c>
      <c r="D144" s="94" t="str">
        <f>'Resultater - Vestdanmark'!D144</f>
        <v>Areal-korn</v>
      </c>
      <c r="E144" s="94" t="str">
        <f>'Resultater - Vestdanmark'!E144</f>
        <v>Hektar</v>
      </c>
      <c r="F144" s="94" t="str">
        <f>'Resultater - Vestdanmark'!F144</f>
        <v>CO2 - atmosfære</v>
      </c>
      <c r="G144" s="94" t="str">
        <f>'Resultater - Vestdanmark'!G144</f>
        <v>t CO2-ækvivalenter</v>
      </c>
      <c r="H144" s="252">
        <f>'Resultater - Vestdanmark'!H144+'Resultater - Østdanmark'!H144</f>
        <v>2604172.3544975286</v>
      </c>
      <c r="I144" s="253">
        <f>'Resultater - Vestdanmark'!I144+'Resultater - Østdanmark'!I144</f>
        <v>1523212.1771484518</v>
      </c>
      <c r="J144" s="254">
        <f>'Resultater - Vestdanmark'!J144+'Resultater - Østdanmark'!J144</f>
        <v>0</v>
      </c>
    </row>
    <row r="145" spans="1:10" x14ac:dyDescent="0.25">
      <c r="A145" s="94" t="str">
        <f>'Resultater - Vestdanmark'!A145</f>
        <v>Kornmark</v>
      </c>
      <c r="B145" s="94" t="str">
        <f>'Resultater - Vestdanmark'!B145</f>
        <v>Konventionel</v>
      </c>
      <c r="C145" s="94" t="str">
        <f>'Resultater - Vestdanmark'!C145</f>
        <v>OC6</v>
      </c>
      <c r="D145" s="94" t="str">
        <f>'Resultater - Vestdanmark'!D145</f>
        <v>Areal-korn</v>
      </c>
      <c r="E145" s="94" t="str">
        <f>'Resultater - Vestdanmark'!E145</f>
        <v>Hektar</v>
      </c>
      <c r="F145" s="94" t="str">
        <f>'Resultater - Vestdanmark'!F145</f>
        <v>Korn</v>
      </c>
      <c r="G145" s="94" t="str">
        <f>'Resultater - Vestdanmark'!G145</f>
        <v>Ton</v>
      </c>
      <c r="H145" s="252">
        <f>'Resultater - Vestdanmark'!H145+'Resultater - Østdanmark'!H145</f>
        <v>228280.18071014562</v>
      </c>
      <c r="I145" s="253">
        <f>'Resultater - Vestdanmark'!I145+'Resultater - Østdanmark'!I145</f>
        <v>121292.17235142596</v>
      </c>
      <c r="J145" s="254">
        <f>'Resultater - Vestdanmark'!J145+'Resultater - Østdanmark'!J145</f>
        <v>0</v>
      </c>
    </row>
    <row r="146" spans="1:10" x14ac:dyDescent="0.25">
      <c r="A146" s="94" t="str">
        <f>'Resultater - Vestdanmark'!A146</f>
        <v>Kornmark</v>
      </c>
      <c r="B146" s="94" t="str">
        <f>'Resultater - Vestdanmark'!B146</f>
        <v>Konventionel</v>
      </c>
      <c r="C146" s="94" t="str">
        <f>'Resultater - Vestdanmark'!C146</f>
        <v>OC6</v>
      </c>
      <c r="D146" s="94" t="str">
        <f>'Resultater - Vestdanmark'!D146</f>
        <v>Areal-korn</v>
      </c>
      <c r="E146" s="94" t="str">
        <f>'Resultater - Vestdanmark'!E146</f>
        <v>Hektar</v>
      </c>
      <c r="F146" s="94" t="str">
        <f>'Resultater - Vestdanmark'!F146</f>
        <v>Halm</v>
      </c>
      <c r="G146" s="94" t="str">
        <f>'Resultater - Vestdanmark'!G146</f>
        <v>Ton</v>
      </c>
      <c r="H146" s="252">
        <f>'Resultater - Vestdanmark'!H146+'Resultater - Østdanmark'!H146</f>
        <v>74510.080283339761</v>
      </c>
      <c r="I146" s="253">
        <f>'Resultater - Vestdanmark'!I146+'Resultater - Østdanmark'!I146</f>
        <v>39589.461825074555</v>
      </c>
      <c r="J146" s="254">
        <f>'Resultater - Vestdanmark'!J146+'Resultater - Østdanmark'!J146</f>
        <v>0</v>
      </c>
    </row>
    <row r="147" spans="1:10" x14ac:dyDescent="0.25">
      <c r="A147" s="94" t="str">
        <f>'Resultater - Vestdanmark'!A147</f>
        <v>Kornmark</v>
      </c>
      <c r="B147" s="94" t="str">
        <f>'Resultater - Vestdanmark'!B147</f>
        <v>Konventionel</v>
      </c>
      <c r="C147" s="94" t="str">
        <f>'Resultater - Vestdanmark'!C147</f>
        <v>OC6</v>
      </c>
      <c r="D147" s="94" t="str">
        <f>'Resultater - Vestdanmark'!D147</f>
        <v>Areal-korn</v>
      </c>
      <c r="E147" s="94" t="str">
        <f>'Resultater - Vestdanmark'!E147</f>
        <v>Hektar</v>
      </c>
      <c r="F147" s="94" t="str">
        <f>'Resultater - Vestdanmark'!F147</f>
        <v>Gødning</v>
      </c>
      <c r="G147" s="94" t="str">
        <f>'Resultater - Vestdanmark'!G147</f>
        <v>kg N</v>
      </c>
      <c r="H147" s="252">
        <f>'Resultater - Vestdanmark'!H147+'Resultater - Østdanmark'!H147</f>
        <v>-3527867.7475414807</v>
      </c>
      <c r="I147" s="253">
        <f>'Resultater - Vestdanmark'!I147+'Resultater - Østdanmark'!I147</f>
        <v>-1745521.8564979588</v>
      </c>
      <c r="J147" s="254">
        <f>'Resultater - Vestdanmark'!J147+'Resultater - Østdanmark'!J147</f>
        <v>0</v>
      </c>
    </row>
    <row r="148" spans="1:10" x14ac:dyDescent="0.25">
      <c r="A148" s="94" t="str">
        <f>'Resultater - Vestdanmark'!A148</f>
        <v>Kornmark</v>
      </c>
      <c r="B148" s="94" t="str">
        <f>'Resultater - Vestdanmark'!B148</f>
        <v>Konventionel</v>
      </c>
      <c r="C148" s="94" t="str">
        <f>'Resultater - Vestdanmark'!C148</f>
        <v>OC6</v>
      </c>
      <c r="D148" s="94" t="str">
        <f>'Resultater - Vestdanmark'!D148</f>
        <v>Areal-korn</v>
      </c>
      <c r="E148" s="94" t="str">
        <f>'Resultater - Vestdanmark'!E148</f>
        <v>Hektar</v>
      </c>
      <c r="F148" s="94" t="str">
        <f>'Resultater - Vestdanmark'!F148</f>
        <v>CO2 - atmosfære</v>
      </c>
      <c r="G148" s="94" t="str">
        <f>'Resultater - Vestdanmark'!G148</f>
        <v>t CO2-ækvivalenter</v>
      </c>
      <c r="H148" s="252">
        <f>'Resultater - Vestdanmark'!H148+'Resultater - Østdanmark'!H148</f>
        <v>433973.71375071316</v>
      </c>
      <c r="I148" s="253">
        <f>'Resultater - Vestdanmark'!I148+'Resultater - Østdanmark'!I148</f>
        <v>198771.1458157431</v>
      </c>
      <c r="J148" s="254">
        <f>'Resultater - Vestdanmark'!J148+'Resultater - Østdanmark'!J148</f>
        <v>0</v>
      </c>
    </row>
    <row r="149" spans="1:10" x14ac:dyDescent="0.25">
      <c r="A149" s="94" t="str">
        <f>'Resultater - Vestdanmark'!A149</f>
        <v>Kornmark</v>
      </c>
      <c r="B149" s="94" t="str">
        <f>'Resultater - Vestdanmark'!B149</f>
        <v>Konventionel</v>
      </c>
      <c r="C149" s="94" t="str">
        <f>'Resultater - Vestdanmark'!C149</f>
        <v>OC12</v>
      </c>
      <c r="D149" s="94" t="str">
        <f>'Resultater - Vestdanmark'!D149</f>
        <v>Areal-korn</v>
      </c>
      <c r="E149" s="94" t="str">
        <f>'Resultater - Vestdanmark'!E149</f>
        <v>Hektar</v>
      </c>
      <c r="F149" s="94" t="str">
        <f>'Resultater - Vestdanmark'!F149</f>
        <v>Korn</v>
      </c>
      <c r="G149" s="94" t="str">
        <f>'Resultater - Vestdanmark'!G149</f>
        <v>Ton</v>
      </c>
      <c r="H149" s="252">
        <f>'Resultater - Vestdanmark'!H149+'Resultater - Østdanmark'!H149</f>
        <v>135901.60941201358</v>
      </c>
      <c r="I149" s="253">
        <f>'Resultater - Vestdanmark'!I149+'Resultater - Østdanmark'!I149</f>
        <v>72606.705557286681</v>
      </c>
      <c r="J149" s="254">
        <f>'Resultater - Vestdanmark'!J149+'Resultater - Østdanmark'!J149</f>
        <v>0</v>
      </c>
    </row>
    <row r="150" spans="1:10" x14ac:dyDescent="0.25">
      <c r="A150" s="94" t="str">
        <f>'Resultater - Vestdanmark'!A150</f>
        <v>Kornmark</v>
      </c>
      <c r="B150" s="94" t="str">
        <f>'Resultater - Vestdanmark'!B150</f>
        <v>Konventionel</v>
      </c>
      <c r="C150" s="94" t="str">
        <f>'Resultater - Vestdanmark'!C150</f>
        <v>OC12</v>
      </c>
      <c r="D150" s="94" t="str">
        <f>'Resultater - Vestdanmark'!D150</f>
        <v>Areal-korn</v>
      </c>
      <c r="E150" s="94" t="str">
        <f>'Resultater - Vestdanmark'!E150</f>
        <v>Hektar</v>
      </c>
      <c r="F150" s="94" t="str">
        <f>'Resultater - Vestdanmark'!F150</f>
        <v>Halm</v>
      </c>
      <c r="G150" s="94" t="str">
        <f>'Resultater - Vestdanmark'!G150</f>
        <v>Ton</v>
      </c>
      <c r="H150" s="252">
        <f>'Resultater - Vestdanmark'!H150+'Resultater - Østdanmark'!H150</f>
        <v>44357.945558057712</v>
      </c>
      <c r="I150" s="253">
        <f>'Resultater - Vestdanmark'!I150+'Resultater - Østdanmark'!I150</f>
        <v>23698.64717713448</v>
      </c>
      <c r="J150" s="254">
        <f>'Resultater - Vestdanmark'!J150+'Resultater - Østdanmark'!J150</f>
        <v>0</v>
      </c>
    </row>
    <row r="151" spans="1:10" x14ac:dyDescent="0.25">
      <c r="A151" s="94" t="str">
        <f>'Resultater - Vestdanmark'!A151</f>
        <v>Kornmark</v>
      </c>
      <c r="B151" s="94" t="str">
        <f>'Resultater - Vestdanmark'!B151</f>
        <v>Konventionel</v>
      </c>
      <c r="C151" s="94" t="str">
        <f>'Resultater - Vestdanmark'!C151</f>
        <v>OC12</v>
      </c>
      <c r="D151" s="94" t="str">
        <f>'Resultater - Vestdanmark'!D151</f>
        <v>Areal-korn</v>
      </c>
      <c r="E151" s="94" t="str">
        <f>'Resultater - Vestdanmark'!E151</f>
        <v>Hektar</v>
      </c>
      <c r="F151" s="94" t="str">
        <f>'Resultater - Vestdanmark'!F151</f>
        <v>Gødning</v>
      </c>
      <c r="G151" s="94" t="str">
        <f>'Resultater - Vestdanmark'!G151</f>
        <v>kg N</v>
      </c>
      <c r="H151" s="252">
        <f>'Resultater - Vestdanmark'!H151+'Resultater - Østdanmark'!H151</f>
        <v>-1384772.8694927006</v>
      </c>
      <c r="I151" s="253">
        <f>'Resultater - Vestdanmark'!I151+'Resultater - Østdanmark'!I151</f>
        <v>-688936.36059175013</v>
      </c>
      <c r="J151" s="254">
        <f>'Resultater - Vestdanmark'!J151+'Resultater - Østdanmark'!J151</f>
        <v>0</v>
      </c>
    </row>
    <row r="152" spans="1:10" x14ac:dyDescent="0.25">
      <c r="A152" s="94" t="str">
        <f>'Resultater - Vestdanmark'!A152</f>
        <v>Kornmark</v>
      </c>
      <c r="B152" s="94" t="str">
        <f>'Resultater - Vestdanmark'!B152</f>
        <v>Konventionel</v>
      </c>
      <c r="C152" s="94" t="str">
        <f>'Resultater - Vestdanmark'!C152</f>
        <v>OC12</v>
      </c>
      <c r="D152" s="94" t="str">
        <f>'Resultater - Vestdanmark'!D152</f>
        <v>Areal-korn</v>
      </c>
      <c r="E152" s="94" t="str">
        <f>'Resultater - Vestdanmark'!E152</f>
        <v>Hektar</v>
      </c>
      <c r="F152" s="94" t="str">
        <f>'Resultater - Vestdanmark'!F152</f>
        <v>CO2 - atmosfære</v>
      </c>
      <c r="G152" s="94" t="str">
        <f>'Resultater - Vestdanmark'!G152</f>
        <v>t CO2-ækvivalenter</v>
      </c>
      <c r="H152" s="252">
        <f>'Resultater - Vestdanmark'!H152+'Resultater - Østdanmark'!H152</f>
        <v>567087.95319850883</v>
      </c>
      <c r="I152" s="253">
        <f>'Resultater - Vestdanmark'!I152+'Resultater - Østdanmark'!I152</f>
        <v>261172.77478226711</v>
      </c>
      <c r="J152" s="254">
        <f>'Resultater - Vestdanmark'!J152+'Resultater - Østdanmark'!J152</f>
        <v>0</v>
      </c>
    </row>
    <row r="153" spans="1:10" x14ac:dyDescent="0.25">
      <c r="A153" s="94" t="str">
        <f>'Resultater - Vestdanmark'!A153</f>
        <v>Kornmark</v>
      </c>
      <c r="B153" s="94" t="str">
        <f>'Resultater - Vestdanmark'!B153</f>
        <v>Økologisk</v>
      </c>
      <c r="C153" s="94" t="str">
        <f>'Resultater - Vestdanmark'!C153</f>
        <v>JB1-10</v>
      </c>
      <c r="D153" s="94" t="str">
        <f>'Resultater - Vestdanmark'!D153</f>
        <v>Areal-korn</v>
      </c>
      <c r="E153" s="94" t="str">
        <f>'Resultater - Vestdanmark'!E153</f>
        <v>Hektar</v>
      </c>
      <c r="F153" s="94" t="str">
        <f>'Resultater - Vestdanmark'!F153</f>
        <v>Korn</v>
      </c>
      <c r="G153" s="94" t="str">
        <f>'Resultater - Vestdanmark'!G153</f>
        <v>Ton</v>
      </c>
      <c r="H153" s="252">
        <f>'Resultater - Vestdanmark'!H153+'Resultater - Østdanmark'!H153</f>
        <v>687812.87730450777</v>
      </c>
      <c r="I153" s="253">
        <f>'Resultater - Vestdanmark'!I153+'Resultater - Østdanmark'!I153</f>
        <v>466697.66860610747</v>
      </c>
      <c r="J153" s="254">
        <f>'Resultater - Vestdanmark'!J153+'Resultater - Østdanmark'!J153</f>
        <v>642399.17873835156</v>
      </c>
    </row>
    <row r="154" spans="1:10" x14ac:dyDescent="0.25">
      <c r="A154" s="94" t="str">
        <f>'Resultater - Vestdanmark'!A154</f>
        <v>Kornmark</v>
      </c>
      <c r="B154" s="94" t="str">
        <f>'Resultater - Vestdanmark'!B154</f>
        <v>Økologisk</v>
      </c>
      <c r="C154" s="94" t="str">
        <f>'Resultater - Vestdanmark'!C154</f>
        <v>JB1-10</v>
      </c>
      <c r="D154" s="94" t="str">
        <f>'Resultater - Vestdanmark'!D154</f>
        <v>Areal-korn</v>
      </c>
      <c r="E154" s="94" t="str">
        <f>'Resultater - Vestdanmark'!E154</f>
        <v>Hektar</v>
      </c>
      <c r="F154" s="94" t="str">
        <f>'Resultater - Vestdanmark'!F154</f>
        <v>Halm</v>
      </c>
      <c r="G154" s="94" t="str">
        <f>'Resultater - Vestdanmark'!G154</f>
        <v>Ton</v>
      </c>
      <c r="H154" s="252">
        <f>'Resultater - Vestdanmark'!H154+'Resultater - Østdanmark'!H154</f>
        <v>224500.40361999813</v>
      </c>
      <c r="I154" s="253">
        <f>'Resultater - Vestdanmark'!I154+'Resultater - Østdanmark'!I154</f>
        <v>152328.952288862</v>
      </c>
      <c r="J154" s="254">
        <f>'Resultater - Vestdanmark'!J154+'Resultater - Østdanmark'!J154</f>
        <v>209677.48594225117</v>
      </c>
    </row>
    <row r="155" spans="1:10" x14ac:dyDescent="0.25">
      <c r="A155" s="94" t="str">
        <f>'Resultater - Vestdanmark'!A155</f>
        <v>Kornmark</v>
      </c>
      <c r="B155" s="94" t="str">
        <f>'Resultater - Vestdanmark'!B155</f>
        <v>Økologisk</v>
      </c>
      <c r="C155" s="94" t="str">
        <f>'Resultater - Vestdanmark'!C155</f>
        <v>JB1-10</v>
      </c>
      <c r="D155" s="94" t="str">
        <f>'Resultater - Vestdanmark'!D155</f>
        <v>Areal-korn</v>
      </c>
      <c r="E155" s="94" t="str">
        <f>'Resultater - Vestdanmark'!E155</f>
        <v>Hektar</v>
      </c>
      <c r="F155" s="94" t="str">
        <f>'Resultater - Vestdanmark'!F155</f>
        <v>Gødning</v>
      </c>
      <c r="G155" s="94" t="str">
        <f>'Resultater - Vestdanmark'!G155</f>
        <v>kg N</v>
      </c>
      <c r="H155" s="252">
        <f>'Resultater - Vestdanmark'!H155+'Resultater - Østdanmark'!H155</f>
        <v>-15699010.038333988</v>
      </c>
      <c r="I155" s="253">
        <f>'Resultater - Vestdanmark'!I155+'Resultater - Østdanmark'!I155</f>
        <v>-9919414.184651548</v>
      </c>
      <c r="J155" s="254">
        <f>'Resultater - Vestdanmark'!J155+'Resultater - Østdanmark'!J155</f>
        <v>-11994434.73801768</v>
      </c>
    </row>
    <row r="156" spans="1:10" x14ac:dyDescent="0.25">
      <c r="A156" s="94" t="str">
        <f>'Resultater - Vestdanmark'!A156</f>
        <v>Kornmark</v>
      </c>
      <c r="B156" s="94" t="str">
        <f>'Resultater - Vestdanmark'!B156</f>
        <v>Økologisk</v>
      </c>
      <c r="C156" s="94" t="str">
        <f>'Resultater - Vestdanmark'!C156</f>
        <v>JB1-10</v>
      </c>
      <c r="D156" s="94" t="str">
        <f>'Resultater - Vestdanmark'!D156</f>
        <v>Areal-korn</v>
      </c>
      <c r="E156" s="94" t="str">
        <f>'Resultater - Vestdanmark'!E156</f>
        <v>Hektar</v>
      </c>
      <c r="F156" s="94" t="str">
        <f>'Resultater - Vestdanmark'!F156</f>
        <v>CO2 - atmosfære</v>
      </c>
      <c r="G156" s="94" t="str">
        <f>'Resultater - Vestdanmark'!G156</f>
        <v>t CO2-ækvivalenter</v>
      </c>
      <c r="H156" s="252">
        <f>'Resultater - Vestdanmark'!H156+'Resultater - Østdanmark'!H156</f>
        <v>332973.42070203071</v>
      </c>
      <c r="I156" s="253">
        <f>'Resultater - Vestdanmark'!I156+'Resultater - Østdanmark'!I156</f>
        <v>194760.21554570604</v>
      </c>
      <c r="J156" s="254">
        <f>'Resultater - Vestdanmark'!J156+'Resultater - Østdanmark'!J156</f>
        <v>201141.11725472321</v>
      </c>
    </row>
    <row r="157" spans="1:10" x14ac:dyDescent="0.25">
      <c r="A157" s="94" t="str">
        <f>'Resultater - Vestdanmark'!A157</f>
        <v>Kornmark</v>
      </c>
      <c r="B157" s="94" t="str">
        <f>'Resultater - Vestdanmark'!B157</f>
        <v>Økologisk</v>
      </c>
      <c r="C157" s="94" t="str">
        <f>'Resultater - Vestdanmark'!C157</f>
        <v>OC6</v>
      </c>
      <c r="D157" s="94" t="str">
        <f>'Resultater - Vestdanmark'!D157</f>
        <v>Areal-korn</v>
      </c>
      <c r="E157" s="94" t="str">
        <f>'Resultater - Vestdanmark'!E157</f>
        <v>Hektar</v>
      </c>
      <c r="F157" s="94" t="str">
        <f>'Resultater - Vestdanmark'!F157</f>
        <v>Korn</v>
      </c>
      <c r="G157" s="94" t="str">
        <f>'Resultater - Vestdanmark'!G157</f>
        <v>Ton</v>
      </c>
      <c r="H157" s="252">
        <f>'Resultater - Vestdanmark'!H157+'Resultater - Østdanmark'!H157</f>
        <v>19556.127223005868</v>
      </c>
      <c r="I157" s="253">
        <f>'Resultater - Vestdanmark'!I157+'Resultater - Østdanmark'!I157</f>
        <v>10390.762554507737</v>
      </c>
      <c r="J157" s="254">
        <f>'Resultater - Vestdanmark'!J157+'Resultater - Østdanmark'!J157</f>
        <v>0</v>
      </c>
    </row>
    <row r="158" spans="1:10" x14ac:dyDescent="0.25">
      <c r="A158" s="94" t="str">
        <f>'Resultater - Vestdanmark'!A158</f>
        <v>Kornmark</v>
      </c>
      <c r="B158" s="94" t="str">
        <f>'Resultater - Vestdanmark'!B158</f>
        <v>Økologisk</v>
      </c>
      <c r="C158" s="94" t="str">
        <f>'Resultater - Vestdanmark'!C158</f>
        <v>OC6</v>
      </c>
      <c r="D158" s="94" t="str">
        <f>'Resultater - Vestdanmark'!D158</f>
        <v>Areal-korn</v>
      </c>
      <c r="E158" s="94" t="str">
        <f>'Resultater - Vestdanmark'!E158</f>
        <v>Hektar</v>
      </c>
      <c r="F158" s="94" t="str">
        <f>'Resultater - Vestdanmark'!F158</f>
        <v>Halm</v>
      </c>
      <c r="G158" s="94" t="str">
        <f>'Resultater - Vestdanmark'!G158</f>
        <v>Ton</v>
      </c>
      <c r="H158" s="252">
        <f>'Resultater - Vestdanmark'!H158+'Resultater - Østdanmark'!H158</f>
        <v>6383.0710352710576</v>
      </c>
      <c r="I158" s="253">
        <f>'Resultater - Vestdanmark'!I158+'Resultater - Østdanmark'!I158</f>
        <v>3391.5189208849392</v>
      </c>
      <c r="J158" s="254">
        <f>'Resultater - Vestdanmark'!J158+'Resultater - Østdanmark'!J158</f>
        <v>0</v>
      </c>
    </row>
    <row r="159" spans="1:10" x14ac:dyDescent="0.25">
      <c r="A159" s="94" t="str">
        <f>'Resultater - Vestdanmark'!A159</f>
        <v>Kornmark</v>
      </c>
      <c r="B159" s="94" t="str">
        <f>'Resultater - Vestdanmark'!B159</f>
        <v>Økologisk</v>
      </c>
      <c r="C159" s="94" t="str">
        <f>'Resultater - Vestdanmark'!C159</f>
        <v>OC6</v>
      </c>
      <c r="D159" s="94" t="str">
        <f>'Resultater - Vestdanmark'!D159</f>
        <v>Areal-korn</v>
      </c>
      <c r="E159" s="94" t="str">
        <f>'Resultater - Vestdanmark'!E159</f>
        <v>Hektar</v>
      </c>
      <c r="F159" s="94" t="str">
        <f>'Resultater - Vestdanmark'!F159</f>
        <v>Gødning</v>
      </c>
      <c r="G159" s="94" t="str">
        <f>'Resultater - Vestdanmark'!G159</f>
        <v>kg N</v>
      </c>
      <c r="H159" s="252">
        <f>'Resultater - Vestdanmark'!H159+'Resultater - Østdanmark'!H159</f>
        <v>-302222.60330370459</v>
      </c>
      <c r="I159" s="253">
        <f>'Resultater - Vestdanmark'!I159+'Resultater - Østdanmark'!I159</f>
        <v>-149533.99541747582</v>
      </c>
      <c r="J159" s="254">
        <f>'Resultater - Vestdanmark'!J159+'Resultater - Østdanmark'!J159</f>
        <v>0</v>
      </c>
    </row>
    <row r="160" spans="1:10" x14ac:dyDescent="0.25">
      <c r="A160" s="94" t="str">
        <f>'Resultater - Vestdanmark'!A160</f>
        <v>Kornmark</v>
      </c>
      <c r="B160" s="94" t="str">
        <f>'Resultater - Vestdanmark'!B160</f>
        <v>Økologisk</v>
      </c>
      <c r="C160" s="94" t="str">
        <f>'Resultater - Vestdanmark'!C160</f>
        <v>OC6</v>
      </c>
      <c r="D160" s="94" t="str">
        <f>'Resultater - Vestdanmark'!D160</f>
        <v>Areal-korn</v>
      </c>
      <c r="E160" s="94" t="str">
        <f>'Resultater - Vestdanmark'!E160</f>
        <v>Hektar</v>
      </c>
      <c r="F160" s="94" t="str">
        <f>'Resultater - Vestdanmark'!F160</f>
        <v>CO2 - atmosfære</v>
      </c>
      <c r="G160" s="94" t="str">
        <f>'Resultater - Vestdanmark'!G160</f>
        <v>t CO2-ækvivalenter</v>
      </c>
      <c r="H160" s="252">
        <f>'Resultater - Vestdanmark'!H160+'Resultater - Østdanmark'!H160</f>
        <v>55488.536199525202</v>
      </c>
      <c r="I160" s="253">
        <f>'Resultater - Vestdanmark'!I160+'Resultater - Østdanmark'!I160</f>
        <v>25415.179699924476</v>
      </c>
      <c r="J160" s="254">
        <f>'Resultater - Vestdanmark'!J160+'Resultater - Østdanmark'!J160</f>
        <v>0</v>
      </c>
    </row>
    <row r="161" spans="1:10" x14ac:dyDescent="0.25">
      <c r="A161" s="94" t="str">
        <f>'Resultater - Vestdanmark'!A161</f>
        <v>Kornmark</v>
      </c>
      <c r="B161" s="94" t="str">
        <f>'Resultater - Vestdanmark'!B161</f>
        <v>Økologisk</v>
      </c>
      <c r="C161" s="94" t="str">
        <f>'Resultater - Vestdanmark'!C161</f>
        <v>OC12</v>
      </c>
      <c r="D161" s="94" t="str">
        <f>'Resultater - Vestdanmark'!D161</f>
        <v>Areal-korn</v>
      </c>
      <c r="E161" s="94" t="str">
        <f>'Resultater - Vestdanmark'!E161</f>
        <v>Hektar</v>
      </c>
      <c r="F161" s="94" t="str">
        <f>'Resultater - Vestdanmark'!F161</f>
        <v>Korn</v>
      </c>
      <c r="G161" s="94" t="str">
        <f>'Resultater - Vestdanmark'!G161</f>
        <v>Ton</v>
      </c>
      <c r="H161" s="252">
        <f>'Resultater - Vestdanmark'!H161+'Resultater - Østdanmark'!H161</f>
        <v>11642.312333926018</v>
      </c>
      <c r="I161" s="253">
        <f>'Resultater - Vestdanmark'!I161+'Resultater - Østdanmark'!I161</f>
        <v>6220.0142242068905</v>
      </c>
      <c r="J161" s="254">
        <f>'Resultater - Vestdanmark'!J161+'Resultater - Østdanmark'!J161</f>
        <v>0</v>
      </c>
    </row>
    <row r="162" spans="1:10" x14ac:dyDescent="0.25">
      <c r="A162" s="94" t="str">
        <f>'Resultater - Vestdanmark'!A162</f>
        <v>Kornmark</v>
      </c>
      <c r="B162" s="94" t="str">
        <f>'Resultater - Vestdanmark'!B162</f>
        <v>Økologisk</v>
      </c>
      <c r="C162" s="94" t="str">
        <f>'Resultater - Vestdanmark'!C162</f>
        <v>OC12</v>
      </c>
      <c r="D162" s="94" t="str">
        <f>'Resultater - Vestdanmark'!D162</f>
        <v>Areal-korn</v>
      </c>
      <c r="E162" s="94" t="str">
        <f>'Resultater - Vestdanmark'!E162</f>
        <v>Hektar</v>
      </c>
      <c r="F162" s="94" t="str">
        <f>'Resultater - Vestdanmark'!F162</f>
        <v>Halm</v>
      </c>
      <c r="G162" s="94" t="str">
        <f>'Resultater - Vestdanmark'!G162</f>
        <v>Ton</v>
      </c>
      <c r="H162" s="252">
        <f>'Resultater - Vestdanmark'!H162+'Resultater - Østdanmark'!H162</f>
        <v>3800.0216400126183</v>
      </c>
      <c r="I162" s="253">
        <f>'Resultater - Vestdanmark'!I162+'Resultater - Østdanmark'!I162</f>
        <v>2030.1970927455686</v>
      </c>
      <c r="J162" s="254">
        <f>'Resultater - Vestdanmark'!J162+'Resultater - Østdanmark'!J162</f>
        <v>0</v>
      </c>
    </row>
    <row r="163" spans="1:10" x14ac:dyDescent="0.25">
      <c r="A163" s="94" t="str">
        <f>'Resultater - Vestdanmark'!A163</f>
        <v>Kornmark</v>
      </c>
      <c r="B163" s="94" t="str">
        <f>'Resultater - Vestdanmark'!B163</f>
        <v>Økologisk</v>
      </c>
      <c r="C163" s="94" t="str">
        <f>'Resultater - Vestdanmark'!C163</f>
        <v>OC12</v>
      </c>
      <c r="D163" s="94" t="str">
        <f>'Resultater - Vestdanmark'!D163</f>
        <v>Areal-korn</v>
      </c>
      <c r="E163" s="94" t="str">
        <f>'Resultater - Vestdanmark'!E163</f>
        <v>Hektar</v>
      </c>
      <c r="F163" s="94" t="str">
        <f>'Resultater - Vestdanmark'!F163</f>
        <v>Gødning</v>
      </c>
      <c r="G163" s="94" t="str">
        <f>'Resultater - Vestdanmark'!G163</f>
        <v>kg N</v>
      </c>
      <c r="H163" s="252">
        <f>'Resultater - Vestdanmark'!H163+'Resultater - Østdanmark'!H163</f>
        <v>-118629.63454173651</v>
      </c>
      <c r="I163" s="253">
        <f>'Resultater - Vestdanmark'!I163+'Resultater - Østdanmark'!I163</f>
        <v>-59019.259027983244</v>
      </c>
      <c r="J163" s="254">
        <f>'Resultater - Vestdanmark'!J163+'Resultater - Østdanmark'!J163</f>
        <v>0</v>
      </c>
    </row>
    <row r="164" spans="1:10" x14ac:dyDescent="0.25">
      <c r="A164" s="94" t="str">
        <f>'Resultater - Vestdanmark'!A164</f>
        <v>Kornmark</v>
      </c>
      <c r="B164" s="94" t="str">
        <f>'Resultater - Vestdanmark'!B164</f>
        <v>Økologisk</v>
      </c>
      <c r="C164" s="94" t="str">
        <f>'Resultater - Vestdanmark'!C164</f>
        <v>OC12</v>
      </c>
      <c r="D164" s="94" t="str">
        <f>'Resultater - Vestdanmark'!D164</f>
        <v>Areal-korn</v>
      </c>
      <c r="E164" s="94" t="str">
        <f>'Resultater - Vestdanmark'!E164</f>
        <v>Hektar</v>
      </c>
      <c r="F164" s="94" t="str">
        <f>'Resultater - Vestdanmark'!F164</f>
        <v>CO2 - atmosfære</v>
      </c>
      <c r="G164" s="94" t="str">
        <f>'Resultater - Vestdanmark'!G164</f>
        <v>t CO2-ækvivalenter</v>
      </c>
      <c r="H164" s="252">
        <f>'Resultater - Vestdanmark'!H164+'Resultater - Østdanmark'!H164</f>
        <v>72508.724428055051</v>
      </c>
      <c r="I164" s="253">
        <f>'Resultater - Vestdanmark'!I164+'Resultater - Østdanmark'!I164</f>
        <v>33393.946473359312</v>
      </c>
      <c r="J164" s="254">
        <f>'Resultater - Vestdanmark'!J164+'Resultater - Østdanmark'!J164</f>
        <v>0</v>
      </c>
    </row>
    <row r="165" spans="1:10" x14ac:dyDescent="0.25">
      <c r="A165" s="94" t="str">
        <f>'Resultater - Vestdanmark'!A165</f>
        <v>Grøntsager på land</v>
      </c>
      <c r="B165" s="94" t="str">
        <f>'Resultater - Vestdanmark'!B165</f>
        <v>Konventionel</v>
      </c>
      <c r="C165" s="94" t="str">
        <f>'Resultater - Vestdanmark'!C165</f>
        <v>JB1-10</v>
      </c>
      <c r="D165" s="94" t="str">
        <f>'Resultater - Vestdanmark'!D165</f>
        <v>Areal-grøntsager</v>
      </c>
      <c r="E165" s="94" t="str">
        <f>'Resultater - Vestdanmark'!E165</f>
        <v>Hektar</v>
      </c>
      <c r="F165" s="94" t="str">
        <f>'Resultater - Vestdanmark'!F165</f>
        <v>Grøntsager</v>
      </c>
      <c r="G165" s="94" t="str">
        <f>'Resultater - Vestdanmark'!G165</f>
        <v>Ton</v>
      </c>
      <c r="H165" s="252">
        <f>'Resultater - Vestdanmark'!H165+'Resultater - Østdanmark'!H165</f>
        <v>229792.23730502045</v>
      </c>
      <c r="I165" s="253">
        <f>'Resultater - Vestdanmark'!I165+'Resultater - Østdanmark'!I165</f>
        <v>345075.05702064093</v>
      </c>
      <c r="J165" s="254">
        <f>'Resultater - Vestdanmark'!J165+'Resultater - Østdanmark'!J165</f>
        <v>0</v>
      </c>
    </row>
    <row r="166" spans="1:10" x14ac:dyDescent="0.25">
      <c r="A166" s="94" t="str">
        <f>'Resultater - Vestdanmark'!A166</f>
        <v>Grøntsager på land</v>
      </c>
      <c r="B166" s="94" t="str">
        <f>'Resultater - Vestdanmark'!B166</f>
        <v>Konventionel</v>
      </c>
      <c r="C166" s="94" t="str">
        <f>'Resultater - Vestdanmark'!C166</f>
        <v>JB1-10</v>
      </c>
      <c r="D166" s="94" t="str">
        <f>'Resultater - Vestdanmark'!D166</f>
        <v>Areal-grøntsager</v>
      </c>
      <c r="E166" s="94" t="str">
        <f>'Resultater - Vestdanmark'!E166</f>
        <v>Hektar</v>
      </c>
      <c r="F166" s="94" t="str">
        <f>'Resultater - Vestdanmark'!F166</f>
        <v>Gødning</v>
      </c>
      <c r="G166" s="94" t="str">
        <f>'Resultater - Vestdanmark'!G166</f>
        <v>kg N</v>
      </c>
      <c r="H166" s="252">
        <f>'Resultater - Vestdanmark'!H166+'Resultater - Østdanmark'!H166</f>
        <v>-2229300.7257745154</v>
      </c>
      <c r="I166" s="253">
        <f>'Resultater - Vestdanmark'!I166+'Resultater - Østdanmark'!I166</f>
        <v>-3119066.563528236</v>
      </c>
      <c r="J166" s="254">
        <f>'Resultater - Vestdanmark'!J166+'Resultater - Østdanmark'!J166</f>
        <v>0</v>
      </c>
    </row>
    <row r="167" spans="1:10" x14ac:dyDescent="0.25">
      <c r="A167" s="94" t="str">
        <f>'Resultater - Vestdanmark'!A167</f>
        <v>Grøntsager på land</v>
      </c>
      <c r="B167" s="94" t="str">
        <f>'Resultater - Vestdanmark'!B167</f>
        <v>Konventionel</v>
      </c>
      <c r="C167" s="94" t="str">
        <f>'Resultater - Vestdanmark'!C167</f>
        <v>JB1-10</v>
      </c>
      <c r="D167" s="94" t="str">
        <f>'Resultater - Vestdanmark'!D167</f>
        <v>Areal-grøntsager</v>
      </c>
      <c r="E167" s="94" t="str">
        <f>'Resultater - Vestdanmark'!E167</f>
        <v>Hektar</v>
      </c>
      <c r="F167" s="94" t="str">
        <f>'Resultater - Vestdanmark'!F167</f>
        <v>CO2 - atmosfære</v>
      </c>
      <c r="G167" s="94" t="str">
        <f>'Resultater - Vestdanmark'!G167</f>
        <v>t CO2-ækvivalenter</v>
      </c>
      <c r="H167" s="252">
        <f>'Resultater - Vestdanmark'!H167+'Resultater - Østdanmark'!H167</f>
        <v>25343.742518123829</v>
      </c>
      <c r="I167" s="253">
        <f>'Resultater - Vestdanmark'!I167+'Resultater - Østdanmark'!I167</f>
        <v>32824.9183661071</v>
      </c>
      <c r="J167" s="254">
        <f>'Resultater - Vestdanmark'!J167+'Resultater - Østdanmark'!J167</f>
        <v>0</v>
      </c>
    </row>
    <row r="168" spans="1:10" x14ac:dyDescent="0.25">
      <c r="A168" s="94" t="str">
        <f>'Resultater - Vestdanmark'!A168</f>
        <v>Grøntsager på land</v>
      </c>
      <c r="B168" s="94" t="str">
        <f>'Resultater - Vestdanmark'!B168</f>
        <v>Konventionel</v>
      </c>
      <c r="C168" s="94" t="str">
        <f>'Resultater - Vestdanmark'!C168</f>
        <v>OC6</v>
      </c>
      <c r="D168" s="94" t="str">
        <f>'Resultater - Vestdanmark'!D168</f>
        <v>Areal-grøntsager</v>
      </c>
      <c r="E168" s="94" t="str">
        <f>'Resultater - Vestdanmark'!E168</f>
        <v>Hektar</v>
      </c>
      <c r="F168" s="94" t="str">
        <f>'Resultater - Vestdanmark'!F168</f>
        <v>Grøntsager</v>
      </c>
      <c r="G168" s="94" t="str">
        <f>'Resultater - Vestdanmark'!G168</f>
        <v>Ton</v>
      </c>
      <c r="H168" s="252">
        <f>'Resultater - Vestdanmark'!H168+'Resultater - Østdanmark'!H168</f>
        <v>2895.9534319120221</v>
      </c>
      <c r="I168" s="253">
        <f>'Resultater - Vestdanmark'!I168+'Resultater - Østdanmark'!I168</f>
        <v>1538.0959274220711</v>
      </c>
      <c r="J168" s="254">
        <f>'Resultater - Vestdanmark'!J168+'Resultater - Østdanmark'!J168</f>
        <v>0</v>
      </c>
    </row>
    <row r="169" spans="1:10" x14ac:dyDescent="0.25">
      <c r="A169" s="94" t="str">
        <f>'Resultater - Vestdanmark'!A169</f>
        <v>Grøntsager på land</v>
      </c>
      <c r="B169" s="94" t="str">
        <f>'Resultater - Vestdanmark'!B169</f>
        <v>Konventionel</v>
      </c>
      <c r="C169" s="94" t="str">
        <f>'Resultater - Vestdanmark'!C169</f>
        <v>OC6</v>
      </c>
      <c r="D169" s="94" t="str">
        <f>'Resultater - Vestdanmark'!D169</f>
        <v>Areal-grøntsager</v>
      </c>
      <c r="E169" s="94" t="str">
        <f>'Resultater - Vestdanmark'!E169</f>
        <v>Hektar</v>
      </c>
      <c r="F169" s="94" t="str">
        <f>'Resultater - Vestdanmark'!F169</f>
        <v>Gødning</v>
      </c>
      <c r="G169" s="94" t="str">
        <f>'Resultater - Vestdanmark'!G169</f>
        <v>kg N</v>
      </c>
      <c r="H169" s="252">
        <f>'Resultater - Vestdanmark'!H169+'Resultater - Østdanmark'!H169</f>
        <v>-22826.968918399438</v>
      </c>
      <c r="I169" s="253">
        <f>'Resultater - Vestdanmark'!I169+'Resultater - Østdanmark'!I169</f>
        <v>-11295.822686708321</v>
      </c>
      <c r="J169" s="254">
        <f>'Resultater - Vestdanmark'!J169+'Resultater - Østdanmark'!J169</f>
        <v>0</v>
      </c>
    </row>
    <row r="170" spans="1:10" x14ac:dyDescent="0.25">
      <c r="A170" s="94" t="str">
        <f>'Resultater - Vestdanmark'!A170</f>
        <v>Grøntsager på land</v>
      </c>
      <c r="B170" s="94" t="str">
        <f>'Resultater - Vestdanmark'!B170</f>
        <v>Konventionel</v>
      </c>
      <c r="C170" s="94" t="str">
        <f>'Resultater - Vestdanmark'!C170</f>
        <v>OC6</v>
      </c>
      <c r="D170" s="94" t="str">
        <f>'Resultater - Vestdanmark'!D170</f>
        <v>Areal-grøntsager</v>
      </c>
      <c r="E170" s="94" t="str">
        <f>'Resultater - Vestdanmark'!E170</f>
        <v>Hektar</v>
      </c>
      <c r="F170" s="94" t="str">
        <f>'Resultater - Vestdanmark'!F170</f>
        <v>CO2 - atmosfære</v>
      </c>
      <c r="G170" s="94" t="str">
        <f>'Resultater - Vestdanmark'!G170</f>
        <v>t CO2-ækvivalenter</v>
      </c>
      <c r="H170" s="252">
        <f>'Resultater - Vestdanmark'!H170+'Resultater - Østdanmark'!H170</f>
        <v>1872.0097963032511</v>
      </c>
      <c r="I170" s="253">
        <f>'Resultater - Vestdanmark'!I170+'Resultater - Østdanmark'!I170</f>
        <v>857.54053437183995</v>
      </c>
      <c r="J170" s="254">
        <f>'Resultater - Vestdanmark'!J170+'Resultater - Østdanmark'!J170</f>
        <v>0</v>
      </c>
    </row>
    <row r="171" spans="1:10" x14ac:dyDescent="0.25">
      <c r="A171" s="94" t="str">
        <f>'Resultater - Vestdanmark'!A171</f>
        <v>Grøntsager på land</v>
      </c>
      <c r="B171" s="94" t="str">
        <f>'Resultater - Vestdanmark'!B171</f>
        <v>Konventionel</v>
      </c>
      <c r="C171" s="94" t="str">
        <f>'Resultater - Vestdanmark'!C171</f>
        <v>OC12</v>
      </c>
      <c r="D171" s="94" t="str">
        <f>'Resultater - Vestdanmark'!D171</f>
        <v>Areal-grøntsager</v>
      </c>
      <c r="E171" s="94" t="str">
        <f>'Resultater - Vestdanmark'!E171</f>
        <v>Hektar</v>
      </c>
      <c r="F171" s="94" t="str">
        <f>'Resultater - Vestdanmark'!F171</f>
        <v>Grøntsager</v>
      </c>
      <c r="G171" s="94" t="str">
        <f>'Resultater - Vestdanmark'!G171</f>
        <v>Ton</v>
      </c>
      <c r="H171" s="252">
        <f>'Resultater - Vestdanmark'!H171+'Resultater - Østdanmark'!H171</f>
        <v>873.12609941568871</v>
      </c>
      <c r="I171" s="253">
        <f>'Resultater - Vestdanmark'!I171+'Resultater - Østdanmark'!I171</f>
        <v>467.32356071603044</v>
      </c>
      <c r="J171" s="254">
        <f>'Resultater - Vestdanmark'!J171+'Resultater - Østdanmark'!J171</f>
        <v>0</v>
      </c>
    </row>
    <row r="172" spans="1:10" x14ac:dyDescent="0.25">
      <c r="A172" s="94" t="str">
        <f>'Resultater - Vestdanmark'!A172</f>
        <v>Grøntsager på land</v>
      </c>
      <c r="B172" s="94" t="str">
        <f>'Resultater - Vestdanmark'!B172</f>
        <v>Konventionel</v>
      </c>
      <c r="C172" s="94" t="str">
        <f>'Resultater - Vestdanmark'!C172</f>
        <v>OC12</v>
      </c>
      <c r="D172" s="94" t="str">
        <f>'Resultater - Vestdanmark'!D172</f>
        <v>Areal-grøntsager</v>
      </c>
      <c r="E172" s="94" t="str">
        <f>'Resultater - Vestdanmark'!E172</f>
        <v>Hektar</v>
      </c>
      <c r="F172" s="94" t="str">
        <f>'Resultater - Vestdanmark'!F172</f>
        <v>Gødning</v>
      </c>
      <c r="G172" s="94" t="str">
        <f>'Resultater - Vestdanmark'!G172</f>
        <v>kg N</v>
      </c>
      <c r="H172" s="252">
        <f>'Resultater - Vestdanmark'!H172+'Resultater - Østdanmark'!H172</f>
        <v>-5747.8555301287988</v>
      </c>
      <c r="I172" s="253">
        <f>'Resultater - Vestdanmark'!I172+'Resultater - Østdanmark'!I172</f>
        <v>-2866.3176724199357</v>
      </c>
      <c r="J172" s="254">
        <f>'Resultater - Vestdanmark'!J172+'Resultater - Østdanmark'!J172</f>
        <v>0</v>
      </c>
    </row>
    <row r="173" spans="1:10" x14ac:dyDescent="0.25">
      <c r="A173" s="94" t="str">
        <f>'Resultater - Vestdanmark'!A173</f>
        <v>Grøntsager på land</v>
      </c>
      <c r="B173" s="94" t="str">
        <f>'Resultater - Vestdanmark'!B173</f>
        <v>Konventionel</v>
      </c>
      <c r="C173" s="94" t="str">
        <f>'Resultater - Vestdanmark'!C173</f>
        <v>OC12</v>
      </c>
      <c r="D173" s="94" t="str">
        <f>'Resultater - Vestdanmark'!D173</f>
        <v>Areal-grøntsager</v>
      </c>
      <c r="E173" s="94" t="str">
        <f>'Resultater - Vestdanmark'!E173</f>
        <v>Hektar</v>
      </c>
      <c r="F173" s="94" t="str">
        <f>'Resultater - Vestdanmark'!F173</f>
        <v>CO2 - atmosfære</v>
      </c>
      <c r="G173" s="94" t="str">
        <f>'Resultater - Vestdanmark'!G173</f>
        <v>t CO2-ækvivalenter</v>
      </c>
      <c r="H173" s="252">
        <f>'Resultater - Vestdanmark'!H173+'Resultater - Østdanmark'!H173</f>
        <v>1238.8653838857663</v>
      </c>
      <c r="I173" s="253">
        <f>'Resultater - Vestdanmark'!I173+'Resultater - Østdanmark'!I173</f>
        <v>571.89923690970386</v>
      </c>
      <c r="J173" s="254">
        <f>'Resultater - Vestdanmark'!J173+'Resultater - Østdanmark'!J173</f>
        <v>0</v>
      </c>
    </row>
    <row r="174" spans="1:10" x14ac:dyDescent="0.25">
      <c r="A174" s="94" t="str">
        <f>'Resultater - Vestdanmark'!A174</f>
        <v>Grøntsager på land</v>
      </c>
      <c r="B174" s="94" t="str">
        <f>'Resultater - Vestdanmark'!B174</f>
        <v>Økologisk</v>
      </c>
      <c r="C174" s="94" t="str">
        <f>'Resultater - Vestdanmark'!C174</f>
        <v>JB1-10</v>
      </c>
      <c r="D174" s="94" t="str">
        <f>'Resultater - Vestdanmark'!D174</f>
        <v>Areal-grøntsager</v>
      </c>
      <c r="E174" s="94" t="str">
        <f>'Resultater - Vestdanmark'!E174</f>
        <v>Hektar</v>
      </c>
      <c r="F174" s="94" t="str">
        <f>'Resultater - Vestdanmark'!F174</f>
        <v>Grøntsager</v>
      </c>
      <c r="G174" s="94" t="str">
        <f>'Resultater - Vestdanmark'!G174</f>
        <v>Ton</v>
      </c>
      <c r="H174" s="252">
        <f>'Resultater - Vestdanmark'!H174+'Resultater - Østdanmark'!H174</f>
        <v>16747.502556513253</v>
      </c>
      <c r="I174" s="253">
        <f>'Resultater - Vestdanmark'!I174+'Resultater - Østdanmark'!I174</f>
        <v>25149.437019367404</v>
      </c>
      <c r="J174" s="254">
        <f>'Resultater - Vestdanmark'!J174+'Resultater - Østdanmark'!J174</f>
        <v>358885.15356076573</v>
      </c>
    </row>
    <row r="175" spans="1:10" x14ac:dyDescent="0.25">
      <c r="A175" s="94" t="str">
        <f>'Resultater - Vestdanmark'!A175</f>
        <v>Grøntsager på land</v>
      </c>
      <c r="B175" s="94" t="str">
        <f>'Resultater - Vestdanmark'!B175</f>
        <v>Økologisk</v>
      </c>
      <c r="C175" s="94" t="str">
        <f>'Resultater - Vestdanmark'!C175</f>
        <v>JB1-10</v>
      </c>
      <c r="D175" s="94" t="str">
        <f>'Resultater - Vestdanmark'!D175</f>
        <v>Areal-grøntsager</v>
      </c>
      <c r="E175" s="94" t="str">
        <f>'Resultater - Vestdanmark'!E175</f>
        <v>Hektar</v>
      </c>
      <c r="F175" s="94" t="str">
        <f>'Resultater - Vestdanmark'!F175</f>
        <v>Gødning</v>
      </c>
      <c r="G175" s="94" t="str">
        <f>'Resultater - Vestdanmark'!G175</f>
        <v>kg N</v>
      </c>
      <c r="H175" s="252">
        <f>'Resultater - Vestdanmark'!H175+'Resultater - Østdanmark'!H175</f>
        <v>-162473.80695714155</v>
      </c>
      <c r="I175" s="253">
        <f>'Resultater - Vestdanmark'!I175+'Resultater - Østdanmark'!I175</f>
        <v>-227320.88715985051</v>
      </c>
      <c r="J175" s="254">
        <f>'Resultater - Vestdanmark'!J175+'Resultater - Østdanmark'!J175</f>
        <v>-2852519.0878377003</v>
      </c>
    </row>
    <row r="176" spans="1:10" x14ac:dyDescent="0.25">
      <c r="A176" s="94" t="str">
        <f>'Resultater - Vestdanmark'!A176</f>
        <v>Grøntsager på land</v>
      </c>
      <c r="B176" s="94" t="str">
        <f>'Resultater - Vestdanmark'!B176</f>
        <v>Økologisk</v>
      </c>
      <c r="C176" s="94" t="str">
        <f>'Resultater - Vestdanmark'!C176</f>
        <v>JB1-10</v>
      </c>
      <c r="D176" s="94" t="str">
        <f>'Resultater - Vestdanmark'!D176</f>
        <v>Areal-grøntsager</v>
      </c>
      <c r="E176" s="94" t="str">
        <f>'Resultater - Vestdanmark'!E176</f>
        <v>Hektar</v>
      </c>
      <c r="F176" s="94" t="str">
        <f>'Resultater - Vestdanmark'!F176</f>
        <v>CO2 - atmosfære</v>
      </c>
      <c r="G176" s="94" t="str">
        <f>'Resultater - Vestdanmark'!G176</f>
        <v>t CO2-ækvivalenter</v>
      </c>
      <c r="H176" s="252">
        <f>'Resultater - Vestdanmark'!H176+'Resultater - Østdanmark'!H176</f>
        <v>3240.4892959857261</v>
      </c>
      <c r="I176" s="253">
        <f>'Resultater - Vestdanmark'!I176+'Resultater - Østdanmark'!I176</f>
        <v>4197.0437685321667</v>
      </c>
      <c r="J176" s="254">
        <f>'Resultater - Vestdanmark'!J176+'Resultater - Østdanmark'!J176</f>
        <v>44982.083310092959</v>
      </c>
    </row>
    <row r="177" spans="1:10" x14ac:dyDescent="0.25">
      <c r="A177" s="94" t="str">
        <f>'Resultater - Vestdanmark'!A177</f>
        <v>Grøntsager på land</v>
      </c>
      <c r="B177" s="94" t="str">
        <f>'Resultater - Vestdanmark'!B177</f>
        <v>Økologisk</v>
      </c>
      <c r="C177" s="94" t="str">
        <f>'Resultater - Vestdanmark'!C177</f>
        <v>OC6</v>
      </c>
      <c r="D177" s="94" t="str">
        <f>'Resultater - Vestdanmark'!D177</f>
        <v>Areal-grøntsager</v>
      </c>
      <c r="E177" s="94" t="str">
        <f>'Resultater - Vestdanmark'!E177</f>
        <v>Hektar</v>
      </c>
      <c r="F177" s="94" t="str">
        <f>'Resultater - Vestdanmark'!F177</f>
        <v>Grøntsager</v>
      </c>
      <c r="G177" s="94" t="str">
        <f>'Resultater - Vestdanmark'!G177</f>
        <v>Ton</v>
      </c>
      <c r="H177" s="252">
        <f>'Resultater - Vestdanmark'!H177+'Resultater - Østdanmark'!H177</f>
        <v>211.06016492677367</v>
      </c>
      <c r="I177" s="253">
        <f>'Resultater - Vestdanmark'!I177+'Resultater - Østdanmark'!I177</f>
        <v>112.09806640453026</v>
      </c>
      <c r="J177" s="254">
        <f>'Resultater - Vestdanmark'!J177+'Resultater - Østdanmark'!J177</f>
        <v>0</v>
      </c>
    </row>
    <row r="178" spans="1:10" x14ac:dyDescent="0.25">
      <c r="A178" s="94" t="str">
        <f>'Resultater - Vestdanmark'!A178</f>
        <v>Grøntsager på land</v>
      </c>
      <c r="B178" s="94" t="str">
        <f>'Resultater - Vestdanmark'!B178</f>
        <v>Økologisk</v>
      </c>
      <c r="C178" s="94" t="str">
        <f>'Resultater - Vestdanmark'!C178</f>
        <v>OC6</v>
      </c>
      <c r="D178" s="94" t="str">
        <f>'Resultater - Vestdanmark'!D178</f>
        <v>Areal-grøntsager</v>
      </c>
      <c r="E178" s="94" t="str">
        <f>'Resultater - Vestdanmark'!E178</f>
        <v>Hektar</v>
      </c>
      <c r="F178" s="94" t="str">
        <f>'Resultater - Vestdanmark'!F178</f>
        <v>Gødning</v>
      </c>
      <c r="G178" s="94" t="str">
        <f>'Resultater - Vestdanmark'!G178</f>
        <v>kg N</v>
      </c>
      <c r="H178" s="252">
        <f>'Resultater - Vestdanmark'!H178+'Resultater - Østdanmark'!H178</f>
        <v>-1663.6537630768387</v>
      </c>
      <c r="I178" s="253">
        <f>'Resultater - Vestdanmark'!I178+'Resultater - Østdanmark'!I178</f>
        <v>-823.25156646810228</v>
      </c>
      <c r="J178" s="254">
        <f>'Resultater - Vestdanmark'!J178+'Resultater - Østdanmark'!J178</f>
        <v>0</v>
      </c>
    </row>
    <row r="179" spans="1:10" x14ac:dyDescent="0.25">
      <c r="A179" s="94" t="str">
        <f>'Resultater - Vestdanmark'!A179</f>
        <v>Grøntsager på land</v>
      </c>
      <c r="B179" s="94" t="str">
        <f>'Resultater - Vestdanmark'!B179</f>
        <v>Økologisk</v>
      </c>
      <c r="C179" s="94" t="str">
        <f>'Resultater - Vestdanmark'!C179</f>
        <v>OC6</v>
      </c>
      <c r="D179" s="94" t="str">
        <f>'Resultater - Vestdanmark'!D179</f>
        <v>Areal-grøntsager</v>
      </c>
      <c r="E179" s="94" t="str">
        <f>'Resultater - Vestdanmark'!E179</f>
        <v>Hektar</v>
      </c>
      <c r="F179" s="94" t="str">
        <f>'Resultater - Vestdanmark'!F179</f>
        <v>CO2 - atmosfære</v>
      </c>
      <c r="G179" s="94" t="str">
        <f>'Resultater - Vestdanmark'!G179</f>
        <v>t CO2-ækvivalenter</v>
      </c>
      <c r="H179" s="252">
        <f>'Resultater - Vestdanmark'!H179+'Resultater - Østdanmark'!H179</f>
        <v>239.35800730941858</v>
      </c>
      <c r="I179" s="253">
        <f>'Resultater - Vestdanmark'!I179+'Resultater - Østdanmark'!I179</f>
        <v>109.64643128451191</v>
      </c>
      <c r="J179" s="254">
        <f>'Resultater - Vestdanmark'!J179+'Resultater - Østdanmark'!J179</f>
        <v>0</v>
      </c>
    </row>
    <row r="180" spans="1:10" x14ac:dyDescent="0.25">
      <c r="A180" s="94" t="str">
        <f>'Resultater - Vestdanmark'!A180</f>
        <v>Grøntsager på land</v>
      </c>
      <c r="B180" s="94" t="str">
        <f>'Resultater - Vestdanmark'!B180</f>
        <v>Økologisk</v>
      </c>
      <c r="C180" s="94" t="str">
        <f>'Resultater - Vestdanmark'!C180</f>
        <v>OC12</v>
      </c>
      <c r="D180" s="94" t="str">
        <f>'Resultater - Vestdanmark'!D180</f>
        <v>Areal-grøntsager</v>
      </c>
      <c r="E180" s="94" t="str">
        <f>'Resultater - Vestdanmark'!E180</f>
        <v>Hektar</v>
      </c>
      <c r="F180" s="94" t="str">
        <f>'Resultater - Vestdanmark'!F180</f>
        <v>Grøntsager</v>
      </c>
      <c r="G180" s="94" t="str">
        <f>'Resultater - Vestdanmark'!G180</f>
        <v>Ton</v>
      </c>
      <c r="H180" s="252">
        <f>'Resultater - Vestdanmark'!H180+'Resultater - Østdanmark'!H180</f>
        <v>63.63435838223252</v>
      </c>
      <c r="I180" s="253">
        <f>'Resultater - Vestdanmark'!I180+'Resultater - Østdanmark'!I180</f>
        <v>34.059037936176651</v>
      </c>
      <c r="J180" s="254">
        <f>'Resultater - Vestdanmark'!J180+'Resultater - Østdanmark'!J180</f>
        <v>0</v>
      </c>
    </row>
    <row r="181" spans="1:10" x14ac:dyDescent="0.25">
      <c r="A181" s="94" t="str">
        <f>'Resultater - Vestdanmark'!A181</f>
        <v>Grøntsager på land</v>
      </c>
      <c r="B181" s="94" t="str">
        <f>'Resultater - Vestdanmark'!B181</f>
        <v>Økologisk</v>
      </c>
      <c r="C181" s="94" t="str">
        <f>'Resultater - Vestdanmark'!C181</f>
        <v>OC12</v>
      </c>
      <c r="D181" s="94" t="str">
        <f>'Resultater - Vestdanmark'!D181</f>
        <v>Areal-grøntsager</v>
      </c>
      <c r="E181" s="94" t="str">
        <f>'Resultater - Vestdanmark'!E181</f>
        <v>Hektar</v>
      </c>
      <c r="F181" s="94" t="str">
        <f>'Resultater - Vestdanmark'!F181</f>
        <v>Gødning</v>
      </c>
      <c r="G181" s="94" t="str">
        <f>'Resultater - Vestdanmark'!G181</f>
        <v>kg N</v>
      </c>
      <c r="H181" s="252">
        <f>'Resultater - Vestdanmark'!H181+'Resultater - Østdanmark'!H181</f>
        <v>-418.90982182102539</v>
      </c>
      <c r="I181" s="253">
        <f>'Resultater - Vestdanmark'!I181+'Resultater - Østdanmark'!I181</f>
        <v>-208.90027926797691</v>
      </c>
      <c r="J181" s="254">
        <f>'Resultater - Vestdanmark'!J181+'Resultater - Østdanmark'!J181</f>
        <v>0</v>
      </c>
    </row>
    <row r="182" spans="1:10" x14ac:dyDescent="0.25">
      <c r="A182" s="94" t="str">
        <f>'Resultater - Vestdanmark'!A182</f>
        <v>Grøntsager på land</v>
      </c>
      <c r="B182" s="94" t="str">
        <f>'Resultater - Vestdanmark'!B182</f>
        <v>Økologisk</v>
      </c>
      <c r="C182" s="94" t="str">
        <f>'Resultater - Vestdanmark'!C182</f>
        <v>OC12</v>
      </c>
      <c r="D182" s="94" t="str">
        <f>'Resultater - Vestdanmark'!D182</f>
        <v>Areal-grøntsager</v>
      </c>
      <c r="E182" s="94" t="str">
        <f>'Resultater - Vestdanmark'!E182</f>
        <v>Hektar</v>
      </c>
      <c r="F182" s="94" t="str">
        <f>'Resultater - Vestdanmark'!F182</f>
        <v>CO2 - atmosfære</v>
      </c>
      <c r="G182" s="94" t="str">
        <f>'Resultater - Vestdanmark'!G182</f>
        <v>t CO2-ækvivalenter</v>
      </c>
      <c r="H182" s="252">
        <f>'Resultater - Vestdanmark'!H182+'Resultater - Østdanmark'!H182</f>
        <v>158.40320397740001</v>
      </c>
      <c r="I182" s="253">
        <f>'Resultater - Vestdanmark'!I182+'Resultater - Østdanmark'!I182</f>
        <v>73.123902449017365</v>
      </c>
      <c r="J182" s="254">
        <f>'Resultater - Vestdanmark'!J182+'Resultater - Østdanmark'!J182</f>
        <v>0</v>
      </c>
    </row>
    <row r="183" spans="1:10" x14ac:dyDescent="0.25">
      <c r="A183" s="94" t="str">
        <f>'Resultater - Vestdanmark'!A183</f>
        <v>Grøntsager i drivhus</v>
      </c>
      <c r="B183" s="94" t="str">
        <f>'Resultater - Vestdanmark'!B183</f>
        <v>Konventionel</v>
      </c>
      <c r="C183" s="94" t="str">
        <f>'Resultater - Vestdanmark'!C183</f>
        <v/>
      </c>
      <c r="D183" s="94" t="str">
        <f>'Resultater - Vestdanmark'!D183</f>
        <v>Areal-grøntsager</v>
      </c>
      <c r="E183" s="94" t="str">
        <f>'Resultater - Vestdanmark'!E183</f>
        <v>Hektar</v>
      </c>
      <c r="F183" s="94" t="str">
        <f>'Resultater - Vestdanmark'!F183</f>
        <v>Grøntsager</v>
      </c>
      <c r="G183" s="94" t="str">
        <f>'Resultater - Vestdanmark'!G183</f>
        <v>Ton</v>
      </c>
      <c r="H183" s="252">
        <f>'Resultater - Vestdanmark'!H183+'Resultater - Østdanmark'!H183</f>
        <v>27718.750814801697</v>
      </c>
      <c r="I183" s="253">
        <f>'Resultater - Vestdanmark'!I183+'Resultater - Østdanmark'!I183</f>
        <v>41570.215026929582</v>
      </c>
      <c r="J183" s="254">
        <f>'Resultater - Vestdanmark'!J183+'Resultater - Østdanmark'!J183</f>
        <v>0</v>
      </c>
    </row>
    <row r="184" spans="1:10" x14ac:dyDescent="0.25">
      <c r="A184" s="94" t="str">
        <f>'Resultater - Vestdanmark'!A184</f>
        <v>Grøntsager i drivhus</v>
      </c>
      <c r="B184" s="94" t="str">
        <f>'Resultater - Vestdanmark'!B184</f>
        <v>Konventionel</v>
      </c>
      <c r="C184" s="94" t="str">
        <f>'Resultater - Vestdanmark'!C184</f>
        <v/>
      </c>
      <c r="D184" s="94" t="str">
        <f>'Resultater - Vestdanmark'!D184</f>
        <v>Areal-grøntsager</v>
      </c>
      <c r="E184" s="94" t="str">
        <f>'Resultater - Vestdanmark'!E184</f>
        <v>Hektar</v>
      </c>
      <c r="F184" s="94" t="str">
        <f>'Resultater - Vestdanmark'!F184</f>
        <v>Gødning</v>
      </c>
      <c r="G184" s="94" t="str">
        <f>'Resultater - Vestdanmark'!G184</f>
        <v>kg N</v>
      </c>
      <c r="H184" s="252">
        <f>'Resultater - Vestdanmark'!H184+'Resultater - Østdanmark'!H184</f>
        <v>-23717015.446220245</v>
      </c>
      <c r="I184" s="253">
        <f>'Resultater - Vestdanmark'!I184+'Resultater - Østdanmark'!I184</f>
        <v>-32903526.591509439</v>
      </c>
      <c r="J184" s="254">
        <f>'Resultater - Vestdanmark'!J184+'Resultater - Østdanmark'!J184</f>
        <v>0</v>
      </c>
    </row>
    <row r="185" spans="1:10" x14ac:dyDescent="0.25">
      <c r="A185" s="94" t="str">
        <f>'Resultater - Vestdanmark'!A185</f>
        <v>Grøntsager i drivhus</v>
      </c>
      <c r="B185" s="94" t="str">
        <f>'Resultater - Vestdanmark'!B185</f>
        <v>Konventionel</v>
      </c>
      <c r="C185" s="94" t="str">
        <f>'Resultater - Vestdanmark'!C185</f>
        <v/>
      </c>
      <c r="D185" s="94" t="str">
        <f>'Resultater - Vestdanmark'!D185</f>
        <v>Areal-grøntsager</v>
      </c>
      <c r="E185" s="94" t="str">
        <f>'Resultater - Vestdanmark'!E185</f>
        <v>Hektar</v>
      </c>
      <c r="F185" s="94" t="str">
        <f>'Resultater - Vestdanmark'!F185</f>
        <v>CO2 - atmosfære</v>
      </c>
      <c r="G185" s="94" t="str">
        <f>'Resultater - Vestdanmark'!G185</f>
        <v>t CO2-ækvivalenter</v>
      </c>
      <c r="H185" s="252">
        <f>'Resultater - Vestdanmark'!H185+'Resultater - Østdanmark'!H185</f>
        <v>5135.7375651082511</v>
      </c>
      <c r="I185" s="253">
        <f>'Resultater - Vestdanmark'!I185+'Resultater - Østdanmark'!I185</f>
        <v>6595.719171410361</v>
      </c>
      <c r="J185" s="254">
        <f>'Resultater - Vestdanmark'!J185+'Resultater - Østdanmark'!J185</f>
        <v>0</v>
      </c>
    </row>
    <row r="186" spans="1:10" x14ac:dyDescent="0.25">
      <c r="A186" s="94" t="str">
        <f>'Resultater - Vestdanmark'!A186</f>
        <v>Grøntsager i drivhus</v>
      </c>
      <c r="B186" s="94" t="str">
        <f>'Resultater - Vestdanmark'!B186</f>
        <v>Økologisk</v>
      </c>
      <c r="C186" s="94" t="str">
        <f>'Resultater - Vestdanmark'!C186</f>
        <v/>
      </c>
      <c r="D186" s="94" t="str">
        <f>'Resultater - Vestdanmark'!D186</f>
        <v>Areal-grøntsager</v>
      </c>
      <c r="E186" s="94" t="str">
        <f>'Resultater - Vestdanmark'!E186</f>
        <v>Hektar</v>
      </c>
      <c r="F186" s="94" t="str">
        <f>'Resultater - Vestdanmark'!F186</f>
        <v>Grøntsager</v>
      </c>
      <c r="G186" s="94" t="str">
        <f>'Resultater - Vestdanmark'!G186</f>
        <v>Ton</v>
      </c>
      <c r="H186" s="252">
        <f>'Resultater - Vestdanmark'!H186+'Resultater - Østdanmark'!H186</f>
        <v>2020.1720283442451</v>
      </c>
      <c r="I186" s="253">
        <f>'Resultater - Vestdanmark'!I186+'Resultater - Østdanmark'!I186</f>
        <v>3029.6814661941517</v>
      </c>
      <c r="J186" s="254">
        <f>'Resultater - Vestdanmark'!J186+'Resultater - Østdanmark'!J186</f>
        <v>43246.366867106481</v>
      </c>
    </row>
    <row r="187" spans="1:10" x14ac:dyDescent="0.25">
      <c r="A187" s="94" t="str">
        <f>'Resultater - Vestdanmark'!A187</f>
        <v>Grøntsager i drivhus</v>
      </c>
      <c r="B187" s="94" t="str">
        <f>'Resultater - Vestdanmark'!B187</f>
        <v>Økologisk</v>
      </c>
      <c r="C187" s="94" t="str">
        <f>'Resultater - Vestdanmark'!C187</f>
        <v/>
      </c>
      <c r="D187" s="94" t="str">
        <f>'Resultater - Vestdanmark'!D187</f>
        <v>Areal-grøntsager</v>
      </c>
      <c r="E187" s="94" t="str">
        <f>'Resultater - Vestdanmark'!E187</f>
        <v>Hektar</v>
      </c>
      <c r="F187" s="94" t="str">
        <f>'Resultater - Vestdanmark'!F187</f>
        <v>Gødning</v>
      </c>
      <c r="G187" s="94" t="str">
        <f>'Resultater - Vestdanmark'!G187</f>
        <v>kg N</v>
      </c>
      <c r="H187" s="252">
        <f>'Resultater - Vestdanmark'!H187+'Resultater - Østdanmark'!H187</f>
        <v>-1728521.3002700505</v>
      </c>
      <c r="I187" s="253">
        <f>'Resultater - Vestdanmark'!I187+'Resultater - Østdanmark'!I187</f>
        <v>-2398043.9991023447</v>
      </c>
      <c r="J187" s="254">
        <f>'Resultater - Vestdanmark'!J187+'Resultater - Østdanmark'!J187</f>
        <v>-29951450.422295857</v>
      </c>
    </row>
    <row r="188" spans="1:10" x14ac:dyDescent="0.25">
      <c r="A188" s="94" t="str">
        <f>'Resultater - Vestdanmark'!A188</f>
        <v>Grøntsager i drivhus</v>
      </c>
      <c r="B188" s="94" t="str">
        <f>'Resultater - Vestdanmark'!B188</f>
        <v>Økologisk</v>
      </c>
      <c r="C188" s="94" t="str">
        <f>'Resultater - Vestdanmark'!C188</f>
        <v/>
      </c>
      <c r="D188" s="94" t="str">
        <f>'Resultater - Vestdanmark'!D188</f>
        <v>Areal-grøntsager</v>
      </c>
      <c r="E188" s="94" t="str">
        <f>'Resultater - Vestdanmark'!E188</f>
        <v>Hektar</v>
      </c>
      <c r="F188" s="94" t="str">
        <f>'Resultater - Vestdanmark'!F188</f>
        <v>CO2 - atmosfære</v>
      </c>
      <c r="G188" s="94" t="str">
        <f>'Resultater - Vestdanmark'!G188</f>
        <v>t CO2-ækvivalenter</v>
      </c>
      <c r="H188" s="252">
        <f>'Resultater - Vestdanmark'!H188+'Resultater - Østdanmark'!H188</f>
        <v>656.66318203887363</v>
      </c>
      <c r="I188" s="253">
        <f>'Resultater - Vestdanmark'!I188+'Resultater - Østdanmark'!I188</f>
        <v>843.33864104713791</v>
      </c>
      <c r="J188" s="254">
        <f>'Resultater - Vestdanmark'!J188+'Resultater - Østdanmark'!J188</f>
        <v>8996.4166620185933</v>
      </c>
    </row>
    <row r="189" spans="1:10" x14ac:dyDescent="0.25">
      <c r="A189" s="94" t="str">
        <f>'Resultater - Vestdanmark'!A189</f>
        <v>Kartoffelmark</v>
      </c>
      <c r="B189" s="94" t="str">
        <f>'Resultater - Vestdanmark'!B189</f>
        <v>Konventionel</v>
      </c>
      <c r="C189" s="94" t="str">
        <f>'Resultater - Vestdanmark'!C189</f>
        <v>JB1-10</v>
      </c>
      <c r="D189" s="94" t="str">
        <f>'Resultater - Vestdanmark'!D189</f>
        <v>Areal-kartofler</v>
      </c>
      <c r="E189" s="94" t="str">
        <f>'Resultater - Vestdanmark'!E189</f>
        <v>Hektar</v>
      </c>
      <c r="F189" s="94" t="str">
        <f>'Resultater - Vestdanmark'!F189</f>
        <v>Kartofler</v>
      </c>
      <c r="G189" s="94" t="str">
        <f>'Resultater - Vestdanmark'!G189</f>
        <v>Ton</v>
      </c>
      <c r="H189" s="252">
        <f>'Resultater - Vestdanmark'!H189+'Resultater - Østdanmark'!H189</f>
        <v>1960428.2349329358</v>
      </c>
      <c r="I189" s="253">
        <f>'Resultater - Vestdanmark'!I189+'Resultater - Østdanmark'!I189</f>
        <v>2991689.6515738093</v>
      </c>
      <c r="J189" s="254">
        <f>'Resultater - Vestdanmark'!J189+'Resultater - Østdanmark'!J189</f>
        <v>0</v>
      </c>
    </row>
    <row r="190" spans="1:10" x14ac:dyDescent="0.25">
      <c r="A190" s="94" t="str">
        <f>'Resultater - Vestdanmark'!A190</f>
        <v>Kartoffelmark</v>
      </c>
      <c r="B190" s="94" t="str">
        <f>'Resultater - Vestdanmark'!B190</f>
        <v>Konventionel</v>
      </c>
      <c r="C190" s="94" t="str">
        <f>'Resultater - Vestdanmark'!C190</f>
        <v>JB1-10</v>
      </c>
      <c r="D190" s="94" t="str">
        <f>'Resultater - Vestdanmark'!D190</f>
        <v>Areal-kartofler</v>
      </c>
      <c r="E190" s="94" t="str">
        <f>'Resultater - Vestdanmark'!E190</f>
        <v>Hektar</v>
      </c>
      <c r="F190" s="94" t="str">
        <f>'Resultater - Vestdanmark'!F190</f>
        <v>Gødning</v>
      </c>
      <c r="G190" s="94" t="str">
        <f>'Resultater - Vestdanmark'!G190</f>
        <v>kg N</v>
      </c>
      <c r="H190" s="252">
        <f>'Resultater - Vestdanmark'!H190+'Resultater - Østdanmark'!H190</f>
        <v>-6923899.3970784517</v>
      </c>
      <c r="I190" s="253">
        <f>'Resultater - Vestdanmark'!I190+'Resultater - Østdanmark'!I190</f>
        <v>-9839312.8135439679</v>
      </c>
      <c r="J190" s="254">
        <f>'Resultater - Vestdanmark'!J190+'Resultater - Østdanmark'!J190</f>
        <v>0</v>
      </c>
    </row>
    <row r="191" spans="1:10" x14ac:dyDescent="0.25">
      <c r="A191" s="94" t="str">
        <f>'Resultater - Vestdanmark'!A191</f>
        <v>Kartoffelmark</v>
      </c>
      <c r="B191" s="94" t="str">
        <f>'Resultater - Vestdanmark'!B191</f>
        <v>Konventionel</v>
      </c>
      <c r="C191" s="94" t="str">
        <f>'Resultater - Vestdanmark'!C191</f>
        <v>JB1-10</v>
      </c>
      <c r="D191" s="94" t="str">
        <f>'Resultater - Vestdanmark'!D191</f>
        <v>Areal-kartofler</v>
      </c>
      <c r="E191" s="94" t="str">
        <f>'Resultater - Vestdanmark'!E191</f>
        <v>Hektar</v>
      </c>
      <c r="F191" s="94" t="str">
        <f>'Resultater - Vestdanmark'!F191</f>
        <v>CO2 - atmosfære</v>
      </c>
      <c r="G191" s="94" t="str">
        <f>'Resultater - Vestdanmark'!G191</f>
        <v>t CO2-ækvivalenter</v>
      </c>
      <c r="H191" s="252">
        <f>'Resultater - Vestdanmark'!H191+'Resultater - Østdanmark'!H191</f>
        <v>104952.20706782168</v>
      </c>
      <c r="I191" s="253">
        <f>'Resultater - Vestdanmark'!I191+'Resultater - Østdanmark'!I191</f>
        <v>138064.65633437407</v>
      </c>
      <c r="J191" s="254">
        <f>'Resultater - Vestdanmark'!J191+'Resultater - Østdanmark'!J191</f>
        <v>0</v>
      </c>
    </row>
    <row r="192" spans="1:10" x14ac:dyDescent="0.25">
      <c r="A192" s="94" t="str">
        <f>'Resultater - Vestdanmark'!A192</f>
        <v>Kartoffelmark</v>
      </c>
      <c r="B192" s="94" t="str">
        <f>'Resultater - Vestdanmark'!B192</f>
        <v>Konventionel</v>
      </c>
      <c r="C192" s="94" t="str">
        <f>'Resultater - Vestdanmark'!C192</f>
        <v>OC6</v>
      </c>
      <c r="D192" s="94" t="str">
        <f>'Resultater - Vestdanmark'!D192</f>
        <v>Areal-kartofler</v>
      </c>
      <c r="E192" s="94" t="str">
        <f>'Resultater - Vestdanmark'!E192</f>
        <v>Hektar</v>
      </c>
      <c r="F192" s="94" t="str">
        <f>'Resultater - Vestdanmark'!F192</f>
        <v>Kartofler</v>
      </c>
      <c r="G192" s="94" t="str">
        <f>'Resultater - Vestdanmark'!G192</f>
        <v>Ton</v>
      </c>
      <c r="H192" s="252">
        <f>'Resultater - Vestdanmark'!H192+'Resultater - Østdanmark'!H192</f>
        <v>74529.950322797784</v>
      </c>
      <c r="I192" s="253">
        <f>'Resultater - Vestdanmark'!I192+'Resultater - Østdanmark'!I192</f>
        <v>39589.844249657115</v>
      </c>
      <c r="J192" s="254">
        <f>'Resultater - Vestdanmark'!J192+'Resultater - Østdanmark'!J192</f>
        <v>0</v>
      </c>
    </row>
    <row r="193" spans="1:10" x14ac:dyDescent="0.25">
      <c r="A193" s="94" t="str">
        <f>'Resultater - Vestdanmark'!A193</f>
        <v>Kartoffelmark</v>
      </c>
      <c r="B193" s="94" t="str">
        <f>'Resultater - Vestdanmark'!B193</f>
        <v>Konventionel</v>
      </c>
      <c r="C193" s="94" t="str">
        <f>'Resultater - Vestdanmark'!C193</f>
        <v>OC6</v>
      </c>
      <c r="D193" s="94" t="str">
        <f>'Resultater - Vestdanmark'!D193</f>
        <v>Areal-kartofler</v>
      </c>
      <c r="E193" s="94" t="str">
        <f>'Resultater - Vestdanmark'!E193</f>
        <v>Hektar</v>
      </c>
      <c r="F193" s="94" t="str">
        <f>'Resultater - Vestdanmark'!F193</f>
        <v>Gødning</v>
      </c>
      <c r="G193" s="94" t="str">
        <f>'Resultater - Vestdanmark'!G193</f>
        <v>kg N</v>
      </c>
      <c r="H193" s="252">
        <f>'Resultater - Vestdanmark'!H193+'Resultater - Østdanmark'!H193</f>
        <v>-175484.74661777477</v>
      </c>
      <c r="I193" s="253">
        <f>'Resultater - Vestdanmark'!I193+'Resultater - Østdanmark'!I193</f>
        <v>-86804.204798213003</v>
      </c>
      <c r="J193" s="254">
        <f>'Resultater - Vestdanmark'!J193+'Resultater - Østdanmark'!J193</f>
        <v>0</v>
      </c>
    </row>
    <row r="194" spans="1:10" x14ac:dyDescent="0.25">
      <c r="A194" s="94" t="str">
        <f>'Resultater - Vestdanmark'!A194</f>
        <v>Kartoffelmark</v>
      </c>
      <c r="B194" s="94" t="str">
        <f>'Resultater - Vestdanmark'!B194</f>
        <v>Konventionel</v>
      </c>
      <c r="C194" s="94" t="str">
        <f>'Resultater - Vestdanmark'!C194</f>
        <v>OC6</v>
      </c>
      <c r="D194" s="94" t="str">
        <f>'Resultater - Vestdanmark'!D194</f>
        <v>Areal-kartofler</v>
      </c>
      <c r="E194" s="94" t="str">
        <f>'Resultater - Vestdanmark'!E194</f>
        <v>Hektar</v>
      </c>
      <c r="F194" s="94" t="str">
        <f>'Resultater - Vestdanmark'!F194</f>
        <v>CO2 - atmosfære</v>
      </c>
      <c r="G194" s="94" t="str">
        <f>'Resultater - Vestdanmark'!G194</f>
        <v>t CO2-ækvivalenter</v>
      </c>
      <c r="H194" s="252">
        <f>'Resultater - Vestdanmark'!H194+'Resultater - Østdanmark'!H194</f>
        <v>23385.82028389235</v>
      </c>
      <c r="I194" s="253">
        <f>'Resultater - Vestdanmark'!I194+'Resultater - Østdanmark'!I194</f>
        <v>10708.556174129379</v>
      </c>
      <c r="J194" s="254">
        <f>'Resultater - Vestdanmark'!J194+'Resultater - Østdanmark'!J194</f>
        <v>0</v>
      </c>
    </row>
    <row r="195" spans="1:10" x14ac:dyDescent="0.25">
      <c r="A195" s="94" t="str">
        <f>'Resultater - Vestdanmark'!A195</f>
        <v>Kartoffelmark</v>
      </c>
      <c r="B195" s="94" t="str">
        <f>'Resultater - Vestdanmark'!B195</f>
        <v>Konventionel</v>
      </c>
      <c r="C195" s="94" t="str">
        <f>'Resultater - Vestdanmark'!C195</f>
        <v>OC12</v>
      </c>
      <c r="D195" s="94" t="str">
        <f>'Resultater - Vestdanmark'!D195</f>
        <v>Areal-kartofler</v>
      </c>
      <c r="E195" s="94" t="str">
        <f>'Resultater - Vestdanmark'!E195</f>
        <v>Hektar</v>
      </c>
      <c r="F195" s="94" t="str">
        <f>'Resultater - Vestdanmark'!F195</f>
        <v>Kartofler</v>
      </c>
      <c r="G195" s="94" t="str">
        <f>'Resultater - Vestdanmark'!G195</f>
        <v>Ton</v>
      </c>
      <c r="H195" s="252">
        <f>'Resultater - Vestdanmark'!H195+'Resultater - Østdanmark'!H195</f>
        <v>74479.88306993802</v>
      </c>
      <c r="I195" s="253">
        <f>'Resultater - Vestdanmark'!I195+'Resultater - Østdanmark'!I195</f>
        <v>39605.450816726487</v>
      </c>
      <c r="J195" s="254">
        <f>'Resultater - Vestdanmark'!J195+'Resultater - Østdanmark'!J195</f>
        <v>0</v>
      </c>
    </row>
    <row r="196" spans="1:10" x14ac:dyDescent="0.25">
      <c r="A196" s="94" t="str">
        <f>'Resultater - Vestdanmark'!A196</f>
        <v>Kartoffelmark</v>
      </c>
      <c r="B196" s="94" t="str">
        <f>'Resultater - Vestdanmark'!B196</f>
        <v>Konventionel</v>
      </c>
      <c r="C196" s="94" t="str">
        <f>'Resultater - Vestdanmark'!C196</f>
        <v>OC12</v>
      </c>
      <c r="D196" s="94" t="str">
        <f>'Resultater - Vestdanmark'!D196</f>
        <v>Areal-kartofler</v>
      </c>
      <c r="E196" s="94" t="str">
        <f>'Resultater - Vestdanmark'!E196</f>
        <v>Hektar</v>
      </c>
      <c r="F196" s="94" t="str">
        <f>'Resultater - Vestdanmark'!F196</f>
        <v>Gødning</v>
      </c>
      <c r="G196" s="94" t="str">
        <f>'Resultater - Vestdanmark'!G196</f>
        <v>kg N</v>
      </c>
      <c r="H196" s="252">
        <f>'Resultater - Vestdanmark'!H196+'Resultater - Østdanmark'!H196</f>
        <v>-112735.83895599192</v>
      </c>
      <c r="I196" s="253">
        <f>'Resultater - Vestdanmark'!I196+'Resultater - Østdanmark'!I196</f>
        <v>-55824.700863158665</v>
      </c>
      <c r="J196" s="254">
        <f>'Resultater - Vestdanmark'!J196+'Resultater - Østdanmark'!J196</f>
        <v>0</v>
      </c>
    </row>
    <row r="197" spans="1:10" x14ac:dyDescent="0.25">
      <c r="A197" s="94" t="str">
        <f>'Resultater - Vestdanmark'!A197</f>
        <v>Kartoffelmark</v>
      </c>
      <c r="B197" s="94" t="str">
        <f>'Resultater - Vestdanmark'!B197</f>
        <v>Konventionel</v>
      </c>
      <c r="C197" s="94" t="str">
        <f>'Resultater - Vestdanmark'!C197</f>
        <v>OC12</v>
      </c>
      <c r="D197" s="94" t="str">
        <f>'Resultater - Vestdanmark'!D197</f>
        <v>Areal-kartofler</v>
      </c>
      <c r="E197" s="94" t="str">
        <f>'Resultater - Vestdanmark'!E197</f>
        <v>Hektar</v>
      </c>
      <c r="F197" s="94" t="str">
        <f>'Resultater - Vestdanmark'!F197</f>
        <v>CO2 - atmosfære</v>
      </c>
      <c r="G197" s="94" t="str">
        <f>'Resultater - Vestdanmark'!G197</f>
        <v>t CO2-ækvivalenter</v>
      </c>
      <c r="H197" s="252">
        <f>'Resultater - Vestdanmark'!H197+'Resultater - Østdanmark'!H197</f>
        <v>51296.929124309347</v>
      </c>
      <c r="I197" s="253">
        <f>'Resultater - Vestdanmark'!I197+'Resultater - Østdanmark'!I197</f>
        <v>23514.334494953317</v>
      </c>
      <c r="J197" s="254">
        <f>'Resultater - Vestdanmark'!J197+'Resultater - Østdanmark'!J197</f>
        <v>0</v>
      </c>
    </row>
    <row r="198" spans="1:10" x14ac:dyDescent="0.25">
      <c r="A198" s="94" t="str">
        <f>'Resultater - Vestdanmark'!A198</f>
        <v>Kartoffelmark</v>
      </c>
      <c r="B198" s="94" t="str">
        <f>'Resultater - Vestdanmark'!B198</f>
        <v>Økologisk</v>
      </c>
      <c r="C198" s="94" t="str">
        <f>'Resultater - Vestdanmark'!C198</f>
        <v>JB1-10</v>
      </c>
      <c r="D198" s="94" t="str">
        <f>'Resultater - Vestdanmark'!D198</f>
        <v>Areal-kartofler</v>
      </c>
      <c r="E198" s="94" t="str">
        <f>'Resultater - Vestdanmark'!E198</f>
        <v>Hektar</v>
      </c>
      <c r="F198" s="94" t="str">
        <f>'Resultater - Vestdanmark'!F198</f>
        <v>Kartofler</v>
      </c>
      <c r="G198" s="94" t="str">
        <f>'Resultater - Vestdanmark'!G198</f>
        <v>Ton</v>
      </c>
      <c r="H198" s="252">
        <f>'Resultater - Vestdanmark'!H198+'Resultater - Østdanmark'!H198</f>
        <v>142878.09397503437</v>
      </c>
      <c r="I198" s="253">
        <f>'Resultater - Vestdanmark'!I198+'Resultater - Østdanmark'!I198</f>
        <v>218037.52239689766</v>
      </c>
      <c r="J198" s="254">
        <f>'Resultater - Vestdanmark'!J198+'Resultater - Østdanmark'!J198</f>
        <v>3114555.2534101894</v>
      </c>
    </row>
    <row r="199" spans="1:10" x14ac:dyDescent="0.25">
      <c r="A199" s="94" t="str">
        <f>'Resultater - Vestdanmark'!A199</f>
        <v>Kartoffelmark</v>
      </c>
      <c r="B199" s="94" t="str">
        <f>'Resultater - Vestdanmark'!B199</f>
        <v>Økologisk</v>
      </c>
      <c r="C199" s="94" t="str">
        <f>'Resultater - Vestdanmark'!C199</f>
        <v>JB1-10</v>
      </c>
      <c r="D199" s="94" t="str">
        <f>'Resultater - Vestdanmark'!D199</f>
        <v>Areal-kartofler</v>
      </c>
      <c r="E199" s="94" t="str">
        <f>'Resultater - Vestdanmark'!E199</f>
        <v>Hektar</v>
      </c>
      <c r="F199" s="94" t="str">
        <f>'Resultater - Vestdanmark'!F199</f>
        <v>Gødning</v>
      </c>
      <c r="G199" s="94" t="str">
        <f>'Resultater - Vestdanmark'!G199</f>
        <v>kg N</v>
      </c>
      <c r="H199" s="252">
        <f>'Resultater - Vestdanmark'!H199+'Resultater - Østdanmark'!H199</f>
        <v>-504621.14914566139</v>
      </c>
      <c r="I199" s="253">
        <f>'Resultater - Vestdanmark'!I199+'Resultater - Østdanmark'!I199</f>
        <v>-717099.57843541587</v>
      </c>
      <c r="J199" s="254">
        <f>'Resultater - Vestdanmark'!J199+'Resultater - Østdanmark'!J199</f>
        <v>-8998470.2282504365</v>
      </c>
    </row>
    <row r="200" spans="1:10" x14ac:dyDescent="0.25">
      <c r="A200" s="94" t="str">
        <f>'Resultater - Vestdanmark'!A200</f>
        <v>Kartoffelmark</v>
      </c>
      <c r="B200" s="94" t="str">
        <f>'Resultater - Vestdanmark'!B200</f>
        <v>Økologisk</v>
      </c>
      <c r="C200" s="94" t="str">
        <f>'Resultater - Vestdanmark'!C200</f>
        <v>JB1-10</v>
      </c>
      <c r="D200" s="94" t="str">
        <f>'Resultater - Vestdanmark'!D200</f>
        <v>Areal-kartofler</v>
      </c>
      <c r="E200" s="94" t="str">
        <f>'Resultater - Vestdanmark'!E200</f>
        <v>Hektar</v>
      </c>
      <c r="F200" s="94" t="str">
        <f>'Resultater - Vestdanmark'!F200</f>
        <v>CO2 - atmosfære</v>
      </c>
      <c r="G200" s="94" t="str">
        <f>'Resultater - Vestdanmark'!G200</f>
        <v>t CO2-ækvivalenter</v>
      </c>
      <c r="H200" s="252">
        <f>'Resultater - Vestdanmark'!H200+'Resultater - Østdanmark'!H200</f>
        <v>13419.348123117323</v>
      </c>
      <c r="I200" s="253">
        <f>'Resultater - Vestdanmark'!I200+'Resultater - Østdanmark'!I200</f>
        <v>17653.156027983805</v>
      </c>
      <c r="J200" s="254">
        <f>'Resultater - Vestdanmark'!J200+'Resultater - Østdanmark'!J200</f>
        <v>189198.82158258971</v>
      </c>
    </row>
    <row r="201" spans="1:10" x14ac:dyDescent="0.25">
      <c r="A201" s="94" t="str">
        <f>'Resultater - Vestdanmark'!A201</f>
        <v>Kartoffelmark</v>
      </c>
      <c r="B201" s="94" t="str">
        <f>'Resultater - Vestdanmark'!B201</f>
        <v>Økologisk</v>
      </c>
      <c r="C201" s="94" t="str">
        <f>'Resultater - Vestdanmark'!C201</f>
        <v>OC6</v>
      </c>
      <c r="D201" s="94" t="str">
        <f>'Resultater - Vestdanmark'!D201</f>
        <v>Areal-kartofler</v>
      </c>
      <c r="E201" s="94" t="str">
        <f>'Resultater - Vestdanmark'!E201</f>
        <v>Hektar</v>
      </c>
      <c r="F201" s="94" t="str">
        <f>'Resultater - Vestdanmark'!F201</f>
        <v>Kartofler</v>
      </c>
      <c r="G201" s="94" t="str">
        <f>'Resultater - Vestdanmark'!G201</f>
        <v>Ton</v>
      </c>
      <c r="H201" s="252">
        <f>'Resultater - Vestdanmark'!H201+'Resultater - Østdanmark'!H201</f>
        <v>5431.8220154279852</v>
      </c>
      <c r="I201" s="253">
        <f>'Resultater - Vestdanmark'!I201+'Resultater - Østdanmark'!I201</f>
        <v>2885.3499385316636</v>
      </c>
      <c r="J201" s="254">
        <f>'Resultater - Vestdanmark'!J201+'Resultater - Østdanmark'!J201</f>
        <v>0</v>
      </c>
    </row>
    <row r="202" spans="1:10" x14ac:dyDescent="0.25">
      <c r="A202" s="94" t="str">
        <f>'Resultater - Vestdanmark'!A202</f>
        <v>Kartoffelmark</v>
      </c>
      <c r="B202" s="94" t="str">
        <f>'Resultater - Vestdanmark'!B202</f>
        <v>Økologisk</v>
      </c>
      <c r="C202" s="94" t="str">
        <f>'Resultater - Vestdanmark'!C202</f>
        <v>OC6</v>
      </c>
      <c r="D202" s="94" t="str">
        <f>'Resultater - Vestdanmark'!D202</f>
        <v>Areal-kartofler</v>
      </c>
      <c r="E202" s="94" t="str">
        <f>'Resultater - Vestdanmark'!E202</f>
        <v>Hektar</v>
      </c>
      <c r="F202" s="94" t="str">
        <f>'Resultater - Vestdanmark'!F202</f>
        <v>Gødning</v>
      </c>
      <c r="G202" s="94" t="str">
        <f>'Resultater - Vestdanmark'!G202</f>
        <v>kg N</v>
      </c>
      <c r="H202" s="252">
        <f>'Resultater - Vestdanmark'!H202+'Resultater - Østdanmark'!H202</f>
        <v>-12789.514898665619</v>
      </c>
      <c r="I202" s="253">
        <f>'Resultater - Vestdanmark'!I202+'Resultater - Østdanmark'!I202</f>
        <v>-6326.3827308687387</v>
      </c>
      <c r="J202" s="254">
        <f>'Resultater - Vestdanmark'!J202+'Resultater - Østdanmark'!J202</f>
        <v>0</v>
      </c>
    </row>
    <row r="203" spans="1:10" x14ac:dyDescent="0.25">
      <c r="A203" s="94" t="str">
        <f>'Resultater - Vestdanmark'!A203</f>
        <v>Kartoffelmark</v>
      </c>
      <c r="B203" s="94" t="str">
        <f>'Resultater - Vestdanmark'!B203</f>
        <v>Økologisk</v>
      </c>
      <c r="C203" s="94" t="str">
        <f>'Resultater - Vestdanmark'!C203</f>
        <v>OC6</v>
      </c>
      <c r="D203" s="94" t="str">
        <f>'Resultater - Vestdanmark'!D203</f>
        <v>Areal-kartofler</v>
      </c>
      <c r="E203" s="94" t="str">
        <f>'Resultater - Vestdanmark'!E203</f>
        <v>Hektar</v>
      </c>
      <c r="F203" s="94" t="str">
        <f>'Resultater - Vestdanmark'!F203</f>
        <v>CO2 - atmosfære</v>
      </c>
      <c r="G203" s="94" t="str">
        <f>'Resultater - Vestdanmark'!G203</f>
        <v>t CO2-ækvivalenter</v>
      </c>
      <c r="H203" s="252">
        <f>'Resultater - Vestdanmark'!H203+'Resultater - Østdanmark'!H203</f>
        <v>2990.1463942669939</v>
      </c>
      <c r="I203" s="253">
        <f>'Resultater - Vestdanmark'!I203+'Resultater - Østdanmark'!I203</f>
        <v>1369.2122082171863</v>
      </c>
      <c r="J203" s="254">
        <f>'Resultater - Vestdanmark'!J203+'Resultater - Østdanmark'!J203</f>
        <v>0</v>
      </c>
    </row>
    <row r="204" spans="1:10" x14ac:dyDescent="0.25">
      <c r="A204" s="94" t="str">
        <f>'Resultater - Vestdanmark'!A204</f>
        <v>Kartoffelmark</v>
      </c>
      <c r="B204" s="94" t="str">
        <f>'Resultater - Vestdanmark'!B204</f>
        <v>Økologisk</v>
      </c>
      <c r="C204" s="94" t="str">
        <f>'Resultater - Vestdanmark'!C204</f>
        <v>OC12</v>
      </c>
      <c r="D204" s="94" t="str">
        <f>'Resultater - Vestdanmark'!D204</f>
        <v>Areal-kartofler</v>
      </c>
      <c r="E204" s="94" t="str">
        <f>'Resultater - Vestdanmark'!E204</f>
        <v>Hektar</v>
      </c>
      <c r="F204" s="94" t="str">
        <f>'Resultater - Vestdanmark'!F204</f>
        <v>Kartofler</v>
      </c>
      <c r="G204" s="94" t="str">
        <f>'Resultater - Vestdanmark'!G204</f>
        <v>Ton</v>
      </c>
      <c r="H204" s="252">
        <f>'Resultater - Vestdanmark'!H204+'Resultater - Østdanmark'!H204</f>
        <v>5428.1730608109774</v>
      </c>
      <c r="I204" s="253">
        <f>'Resultater - Vestdanmark'!I204+'Resultater - Østdanmark'!I204</f>
        <v>2886.4873617316725</v>
      </c>
      <c r="J204" s="254">
        <f>'Resultater - Vestdanmark'!J204+'Resultater - Østdanmark'!J204</f>
        <v>0</v>
      </c>
    </row>
    <row r="205" spans="1:10" x14ac:dyDescent="0.25">
      <c r="A205" s="94" t="str">
        <f>'Resultater - Vestdanmark'!A205</f>
        <v>Kartoffelmark</v>
      </c>
      <c r="B205" s="94" t="str">
        <f>'Resultater - Vestdanmark'!B205</f>
        <v>Økologisk</v>
      </c>
      <c r="C205" s="94" t="str">
        <f>'Resultater - Vestdanmark'!C205</f>
        <v>OC12</v>
      </c>
      <c r="D205" s="94" t="str">
        <f>'Resultater - Vestdanmark'!D205</f>
        <v>Areal-kartofler</v>
      </c>
      <c r="E205" s="94" t="str">
        <f>'Resultater - Vestdanmark'!E205</f>
        <v>Hektar</v>
      </c>
      <c r="F205" s="94" t="str">
        <f>'Resultater - Vestdanmark'!F205</f>
        <v>Gødning</v>
      </c>
      <c r="G205" s="94" t="str">
        <f>'Resultater - Vestdanmark'!G205</f>
        <v>kg N</v>
      </c>
      <c r="H205" s="252">
        <f>'Resultater - Vestdanmark'!H205+'Resultater - Østdanmark'!H205</f>
        <v>-8216.3077972908159</v>
      </c>
      <c r="I205" s="253">
        <f>'Resultater - Vestdanmark'!I205+'Resultater - Østdanmark'!I205</f>
        <v>-4068.5635484776735</v>
      </c>
      <c r="J205" s="254">
        <f>'Resultater - Vestdanmark'!J205+'Resultater - Østdanmark'!J205</f>
        <v>0</v>
      </c>
    </row>
    <row r="206" spans="1:10" x14ac:dyDescent="0.25">
      <c r="A206" s="94" t="str">
        <f>'Resultater - Vestdanmark'!A206</f>
        <v>Kartoffelmark</v>
      </c>
      <c r="B206" s="94" t="str">
        <f>'Resultater - Vestdanmark'!B206</f>
        <v>Økologisk</v>
      </c>
      <c r="C206" s="94" t="str">
        <f>'Resultater - Vestdanmark'!C206</f>
        <v>OC12</v>
      </c>
      <c r="D206" s="94" t="str">
        <f>'Resultater - Vestdanmark'!D206</f>
        <v>Areal-kartofler</v>
      </c>
      <c r="E206" s="94" t="str">
        <f>'Resultater - Vestdanmark'!E206</f>
        <v>Hektar</v>
      </c>
      <c r="F206" s="94" t="str">
        <f>'Resultater - Vestdanmark'!F206</f>
        <v>CO2 - atmosfære</v>
      </c>
      <c r="G206" s="94" t="str">
        <f>'Resultater - Vestdanmark'!G206</f>
        <v>t CO2-ækvivalenter</v>
      </c>
      <c r="H206" s="252">
        <f>'Resultater - Vestdanmark'!H206+'Resultater - Østdanmark'!H206</f>
        <v>6558.9030359423223</v>
      </c>
      <c r="I206" s="253">
        <f>'Resultater - Vestdanmark'!I206+'Resultater - Østdanmark'!I206</f>
        <v>3006.5784159002346</v>
      </c>
      <c r="J206" s="254">
        <f>'Resultater - Vestdanmark'!J206+'Resultater - Østdanmark'!J206</f>
        <v>0</v>
      </c>
    </row>
    <row r="207" spans="1:10" x14ac:dyDescent="0.25">
      <c r="A207" s="94" t="str">
        <f>'Resultater - Vestdanmark'!A207</f>
        <v>Græsmark</v>
      </c>
      <c r="B207" s="94" t="str">
        <f>'Resultater - Vestdanmark'!B207</f>
        <v>Konventionel</v>
      </c>
      <c r="C207" s="94" t="str">
        <f>'Resultater - Vestdanmark'!C207</f>
        <v>JB1-10</v>
      </c>
      <c r="D207" s="94" t="str">
        <f>'Resultater - Vestdanmark'!D207</f>
        <v>Areal-græs</v>
      </c>
      <c r="E207" s="94" t="str">
        <f>'Resultater - Vestdanmark'!E207</f>
        <v>Hektar</v>
      </c>
      <c r="F207" s="94" t="str">
        <f>'Resultater - Vestdanmark'!F207</f>
        <v>Græs</v>
      </c>
      <c r="G207" s="94" t="str">
        <f>'Resultater - Vestdanmark'!G207</f>
        <v>Ton</v>
      </c>
      <c r="H207" s="252">
        <f>'Resultater - Vestdanmark'!H207+'Resultater - Østdanmark'!H207</f>
        <v>10615606.672639394</v>
      </c>
      <c r="I207" s="253">
        <f>'Resultater - Vestdanmark'!I207+'Resultater - Østdanmark'!I207</f>
        <v>22722841.463038135</v>
      </c>
      <c r="J207" s="254">
        <f>'Resultater - Vestdanmark'!J207+'Resultater - Østdanmark'!J207</f>
        <v>0</v>
      </c>
    </row>
    <row r="208" spans="1:10" x14ac:dyDescent="0.25">
      <c r="A208" s="94" t="str">
        <f>'Resultater - Vestdanmark'!A208</f>
        <v>Græsmark</v>
      </c>
      <c r="B208" s="94" t="str">
        <f>'Resultater - Vestdanmark'!B208</f>
        <v>Konventionel</v>
      </c>
      <c r="C208" s="94" t="str">
        <f>'Resultater - Vestdanmark'!C208</f>
        <v>JB1-10</v>
      </c>
      <c r="D208" s="94" t="str">
        <f>'Resultater - Vestdanmark'!D208</f>
        <v>Areal-græs</v>
      </c>
      <c r="E208" s="94" t="str">
        <f>'Resultater - Vestdanmark'!E208</f>
        <v>Hektar</v>
      </c>
      <c r="F208" s="94" t="str">
        <f>'Resultater - Vestdanmark'!F208</f>
        <v>Gødning</v>
      </c>
      <c r="G208" s="94" t="str">
        <f>'Resultater - Vestdanmark'!G208</f>
        <v>kg N</v>
      </c>
      <c r="H208" s="252">
        <f>'Resultater - Vestdanmark'!H208+'Resultater - Østdanmark'!H208</f>
        <v>-33160399.72307751</v>
      </c>
      <c r="I208" s="253">
        <f>'Resultater - Vestdanmark'!I208+'Resultater - Østdanmark'!I208</f>
        <v>-66097647.883297324</v>
      </c>
      <c r="J208" s="254">
        <f>'Resultater - Vestdanmark'!J208+'Resultater - Østdanmark'!J208</f>
        <v>0</v>
      </c>
    </row>
    <row r="209" spans="1:10" x14ac:dyDescent="0.25">
      <c r="A209" s="94" t="str">
        <f>'Resultater - Vestdanmark'!A209</f>
        <v>Græsmark</v>
      </c>
      <c r="B209" s="94" t="str">
        <f>'Resultater - Vestdanmark'!B209</f>
        <v>Konventionel</v>
      </c>
      <c r="C209" s="94" t="str">
        <f>'Resultater - Vestdanmark'!C209</f>
        <v>JB1-10</v>
      </c>
      <c r="D209" s="94" t="str">
        <f>'Resultater - Vestdanmark'!D209</f>
        <v>Areal-græs</v>
      </c>
      <c r="E209" s="94" t="str">
        <f>'Resultater - Vestdanmark'!E209</f>
        <v>Hektar</v>
      </c>
      <c r="F209" s="94" t="str">
        <f>'Resultater - Vestdanmark'!F209</f>
        <v>CO2 - atmosfære</v>
      </c>
      <c r="G209" s="94" t="str">
        <f>'Resultater - Vestdanmark'!G209</f>
        <v>t CO2-ækvivalenter</v>
      </c>
      <c r="H209" s="252">
        <f>'Resultater - Vestdanmark'!H209+'Resultater - Østdanmark'!H209</f>
        <v>486429.76821888878</v>
      </c>
      <c r="I209" s="253">
        <f>'Resultater - Vestdanmark'!I209+'Resultater - Østdanmark'!I209</f>
        <v>785998.55226317805</v>
      </c>
      <c r="J209" s="254">
        <f>'Resultater - Vestdanmark'!J209+'Resultater - Østdanmark'!J209</f>
        <v>0</v>
      </c>
    </row>
    <row r="210" spans="1:10" x14ac:dyDescent="0.25">
      <c r="A210" s="94" t="str">
        <f>'Resultater - Vestdanmark'!A210</f>
        <v>Græsmark</v>
      </c>
      <c r="B210" s="94" t="str">
        <f>'Resultater - Vestdanmark'!B210</f>
        <v>Konventionel</v>
      </c>
      <c r="C210" s="94" t="str">
        <f>'Resultater - Vestdanmark'!C210</f>
        <v>OC6</v>
      </c>
      <c r="D210" s="94" t="str">
        <f>'Resultater - Vestdanmark'!D210</f>
        <v>Areal-græs</v>
      </c>
      <c r="E210" s="94" t="str">
        <f>'Resultater - Vestdanmark'!E210</f>
        <v>Hektar</v>
      </c>
      <c r="F210" s="94" t="str">
        <f>'Resultater - Vestdanmark'!F210</f>
        <v>Græs</v>
      </c>
      <c r="G210" s="94" t="str">
        <f>'Resultater - Vestdanmark'!G210</f>
        <v>Ton</v>
      </c>
      <c r="H210" s="252">
        <f>'Resultater - Vestdanmark'!H210+'Resultater - Østdanmark'!H210</f>
        <v>1227820.3144178872</v>
      </c>
      <c r="I210" s="253">
        <f>'Resultater - Vestdanmark'!I210+'Resultater - Østdanmark'!I210</f>
        <v>744836.96007445804</v>
      </c>
      <c r="J210" s="254">
        <f>'Resultater - Vestdanmark'!J210+'Resultater - Østdanmark'!J210</f>
        <v>0</v>
      </c>
    </row>
    <row r="211" spans="1:10" x14ac:dyDescent="0.25">
      <c r="A211" s="94" t="str">
        <f>'Resultater - Vestdanmark'!A211</f>
        <v>Græsmark</v>
      </c>
      <c r="B211" s="94" t="str">
        <f>'Resultater - Vestdanmark'!B211</f>
        <v>Konventionel</v>
      </c>
      <c r="C211" s="94" t="str">
        <f>'Resultater - Vestdanmark'!C211</f>
        <v>OC6</v>
      </c>
      <c r="D211" s="94" t="str">
        <f>'Resultater - Vestdanmark'!D211</f>
        <v>Areal-græs</v>
      </c>
      <c r="E211" s="94" t="str">
        <f>'Resultater - Vestdanmark'!E211</f>
        <v>Hektar</v>
      </c>
      <c r="F211" s="94" t="str">
        <f>'Resultater - Vestdanmark'!F211</f>
        <v>Gødning</v>
      </c>
      <c r="G211" s="94" t="str">
        <f>'Resultater - Vestdanmark'!G211</f>
        <v>kg N</v>
      </c>
      <c r="H211" s="252">
        <f>'Resultater - Vestdanmark'!H211+'Resultater - Østdanmark'!H211</f>
        <v>-2680650.2901102607</v>
      </c>
      <c r="I211" s="253">
        <f>'Resultater - Vestdanmark'!I211+'Resultater - Østdanmark'!I211</f>
        <v>-1514310.7095495339</v>
      </c>
      <c r="J211" s="254">
        <f>'Resultater - Vestdanmark'!J211+'Resultater - Østdanmark'!J211</f>
        <v>0</v>
      </c>
    </row>
    <row r="212" spans="1:10" x14ac:dyDescent="0.25">
      <c r="A212" s="94" t="str">
        <f>'Resultater - Vestdanmark'!A212</f>
        <v>Græsmark</v>
      </c>
      <c r="B212" s="94" t="str">
        <f>'Resultater - Vestdanmark'!B212</f>
        <v>Konventionel</v>
      </c>
      <c r="C212" s="94" t="str">
        <f>'Resultater - Vestdanmark'!C212</f>
        <v>OC6</v>
      </c>
      <c r="D212" s="94" t="str">
        <f>'Resultater - Vestdanmark'!D212</f>
        <v>Areal-græs</v>
      </c>
      <c r="E212" s="94" t="str">
        <f>'Resultater - Vestdanmark'!E212</f>
        <v>Hektar</v>
      </c>
      <c r="F212" s="94" t="str">
        <f>'Resultater - Vestdanmark'!F212</f>
        <v>CO2 - atmosfære</v>
      </c>
      <c r="G212" s="94" t="str">
        <f>'Resultater - Vestdanmark'!G212</f>
        <v>t CO2-ækvivalenter</v>
      </c>
      <c r="H212" s="252">
        <f>'Resultater - Vestdanmark'!H212+'Resultater - Østdanmark'!H212</f>
        <v>329754.92419657321</v>
      </c>
      <c r="I212" s="253">
        <f>'Resultater - Vestdanmark'!I212+'Resultater - Østdanmark'!I212</f>
        <v>151008.52850480258</v>
      </c>
      <c r="J212" s="254">
        <f>'Resultater - Vestdanmark'!J212+'Resultater - Østdanmark'!J212</f>
        <v>0</v>
      </c>
    </row>
    <row r="213" spans="1:10" x14ac:dyDescent="0.25">
      <c r="A213" s="94" t="str">
        <f>'Resultater - Vestdanmark'!A213</f>
        <v>Græsmark</v>
      </c>
      <c r="B213" s="94" t="str">
        <f>'Resultater - Vestdanmark'!B213</f>
        <v>Konventionel</v>
      </c>
      <c r="C213" s="94" t="str">
        <f>'Resultater - Vestdanmark'!C213</f>
        <v>OC12</v>
      </c>
      <c r="D213" s="94" t="str">
        <f>'Resultater - Vestdanmark'!D213</f>
        <v>Areal-græs</v>
      </c>
      <c r="E213" s="94" t="str">
        <f>'Resultater - Vestdanmark'!E213</f>
        <v>Hektar</v>
      </c>
      <c r="F213" s="94" t="str">
        <f>'Resultater - Vestdanmark'!F213</f>
        <v>Græs</v>
      </c>
      <c r="G213" s="94" t="str">
        <f>'Resultater - Vestdanmark'!G213</f>
        <v>Ton</v>
      </c>
      <c r="H213" s="252">
        <f>'Resultater - Vestdanmark'!H213+'Resultater - Østdanmark'!H213</f>
        <v>1475854.3420564069</v>
      </c>
      <c r="I213" s="253">
        <f>'Resultater - Vestdanmark'!I213+'Resultater - Østdanmark'!I213</f>
        <v>897401.23273887276</v>
      </c>
      <c r="J213" s="254">
        <f>'Resultater - Vestdanmark'!J213+'Resultater - Østdanmark'!J213</f>
        <v>0</v>
      </c>
    </row>
    <row r="214" spans="1:10" x14ac:dyDescent="0.25">
      <c r="A214" s="94" t="str">
        <f>'Resultater - Vestdanmark'!A214</f>
        <v>Græsmark</v>
      </c>
      <c r="B214" s="94" t="str">
        <f>'Resultater - Vestdanmark'!B214</f>
        <v>Konventionel</v>
      </c>
      <c r="C214" s="94" t="str">
        <f>'Resultater - Vestdanmark'!C214</f>
        <v>OC12</v>
      </c>
      <c r="D214" s="94" t="str">
        <f>'Resultater - Vestdanmark'!D214</f>
        <v>Areal-græs</v>
      </c>
      <c r="E214" s="94" t="str">
        <f>'Resultater - Vestdanmark'!E214</f>
        <v>Hektar</v>
      </c>
      <c r="F214" s="94" t="str">
        <f>'Resultater - Vestdanmark'!F214</f>
        <v>Gødning</v>
      </c>
      <c r="G214" s="94" t="str">
        <f>'Resultater - Vestdanmark'!G214</f>
        <v>kg N</v>
      </c>
      <c r="H214" s="252">
        <f>'Resultater - Vestdanmark'!H214+'Resultater - Østdanmark'!H214</f>
        <v>-2230735.0998434206</v>
      </c>
      <c r="I214" s="253">
        <f>'Resultater - Vestdanmark'!I214+'Resultater - Østdanmark'!I214</f>
        <v>-1263105.4056212243</v>
      </c>
      <c r="J214" s="254">
        <f>'Resultater - Vestdanmark'!J214+'Resultater - Østdanmark'!J214</f>
        <v>0</v>
      </c>
    </row>
    <row r="215" spans="1:10" x14ac:dyDescent="0.25">
      <c r="A215" s="94" t="str">
        <f>'Resultater - Vestdanmark'!A215</f>
        <v>Græsmark</v>
      </c>
      <c r="B215" s="94" t="str">
        <f>'Resultater - Vestdanmark'!B215</f>
        <v>Konventionel</v>
      </c>
      <c r="C215" s="94" t="str">
        <f>'Resultater - Vestdanmark'!C215</f>
        <v>OC12</v>
      </c>
      <c r="D215" s="94" t="str">
        <f>'Resultater - Vestdanmark'!D215</f>
        <v>Areal-græs</v>
      </c>
      <c r="E215" s="94" t="str">
        <f>'Resultater - Vestdanmark'!E215</f>
        <v>Hektar</v>
      </c>
      <c r="F215" s="94" t="str">
        <f>'Resultater - Vestdanmark'!F215</f>
        <v>CO2 - atmosfære</v>
      </c>
      <c r="G215" s="94" t="str">
        <f>'Resultater - Vestdanmark'!G215</f>
        <v>t CO2-ækvivalenter</v>
      </c>
      <c r="H215" s="252">
        <f>'Resultater - Vestdanmark'!H215+'Resultater - Østdanmark'!H215</f>
        <v>870022.68593914213</v>
      </c>
      <c r="I215" s="253">
        <f>'Resultater - Vestdanmark'!I215+'Resultater - Østdanmark'!I215</f>
        <v>399353.52588949015</v>
      </c>
      <c r="J215" s="254">
        <f>'Resultater - Vestdanmark'!J215+'Resultater - Østdanmark'!J215</f>
        <v>0</v>
      </c>
    </row>
    <row r="216" spans="1:10" x14ac:dyDescent="0.25">
      <c r="A216" s="94" t="str">
        <f>'Resultater - Vestdanmark'!A216</f>
        <v>Græsmark</v>
      </c>
      <c r="B216" s="94" t="str">
        <f>'Resultater - Vestdanmark'!B216</f>
        <v>Økologisk</v>
      </c>
      <c r="C216" s="94" t="str">
        <f>'Resultater - Vestdanmark'!C216</f>
        <v>JB1-10</v>
      </c>
      <c r="D216" s="94" t="str">
        <f>'Resultater - Vestdanmark'!D216</f>
        <v>Areal-græs</v>
      </c>
      <c r="E216" s="94" t="str">
        <f>'Resultater - Vestdanmark'!E216</f>
        <v>Hektar</v>
      </c>
      <c r="F216" s="94" t="str">
        <f>'Resultater - Vestdanmark'!F216</f>
        <v>Græs</v>
      </c>
      <c r="G216" s="94" t="str">
        <f>'Resultater - Vestdanmark'!G216</f>
        <v>Ton</v>
      </c>
      <c r="H216" s="252">
        <f>'Resultater - Vestdanmark'!H216+'Resultater - Østdanmark'!H216</f>
        <v>1058715.4844797079</v>
      </c>
      <c r="I216" s="253">
        <f>'Resultater - Vestdanmark'!I216+'Resultater - Østdanmark'!I216</f>
        <v>2266193.9962697052</v>
      </c>
      <c r="J216" s="254">
        <f>'Resultater - Vestdanmark'!J216+'Resultater - Østdanmark'!J216</f>
        <v>45205882.927890651</v>
      </c>
    </row>
    <row r="217" spans="1:10" x14ac:dyDescent="0.25">
      <c r="A217" s="94" t="str">
        <f>'Resultater - Vestdanmark'!A217</f>
        <v>Græsmark</v>
      </c>
      <c r="B217" s="94" t="str">
        <f>'Resultater - Vestdanmark'!B217</f>
        <v>Økologisk</v>
      </c>
      <c r="C217" s="94" t="str">
        <f>'Resultater - Vestdanmark'!C217</f>
        <v>JB1-10</v>
      </c>
      <c r="D217" s="94" t="str">
        <f>'Resultater - Vestdanmark'!D217</f>
        <v>Areal-græs</v>
      </c>
      <c r="E217" s="94" t="str">
        <f>'Resultater - Vestdanmark'!E217</f>
        <v>Hektar</v>
      </c>
      <c r="F217" s="94" t="str">
        <f>'Resultater - Vestdanmark'!F217</f>
        <v>Gødning</v>
      </c>
      <c r="G217" s="94" t="str">
        <f>'Resultater - Vestdanmark'!G217</f>
        <v>kg N</v>
      </c>
      <c r="H217" s="252">
        <f>'Resultater - Vestdanmark'!H217+'Resultater - Østdanmark'!H217</f>
        <v>-3307152.3598217401</v>
      </c>
      <c r="I217" s="253">
        <f>'Resultater - Vestdanmark'!I217+'Resultater - Østdanmark'!I217</f>
        <v>-6592049.3721848903</v>
      </c>
      <c r="J217" s="254">
        <f>'Resultater - Vestdanmark'!J217+'Resultater - Østdanmark'!J217</f>
        <v>-115516158.57599999</v>
      </c>
    </row>
    <row r="218" spans="1:10" x14ac:dyDescent="0.25">
      <c r="A218" s="94" t="str">
        <f>'Resultater - Vestdanmark'!A218</f>
        <v>Græsmark</v>
      </c>
      <c r="B218" s="94" t="str">
        <f>'Resultater - Vestdanmark'!B218</f>
        <v>Økologisk</v>
      </c>
      <c r="C218" s="94" t="str">
        <f>'Resultater - Vestdanmark'!C218</f>
        <v>JB1-10</v>
      </c>
      <c r="D218" s="94" t="str">
        <f>'Resultater - Vestdanmark'!D218</f>
        <v>Areal-græs</v>
      </c>
      <c r="E218" s="94" t="str">
        <f>'Resultater - Vestdanmark'!E218</f>
        <v>Hektar</v>
      </c>
      <c r="F218" s="94" t="str">
        <f>'Resultater - Vestdanmark'!F218</f>
        <v>CO2 - atmosfære</v>
      </c>
      <c r="G218" s="94" t="str">
        <f>'Resultater - Vestdanmark'!G218</f>
        <v>t CO2-ækvivalenter</v>
      </c>
      <c r="H218" s="252">
        <f>'Resultater - Vestdanmark'!H218+'Resultater - Østdanmark'!H218</f>
        <v>62195.646757178984</v>
      </c>
      <c r="I218" s="253">
        <f>'Resultater - Vestdanmark'!I218+'Resultater - Østdanmark'!I218</f>
        <v>100498.96511723475</v>
      </c>
      <c r="J218" s="254">
        <f>'Resultater - Vestdanmark'!J218+'Resultater - Østdanmark'!J218</f>
        <v>1226886.1374549952</v>
      </c>
    </row>
    <row r="219" spans="1:10" x14ac:dyDescent="0.25">
      <c r="A219" s="94" t="str">
        <f>'Resultater - Vestdanmark'!A219</f>
        <v>Græsmark</v>
      </c>
      <c r="B219" s="94" t="str">
        <f>'Resultater - Vestdanmark'!B219</f>
        <v>Økologisk</v>
      </c>
      <c r="C219" s="94" t="str">
        <f>'Resultater - Vestdanmark'!C219</f>
        <v>OC6</v>
      </c>
      <c r="D219" s="94" t="str">
        <f>'Resultater - Vestdanmark'!D219</f>
        <v>Areal-græs</v>
      </c>
      <c r="E219" s="94" t="str">
        <f>'Resultater - Vestdanmark'!E219</f>
        <v>Hektar</v>
      </c>
      <c r="F219" s="94" t="str">
        <f>'Resultater - Vestdanmark'!F219</f>
        <v>Græs</v>
      </c>
      <c r="G219" s="94" t="str">
        <f>'Resultater - Vestdanmark'!G219</f>
        <v>Ton</v>
      </c>
      <c r="H219" s="252">
        <f>'Resultater - Vestdanmark'!H219+'Resultater - Østdanmark'!H219</f>
        <v>122452.95244249655</v>
      </c>
      <c r="I219" s="253">
        <f>'Resultater - Vestdanmark'!I219+'Resultater - Østdanmark'!I219</f>
        <v>74284.065655529557</v>
      </c>
      <c r="J219" s="254">
        <f>'Resultater - Vestdanmark'!J219+'Resultater - Østdanmark'!J219</f>
        <v>0</v>
      </c>
    </row>
    <row r="220" spans="1:10" x14ac:dyDescent="0.25">
      <c r="A220" s="94" t="str">
        <f>'Resultater - Vestdanmark'!A220</f>
        <v>Græsmark</v>
      </c>
      <c r="B220" s="94" t="str">
        <f>'Resultater - Vestdanmark'!B220</f>
        <v>Økologisk</v>
      </c>
      <c r="C220" s="94" t="str">
        <f>'Resultater - Vestdanmark'!C220</f>
        <v>OC6</v>
      </c>
      <c r="D220" s="94" t="str">
        <f>'Resultater - Vestdanmark'!D220</f>
        <v>Areal-græs</v>
      </c>
      <c r="E220" s="94" t="str">
        <f>'Resultater - Vestdanmark'!E220</f>
        <v>Hektar</v>
      </c>
      <c r="F220" s="94" t="str">
        <f>'Resultater - Vestdanmark'!F220</f>
        <v>Gødning</v>
      </c>
      <c r="G220" s="94" t="str">
        <f>'Resultater - Vestdanmark'!G220</f>
        <v>kg N</v>
      </c>
      <c r="H220" s="252">
        <f>'Resultater - Vestdanmark'!H220+'Resultater - Østdanmark'!H220</f>
        <v>-267346.56417984271</v>
      </c>
      <c r="I220" s="253">
        <f>'Resultater - Vestdanmark'!I220+'Resultater - Østdanmark'!I220</f>
        <v>-151025.20712694508</v>
      </c>
      <c r="J220" s="254">
        <f>'Resultater - Vestdanmark'!J220+'Resultater - Østdanmark'!J220</f>
        <v>0</v>
      </c>
    </row>
    <row r="221" spans="1:10" x14ac:dyDescent="0.25">
      <c r="A221" s="94" t="str">
        <f>'Resultater - Vestdanmark'!A221</f>
        <v>Græsmark</v>
      </c>
      <c r="B221" s="94" t="str">
        <f>'Resultater - Vestdanmark'!B221</f>
        <v>Økologisk</v>
      </c>
      <c r="C221" s="94" t="str">
        <f>'Resultater - Vestdanmark'!C221</f>
        <v>OC6</v>
      </c>
      <c r="D221" s="94" t="str">
        <f>'Resultater - Vestdanmark'!D221</f>
        <v>Areal-græs</v>
      </c>
      <c r="E221" s="94" t="str">
        <f>'Resultater - Vestdanmark'!E221</f>
        <v>Hektar</v>
      </c>
      <c r="F221" s="94" t="str">
        <f>'Resultater - Vestdanmark'!F221</f>
        <v>CO2 - atmosfære</v>
      </c>
      <c r="G221" s="94" t="str">
        <f>'Resultater - Vestdanmark'!G221</f>
        <v>t CO2-ækvivalenter</v>
      </c>
      <c r="H221" s="252">
        <f>'Resultater - Vestdanmark'!H221+'Resultater - Østdanmark'!H221</f>
        <v>42162.963950309473</v>
      </c>
      <c r="I221" s="253">
        <f>'Resultater - Vestdanmark'!I221+'Resultater - Østdanmark'!I221</f>
        <v>19308.179124390568</v>
      </c>
      <c r="J221" s="254">
        <f>'Resultater - Vestdanmark'!J221+'Resultater - Østdanmark'!J221</f>
        <v>0</v>
      </c>
    </row>
    <row r="222" spans="1:10" x14ac:dyDescent="0.25">
      <c r="A222" s="94" t="str">
        <f>'Resultater - Vestdanmark'!A222</f>
        <v>Græsmark</v>
      </c>
      <c r="B222" s="94" t="str">
        <f>'Resultater - Vestdanmark'!B222</f>
        <v>Økologisk</v>
      </c>
      <c r="C222" s="94" t="str">
        <f>'Resultater - Vestdanmark'!C222</f>
        <v>OC12</v>
      </c>
      <c r="D222" s="94" t="str">
        <f>'Resultater - Vestdanmark'!D222</f>
        <v>Areal-græs</v>
      </c>
      <c r="E222" s="94" t="str">
        <f>'Resultater - Vestdanmark'!E222</f>
        <v>Hektar</v>
      </c>
      <c r="F222" s="94" t="str">
        <f>'Resultater - Vestdanmark'!F222</f>
        <v>Græs</v>
      </c>
      <c r="G222" s="94" t="str">
        <f>'Resultater - Vestdanmark'!G222</f>
        <v>Ton</v>
      </c>
      <c r="H222" s="252">
        <f>'Resultater - Vestdanmark'!H222+'Resultater - Østdanmark'!H222</f>
        <v>147189.87740935557</v>
      </c>
      <c r="I222" s="253">
        <f>'Resultater - Vestdanmark'!I222+'Resultater - Østdanmark'!I222</f>
        <v>89499.602819741427</v>
      </c>
      <c r="J222" s="254">
        <f>'Resultater - Vestdanmark'!J222+'Resultater - Østdanmark'!J222</f>
        <v>0</v>
      </c>
    </row>
    <row r="223" spans="1:10" x14ac:dyDescent="0.25">
      <c r="A223" s="94" t="str">
        <f>'Resultater - Vestdanmark'!A223</f>
        <v>Græsmark</v>
      </c>
      <c r="B223" s="94" t="str">
        <f>'Resultater - Vestdanmark'!B223</f>
        <v>Økologisk</v>
      </c>
      <c r="C223" s="94" t="str">
        <f>'Resultater - Vestdanmark'!C223</f>
        <v>OC12</v>
      </c>
      <c r="D223" s="94" t="str">
        <f>'Resultater - Vestdanmark'!D223</f>
        <v>Areal-græs</v>
      </c>
      <c r="E223" s="94" t="str">
        <f>'Resultater - Vestdanmark'!E223</f>
        <v>Hektar</v>
      </c>
      <c r="F223" s="94" t="str">
        <f>'Resultater - Vestdanmark'!F223</f>
        <v>Gødning</v>
      </c>
      <c r="G223" s="94" t="str">
        <f>'Resultater - Vestdanmark'!G223</f>
        <v>kg N</v>
      </c>
      <c r="H223" s="252">
        <f>'Resultater - Vestdanmark'!H223+'Resultater - Østdanmark'!H223</f>
        <v>-222475.63090894136</v>
      </c>
      <c r="I223" s="253">
        <f>'Resultater - Vestdanmark'!I223+'Resultater - Østdanmark'!I223</f>
        <v>-125972.00449295875</v>
      </c>
      <c r="J223" s="254">
        <f>'Resultater - Vestdanmark'!J223+'Resultater - Østdanmark'!J223</f>
        <v>0</v>
      </c>
    </row>
    <row r="224" spans="1:10" x14ac:dyDescent="0.25">
      <c r="A224" s="94" t="str">
        <f>'Resultater - Vestdanmark'!A224</f>
        <v>Græsmark</v>
      </c>
      <c r="B224" s="94" t="str">
        <f>'Resultater - Vestdanmark'!B224</f>
        <v>Økologisk</v>
      </c>
      <c r="C224" s="94" t="str">
        <f>'Resultater - Vestdanmark'!C224</f>
        <v>OC12</v>
      </c>
      <c r="D224" s="94" t="str">
        <f>'Resultater - Vestdanmark'!D224</f>
        <v>Areal-græs</v>
      </c>
      <c r="E224" s="94" t="str">
        <f>'Resultater - Vestdanmark'!E224</f>
        <v>Hektar</v>
      </c>
      <c r="F224" s="94" t="str">
        <f>'Resultater - Vestdanmark'!F224</f>
        <v>CO2 - atmosfære</v>
      </c>
      <c r="G224" s="94" t="str">
        <f>'Resultater - Vestdanmark'!G224</f>
        <v>t CO2-ækvivalenter</v>
      </c>
      <c r="H224" s="252">
        <f>'Resultater - Vestdanmark'!H224+'Resultater - Østdanmark'!H224</f>
        <v>111242.41808542692</v>
      </c>
      <c r="I224" s="253">
        <f>'Resultater - Vestdanmark'!I224+'Resultater - Østdanmark'!I224</f>
        <v>51061.946554800015</v>
      </c>
      <c r="J224" s="254">
        <f>'Resultater - Vestdanmark'!J224+'Resultater - Østdanmark'!J224</f>
        <v>0</v>
      </c>
    </row>
    <row r="225" spans="1:10" x14ac:dyDescent="0.25">
      <c r="A225" s="94" t="str">
        <f>'Resultater - Vestdanmark'!A225</f>
        <v>Bælgsædsmark</v>
      </c>
      <c r="B225" s="94" t="str">
        <f>'Resultater - Vestdanmark'!B225</f>
        <v>Konventionel</v>
      </c>
      <c r="C225" s="94" t="str">
        <f>'Resultater - Vestdanmark'!C225</f>
        <v>JB1-10</v>
      </c>
      <c r="D225" s="94" t="str">
        <f>'Resultater - Vestdanmark'!D225</f>
        <v>Areal-bælgsæd</v>
      </c>
      <c r="E225" s="94" t="str">
        <f>'Resultater - Vestdanmark'!E225</f>
        <v>Hektar</v>
      </c>
      <c r="F225" s="94" t="str">
        <f>'Resultater - Vestdanmark'!F225</f>
        <v>Bælgsæd</v>
      </c>
      <c r="G225" s="94" t="str">
        <f>'Resultater - Vestdanmark'!G225</f>
        <v>Ton</v>
      </c>
      <c r="H225" s="252">
        <f>'Resultater - Vestdanmark'!H225+'Resultater - Østdanmark'!H225</f>
        <v>252636.14136845001</v>
      </c>
      <c r="I225" s="253">
        <f>'Resultater - Vestdanmark'!I225+'Resultater - Østdanmark'!I225</f>
        <v>656136.02254259528</v>
      </c>
      <c r="J225" s="254">
        <f>'Resultater - Vestdanmark'!J225+'Resultater - Østdanmark'!J225</f>
        <v>0</v>
      </c>
    </row>
    <row r="226" spans="1:10" x14ac:dyDescent="0.25">
      <c r="A226" s="94" t="str">
        <f>'Resultater - Vestdanmark'!A226</f>
        <v>Bælgsædsmark</v>
      </c>
      <c r="B226" s="94" t="str">
        <f>'Resultater - Vestdanmark'!B226</f>
        <v>Konventionel</v>
      </c>
      <c r="C226" s="94" t="str">
        <f>'Resultater - Vestdanmark'!C226</f>
        <v>JB1-10</v>
      </c>
      <c r="D226" s="94" t="str">
        <f>'Resultater - Vestdanmark'!D226</f>
        <v>Areal-bælgsæd</v>
      </c>
      <c r="E226" s="94" t="str">
        <f>'Resultater - Vestdanmark'!E226</f>
        <v>Hektar</v>
      </c>
      <c r="F226" s="94" t="str">
        <f>'Resultater - Vestdanmark'!F226</f>
        <v>Halm</v>
      </c>
      <c r="G226" s="94" t="str">
        <f>'Resultater - Vestdanmark'!G226</f>
        <v>Ton</v>
      </c>
      <c r="H226" s="252">
        <f>'Resultater - Vestdanmark'!H226+'Resultater - Østdanmark'!H226</f>
        <v>75002.300218044285</v>
      </c>
      <c r="I226" s="253">
        <f>'Resultater - Vestdanmark'!I226+'Resultater - Østdanmark'!I226</f>
        <v>194792.83795283182</v>
      </c>
      <c r="J226" s="254">
        <f>'Resultater - Vestdanmark'!J226+'Resultater - Østdanmark'!J226</f>
        <v>0</v>
      </c>
    </row>
    <row r="227" spans="1:10" x14ac:dyDescent="0.25">
      <c r="A227" s="94" t="str">
        <f>'Resultater - Vestdanmark'!A227</f>
        <v>Bælgsædsmark</v>
      </c>
      <c r="B227" s="94" t="str">
        <f>'Resultater - Vestdanmark'!B227</f>
        <v>Konventionel</v>
      </c>
      <c r="C227" s="94" t="str">
        <f>'Resultater - Vestdanmark'!C227</f>
        <v>JB1-10</v>
      </c>
      <c r="D227" s="94" t="str">
        <f>'Resultater - Vestdanmark'!D227</f>
        <v>Areal-bælgsæd</v>
      </c>
      <c r="E227" s="94" t="str">
        <f>'Resultater - Vestdanmark'!E227</f>
        <v>Hektar</v>
      </c>
      <c r="F227" s="94" t="str">
        <f>'Resultater - Vestdanmark'!F227</f>
        <v>Gødning</v>
      </c>
      <c r="G227" s="94" t="str">
        <f>'Resultater - Vestdanmark'!G227</f>
        <v>kg N</v>
      </c>
      <c r="H227" s="252">
        <f>'Resultater - Vestdanmark'!H227+'Resultater - Østdanmark'!H227</f>
        <v>0</v>
      </c>
      <c r="I227" s="253">
        <f>'Resultater - Vestdanmark'!I227+'Resultater - Østdanmark'!I227</f>
        <v>0</v>
      </c>
      <c r="J227" s="254">
        <f>'Resultater - Vestdanmark'!J227+'Resultater - Østdanmark'!J227</f>
        <v>0</v>
      </c>
    </row>
    <row r="228" spans="1:10" x14ac:dyDescent="0.25">
      <c r="A228" s="94" t="str">
        <f>'Resultater - Vestdanmark'!A228</f>
        <v>Bælgsædsmark</v>
      </c>
      <c r="B228" s="94" t="str">
        <f>'Resultater - Vestdanmark'!B228</f>
        <v>Konventionel</v>
      </c>
      <c r="C228" s="94" t="str">
        <f>'Resultater - Vestdanmark'!C228</f>
        <v>JB1-10</v>
      </c>
      <c r="D228" s="94" t="str">
        <f>'Resultater - Vestdanmark'!D228</f>
        <v>Areal-bælgsæd</v>
      </c>
      <c r="E228" s="94" t="str">
        <f>'Resultater - Vestdanmark'!E228</f>
        <v>Hektar</v>
      </c>
      <c r="F228" s="94" t="str">
        <f>'Resultater - Vestdanmark'!F228</f>
        <v>CO2 - atmosfære</v>
      </c>
      <c r="G228" s="94" t="str">
        <f>'Resultater - Vestdanmark'!G228</f>
        <v>t CO2-ækvivalenter</v>
      </c>
      <c r="H228" s="252">
        <f>'Resultater - Vestdanmark'!H228+'Resultater - Østdanmark'!H228</f>
        <v>148812.79058360241</v>
      </c>
      <c r="I228" s="253">
        <f>'Resultater - Vestdanmark'!I228+'Resultater - Østdanmark'!I228</f>
        <v>333168.56078101287</v>
      </c>
      <c r="J228" s="254">
        <f>'Resultater - Vestdanmark'!J228+'Resultater - Østdanmark'!J228</f>
        <v>0</v>
      </c>
    </row>
    <row r="229" spans="1:10" x14ac:dyDescent="0.25">
      <c r="A229" s="94" t="str">
        <f>'Resultater - Vestdanmark'!A229</f>
        <v>Bælgsædsmark</v>
      </c>
      <c r="B229" s="94" t="str">
        <f>'Resultater - Vestdanmark'!B229</f>
        <v>Konventionel</v>
      </c>
      <c r="C229" s="94" t="str">
        <f>'Resultater - Vestdanmark'!C229</f>
        <v>OC6</v>
      </c>
      <c r="D229" s="94" t="str">
        <f>'Resultater - Vestdanmark'!D229</f>
        <v>Areal-bælgsæd</v>
      </c>
      <c r="E229" s="94" t="str">
        <f>'Resultater - Vestdanmark'!E229</f>
        <v>Hektar</v>
      </c>
      <c r="F229" s="94" t="str">
        <f>'Resultater - Vestdanmark'!F229</f>
        <v>Bælgsæd</v>
      </c>
      <c r="G229" s="94" t="str">
        <f>'Resultater - Vestdanmark'!G229</f>
        <v>Ton</v>
      </c>
      <c r="H229" s="252">
        <f>'Resultater - Vestdanmark'!H229+'Resultater - Østdanmark'!H229</f>
        <v>9551.9923536804617</v>
      </c>
      <c r="I229" s="253">
        <f>'Resultater - Vestdanmark'!I229+'Resultater - Østdanmark'!I229</f>
        <v>5074.223285732628</v>
      </c>
      <c r="J229" s="254">
        <f>'Resultater - Vestdanmark'!J229+'Resultater - Østdanmark'!J229</f>
        <v>0</v>
      </c>
    </row>
    <row r="230" spans="1:10" x14ac:dyDescent="0.25">
      <c r="A230" s="94" t="str">
        <f>'Resultater - Vestdanmark'!A230</f>
        <v>Bælgsædsmark</v>
      </c>
      <c r="B230" s="94" t="str">
        <f>'Resultater - Vestdanmark'!B230</f>
        <v>Konventionel</v>
      </c>
      <c r="C230" s="94" t="str">
        <f>'Resultater - Vestdanmark'!C230</f>
        <v>OC6</v>
      </c>
      <c r="D230" s="94" t="str">
        <f>'Resultater - Vestdanmark'!D230</f>
        <v>Areal-bælgsæd</v>
      </c>
      <c r="E230" s="94" t="str">
        <f>'Resultater - Vestdanmark'!E230</f>
        <v>Hektar</v>
      </c>
      <c r="F230" s="94" t="str">
        <f>'Resultater - Vestdanmark'!F230</f>
        <v>Halm</v>
      </c>
      <c r="G230" s="94" t="str">
        <f>'Resultater - Vestdanmark'!G230</f>
        <v>Ton</v>
      </c>
      <c r="H230" s="252">
        <f>'Resultater - Vestdanmark'!H230+'Resultater - Østdanmark'!H230</f>
        <v>2835.7834881049771</v>
      </c>
      <c r="I230" s="253">
        <f>'Resultater - Vestdanmark'!I230+'Resultater - Østdanmark'!I230</f>
        <v>1506.4290334250547</v>
      </c>
      <c r="J230" s="254">
        <f>'Resultater - Vestdanmark'!J230+'Resultater - Østdanmark'!J230</f>
        <v>0</v>
      </c>
    </row>
    <row r="231" spans="1:10" x14ac:dyDescent="0.25">
      <c r="A231" s="94" t="str">
        <f>'Resultater - Vestdanmark'!A231</f>
        <v>Bælgsædsmark</v>
      </c>
      <c r="B231" s="94" t="str">
        <f>'Resultater - Vestdanmark'!B231</f>
        <v>Konventionel</v>
      </c>
      <c r="C231" s="94" t="str">
        <f>'Resultater - Vestdanmark'!C231</f>
        <v>OC6</v>
      </c>
      <c r="D231" s="94" t="str">
        <f>'Resultater - Vestdanmark'!D231</f>
        <v>Areal-bælgsæd</v>
      </c>
      <c r="E231" s="94" t="str">
        <f>'Resultater - Vestdanmark'!E231</f>
        <v>Hektar</v>
      </c>
      <c r="F231" s="94" t="str">
        <f>'Resultater - Vestdanmark'!F231</f>
        <v>Gødning</v>
      </c>
      <c r="G231" s="94" t="str">
        <f>'Resultater - Vestdanmark'!G231</f>
        <v>kg N</v>
      </c>
      <c r="H231" s="252">
        <f>'Resultater - Vestdanmark'!H231+'Resultater - Østdanmark'!H231</f>
        <v>0</v>
      </c>
      <c r="I231" s="253">
        <f>'Resultater - Vestdanmark'!I231+'Resultater - Østdanmark'!I231</f>
        <v>0</v>
      </c>
      <c r="J231" s="254">
        <f>'Resultater - Vestdanmark'!J231+'Resultater - Østdanmark'!J231</f>
        <v>0</v>
      </c>
    </row>
    <row r="232" spans="1:10" x14ac:dyDescent="0.25">
      <c r="A232" s="94" t="str">
        <f>'Resultater - Vestdanmark'!A232</f>
        <v>Bælgsædsmark</v>
      </c>
      <c r="B232" s="94" t="str">
        <f>'Resultater - Vestdanmark'!B232</f>
        <v>Konventionel</v>
      </c>
      <c r="C232" s="94" t="str">
        <f>'Resultater - Vestdanmark'!C232</f>
        <v>OC6</v>
      </c>
      <c r="D232" s="94" t="str">
        <f>'Resultater - Vestdanmark'!D232</f>
        <v>Areal-bælgsæd</v>
      </c>
      <c r="E232" s="94" t="str">
        <f>'Resultater - Vestdanmark'!E232</f>
        <v>Hektar</v>
      </c>
      <c r="F232" s="94" t="str">
        <f>'Resultater - Vestdanmark'!F232</f>
        <v>CO2 - atmosfære</v>
      </c>
      <c r="G232" s="94" t="str">
        <f>'Resultater - Vestdanmark'!G232</f>
        <v>t CO2-ækvivalenter</v>
      </c>
      <c r="H232" s="252">
        <f>'Resultater - Vestdanmark'!H232+'Resultater - Østdanmark'!H232</f>
        <v>32977.664576989635</v>
      </c>
      <c r="I232" s="253">
        <f>'Resultater - Vestdanmark'!I232+'Resultater - Østdanmark'!I232</f>
        <v>15101.526674816298</v>
      </c>
      <c r="J232" s="254">
        <f>'Resultater - Vestdanmark'!J232+'Resultater - Østdanmark'!J232</f>
        <v>0</v>
      </c>
    </row>
    <row r="233" spans="1:10" x14ac:dyDescent="0.25">
      <c r="A233" s="94" t="str">
        <f>'Resultater - Vestdanmark'!A233</f>
        <v>Bælgsædsmark</v>
      </c>
      <c r="B233" s="94" t="str">
        <f>'Resultater - Vestdanmark'!B233</f>
        <v>Konventionel</v>
      </c>
      <c r="C233" s="94" t="str">
        <f>'Resultater - Vestdanmark'!C233</f>
        <v>OC12</v>
      </c>
      <c r="D233" s="94" t="str">
        <f>'Resultater - Vestdanmark'!D233</f>
        <v>Areal-bælgsæd</v>
      </c>
      <c r="E233" s="94" t="str">
        <f>'Resultater - Vestdanmark'!E233</f>
        <v>Hektar</v>
      </c>
      <c r="F233" s="94" t="str">
        <f>'Resultater - Vestdanmark'!F233</f>
        <v>Bælgsæd</v>
      </c>
      <c r="G233" s="94" t="str">
        <f>'Resultater - Vestdanmark'!G233</f>
        <v>Ton</v>
      </c>
      <c r="H233" s="252">
        <f>'Resultater - Vestdanmark'!H233+'Resultater - Østdanmark'!H233</f>
        <v>3796.4815039591263</v>
      </c>
      <c r="I233" s="253">
        <f>'Resultater - Vestdanmark'!I233+'Resultater - Østdanmark'!I233</f>
        <v>2020.7550594979157</v>
      </c>
      <c r="J233" s="254">
        <f>'Resultater - Vestdanmark'!J233+'Resultater - Østdanmark'!J233</f>
        <v>0</v>
      </c>
    </row>
    <row r="234" spans="1:10" x14ac:dyDescent="0.25">
      <c r="A234" s="94" t="str">
        <f>'Resultater - Vestdanmark'!A234</f>
        <v>Bælgsædsmark</v>
      </c>
      <c r="B234" s="94" t="str">
        <f>'Resultater - Vestdanmark'!B234</f>
        <v>Konventionel</v>
      </c>
      <c r="C234" s="94" t="str">
        <f>'Resultater - Vestdanmark'!C234</f>
        <v>OC12</v>
      </c>
      <c r="D234" s="94" t="str">
        <f>'Resultater - Vestdanmark'!D234</f>
        <v>Areal-bælgsæd</v>
      </c>
      <c r="E234" s="94" t="str">
        <f>'Resultater - Vestdanmark'!E234</f>
        <v>Hektar</v>
      </c>
      <c r="F234" s="94" t="str">
        <f>'Resultater - Vestdanmark'!F234</f>
        <v>Halm</v>
      </c>
      <c r="G234" s="94" t="str">
        <f>'Resultater - Vestdanmark'!G234</f>
        <v>Ton</v>
      </c>
      <c r="H234" s="252">
        <f>'Resultater - Vestdanmark'!H234+'Resultater - Østdanmark'!H234</f>
        <v>1127.0946587048945</v>
      </c>
      <c r="I234" s="253">
        <f>'Resultater - Vestdanmark'!I234+'Resultater - Østdanmark'!I234</f>
        <v>599.91922303212493</v>
      </c>
      <c r="J234" s="254">
        <f>'Resultater - Vestdanmark'!J234+'Resultater - Østdanmark'!J234</f>
        <v>0</v>
      </c>
    </row>
    <row r="235" spans="1:10" x14ac:dyDescent="0.25">
      <c r="A235" s="94" t="str">
        <f>'Resultater - Vestdanmark'!A235</f>
        <v>Bælgsædsmark</v>
      </c>
      <c r="B235" s="94" t="str">
        <f>'Resultater - Vestdanmark'!B235</f>
        <v>Konventionel</v>
      </c>
      <c r="C235" s="94" t="str">
        <f>'Resultater - Vestdanmark'!C235</f>
        <v>OC12</v>
      </c>
      <c r="D235" s="94" t="str">
        <f>'Resultater - Vestdanmark'!D235</f>
        <v>Areal-bælgsæd</v>
      </c>
      <c r="E235" s="94" t="str">
        <f>'Resultater - Vestdanmark'!E235</f>
        <v>Hektar</v>
      </c>
      <c r="F235" s="94" t="str">
        <f>'Resultater - Vestdanmark'!F235</f>
        <v>Gødning</v>
      </c>
      <c r="G235" s="94" t="str">
        <f>'Resultater - Vestdanmark'!G235</f>
        <v>kg N</v>
      </c>
      <c r="H235" s="252">
        <f>'Resultater - Vestdanmark'!H235+'Resultater - Østdanmark'!H235</f>
        <v>0</v>
      </c>
      <c r="I235" s="253">
        <f>'Resultater - Vestdanmark'!I235+'Resultater - Østdanmark'!I235</f>
        <v>0</v>
      </c>
      <c r="J235" s="254">
        <f>'Resultater - Vestdanmark'!J235+'Resultater - Østdanmark'!J235</f>
        <v>0</v>
      </c>
    </row>
    <row r="236" spans="1:10" x14ac:dyDescent="0.25">
      <c r="A236" s="94" t="str">
        <f>'Resultater - Vestdanmark'!A236</f>
        <v>Bælgsædsmark</v>
      </c>
      <c r="B236" s="94" t="str">
        <f>'Resultater - Vestdanmark'!B236</f>
        <v>Konventionel</v>
      </c>
      <c r="C236" s="94" t="str">
        <f>'Resultater - Vestdanmark'!C236</f>
        <v>OC12</v>
      </c>
      <c r="D236" s="94" t="str">
        <f>'Resultater - Vestdanmark'!D236</f>
        <v>Areal-bælgsæd</v>
      </c>
      <c r="E236" s="94" t="str">
        <f>'Resultater - Vestdanmark'!E236</f>
        <v>Hektar</v>
      </c>
      <c r="F236" s="94" t="str">
        <f>'Resultater - Vestdanmark'!F236</f>
        <v>CO2 - atmosfære</v>
      </c>
      <c r="G236" s="94" t="str">
        <f>'Resultater - Vestdanmark'!G236</f>
        <v>t CO2-ækvivalenter</v>
      </c>
      <c r="H236" s="252">
        <f>'Resultater - Vestdanmark'!H236+'Resultater - Østdanmark'!H236</f>
        <v>28769.864955948491</v>
      </c>
      <c r="I236" s="253">
        <f>'Resultater - Vestdanmark'!I236+'Resultater - Østdanmark'!I236</f>
        <v>13200.657395197431</v>
      </c>
      <c r="J236" s="254">
        <f>'Resultater - Vestdanmark'!J236+'Resultater - Østdanmark'!J236</f>
        <v>0</v>
      </c>
    </row>
    <row r="237" spans="1:10" x14ac:dyDescent="0.25">
      <c r="A237" s="94" t="str">
        <f>'Resultater - Vestdanmark'!A237</f>
        <v>Bælgsædsmark</v>
      </c>
      <c r="B237" s="94" t="str">
        <f>'Resultater - Vestdanmark'!B237</f>
        <v>Økologisk</v>
      </c>
      <c r="C237" s="94" t="str">
        <f>'Resultater - Vestdanmark'!C237</f>
        <v>JB1-10</v>
      </c>
      <c r="D237" s="94" t="str">
        <f>'Resultater - Vestdanmark'!D237</f>
        <v>Areal-bælgsæd</v>
      </c>
      <c r="E237" s="94" t="str">
        <f>'Resultater - Vestdanmark'!E237</f>
        <v>Hektar</v>
      </c>
      <c r="F237" s="94" t="str">
        <f>'Resultater - Vestdanmark'!F237</f>
        <v>Bælgsæd</v>
      </c>
      <c r="G237" s="94" t="str">
        <f>'Resultater - Vestdanmark'!G237</f>
        <v>Ton</v>
      </c>
      <c r="H237" s="252">
        <f>'Resultater - Vestdanmark'!H237+'Resultater - Østdanmark'!H237</f>
        <v>18412.390570964348</v>
      </c>
      <c r="I237" s="253">
        <f>'Resultater - Vestdanmark'!I237+'Resultater - Østdanmark'!I237</f>
        <v>47819.890888509464</v>
      </c>
      <c r="J237" s="254">
        <f>'Resultater - Vestdanmark'!J237+'Resultater - Østdanmark'!J237</f>
        <v>891576.46333224361</v>
      </c>
    </row>
    <row r="238" spans="1:10" x14ac:dyDescent="0.25">
      <c r="A238" s="94" t="str">
        <f>'Resultater - Vestdanmark'!A238</f>
        <v>Bælgsædsmark</v>
      </c>
      <c r="B238" s="94" t="str">
        <f>'Resultater - Vestdanmark'!B238</f>
        <v>Økologisk</v>
      </c>
      <c r="C238" s="94" t="str">
        <f>'Resultater - Vestdanmark'!C238</f>
        <v>JB1-10</v>
      </c>
      <c r="D238" s="94" t="str">
        <f>'Resultater - Vestdanmark'!D238</f>
        <v>Areal-bælgsæd</v>
      </c>
      <c r="E238" s="94" t="str">
        <f>'Resultater - Vestdanmark'!E238</f>
        <v>Hektar</v>
      </c>
      <c r="F238" s="94" t="str">
        <f>'Resultater - Vestdanmark'!F238</f>
        <v>Halm</v>
      </c>
      <c r="G238" s="94" t="str">
        <f>'Resultater - Vestdanmark'!G238</f>
        <v>Ton</v>
      </c>
      <c r="H238" s="252">
        <f>'Resultater - Vestdanmark'!H238+'Resultater - Østdanmark'!H238</f>
        <v>5466.2473779684478</v>
      </c>
      <c r="I238" s="253">
        <f>'Resultater - Vestdanmark'!I238+'Resultater - Østdanmark'!I238</f>
        <v>14196.709122402759</v>
      </c>
      <c r="J238" s="254">
        <f>'Resultater - Vestdanmark'!J238+'Resultater - Østdanmark'!J238</f>
        <v>264690.10018903832</v>
      </c>
    </row>
    <row r="239" spans="1:10" x14ac:dyDescent="0.25">
      <c r="A239" s="94" t="str">
        <f>'Resultater - Vestdanmark'!A239</f>
        <v>Bælgsædsmark</v>
      </c>
      <c r="B239" s="94" t="str">
        <f>'Resultater - Vestdanmark'!B239</f>
        <v>Økologisk</v>
      </c>
      <c r="C239" s="94" t="str">
        <f>'Resultater - Vestdanmark'!C239</f>
        <v>JB1-10</v>
      </c>
      <c r="D239" s="94" t="str">
        <f>'Resultater - Vestdanmark'!D239</f>
        <v>Areal-bælgsæd</v>
      </c>
      <c r="E239" s="94" t="str">
        <f>'Resultater - Vestdanmark'!E239</f>
        <v>Hektar</v>
      </c>
      <c r="F239" s="94" t="str">
        <f>'Resultater - Vestdanmark'!F239</f>
        <v>Gødning</v>
      </c>
      <c r="G239" s="94" t="str">
        <f>'Resultater - Vestdanmark'!G239</f>
        <v>kg N</v>
      </c>
      <c r="H239" s="252">
        <f>'Resultater - Vestdanmark'!H239+'Resultater - Østdanmark'!H239</f>
        <v>0</v>
      </c>
      <c r="I239" s="253">
        <f>'Resultater - Vestdanmark'!I239+'Resultater - Østdanmark'!I239</f>
        <v>0</v>
      </c>
      <c r="J239" s="254">
        <f>'Resultater - Vestdanmark'!J239+'Resultater - Østdanmark'!J239</f>
        <v>0</v>
      </c>
    </row>
    <row r="240" spans="1:10" x14ac:dyDescent="0.25">
      <c r="A240" s="94" t="str">
        <f>'Resultater - Vestdanmark'!A240</f>
        <v>Bælgsædsmark</v>
      </c>
      <c r="B240" s="94" t="str">
        <f>'Resultater - Vestdanmark'!B240</f>
        <v>Økologisk</v>
      </c>
      <c r="C240" s="94" t="str">
        <f>'Resultater - Vestdanmark'!C240</f>
        <v>JB1-10</v>
      </c>
      <c r="D240" s="94" t="str">
        <f>'Resultater - Vestdanmark'!D240</f>
        <v>Areal-bælgsæd</v>
      </c>
      <c r="E240" s="94" t="str">
        <f>'Resultater - Vestdanmark'!E240</f>
        <v>Hektar</v>
      </c>
      <c r="F240" s="94" t="str">
        <f>'Resultater - Vestdanmark'!F240</f>
        <v>CO2 - atmosfære</v>
      </c>
      <c r="G240" s="94" t="str">
        <f>'Resultater - Vestdanmark'!G240</f>
        <v>t CO2-ækvivalenter</v>
      </c>
      <c r="H240" s="252">
        <f>'Resultater - Vestdanmark'!H240+'Resultater - Østdanmark'!H240</f>
        <v>19027.428748815582</v>
      </c>
      <c r="I240" s="253">
        <f>'Resultater - Vestdanmark'!I240+'Resultater - Østdanmark'!I240</f>
        <v>42599.43669321046</v>
      </c>
      <c r="J240" s="254">
        <f>'Resultater - Vestdanmark'!J240+'Resultater - Østdanmark'!J240</f>
        <v>595916.12390671193</v>
      </c>
    </row>
    <row r="241" spans="1:10" x14ac:dyDescent="0.25">
      <c r="A241" s="94" t="str">
        <f>'Resultater - Vestdanmark'!A241</f>
        <v>Bælgsædsmark</v>
      </c>
      <c r="B241" s="94" t="str">
        <f>'Resultater - Vestdanmark'!B241</f>
        <v>Økologisk</v>
      </c>
      <c r="C241" s="94" t="str">
        <f>'Resultater - Vestdanmark'!C241</f>
        <v>OC6</v>
      </c>
      <c r="D241" s="94" t="str">
        <f>'Resultater - Vestdanmark'!D241</f>
        <v>Areal-bælgsæd</v>
      </c>
      <c r="E241" s="94" t="str">
        <f>'Resultater - Vestdanmark'!E241</f>
        <v>Hektar</v>
      </c>
      <c r="F241" s="94" t="str">
        <f>'Resultater - Vestdanmark'!F241</f>
        <v>Bælgsæd</v>
      </c>
      <c r="G241" s="94" t="str">
        <f>'Resultater - Vestdanmark'!G241</f>
        <v>Ton</v>
      </c>
      <c r="H241" s="252">
        <f>'Resultater - Vestdanmark'!H241+'Resultater - Østdanmark'!H241</f>
        <v>696.15935785818442</v>
      </c>
      <c r="I241" s="253">
        <f>'Resultater - Vestdanmark'!I241+'Resultater - Østdanmark'!I241</f>
        <v>369.81478768286331</v>
      </c>
      <c r="J241" s="254">
        <f>'Resultater - Vestdanmark'!J241+'Resultater - Østdanmark'!J241</f>
        <v>0</v>
      </c>
    </row>
    <row r="242" spans="1:10" x14ac:dyDescent="0.25">
      <c r="A242" s="94" t="str">
        <f>'Resultater - Vestdanmark'!A242</f>
        <v>Bælgsædsmark</v>
      </c>
      <c r="B242" s="94" t="str">
        <f>'Resultater - Vestdanmark'!B242</f>
        <v>Økologisk</v>
      </c>
      <c r="C242" s="94" t="str">
        <f>'Resultater - Vestdanmark'!C242</f>
        <v>OC6</v>
      </c>
      <c r="D242" s="94" t="str">
        <f>'Resultater - Vestdanmark'!D242</f>
        <v>Areal-bælgsæd</v>
      </c>
      <c r="E242" s="94" t="str">
        <f>'Resultater - Vestdanmark'!E242</f>
        <v>Hektar</v>
      </c>
      <c r="F242" s="94" t="str">
        <f>'Resultater - Vestdanmark'!F242</f>
        <v>Halm</v>
      </c>
      <c r="G242" s="94" t="str">
        <f>'Resultater - Vestdanmark'!G242</f>
        <v>Ton</v>
      </c>
      <c r="H242" s="252">
        <f>'Resultater - Vestdanmark'!H242+'Resultater - Østdanmark'!H242</f>
        <v>206.67491545293632</v>
      </c>
      <c r="I242" s="253">
        <f>'Resultater - Vestdanmark'!I242+'Resultater - Østdanmark'!I242</f>
        <v>109.79014950363033</v>
      </c>
      <c r="J242" s="254">
        <f>'Resultater - Vestdanmark'!J242+'Resultater - Østdanmark'!J242</f>
        <v>0</v>
      </c>
    </row>
    <row r="243" spans="1:10" x14ac:dyDescent="0.25">
      <c r="A243" s="94" t="str">
        <f>'Resultater - Vestdanmark'!A243</f>
        <v>Bælgsædsmark</v>
      </c>
      <c r="B243" s="94" t="str">
        <f>'Resultater - Vestdanmark'!B243</f>
        <v>Økologisk</v>
      </c>
      <c r="C243" s="94" t="str">
        <f>'Resultater - Vestdanmark'!C243</f>
        <v>OC6</v>
      </c>
      <c r="D243" s="94" t="str">
        <f>'Resultater - Vestdanmark'!D243</f>
        <v>Areal-bælgsæd</v>
      </c>
      <c r="E243" s="94" t="str">
        <f>'Resultater - Vestdanmark'!E243</f>
        <v>Hektar</v>
      </c>
      <c r="F243" s="94" t="str">
        <f>'Resultater - Vestdanmark'!F243</f>
        <v>Gødning</v>
      </c>
      <c r="G243" s="94" t="str">
        <f>'Resultater - Vestdanmark'!G243</f>
        <v>kg N</v>
      </c>
      <c r="H243" s="252">
        <f>'Resultater - Vestdanmark'!H243+'Resultater - Østdanmark'!H243</f>
        <v>0</v>
      </c>
      <c r="I243" s="253">
        <f>'Resultater - Vestdanmark'!I243+'Resultater - Østdanmark'!I243</f>
        <v>0</v>
      </c>
      <c r="J243" s="254">
        <f>'Resultater - Vestdanmark'!J243+'Resultater - Østdanmark'!J243</f>
        <v>0</v>
      </c>
    </row>
    <row r="244" spans="1:10" x14ac:dyDescent="0.25">
      <c r="A244" s="94" t="str">
        <f>'Resultater - Vestdanmark'!A244</f>
        <v>Bælgsædsmark</v>
      </c>
      <c r="B244" s="94" t="str">
        <f>'Resultater - Vestdanmark'!B244</f>
        <v>Økologisk</v>
      </c>
      <c r="C244" s="94" t="str">
        <f>'Resultater - Vestdanmark'!C244</f>
        <v>OC6</v>
      </c>
      <c r="D244" s="94" t="str">
        <f>'Resultater - Vestdanmark'!D244</f>
        <v>Areal-bælgsæd</v>
      </c>
      <c r="E244" s="94" t="str">
        <f>'Resultater - Vestdanmark'!E244</f>
        <v>Hektar</v>
      </c>
      <c r="F244" s="94" t="str">
        <f>'Resultater - Vestdanmark'!F244</f>
        <v>CO2 - atmosfære</v>
      </c>
      <c r="G244" s="94" t="str">
        <f>'Resultater - Vestdanmark'!G244</f>
        <v>t CO2-ækvivalenter</v>
      </c>
      <c r="H244" s="252">
        <f>'Resultater - Vestdanmark'!H244+'Resultater - Østdanmark'!H244</f>
        <v>4216.5741303567183</v>
      </c>
      <c r="I244" s="253">
        <f>'Resultater - Vestdanmark'!I244+'Resultater - Østdanmark'!I244</f>
        <v>1930.9040686390247</v>
      </c>
      <c r="J244" s="254">
        <f>'Resultater - Vestdanmark'!J244+'Resultater - Østdanmark'!J244</f>
        <v>0</v>
      </c>
    </row>
    <row r="245" spans="1:10" x14ac:dyDescent="0.25">
      <c r="A245" s="94" t="str">
        <f>'Resultater - Vestdanmark'!A245</f>
        <v>Bælgsædsmark</v>
      </c>
      <c r="B245" s="94" t="str">
        <f>'Resultater - Vestdanmark'!B245</f>
        <v>Økologisk</v>
      </c>
      <c r="C245" s="94" t="str">
        <f>'Resultater - Vestdanmark'!C245</f>
        <v>OC12</v>
      </c>
      <c r="D245" s="94" t="str">
        <f>'Resultater - Vestdanmark'!D245</f>
        <v>Areal-bælgsæd</v>
      </c>
      <c r="E245" s="94" t="str">
        <f>'Resultater - Vestdanmark'!E245</f>
        <v>Hektar</v>
      </c>
      <c r="F245" s="94" t="str">
        <f>'Resultater - Vestdanmark'!F245</f>
        <v>Bælgsæd</v>
      </c>
      <c r="G245" s="94" t="str">
        <f>'Resultater - Vestdanmark'!G245</f>
        <v>Ton</v>
      </c>
      <c r="H245" s="252">
        <f>'Resultater - Vestdanmark'!H245+'Resultater - Østdanmark'!H245</f>
        <v>276.69160820656509</v>
      </c>
      <c r="I245" s="253">
        <f>'Resultater - Vestdanmark'!I245+'Resultater - Østdanmark'!I245</f>
        <v>147.27477708529651</v>
      </c>
      <c r="J245" s="254">
        <f>'Resultater - Vestdanmark'!J245+'Resultater - Østdanmark'!J245</f>
        <v>0</v>
      </c>
    </row>
    <row r="246" spans="1:10" x14ac:dyDescent="0.25">
      <c r="A246" s="94" t="str">
        <f>'Resultater - Vestdanmark'!A246</f>
        <v>Bælgsædsmark</v>
      </c>
      <c r="B246" s="94" t="str">
        <f>'Resultater - Vestdanmark'!B246</f>
        <v>Økologisk</v>
      </c>
      <c r="C246" s="94" t="str">
        <f>'Resultater - Vestdanmark'!C246</f>
        <v>OC12</v>
      </c>
      <c r="D246" s="94" t="str">
        <f>'Resultater - Vestdanmark'!D246</f>
        <v>Areal-bælgsæd</v>
      </c>
      <c r="E246" s="94" t="str">
        <f>'Resultater - Vestdanmark'!E246</f>
        <v>Hektar</v>
      </c>
      <c r="F246" s="94" t="str">
        <f>'Resultater - Vestdanmark'!F246</f>
        <v>Halm</v>
      </c>
      <c r="G246" s="94" t="str">
        <f>'Resultater - Vestdanmark'!G246</f>
        <v>Ton</v>
      </c>
      <c r="H246" s="252">
        <f>'Resultater - Vestdanmark'!H246+'Resultater - Østdanmark'!H246</f>
        <v>82.143856987810693</v>
      </c>
      <c r="I246" s="253">
        <f>'Resultater - Vestdanmark'!I246+'Resultater - Østdanmark'!I246</f>
        <v>43.722750773759273</v>
      </c>
      <c r="J246" s="254">
        <f>'Resultater - Vestdanmark'!J246+'Resultater - Østdanmark'!J246</f>
        <v>0</v>
      </c>
    </row>
    <row r="247" spans="1:10" x14ac:dyDescent="0.25">
      <c r="A247" s="94" t="str">
        <f>'Resultater - Vestdanmark'!A247</f>
        <v>Bælgsædsmark</v>
      </c>
      <c r="B247" s="94" t="str">
        <f>'Resultater - Vestdanmark'!B247</f>
        <v>Økologisk</v>
      </c>
      <c r="C247" s="94" t="str">
        <f>'Resultater - Vestdanmark'!C247</f>
        <v>OC12</v>
      </c>
      <c r="D247" s="94" t="str">
        <f>'Resultater - Vestdanmark'!D247</f>
        <v>Areal-bælgsæd</v>
      </c>
      <c r="E247" s="94" t="str">
        <f>'Resultater - Vestdanmark'!E247</f>
        <v>Hektar</v>
      </c>
      <c r="F247" s="94" t="str">
        <f>'Resultater - Vestdanmark'!F247</f>
        <v>Gødning</v>
      </c>
      <c r="G247" s="94" t="str">
        <f>'Resultater - Vestdanmark'!G247</f>
        <v>kg N</v>
      </c>
      <c r="H247" s="252">
        <f>'Resultater - Vestdanmark'!H247+'Resultater - Østdanmark'!H247</f>
        <v>0</v>
      </c>
      <c r="I247" s="253">
        <f>'Resultater - Vestdanmark'!I247+'Resultater - Østdanmark'!I247</f>
        <v>0</v>
      </c>
      <c r="J247" s="254">
        <f>'Resultater - Vestdanmark'!J247+'Resultater - Østdanmark'!J247</f>
        <v>0</v>
      </c>
    </row>
    <row r="248" spans="1:10" x14ac:dyDescent="0.25">
      <c r="A248" s="94" t="str">
        <f>'Resultater - Vestdanmark'!A248</f>
        <v>Bælgsædsmark</v>
      </c>
      <c r="B248" s="94" t="str">
        <f>'Resultater - Vestdanmark'!B248</f>
        <v>Økologisk</v>
      </c>
      <c r="C248" s="94" t="str">
        <f>'Resultater - Vestdanmark'!C248</f>
        <v>OC12</v>
      </c>
      <c r="D248" s="94" t="str">
        <f>'Resultater - Vestdanmark'!D248</f>
        <v>Areal-bælgsæd</v>
      </c>
      <c r="E248" s="94" t="str">
        <f>'Resultater - Vestdanmark'!E248</f>
        <v>Hektar</v>
      </c>
      <c r="F248" s="94" t="str">
        <f>'Resultater - Vestdanmark'!F248</f>
        <v>CO2 - atmosfære</v>
      </c>
      <c r="G248" s="94" t="str">
        <f>'Resultater - Vestdanmark'!G248</f>
        <v>t CO2-ækvivalenter</v>
      </c>
      <c r="H248" s="252">
        <f>'Resultater - Vestdanmark'!H248+'Resultater - Østdanmark'!H248</f>
        <v>3678.55849900765</v>
      </c>
      <c r="I248" s="253">
        <f>'Resultater - Vestdanmark'!I248+'Resultater - Østdanmark'!I248</f>
        <v>1687.8560440914237</v>
      </c>
      <c r="J248" s="254">
        <f>'Resultater - Vestdanmark'!J248+'Resultater - Østdanmark'!J248</f>
        <v>0</v>
      </c>
    </row>
    <row r="249" spans="1:10" x14ac:dyDescent="0.25">
      <c r="A249" s="94" t="str">
        <f>'Resultater - Vestdanmark'!A249</f>
        <v>Roemark</v>
      </c>
      <c r="B249" s="94" t="str">
        <f>'Resultater - Vestdanmark'!B249</f>
        <v>Konventionel</v>
      </c>
      <c r="C249" s="94" t="str">
        <f>'Resultater - Vestdanmark'!C249</f>
        <v>JB1-10</v>
      </c>
      <c r="D249" s="94" t="str">
        <f>'Resultater - Vestdanmark'!D249</f>
        <v>Areal-roer</v>
      </c>
      <c r="E249" s="94" t="str">
        <f>'Resultater - Vestdanmark'!E249</f>
        <v>Hektar</v>
      </c>
      <c r="F249" s="94" t="str">
        <f>'Resultater - Vestdanmark'!F249</f>
        <v>Roer</v>
      </c>
      <c r="G249" s="94" t="str">
        <f>'Resultater - Vestdanmark'!G249</f>
        <v>Ton</v>
      </c>
      <c r="H249" s="252">
        <f>'Resultater - Vestdanmark'!H249+'Resultater - Østdanmark'!H249</f>
        <v>2410176.5834804205</v>
      </c>
      <c r="I249" s="253">
        <f>'Resultater - Vestdanmark'!I249+'Resultater - Østdanmark'!I249</f>
        <v>3520028.528890539</v>
      </c>
      <c r="J249" s="254">
        <f>'Resultater - Vestdanmark'!J249+'Resultater - Østdanmark'!J249</f>
        <v>0</v>
      </c>
    </row>
    <row r="250" spans="1:10" x14ac:dyDescent="0.25">
      <c r="A250" s="94" t="str">
        <f>'Resultater - Vestdanmark'!A250</f>
        <v>Roemark</v>
      </c>
      <c r="B250" s="94" t="str">
        <f>'Resultater - Vestdanmark'!B250</f>
        <v>Konventionel</v>
      </c>
      <c r="C250" s="94" t="str">
        <f>'Resultater - Vestdanmark'!C250</f>
        <v>JB1-10</v>
      </c>
      <c r="D250" s="94" t="str">
        <f>'Resultater - Vestdanmark'!D250</f>
        <v>Areal-roer</v>
      </c>
      <c r="E250" s="94" t="str">
        <f>'Resultater - Vestdanmark'!E250</f>
        <v>Hektar</v>
      </c>
      <c r="F250" s="94" t="str">
        <f>'Resultater - Vestdanmark'!F250</f>
        <v>Gødning</v>
      </c>
      <c r="G250" s="94" t="str">
        <f>'Resultater - Vestdanmark'!G250</f>
        <v>kg N</v>
      </c>
      <c r="H250" s="252">
        <f>'Resultater - Vestdanmark'!H250+'Resultater - Østdanmark'!H250</f>
        <v>-4004417.1927958126</v>
      </c>
      <c r="I250" s="253">
        <f>'Resultater - Vestdanmark'!I250+'Resultater - Østdanmark'!I250</f>
        <v>-5446093.16610316</v>
      </c>
      <c r="J250" s="254">
        <f>'Resultater - Vestdanmark'!J250+'Resultater - Østdanmark'!J250</f>
        <v>0</v>
      </c>
    </row>
    <row r="251" spans="1:10" x14ac:dyDescent="0.25">
      <c r="A251" s="94" t="str">
        <f>'Resultater - Vestdanmark'!A251</f>
        <v>Roemark</v>
      </c>
      <c r="B251" s="94" t="str">
        <f>'Resultater - Vestdanmark'!B251</f>
        <v>Konventionel</v>
      </c>
      <c r="C251" s="94" t="str">
        <f>'Resultater - Vestdanmark'!C251</f>
        <v>JB1-10</v>
      </c>
      <c r="D251" s="94" t="str">
        <f>'Resultater - Vestdanmark'!D251</f>
        <v>Areal-roer</v>
      </c>
      <c r="E251" s="94" t="str">
        <f>'Resultater - Vestdanmark'!E251</f>
        <v>Hektar</v>
      </c>
      <c r="F251" s="94" t="str">
        <f>'Resultater - Vestdanmark'!F251</f>
        <v>CO2 - atmosfære</v>
      </c>
      <c r="G251" s="94" t="str">
        <f>'Resultater - Vestdanmark'!G251</f>
        <v>t CO2-ækvivalenter</v>
      </c>
      <c r="H251" s="252">
        <f>'Resultater - Vestdanmark'!H251+'Resultater - Østdanmark'!H251</f>
        <v>67443.117157939108</v>
      </c>
      <c r="I251" s="253">
        <f>'Resultater - Vestdanmark'!I251+'Resultater - Østdanmark'!I251</f>
        <v>84910.286316833473</v>
      </c>
      <c r="J251" s="254">
        <f>'Resultater - Vestdanmark'!J251+'Resultater - Østdanmark'!J251</f>
        <v>0</v>
      </c>
    </row>
    <row r="252" spans="1:10" x14ac:dyDescent="0.25">
      <c r="A252" s="94" t="str">
        <f>'Resultater - Vestdanmark'!A252</f>
        <v>Roemark</v>
      </c>
      <c r="B252" s="94" t="str">
        <f>'Resultater - Vestdanmark'!B252</f>
        <v>Konventionel</v>
      </c>
      <c r="C252" s="94" t="str">
        <f>'Resultater - Vestdanmark'!C252</f>
        <v>OC6</v>
      </c>
      <c r="D252" s="94" t="str">
        <f>'Resultater - Vestdanmark'!D252</f>
        <v>Areal-roer</v>
      </c>
      <c r="E252" s="94" t="str">
        <f>'Resultater - Vestdanmark'!E252</f>
        <v>Hektar</v>
      </c>
      <c r="F252" s="94" t="str">
        <f>'Resultater - Vestdanmark'!F252</f>
        <v>Roer</v>
      </c>
      <c r="G252" s="94" t="str">
        <f>'Resultater - Vestdanmark'!G252</f>
        <v>Ton</v>
      </c>
      <c r="H252" s="252">
        <f>'Resultater - Vestdanmark'!H252+'Resultater - Østdanmark'!H252</f>
        <v>16302.299566350639</v>
      </c>
      <c r="I252" s="253">
        <f>'Resultater - Vestdanmark'!I252+'Resultater - Østdanmark'!I252</f>
        <v>8672.0660805746375</v>
      </c>
      <c r="J252" s="254">
        <f>'Resultater - Vestdanmark'!J252+'Resultater - Østdanmark'!J252</f>
        <v>0</v>
      </c>
    </row>
    <row r="253" spans="1:10" x14ac:dyDescent="0.25">
      <c r="A253" s="94" t="str">
        <f>'Resultater - Vestdanmark'!A253</f>
        <v>Roemark</v>
      </c>
      <c r="B253" s="94" t="str">
        <f>'Resultater - Vestdanmark'!B253</f>
        <v>Konventionel</v>
      </c>
      <c r="C253" s="94" t="str">
        <f>'Resultater - Vestdanmark'!C253</f>
        <v>OC6</v>
      </c>
      <c r="D253" s="94" t="str">
        <f>'Resultater - Vestdanmark'!D253</f>
        <v>Areal-roer</v>
      </c>
      <c r="E253" s="94" t="str">
        <f>'Resultater - Vestdanmark'!E253</f>
        <v>Hektar</v>
      </c>
      <c r="F253" s="94" t="str">
        <f>'Resultater - Vestdanmark'!F253</f>
        <v>Gødning</v>
      </c>
      <c r="G253" s="94" t="str">
        <f>'Resultater - Vestdanmark'!G253</f>
        <v>kg N</v>
      </c>
      <c r="H253" s="252">
        <f>'Resultater - Vestdanmark'!H253+'Resultater - Østdanmark'!H253</f>
        <v>-17555.516386431049</v>
      </c>
      <c r="I253" s="253">
        <f>'Resultater - Vestdanmark'!I253+'Resultater - Østdanmark'!I253</f>
        <v>-8696.3246864409994</v>
      </c>
      <c r="J253" s="254">
        <f>'Resultater - Vestdanmark'!J253+'Resultater - Østdanmark'!J253</f>
        <v>0</v>
      </c>
    </row>
    <row r="254" spans="1:10" x14ac:dyDescent="0.25">
      <c r="A254" s="94" t="str">
        <f>'Resultater - Vestdanmark'!A254</f>
        <v>Roemark</v>
      </c>
      <c r="B254" s="94" t="str">
        <f>'Resultater - Vestdanmark'!B254</f>
        <v>Konventionel</v>
      </c>
      <c r="C254" s="94" t="str">
        <f>'Resultater - Vestdanmark'!C254</f>
        <v>OC6</v>
      </c>
      <c r="D254" s="94" t="str">
        <f>'Resultater - Vestdanmark'!D254</f>
        <v>Areal-roer</v>
      </c>
      <c r="E254" s="94" t="str">
        <f>'Resultater - Vestdanmark'!E254</f>
        <v>Hektar</v>
      </c>
      <c r="F254" s="94" t="str">
        <f>'Resultater - Vestdanmark'!F254</f>
        <v>CO2 - atmosfære</v>
      </c>
      <c r="G254" s="94" t="str">
        <f>'Resultater - Vestdanmark'!G254</f>
        <v>t CO2-ækvivalenter</v>
      </c>
      <c r="H254" s="252">
        <f>'Resultater - Vestdanmark'!H254+'Resultater - Østdanmark'!H254</f>
        <v>2673.7376430017921</v>
      </c>
      <c r="I254" s="253">
        <f>'Resultater - Vestdanmark'!I254+'Resultater - Østdanmark'!I254</f>
        <v>1226.0772933714397</v>
      </c>
      <c r="J254" s="254">
        <f>'Resultater - Vestdanmark'!J254+'Resultater - Østdanmark'!J254</f>
        <v>0</v>
      </c>
    </row>
    <row r="255" spans="1:10" x14ac:dyDescent="0.25">
      <c r="A255" s="94" t="str">
        <f>'Resultater - Vestdanmark'!A255</f>
        <v>Roemark</v>
      </c>
      <c r="B255" s="94" t="str">
        <f>'Resultater - Vestdanmark'!B255</f>
        <v>Konventionel</v>
      </c>
      <c r="C255" s="94" t="str">
        <f>'Resultater - Vestdanmark'!C255</f>
        <v>OC12</v>
      </c>
      <c r="D255" s="94" t="str">
        <f>'Resultater - Vestdanmark'!D255</f>
        <v>Areal-roer</v>
      </c>
      <c r="E255" s="94" t="str">
        <f>'Resultater - Vestdanmark'!E255</f>
        <v>Hektar</v>
      </c>
      <c r="F255" s="94" t="str">
        <f>'Resultater - Vestdanmark'!F255</f>
        <v>Roer</v>
      </c>
      <c r="G255" s="94" t="str">
        <f>'Resultater - Vestdanmark'!G255</f>
        <v>Ton</v>
      </c>
      <c r="H255" s="252">
        <f>'Resultater - Vestdanmark'!H255+'Resultater - Østdanmark'!H255</f>
        <v>7000.5878814400912</v>
      </c>
      <c r="I255" s="253">
        <f>'Resultater - Vestdanmark'!I255+'Resultater - Østdanmark'!I255</f>
        <v>3816.7396249190883</v>
      </c>
      <c r="J255" s="254">
        <f>'Resultater - Vestdanmark'!J255+'Resultater - Østdanmark'!J255</f>
        <v>0</v>
      </c>
    </row>
    <row r="256" spans="1:10" x14ac:dyDescent="0.25">
      <c r="A256" s="94" t="str">
        <f>'Resultater - Vestdanmark'!A256</f>
        <v>Roemark</v>
      </c>
      <c r="B256" s="94" t="str">
        <f>'Resultater - Vestdanmark'!B256</f>
        <v>Konventionel</v>
      </c>
      <c r="C256" s="94" t="str">
        <f>'Resultater - Vestdanmark'!C256</f>
        <v>OC12</v>
      </c>
      <c r="D256" s="94" t="str">
        <f>'Resultater - Vestdanmark'!D256</f>
        <v>Areal-roer</v>
      </c>
      <c r="E256" s="94" t="str">
        <f>'Resultater - Vestdanmark'!E256</f>
        <v>Hektar</v>
      </c>
      <c r="F256" s="94" t="str">
        <f>'Resultater - Vestdanmark'!F256</f>
        <v>Gødning</v>
      </c>
      <c r="G256" s="94" t="str">
        <f>'Resultater - Vestdanmark'!G256</f>
        <v>kg N</v>
      </c>
      <c r="H256" s="252">
        <f>'Resultater - Vestdanmark'!H256+'Resultater - Østdanmark'!H256</f>
        <v>-4615.5602634927654</v>
      </c>
      <c r="I256" s="253">
        <f>'Resultater - Vestdanmark'!I256+'Resultater - Østdanmark'!I256</f>
        <v>-2343.3160985413992</v>
      </c>
      <c r="J256" s="254">
        <f>'Resultater - Vestdanmark'!J256+'Resultater - Østdanmark'!J256</f>
        <v>0</v>
      </c>
    </row>
    <row r="257" spans="1:10" x14ac:dyDescent="0.25">
      <c r="A257" s="94" t="str">
        <f>'Resultater - Vestdanmark'!A257</f>
        <v>Roemark</v>
      </c>
      <c r="B257" s="94" t="str">
        <f>'Resultater - Vestdanmark'!B257</f>
        <v>Konventionel</v>
      </c>
      <c r="C257" s="94" t="str">
        <f>'Resultater - Vestdanmark'!C257</f>
        <v>OC12</v>
      </c>
      <c r="D257" s="94" t="str">
        <f>'Resultater - Vestdanmark'!D257</f>
        <v>Areal-roer</v>
      </c>
      <c r="E257" s="94" t="str">
        <f>'Resultater - Vestdanmark'!E257</f>
        <v>Hektar</v>
      </c>
      <c r="F257" s="94" t="str">
        <f>'Resultater - Vestdanmark'!F257</f>
        <v>CO2 - atmosfære</v>
      </c>
      <c r="G257" s="94" t="str">
        <f>'Resultater - Vestdanmark'!G257</f>
        <v>t CO2-ækvivalenter</v>
      </c>
      <c r="H257" s="252">
        <f>'Resultater - Vestdanmark'!H257+'Resultater - Østdanmark'!H257</f>
        <v>2520.2001766035514</v>
      </c>
      <c r="I257" s="253">
        <f>'Resultater - Vestdanmark'!I257+'Resultater - Østdanmark'!I257</f>
        <v>1184.4545740477158</v>
      </c>
      <c r="J257" s="254">
        <f>'Resultater - Vestdanmark'!J257+'Resultater - Østdanmark'!J257</f>
        <v>0</v>
      </c>
    </row>
    <row r="258" spans="1:10" x14ac:dyDescent="0.25">
      <c r="A258" s="94" t="str">
        <f>'Resultater - Vestdanmark'!A258</f>
        <v>Roemark</v>
      </c>
      <c r="B258" s="94" t="str">
        <f>'Resultater - Vestdanmark'!B258</f>
        <v>Økologisk</v>
      </c>
      <c r="C258" s="94" t="str">
        <f>'Resultater - Vestdanmark'!C258</f>
        <v>JB1-10</v>
      </c>
      <c r="D258" s="94" t="str">
        <f>'Resultater - Vestdanmark'!D258</f>
        <v>Areal-roer</v>
      </c>
      <c r="E258" s="94" t="str">
        <f>'Resultater - Vestdanmark'!E258</f>
        <v>Hektar</v>
      </c>
      <c r="F258" s="94" t="str">
        <f>'Resultater - Vestdanmark'!F258</f>
        <v>Roer</v>
      </c>
      <c r="G258" s="94" t="str">
        <f>'Resultater - Vestdanmark'!G258</f>
        <v>Ton</v>
      </c>
      <c r="H258" s="252">
        <f>'Resultater - Vestdanmark'!H258+'Resultater - Østdanmark'!H258</f>
        <v>175656.2317634254</v>
      </c>
      <c r="I258" s="253">
        <f>'Resultater - Vestdanmark'!I258+'Resultater - Østdanmark'!I258</f>
        <v>256543.42147486436</v>
      </c>
      <c r="J258" s="254">
        <f>'Resultater - Vestdanmark'!J258+'Resultater - Østdanmark'!J258</f>
        <v>3664592.462337262</v>
      </c>
    </row>
    <row r="259" spans="1:10" x14ac:dyDescent="0.25">
      <c r="A259" s="94" t="str">
        <f>'Resultater - Vestdanmark'!A259</f>
        <v>Roemark</v>
      </c>
      <c r="B259" s="94" t="str">
        <f>'Resultater - Vestdanmark'!B259</f>
        <v>Økologisk</v>
      </c>
      <c r="C259" s="94" t="str">
        <f>'Resultater - Vestdanmark'!C259</f>
        <v>JB1-10</v>
      </c>
      <c r="D259" s="94" t="str">
        <f>'Resultater - Vestdanmark'!D259</f>
        <v>Areal-roer</v>
      </c>
      <c r="E259" s="94" t="str">
        <f>'Resultater - Vestdanmark'!E259</f>
        <v>Hektar</v>
      </c>
      <c r="F259" s="94" t="str">
        <f>'Resultater - Vestdanmark'!F259</f>
        <v>Gødning</v>
      </c>
      <c r="G259" s="94" t="str">
        <f>'Resultater - Vestdanmark'!G259</f>
        <v>kg N</v>
      </c>
      <c r="H259" s="252">
        <f>'Resultater - Vestdanmark'!H259+'Resultater - Østdanmark'!H259</f>
        <v>-291846.18227409676</v>
      </c>
      <c r="I259" s="253">
        <f>'Resultater - Vestdanmark'!I259+'Resultater - Østdanmark'!I259</f>
        <v>-396917.05991466634</v>
      </c>
      <c r="J259" s="254">
        <f>'Resultater - Vestdanmark'!J259+'Resultater - Østdanmark'!J259</f>
        <v>-4980683.9302841583</v>
      </c>
    </row>
    <row r="260" spans="1:10" x14ac:dyDescent="0.25">
      <c r="A260" s="94" t="str">
        <f>'Resultater - Vestdanmark'!A260</f>
        <v>Roemark</v>
      </c>
      <c r="B260" s="94" t="str">
        <f>'Resultater - Vestdanmark'!B260</f>
        <v>Økologisk</v>
      </c>
      <c r="C260" s="94" t="str">
        <f>'Resultater - Vestdanmark'!C260</f>
        <v>JB1-10</v>
      </c>
      <c r="D260" s="94" t="str">
        <f>'Resultater - Vestdanmark'!D260</f>
        <v>Areal-roer</v>
      </c>
      <c r="E260" s="94" t="str">
        <f>'Resultater - Vestdanmark'!E260</f>
        <v>Hektar</v>
      </c>
      <c r="F260" s="94" t="str">
        <f>'Resultater - Vestdanmark'!F260</f>
        <v>CO2 - atmosfære</v>
      </c>
      <c r="G260" s="94" t="str">
        <f>'Resultater - Vestdanmark'!G260</f>
        <v>t CO2-ækvivalenter</v>
      </c>
      <c r="H260" s="252">
        <f>'Resultater - Vestdanmark'!H260+'Resultater - Østdanmark'!H260</f>
        <v>8623.3790878329964</v>
      </c>
      <c r="I260" s="253">
        <f>'Resultater - Vestdanmark'!I260+'Resultater - Østdanmark'!I260</f>
        <v>10856.757786740303</v>
      </c>
      <c r="J260" s="254">
        <f>'Resultater - Vestdanmark'!J260+'Resultater - Østdanmark'!J260</f>
        <v>116357.99152303027</v>
      </c>
    </row>
    <row r="261" spans="1:10" x14ac:dyDescent="0.25">
      <c r="A261" s="94" t="str">
        <f>'Resultater - Vestdanmark'!A261</f>
        <v>Roemark</v>
      </c>
      <c r="B261" s="94" t="str">
        <f>'Resultater - Vestdanmark'!B261</f>
        <v>Økologisk</v>
      </c>
      <c r="C261" s="94" t="str">
        <f>'Resultater - Vestdanmark'!C261</f>
        <v>OC6</v>
      </c>
      <c r="D261" s="94" t="str">
        <f>'Resultater - Vestdanmark'!D261</f>
        <v>Areal-roer</v>
      </c>
      <c r="E261" s="94" t="str">
        <f>'Resultater - Vestdanmark'!E261</f>
        <v>Hektar</v>
      </c>
      <c r="F261" s="94" t="str">
        <f>'Resultater - Vestdanmark'!F261</f>
        <v>Roer</v>
      </c>
      <c r="G261" s="94" t="str">
        <f>'Resultater - Vestdanmark'!G261</f>
        <v>Ton</v>
      </c>
      <c r="H261" s="252">
        <f>'Resultater - Vestdanmark'!H261+'Resultater - Østdanmark'!H261</f>
        <v>1188.1289240510705</v>
      </c>
      <c r="I261" s="253">
        <f>'Resultater - Vestdanmark'!I261+'Resultater - Østdanmark'!I261</f>
        <v>632.02939558786625</v>
      </c>
      <c r="J261" s="254">
        <f>'Resultater - Vestdanmark'!J261+'Resultater - Østdanmark'!J261</f>
        <v>0</v>
      </c>
    </row>
    <row r="262" spans="1:10" x14ac:dyDescent="0.25">
      <c r="A262" s="94" t="str">
        <f>'Resultater - Vestdanmark'!A262</f>
        <v>Roemark</v>
      </c>
      <c r="B262" s="94" t="str">
        <f>'Resultater - Vestdanmark'!B262</f>
        <v>Økologisk</v>
      </c>
      <c r="C262" s="94" t="str">
        <f>'Resultater - Vestdanmark'!C262</f>
        <v>OC6</v>
      </c>
      <c r="D262" s="94" t="str">
        <f>'Resultater - Vestdanmark'!D262</f>
        <v>Areal-roer</v>
      </c>
      <c r="E262" s="94" t="str">
        <f>'Resultater - Vestdanmark'!E262</f>
        <v>Hektar</v>
      </c>
      <c r="F262" s="94" t="str">
        <f>'Resultater - Vestdanmark'!F262</f>
        <v>Gødning</v>
      </c>
      <c r="G262" s="94" t="str">
        <f>'Resultater - Vestdanmark'!G262</f>
        <v>kg N</v>
      </c>
      <c r="H262" s="252">
        <f>'Resultater - Vestdanmark'!H262+'Resultater - Østdanmark'!H262</f>
        <v>-1279.4646982456652</v>
      </c>
      <c r="I262" s="253">
        <f>'Resultater - Vestdanmark'!I262+'Resultater - Østdanmark'!I262</f>
        <v>-633.79738857374355</v>
      </c>
      <c r="J262" s="254">
        <f>'Resultater - Vestdanmark'!J262+'Resultater - Østdanmark'!J262</f>
        <v>0</v>
      </c>
    </row>
    <row r="263" spans="1:10" x14ac:dyDescent="0.25">
      <c r="A263" s="94" t="str">
        <f>'Resultater - Vestdanmark'!A263</f>
        <v>Roemark</v>
      </c>
      <c r="B263" s="94" t="str">
        <f>'Resultater - Vestdanmark'!B263</f>
        <v>Økologisk</v>
      </c>
      <c r="C263" s="94" t="str">
        <f>'Resultater - Vestdanmark'!C263</f>
        <v>OC6</v>
      </c>
      <c r="D263" s="94" t="str">
        <f>'Resultater - Vestdanmark'!D263</f>
        <v>Areal-roer</v>
      </c>
      <c r="E263" s="94" t="str">
        <f>'Resultater - Vestdanmark'!E263</f>
        <v>Hektar</v>
      </c>
      <c r="F263" s="94" t="str">
        <f>'Resultater - Vestdanmark'!F263</f>
        <v>CO2 - atmosfære</v>
      </c>
      <c r="G263" s="94" t="str">
        <f>'Resultater - Vestdanmark'!G263</f>
        <v>t CO2-ækvivalenter</v>
      </c>
      <c r="H263" s="252">
        <f>'Resultater - Vestdanmark'!H263+'Resultater - Østdanmark'!H263</f>
        <v>341.86814383177432</v>
      </c>
      <c r="I263" s="253">
        <f>'Resultater - Vestdanmark'!I263+'Resultater - Østdanmark'!I263</f>
        <v>156.76809935944004</v>
      </c>
      <c r="J263" s="254">
        <f>'Resultater - Vestdanmark'!J263+'Resultater - Østdanmark'!J263</f>
        <v>0</v>
      </c>
    </row>
    <row r="264" spans="1:10" x14ac:dyDescent="0.25">
      <c r="A264" s="94" t="str">
        <f>'Resultater - Vestdanmark'!A264</f>
        <v>Roemark</v>
      </c>
      <c r="B264" s="94" t="str">
        <f>'Resultater - Vestdanmark'!B264</f>
        <v>Økologisk</v>
      </c>
      <c r="C264" s="94" t="str">
        <f>'Resultater - Vestdanmark'!C264</f>
        <v>OC12</v>
      </c>
      <c r="D264" s="94" t="str">
        <f>'Resultater - Vestdanmark'!D264</f>
        <v>Areal-roer</v>
      </c>
      <c r="E264" s="94" t="str">
        <f>'Resultater - Vestdanmark'!E264</f>
        <v>Hektar</v>
      </c>
      <c r="F264" s="94" t="str">
        <f>'Resultater - Vestdanmark'!F264</f>
        <v>Roer</v>
      </c>
      <c r="G264" s="94" t="str">
        <f>'Resultater - Vestdanmark'!G264</f>
        <v>Ton</v>
      </c>
      <c r="H264" s="252">
        <f>'Resultater - Vestdanmark'!H264+'Resultater - Østdanmark'!H264</f>
        <v>510.210287416668</v>
      </c>
      <c r="I264" s="253">
        <f>'Resultater - Vestdanmark'!I264+'Resultater - Østdanmark'!I264</f>
        <v>278.16804159938152</v>
      </c>
      <c r="J264" s="254">
        <f>'Resultater - Vestdanmark'!J264+'Resultater - Østdanmark'!J264</f>
        <v>0</v>
      </c>
    </row>
    <row r="265" spans="1:10" x14ac:dyDescent="0.25">
      <c r="A265" s="94" t="str">
        <f>'Resultater - Vestdanmark'!A265</f>
        <v>Roemark</v>
      </c>
      <c r="B265" s="94" t="str">
        <f>'Resultater - Vestdanmark'!B265</f>
        <v>Økologisk</v>
      </c>
      <c r="C265" s="94" t="str">
        <f>'Resultater - Vestdanmark'!C265</f>
        <v>OC12</v>
      </c>
      <c r="D265" s="94" t="str">
        <f>'Resultater - Vestdanmark'!D265</f>
        <v>Areal-roer</v>
      </c>
      <c r="E265" s="94" t="str">
        <f>'Resultater - Vestdanmark'!E265</f>
        <v>Hektar</v>
      </c>
      <c r="F265" s="94" t="str">
        <f>'Resultater - Vestdanmark'!F265</f>
        <v>Gødning</v>
      </c>
      <c r="G265" s="94" t="str">
        <f>'Resultater - Vestdanmark'!G265</f>
        <v>kg N</v>
      </c>
      <c r="H265" s="252">
        <f>'Resultater - Vestdanmark'!H265+'Resultater - Østdanmark'!H265</f>
        <v>-336.38693899820993</v>
      </c>
      <c r="I265" s="253">
        <f>'Resultater - Vestdanmark'!I265+'Resultater - Østdanmark'!I265</f>
        <v>-170.78336853889599</v>
      </c>
      <c r="J265" s="254">
        <f>'Resultater - Vestdanmark'!J265+'Resultater - Østdanmark'!J265</f>
        <v>0</v>
      </c>
    </row>
    <row r="266" spans="1:10" x14ac:dyDescent="0.25">
      <c r="A266" s="94" t="str">
        <f>'Resultater - Vestdanmark'!A266</f>
        <v>Roemark</v>
      </c>
      <c r="B266" s="94" t="str">
        <f>'Resultater - Vestdanmark'!B266</f>
        <v>Økologisk</v>
      </c>
      <c r="C266" s="94" t="str">
        <f>'Resultater - Vestdanmark'!C266</f>
        <v>OC12</v>
      </c>
      <c r="D266" s="94" t="str">
        <f>'Resultater - Vestdanmark'!D266</f>
        <v>Areal-roer</v>
      </c>
      <c r="E266" s="94" t="str">
        <f>'Resultater - Vestdanmark'!E266</f>
        <v>Hektar</v>
      </c>
      <c r="F266" s="94" t="str">
        <f>'Resultater - Vestdanmark'!F266</f>
        <v>CO2 - atmosfære</v>
      </c>
      <c r="G266" s="94" t="str">
        <f>'Resultater - Vestdanmark'!G266</f>
        <v>t CO2-ækvivalenter</v>
      </c>
      <c r="H266" s="252">
        <f>'Resultater - Vestdanmark'!H266+'Resultater - Østdanmark'!H266</f>
        <v>322.23661087879924</v>
      </c>
      <c r="I266" s="253">
        <f>'Resultater - Vestdanmark'!I266+'Resultater - Østdanmark'!I266</f>
        <v>151.44615543809968</v>
      </c>
      <c r="J266" s="254">
        <f>'Resultater - Vestdanmark'!J266+'Resultater - Østdanmark'!J266</f>
        <v>0</v>
      </c>
    </row>
    <row r="267" spans="1:10" x14ac:dyDescent="0.25">
      <c r="A267" s="94" t="str">
        <f>'Resultater - Vestdanmark'!A267</f>
        <v>Frugtmark</v>
      </c>
      <c r="B267" s="94" t="str">
        <f>'Resultater - Vestdanmark'!B267</f>
        <v>Konventionel</v>
      </c>
      <c r="C267" s="94" t="str">
        <f>'Resultater - Vestdanmark'!C267</f>
        <v>JB1-10</v>
      </c>
      <c r="D267" s="94" t="str">
        <f>'Resultater - Vestdanmark'!D267</f>
        <v>Areal-frugt</v>
      </c>
      <c r="E267" s="94" t="str">
        <f>'Resultater - Vestdanmark'!E267</f>
        <v>Hektar</v>
      </c>
      <c r="F267" s="94" t="str">
        <f>'Resultater - Vestdanmark'!F267</f>
        <v>Frugt</v>
      </c>
      <c r="G267" s="94" t="str">
        <f>'Resultater - Vestdanmark'!G267</f>
        <v>Ton</v>
      </c>
      <c r="H267" s="252">
        <f>'Resultater - Vestdanmark'!H267+'Resultater - Østdanmark'!H267</f>
        <v>36988.210710055057</v>
      </c>
      <c r="I267" s="253">
        <f>'Resultater - Vestdanmark'!I267+'Resultater - Østdanmark'!I267</f>
        <v>594216.67452181817</v>
      </c>
      <c r="J267" s="254">
        <f>'Resultater - Vestdanmark'!J267+'Resultater - Østdanmark'!J267</f>
        <v>0</v>
      </c>
    </row>
    <row r="268" spans="1:10" x14ac:dyDescent="0.25">
      <c r="A268" s="94" t="str">
        <f>'Resultater - Vestdanmark'!A268</f>
        <v>Frugtmark</v>
      </c>
      <c r="B268" s="94" t="str">
        <f>'Resultater - Vestdanmark'!B268</f>
        <v>Konventionel</v>
      </c>
      <c r="C268" s="94" t="str">
        <f>'Resultater - Vestdanmark'!C268</f>
        <v>JB1-10</v>
      </c>
      <c r="D268" s="94" t="str">
        <f>'Resultater - Vestdanmark'!D268</f>
        <v>Areal-frugt</v>
      </c>
      <c r="E268" s="94" t="str">
        <f>'Resultater - Vestdanmark'!E268</f>
        <v>Hektar</v>
      </c>
      <c r="F268" s="94" t="str">
        <f>'Resultater - Vestdanmark'!F268</f>
        <v>Gødning</v>
      </c>
      <c r="G268" s="94" t="str">
        <f>'Resultater - Vestdanmark'!G268</f>
        <v>kg N</v>
      </c>
      <c r="H268" s="252">
        <f>'Resultater - Vestdanmark'!H268+'Resultater - Østdanmark'!H268</f>
        <v>-609935.15894083725</v>
      </c>
      <c r="I268" s="253">
        <f>'Resultater - Vestdanmark'!I268+'Resultater - Østdanmark'!I268</f>
        <v>-9124595.2379600834</v>
      </c>
      <c r="J268" s="254">
        <f>'Resultater - Vestdanmark'!J268+'Resultater - Østdanmark'!J268</f>
        <v>0</v>
      </c>
    </row>
    <row r="269" spans="1:10" x14ac:dyDescent="0.25">
      <c r="A269" s="94" t="str">
        <f>'Resultater - Vestdanmark'!A269</f>
        <v>Frugtmark</v>
      </c>
      <c r="B269" s="94" t="str">
        <f>'Resultater - Vestdanmark'!B269</f>
        <v>Konventionel</v>
      </c>
      <c r="C269" s="94" t="str">
        <f>'Resultater - Vestdanmark'!C269</f>
        <v>JB1-10</v>
      </c>
      <c r="D269" s="94" t="str">
        <f>'Resultater - Vestdanmark'!D269</f>
        <v>Areal-frugt</v>
      </c>
      <c r="E269" s="94" t="str">
        <f>'Resultater - Vestdanmark'!E269</f>
        <v>Hektar</v>
      </c>
      <c r="F269" s="94" t="str">
        <f>'Resultater - Vestdanmark'!F269</f>
        <v>CO2 - atmosfære</v>
      </c>
      <c r="G269" s="94" t="str">
        <f>'Resultater - Vestdanmark'!G269</f>
        <v>t CO2-ækvivalenter</v>
      </c>
      <c r="H269" s="252">
        <f>'Resultater - Vestdanmark'!H269+'Resultater - Østdanmark'!H269</f>
        <v>8563.900760438235</v>
      </c>
      <c r="I269" s="253">
        <f>'Resultater - Vestdanmark'!I269+'Resultater - Østdanmark'!I269</f>
        <v>118598.30643264289</v>
      </c>
      <c r="J269" s="254">
        <f>'Resultater - Vestdanmark'!J269+'Resultater - Østdanmark'!J269</f>
        <v>0</v>
      </c>
    </row>
    <row r="270" spans="1:10" x14ac:dyDescent="0.25">
      <c r="A270" s="94" t="str">
        <f>'Resultater - Vestdanmark'!A270</f>
        <v>Frugtmark</v>
      </c>
      <c r="B270" s="94" t="str">
        <f>'Resultater - Vestdanmark'!B270</f>
        <v>Konventionel</v>
      </c>
      <c r="C270" s="94" t="str">
        <f>'Resultater - Vestdanmark'!C270</f>
        <v>OC6</v>
      </c>
      <c r="D270" s="94" t="str">
        <f>'Resultater - Vestdanmark'!D270</f>
        <v>Areal-frugt</v>
      </c>
      <c r="E270" s="94" t="str">
        <f>'Resultater - Vestdanmark'!E270</f>
        <v>Hektar</v>
      </c>
      <c r="F270" s="94" t="str">
        <f>'Resultater - Vestdanmark'!F270</f>
        <v>Frugt</v>
      </c>
      <c r="G270" s="94" t="str">
        <f>'Resultater - Vestdanmark'!G270</f>
        <v>Ton</v>
      </c>
      <c r="H270" s="252">
        <f>'Resultater - Vestdanmark'!H270+'Resultater - Østdanmark'!H270</f>
        <v>1136.9217413253709</v>
      </c>
      <c r="I270" s="253">
        <f>'Resultater - Vestdanmark'!I270+'Resultater - Østdanmark'!I270</f>
        <v>604.19923108794887</v>
      </c>
      <c r="J270" s="254">
        <f>'Resultater - Vestdanmark'!J270+'Resultater - Østdanmark'!J270</f>
        <v>0</v>
      </c>
    </row>
    <row r="271" spans="1:10" x14ac:dyDescent="0.25">
      <c r="A271" s="94" t="str">
        <f>'Resultater - Vestdanmark'!A271</f>
        <v>Frugtmark</v>
      </c>
      <c r="B271" s="94" t="str">
        <f>'Resultater - Vestdanmark'!B271</f>
        <v>Konventionel</v>
      </c>
      <c r="C271" s="94" t="str">
        <f>'Resultater - Vestdanmark'!C271</f>
        <v>OC6</v>
      </c>
      <c r="D271" s="94" t="str">
        <f>'Resultater - Vestdanmark'!D271</f>
        <v>Areal-frugt</v>
      </c>
      <c r="E271" s="94" t="str">
        <f>'Resultater - Vestdanmark'!E271</f>
        <v>Hektar</v>
      </c>
      <c r="F271" s="94" t="str">
        <f>'Resultater - Vestdanmark'!F271</f>
        <v>Gødning</v>
      </c>
      <c r="G271" s="94" t="str">
        <f>'Resultater - Vestdanmark'!G271</f>
        <v>kg N</v>
      </c>
      <c r="H271" s="252">
        <f>'Resultater - Vestdanmark'!H271+'Resultater - Østdanmark'!H271</f>
        <v>-15623.188435959159</v>
      </c>
      <c r="I271" s="253">
        <f>'Resultater - Vestdanmark'!I271+'Resultater - Østdanmark'!I271</f>
        <v>-7731.5700696786462</v>
      </c>
      <c r="J271" s="254">
        <f>'Resultater - Vestdanmark'!J271+'Resultater - Østdanmark'!J271</f>
        <v>0</v>
      </c>
    </row>
    <row r="272" spans="1:10" x14ac:dyDescent="0.25">
      <c r="A272" s="94" t="str">
        <f>'Resultater - Vestdanmark'!A272</f>
        <v>Frugtmark</v>
      </c>
      <c r="B272" s="94" t="str">
        <f>'Resultater - Vestdanmark'!B272</f>
        <v>Konventionel</v>
      </c>
      <c r="C272" s="94" t="str">
        <f>'Resultater - Vestdanmark'!C272</f>
        <v>OC6</v>
      </c>
      <c r="D272" s="94" t="str">
        <f>'Resultater - Vestdanmark'!D272</f>
        <v>Areal-frugt</v>
      </c>
      <c r="E272" s="94" t="str">
        <f>'Resultater - Vestdanmark'!E272</f>
        <v>Hektar</v>
      </c>
      <c r="F272" s="94" t="str">
        <f>'Resultater - Vestdanmark'!F272</f>
        <v>CO2 - atmosfære</v>
      </c>
      <c r="G272" s="94" t="str">
        <f>'Resultater - Vestdanmark'!G272</f>
        <v>t CO2-ækvivalenter</v>
      </c>
      <c r="H272" s="252">
        <f>'Resultater - Vestdanmark'!H272+'Resultater - Østdanmark'!H272</f>
        <v>1189.7832867844982</v>
      </c>
      <c r="I272" s="253">
        <f>'Resultater - Vestdanmark'!I272+'Resultater - Østdanmark'!I272</f>
        <v>545.0581157599845</v>
      </c>
      <c r="J272" s="254">
        <f>'Resultater - Vestdanmark'!J272+'Resultater - Østdanmark'!J272</f>
        <v>0</v>
      </c>
    </row>
    <row r="273" spans="1:10" x14ac:dyDescent="0.25">
      <c r="A273" s="94" t="str">
        <f>'Resultater - Vestdanmark'!A273</f>
        <v>Frugtmark</v>
      </c>
      <c r="B273" s="94" t="str">
        <f>'Resultater - Vestdanmark'!B273</f>
        <v>Konventionel</v>
      </c>
      <c r="C273" s="94" t="str">
        <f>'Resultater - Vestdanmark'!C273</f>
        <v>OC12</v>
      </c>
      <c r="D273" s="94" t="str">
        <f>'Resultater - Vestdanmark'!D273</f>
        <v>Areal-frugt</v>
      </c>
      <c r="E273" s="94" t="str">
        <f>'Resultater - Vestdanmark'!E273</f>
        <v>Hektar</v>
      </c>
      <c r="F273" s="94" t="str">
        <f>'Resultater - Vestdanmark'!F273</f>
        <v>Frugt</v>
      </c>
      <c r="G273" s="94" t="str">
        <f>'Resultater - Vestdanmark'!G273</f>
        <v>Ton</v>
      </c>
      <c r="H273" s="252">
        <f>'Resultater - Vestdanmark'!H273+'Resultater - Østdanmark'!H273</f>
        <v>769.15923740920027</v>
      </c>
      <c r="I273" s="253">
        <f>'Resultater - Vestdanmark'!I273+'Resultater - Østdanmark'!I273</f>
        <v>412.37581705253001</v>
      </c>
      <c r="J273" s="254">
        <f>'Resultater - Vestdanmark'!J273+'Resultater - Østdanmark'!J273</f>
        <v>0</v>
      </c>
    </row>
    <row r="274" spans="1:10" x14ac:dyDescent="0.25">
      <c r="A274" s="94" t="str">
        <f>'Resultater - Vestdanmark'!A274</f>
        <v>Frugtmark</v>
      </c>
      <c r="B274" s="94" t="str">
        <f>'Resultater - Vestdanmark'!B274</f>
        <v>Konventionel</v>
      </c>
      <c r="C274" s="94" t="str">
        <f>'Resultater - Vestdanmark'!C274</f>
        <v>OC12</v>
      </c>
      <c r="D274" s="94" t="str">
        <f>'Resultater - Vestdanmark'!D274</f>
        <v>Areal-frugt</v>
      </c>
      <c r="E274" s="94" t="str">
        <f>'Resultater - Vestdanmark'!E274</f>
        <v>Hektar</v>
      </c>
      <c r="F274" s="94" t="str">
        <f>'Resultater - Vestdanmark'!F274</f>
        <v>Gødning</v>
      </c>
      <c r="G274" s="94" t="str">
        <f>'Resultater - Vestdanmark'!G274</f>
        <v>kg N</v>
      </c>
      <c r="H274" s="252">
        <f>'Resultater - Vestdanmark'!H274+'Resultater - Østdanmark'!H274</f>
        <v>-9059.5905466336899</v>
      </c>
      <c r="I274" s="253">
        <f>'Resultater - Vestdanmark'!I274+'Resultater - Østdanmark'!I274</f>
        <v>-4523.0764393132813</v>
      </c>
      <c r="J274" s="254">
        <f>'Resultater - Vestdanmark'!J274+'Resultater - Østdanmark'!J274</f>
        <v>0</v>
      </c>
    </row>
    <row r="275" spans="1:10" x14ac:dyDescent="0.25">
      <c r="A275" s="94" t="str">
        <f>'Resultater - Vestdanmark'!A275</f>
        <v>Frugtmark</v>
      </c>
      <c r="B275" s="94" t="str">
        <f>'Resultater - Vestdanmark'!B275</f>
        <v>Konventionel</v>
      </c>
      <c r="C275" s="94" t="str">
        <f>'Resultater - Vestdanmark'!C275</f>
        <v>OC12</v>
      </c>
      <c r="D275" s="94" t="str">
        <f>'Resultater - Vestdanmark'!D275</f>
        <v>Areal-frugt</v>
      </c>
      <c r="E275" s="94" t="str">
        <f>'Resultater - Vestdanmark'!E275</f>
        <v>Hektar</v>
      </c>
      <c r="F275" s="94" t="str">
        <f>'Resultater - Vestdanmark'!F275</f>
        <v>CO2 - atmosfære</v>
      </c>
      <c r="G275" s="94" t="str">
        <f>'Resultater - Vestdanmark'!G275</f>
        <v>t CO2-ækvivalenter</v>
      </c>
      <c r="H275" s="252">
        <f>'Resultater - Vestdanmark'!H275+'Resultater - Østdanmark'!H275</f>
        <v>1844.3834346765289</v>
      </c>
      <c r="I275" s="253">
        <f>'Resultater - Vestdanmark'!I275+'Resultater - Østdanmark'!I275</f>
        <v>852.41972688416968</v>
      </c>
      <c r="J275" s="254">
        <f>'Resultater - Vestdanmark'!J275+'Resultater - Østdanmark'!J275</f>
        <v>0</v>
      </c>
    </row>
    <row r="276" spans="1:10" x14ac:dyDescent="0.25">
      <c r="A276" s="94" t="str">
        <f>'Resultater - Vestdanmark'!A276</f>
        <v>Frugtmark</v>
      </c>
      <c r="B276" s="94" t="str">
        <f>'Resultater - Vestdanmark'!B276</f>
        <v>Økologisk</v>
      </c>
      <c r="C276" s="94" t="str">
        <f>'Resultater - Vestdanmark'!C276</f>
        <v>JB1-10</v>
      </c>
      <c r="D276" s="94" t="str">
        <f>'Resultater - Vestdanmark'!D276</f>
        <v>Areal-frugt</v>
      </c>
      <c r="E276" s="94" t="str">
        <f>'Resultater - Vestdanmark'!E276</f>
        <v>Hektar</v>
      </c>
      <c r="F276" s="94" t="str">
        <f>'Resultater - Vestdanmark'!F276</f>
        <v>Frugt</v>
      </c>
      <c r="G276" s="94" t="str">
        <f>'Resultater - Vestdanmark'!G276</f>
        <v>Ton</v>
      </c>
      <c r="H276" s="252">
        <f>'Resultater - Vestdanmark'!H276+'Resultater - Østdanmark'!H276</f>
        <v>2695.7401202602077</v>
      </c>
      <c r="I276" s="253">
        <f>'Resultater - Vestdanmark'!I276+'Resultater - Østdanmark'!I276</f>
        <v>43307.142975710674</v>
      </c>
      <c r="J276" s="254">
        <f>'Resultater - Vestdanmark'!J276+'Resultater - Østdanmark'!J276</f>
        <v>1032360.8523594537</v>
      </c>
    </row>
    <row r="277" spans="1:10" x14ac:dyDescent="0.25">
      <c r="A277" s="94" t="str">
        <f>'Resultater - Vestdanmark'!A277</f>
        <v>Frugtmark</v>
      </c>
      <c r="B277" s="94" t="str">
        <f>'Resultater - Vestdanmark'!B277</f>
        <v>Økologisk</v>
      </c>
      <c r="C277" s="94" t="str">
        <f>'Resultater - Vestdanmark'!C277</f>
        <v>JB1-10</v>
      </c>
      <c r="D277" s="94" t="str">
        <f>'Resultater - Vestdanmark'!D277</f>
        <v>Areal-frugt</v>
      </c>
      <c r="E277" s="94" t="str">
        <f>'Resultater - Vestdanmark'!E277</f>
        <v>Hektar</v>
      </c>
      <c r="F277" s="94" t="str">
        <f>'Resultater - Vestdanmark'!F277</f>
        <v>Gødning</v>
      </c>
      <c r="G277" s="94" t="str">
        <f>'Resultater - Vestdanmark'!G277</f>
        <v>kg N</v>
      </c>
      <c r="H277" s="252">
        <f>'Resultater - Vestdanmark'!H277+'Resultater - Østdanmark'!H277</f>
        <v>-44452.722831145948</v>
      </c>
      <c r="I277" s="253">
        <f>'Resultater - Vestdanmark'!I277+'Resultater - Østdanmark'!I277</f>
        <v>-665010.20168076199</v>
      </c>
      <c r="J277" s="254">
        <f>'Resultater - Vestdanmark'!J277+'Resultater - Østdanmark'!J277</f>
        <v>-13925946.326753503</v>
      </c>
    </row>
    <row r="278" spans="1:10" x14ac:dyDescent="0.25">
      <c r="A278" s="94" t="str">
        <f>'Resultater - Vestdanmark'!A278</f>
        <v>Frugtmark</v>
      </c>
      <c r="B278" s="94" t="str">
        <f>'Resultater - Vestdanmark'!B278</f>
        <v>Økologisk</v>
      </c>
      <c r="C278" s="94" t="str">
        <f>'Resultater - Vestdanmark'!C278</f>
        <v>JB1-10</v>
      </c>
      <c r="D278" s="94" t="str">
        <f>'Resultater - Vestdanmark'!D278</f>
        <v>Areal-frugt</v>
      </c>
      <c r="E278" s="94" t="str">
        <f>'Resultater - Vestdanmark'!E278</f>
        <v>Hektar</v>
      </c>
      <c r="F278" s="94" t="str">
        <f>'Resultater - Vestdanmark'!F278</f>
        <v>CO2 - atmosfære</v>
      </c>
      <c r="G278" s="94" t="str">
        <f>'Resultater - Vestdanmark'!G278</f>
        <v>t CO2-ækvivalenter</v>
      </c>
      <c r="H278" s="252">
        <f>'Resultater - Vestdanmark'!H278+'Resultater - Østdanmark'!H278</f>
        <v>1094.9933194057135</v>
      </c>
      <c r="I278" s="253">
        <f>'Resultater - Vestdanmark'!I278+'Resultater - Østdanmark'!I278</f>
        <v>15164.159051970395</v>
      </c>
      <c r="J278" s="254">
        <f>'Resultater - Vestdanmark'!J278+'Resultater - Østdanmark'!J278</f>
        <v>271219.92444220994</v>
      </c>
    </row>
    <row r="279" spans="1:10" x14ac:dyDescent="0.25">
      <c r="A279" s="94" t="str">
        <f>'Resultater - Vestdanmark'!A279</f>
        <v>Frugtmark</v>
      </c>
      <c r="B279" s="94" t="str">
        <f>'Resultater - Vestdanmark'!B279</f>
        <v>Økologisk</v>
      </c>
      <c r="C279" s="94" t="str">
        <f>'Resultater - Vestdanmark'!C279</f>
        <v>OC6</v>
      </c>
      <c r="D279" s="94" t="str">
        <f>'Resultater - Vestdanmark'!D279</f>
        <v>Areal-frugt</v>
      </c>
      <c r="E279" s="94" t="str">
        <f>'Resultater - Vestdanmark'!E279</f>
        <v>Hektar</v>
      </c>
      <c r="F279" s="94" t="str">
        <f>'Resultater - Vestdanmark'!F279</f>
        <v>Frugt</v>
      </c>
      <c r="G279" s="94" t="str">
        <f>'Resultater - Vestdanmark'!G279</f>
        <v>Ton</v>
      </c>
      <c r="H279" s="252">
        <f>'Resultater - Vestdanmark'!H279+'Resultater - Østdanmark'!H279</f>
        <v>82.860065216772895</v>
      </c>
      <c r="I279" s="253">
        <f>'Resultater - Vestdanmark'!I279+'Resultater - Østdanmark'!I279</f>
        <v>44.034682311123014</v>
      </c>
      <c r="J279" s="254">
        <f>'Resultater - Vestdanmark'!J279+'Resultater - Østdanmark'!J279</f>
        <v>0</v>
      </c>
    </row>
    <row r="280" spans="1:10" x14ac:dyDescent="0.25">
      <c r="A280" s="94" t="str">
        <f>'Resultater - Vestdanmark'!A280</f>
        <v>Frugtmark</v>
      </c>
      <c r="B280" s="94" t="str">
        <f>'Resultater - Vestdanmark'!B280</f>
        <v>Økologisk</v>
      </c>
      <c r="C280" s="94" t="str">
        <f>'Resultater - Vestdanmark'!C280</f>
        <v>OC6</v>
      </c>
      <c r="D280" s="94" t="str">
        <f>'Resultater - Vestdanmark'!D280</f>
        <v>Areal-frugt</v>
      </c>
      <c r="E280" s="94" t="str">
        <f>'Resultater - Vestdanmark'!E280</f>
        <v>Hektar</v>
      </c>
      <c r="F280" s="94" t="str">
        <f>'Resultater - Vestdanmark'!F280</f>
        <v>Gødning</v>
      </c>
      <c r="G280" s="94" t="str">
        <f>'Resultater - Vestdanmark'!G280</f>
        <v>kg N</v>
      </c>
      <c r="H280" s="252">
        <f>'Resultater - Vestdanmark'!H280+'Resultater - Østdanmark'!H280</f>
        <v>-1138.6345828767378</v>
      </c>
      <c r="I280" s="253">
        <f>'Resultater - Vestdanmark'!I280+'Resultater - Østdanmark'!I280</f>
        <v>-563.48504643318324</v>
      </c>
      <c r="J280" s="254">
        <f>'Resultater - Vestdanmark'!J280+'Resultater - Østdanmark'!J280</f>
        <v>0</v>
      </c>
    </row>
    <row r="281" spans="1:10" x14ac:dyDescent="0.25">
      <c r="A281" s="94" t="str">
        <f>'Resultater - Vestdanmark'!A281</f>
        <v>Frugtmark</v>
      </c>
      <c r="B281" s="94" t="str">
        <f>'Resultater - Vestdanmark'!B281</f>
        <v>Økologisk</v>
      </c>
      <c r="C281" s="94" t="str">
        <f>'Resultater - Vestdanmark'!C281</f>
        <v>OC6</v>
      </c>
      <c r="D281" s="94" t="str">
        <f>'Resultater - Vestdanmark'!D281</f>
        <v>Areal-frugt</v>
      </c>
      <c r="E281" s="94" t="str">
        <f>'Resultater - Vestdanmark'!E281</f>
        <v>Hektar</v>
      </c>
      <c r="F281" s="94" t="str">
        <f>'Resultater - Vestdanmark'!F281</f>
        <v>CO2 - atmosfære</v>
      </c>
      <c r="G281" s="94" t="str">
        <f>'Resultater - Vestdanmark'!G281</f>
        <v>t CO2-ækvivalenter</v>
      </c>
      <c r="H281" s="252">
        <f>'Resultater - Vestdanmark'!H281+'Resultater - Østdanmark'!H281</f>
        <v>152.12749271780797</v>
      </c>
      <c r="I281" s="253">
        <f>'Resultater - Vestdanmark'!I281+'Resultater - Østdanmark'!I281</f>
        <v>69.691956053739659</v>
      </c>
      <c r="J281" s="254">
        <f>'Resultater - Vestdanmark'!J281+'Resultater - Østdanmark'!J281</f>
        <v>0</v>
      </c>
    </row>
    <row r="282" spans="1:10" x14ac:dyDescent="0.25">
      <c r="A282" s="94" t="str">
        <f>'Resultater - Vestdanmark'!A282</f>
        <v>Frugtmark</v>
      </c>
      <c r="B282" s="94" t="str">
        <f>'Resultater - Vestdanmark'!B282</f>
        <v>Økologisk</v>
      </c>
      <c r="C282" s="94" t="str">
        <f>'Resultater - Vestdanmark'!C282</f>
        <v>OC12</v>
      </c>
      <c r="D282" s="94" t="str">
        <f>'Resultater - Vestdanmark'!D282</f>
        <v>Areal-frugt</v>
      </c>
      <c r="E282" s="94" t="str">
        <f>'Resultater - Vestdanmark'!E282</f>
        <v>Hektar</v>
      </c>
      <c r="F282" s="94" t="str">
        <f>'Resultater - Vestdanmark'!F282</f>
        <v>Frugt</v>
      </c>
      <c r="G282" s="94" t="str">
        <f>'Resultater - Vestdanmark'!G282</f>
        <v>Ton</v>
      </c>
      <c r="H282" s="252">
        <f>'Resultater - Vestdanmark'!H282+'Resultater - Østdanmark'!H282</f>
        <v>56.05714294768709</v>
      </c>
      <c r="I282" s="253">
        <f>'Resultater - Vestdanmark'!I282+'Resultater - Østdanmark'!I282</f>
        <v>30.054387960739884</v>
      </c>
      <c r="J282" s="254">
        <f>'Resultater - Vestdanmark'!J282+'Resultater - Østdanmark'!J282</f>
        <v>0</v>
      </c>
    </row>
    <row r="283" spans="1:10" x14ac:dyDescent="0.25">
      <c r="A283" s="94" t="str">
        <f>'Resultater - Vestdanmark'!A283</f>
        <v>Frugtmark</v>
      </c>
      <c r="B283" s="94" t="str">
        <f>'Resultater - Vestdanmark'!B283</f>
        <v>Økologisk</v>
      </c>
      <c r="C283" s="94" t="str">
        <f>'Resultater - Vestdanmark'!C283</f>
        <v>OC12</v>
      </c>
      <c r="D283" s="94" t="str">
        <f>'Resultater - Vestdanmark'!D283</f>
        <v>Areal-frugt</v>
      </c>
      <c r="E283" s="94" t="str">
        <f>'Resultater - Vestdanmark'!E283</f>
        <v>Hektar</v>
      </c>
      <c r="F283" s="94" t="str">
        <f>'Resultater - Vestdanmark'!F283</f>
        <v>Gødning</v>
      </c>
      <c r="G283" s="94" t="str">
        <f>'Resultater - Vestdanmark'!G283</f>
        <v>kg N</v>
      </c>
      <c r="H283" s="252">
        <f>'Resultater - Vestdanmark'!H283+'Resultater - Østdanmark'!H283</f>
        <v>-660.27259066769261</v>
      </c>
      <c r="I283" s="253">
        <f>'Resultater - Vestdanmark'!I283+'Resultater - Østdanmark'!I283</f>
        <v>-329.64661956859356</v>
      </c>
      <c r="J283" s="254">
        <f>'Resultater - Vestdanmark'!J283+'Resultater - Østdanmark'!J283</f>
        <v>0</v>
      </c>
    </row>
    <row r="284" spans="1:10" x14ac:dyDescent="0.25">
      <c r="A284" s="94" t="str">
        <f>'Resultater - Vestdanmark'!A284</f>
        <v>Frugtmark</v>
      </c>
      <c r="B284" s="94" t="str">
        <f>'Resultater - Vestdanmark'!B284</f>
        <v>Økologisk</v>
      </c>
      <c r="C284" s="94" t="str">
        <f>'Resultater - Vestdanmark'!C284</f>
        <v>OC12</v>
      </c>
      <c r="D284" s="94" t="str">
        <f>'Resultater - Vestdanmark'!D284</f>
        <v>Areal-frugt</v>
      </c>
      <c r="E284" s="94" t="str">
        <f>'Resultater - Vestdanmark'!E284</f>
        <v>Hektar</v>
      </c>
      <c r="F284" s="94" t="str">
        <f>'Resultater - Vestdanmark'!F284</f>
        <v>CO2 - atmosfære</v>
      </c>
      <c r="G284" s="94" t="str">
        <f>'Resultater - Vestdanmark'!G284</f>
        <v>t CO2-ækvivalenter</v>
      </c>
      <c r="H284" s="252">
        <f>'Resultater - Vestdanmark'!H284+'Resultater - Østdanmark'!H284</f>
        <v>235.82565887767433</v>
      </c>
      <c r="I284" s="253">
        <f>'Resultater - Vestdanmark'!I284+'Resultater - Østdanmark'!I284</f>
        <v>108.99167708478264</v>
      </c>
      <c r="J284" s="254">
        <f>'Resultater - Vestdanmark'!J284+'Resultater - Østdanmark'!J284</f>
        <v>0</v>
      </c>
    </row>
    <row r="285" spans="1:10" x14ac:dyDescent="0.25">
      <c r="A285" s="94" t="str">
        <f>'Resultater - Vestdanmark'!A285</f>
        <v>Øvrig mark</v>
      </c>
      <c r="B285" s="94" t="str">
        <f>'Resultater - Vestdanmark'!B285</f>
        <v>Konventionel</v>
      </c>
      <c r="C285" s="94" t="str">
        <f>'Resultater - Vestdanmark'!C285</f>
        <v>JB1-10</v>
      </c>
      <c r="D285" s="94" t="str">
        <f>'Resultater - Vestdanmark'!D285</f>
        <v>Areal-øvrige</v>
      </c>
      <c r="E285" s="94" t="str">
        <f>'Resultater - Vestdanmark'!E285</f>
        <v>Hektar</v>
      </c>
      <c r="F285" s="94" t="str">
        <f>'Resultater - Vestdanmark'!F285</f>
        <v>Øvrige</v>
      </c>
      <c r="G285" s="94" t="str">
        <f>'Resultater - Vestdanmark'!G285</f>
        <v>Ton</v>
      </c>
      <c r="H285" s="252">
        <f>'Resultater - Vestdanmark'!H285+'Resultater - Østdanmark'!H285</f>
        <v>1770707.1441729828</v>
      </c>
      <c r="I285" s="253">
        <f>'Resultater - Vestdanmark'!I285+'Resultater - Østdanmark'!I285</f>
        <v>1204832.0702652656</v>
      </c>
      <c r="J285" s="254">
        <f>'Resultater - Vestdanmark'!J285+'Resultater - Østdanmark'!J285</f>
        <v>0</v>
      </c>
    </row>
    <row r="286" spans="1:10" x14ac:dyDescent="0.25">
      <c r="A286" s="94" t="str">
        <f>'Resultater - Vestdanmark'!A286</f>
        <v>Øvrig mark</v>
      </c>
      <c r="B286" s="94" t="str">
        <f>'Resultater - Vestdanmark'!B286</f>
        <v>Konventionel</v>
      </c>
      <c r="C286" s="94" t="str">
        <f>'Resultater - Vestdanmark'!C286</f>
        <v>JB1-10</v>
      </c>
      <c r="D286" s="94" t="str">
        <f>'Resultater - Vestdanmark'!D286</f>
        <v>Areal-øvrige</v>
      </c>
      <c r="E286" s="94" t="str">
        <f>'Resultater - Vestdanmark'!E286</f>
        <v>Hektar</v>
      </c>
      <c r="F286" s="94" t="str">
        <f>'Resultater - Vestdanmark'!F286</f>
        <v>Gødning</v>
      </c>
      <c r="G286" s="94" t="str">
        <f>'Resultater - Vestdanmark'!G286</f>
        <v>kg N</v>
      </c>
      <c r="H286" s="252">
        <f>'Resultater - Vestdanmark'!H286+'Resultater - Østdanmark'!H286</f>
        <v>-8443698.8320951127</v>
      </c>
      <c r="I286" s="253">
        <f>'Resultater - Vestdanmark'!I286+'Resultater - Østdanmark'!I286</f>
        <v>-5350088.2117567128</v>
      </c>
      <c r="J286" s="254">
        <f>'Resultater - Vestdanmark'!J286+'Resultater - Østdanmark'!J286</f>
        <v>0</v>
      </c>
    </row>
    <row r="287" spans="1:10" x14ac:dyDescent="0.25">
      <c r="A287" s="94" t="str">
        <f>'Resultater - Vestdanmark'!A287</f>
        <v>Øvrig mark</v>
      </c>
      <c r="B287" s="94" t="str">
        <f>'Resultater - Vestdanmark'!B287</f>
        <v>Konventionel</v>
      </c>
      <c r="C287" s="94" t="str">
        <f>'Resultater - Vestdanmark'!C287</f>
        <v>JB1-10</v>
      </c>
      <c r="D287" s="94" t="str">
        <f>'Resultater - Vestdanmark'!D287</f>
        <v>Areal-øvrige</v>
      </c>
      <c r="E287" s="94" t="str">
        <f>'Resultater - Vestdanmark'!E287</f>
        <v>Hektar</v>
      </c>
      <c r="F287" s="94" t="str">
        <f>'Resultater - Vestdanmark'!F287</f>
        <v>CO2 - atmosfære</v>
      </c>
      <c r="G287" s="94" t="str">
        <f>'Resultater - Vestdanmark'!G287</f>
        <v>t CO2-ækvivalenter</v>
      </c>
      <c r="H287" s="252">
        <f>'Resultater - Vestdanmark'!H287+'Resultater - Østdanmark'!H287</f>
        <v>135120.63677615169</v>
      </c>
      <c r="I287" s="253">
        <f>'Resultater - Vestdanmark'!I287+'Resultater - Østdanmark'!I287</f>
        <v>79255.025984564112</v>
      </c>
      <c r="J287" s="254">
        <f>'Resultater - Vestdanmark'!J287+'Resultater - Østdanmark'!J287</f>
        <v>0</v>
      </c>
    </row>
    <row r="288" spans="1:10" x14ac:dyDescent="0.25">
      <c r="A288" s="94" t="str">
        <f>'Resultater - Vestdanmark'!A288</f>
        <v>Øvrig mark</v>
      </c>
      <c r="B288" s="94" t="str">
        <f>'Resultater - Vestdanmark'!B288</f>
        <v>Konventionel</v>
      </c>
      <c r="C288" s="94" t="str">
        <f>'Resultater - Vestdanmark'!C288</f>
        <v>OC6</v>
      </c>
      <c r="D288" s="94" t="str">
        <f>'Resultater - Vestdanmark'!D288</f>
        <v>Areal-øvrige</v>
      </c>
      <c r="E288" s="94" t="str">
        <f>'Resultater - Vestdanmark'!E288</f>
        <v>Hektar</v>
      </c>
      <c r="F288" s="94" t="str">
        <f>'Resultater - Vestdanmark'!F288</f>
        <v>Øvrige</v>
      </c>
      <c r="G288" s="94" t="str">
        <f>'Resultater - Vestdanmark'!G288</f>
        <v>Ton</v>
      </c>
      <c r="H288" s="252">
        <f>'Resultater - Vestdanmark'!H288+'Resultater - Østdanmark'!H288</f>
        <v>59290.041004910265</v>
      </c>
      <c r="I288" s="253">
        <f>'Resultater - Vestdanmark'!I288+'Resultater - Østdanmark'!I288</f>
        <v>31500.354944719667</v>
      </c>
      <c r="J288" s="254">
        <f>'Resultater - Vestdanmark'!J288+'Resultater - Østdanmark'!J288</f>
        <v>0</v>
      </c>
    </row>
    <row r="289" spans="1:10" x14ac:dyDescent="0.25">
      <c r="A289" s="94" t="str">
        <f>'Resultater - Vestdanmark'!A289</f>
        <v>Øvrig mark</v>
      </c>
      <c r="B289" s="94" t="str">
        <f>'Resultater - Vestdanmark'!B289</f>
        <v>Konventionel</v>
      </c>
      <c r="C289" s="94" t="str">
        <f>'Resultater - Vestdanmark'!C289</f>
        <v>OC6</v>
      </c>
      <c r="D289" s="94" t="str">
        <f>'Resultater - Vestdanmark'!D289</f>
        <v>Areal-øvrige</v>
      </c>
      <c r="E289" s="94" t="str">
        <f>'Resultater - Vestdanmark'!E289</f>
        <v>Hektar</v>
      </c>
      <c r="F289" s="94" t="str">
        <f>'Resultater - Vestdanmark'!F289</f>
        <v>Gødning</v>
      </c>
      <c r="G289" s="94" t="str">
        <f>'Resultater - Vestdanmark'!G289</f>
        <v>kg N</v>
      </c>
      <c r="H289" s="252">
        <f>'Resultater - Vestdanmark'!H289+'Resultater - Østdanmark'!H289</f>
        <v>-207278.07918935828</v>
      </c>
      <c r="I289" s="253">
        <f>'Resultater - Vestdanmark'!I289+'Resultater - Østdanmark'!I289</f>
        <v>-102549.96127818391</v>
      </c>
      <c r="J289" s="254">
        <f>'Resultater - Vestdanmark'!J289+'Resultater - Østdanmark'!J289</f>
        <v>0</v>
      </c>
    </row>
    <row r="290" spans="1:10" x14ac:dyDescent="0.25">
      <c r="A290" s="94" t="str">
        <f>'Resultater - Vestdanmark'!A290</f>
        <v>Øvrig mark</v>
      </c>
      <c r="B290" s="94" t="str">
        <f>'Resultater - Vestdanmark'!B290</f>
        <v>Konventionel</v>
      </c>
      <c r="C290" s="94" t="str">
        <f>'Resultater - Vestdanmark'!C290</f>
        <v>OC6</v>
      </c>
      <c r="D290" s="94" t="str">
        <f>'Resultater - Vestdanmark'!D290</f>
        <v>Areal-øvrige</v>
      </c>
      <c r="E290" s="94" t="str">
        <f>'Resultater - Vestdanmark'!E290</f>
        <v>Hektar</v>
      </c>
      <c r="F290" s="94" t="str">
        <f>'Resultater - Vestdanmark'!F290</f>
        <v>CO2 - atmosfære</v>
      </c>
      <c r="G290" s="94" t="str">
        <f>'Resultater - Vestdanmark'!G290</f>
        <v>t CO2-ækvivalenter</v>
      </c>
      <c r="H290" s="252">
        <f>'Resultater - Vestdanmark'!H290+'Resultater - Østdanmark'!H290</f>
        <v>26517.821531805323</v>
      </c>
      <c r="I290" s="253">
        <f>'Resultater - Vestdanmark'!I290+'Resultater - Østdanmark'!I290</f>
        <v>12144.982407394153</v>
      </c>
      <c r="J290" s="254">
        <f>'Resultater - Vestdanmark'!J290+'Resultater - Østdanmark'!J290</f>
        <v>0</v>
      </c>
    </row>
    <row r="291" spans="1:10" x14ac:dyDescent="0.25">
      <c r="A291" s="94" t="str">
        <f>'Resultater - Vestdanmark'!A291</f>
        <v>Øvrig mark</v>
      </c>
      <c r="B291" s="94" t="str">
        <f>'Resultater - Vestdanmark'!B291</f>
        <v>Konventionel</v>
      </c>
      <c r="C291" s="94" t="str">
        <f>'Resultater - Vestdanmark'!C291</f>
        <v>OC12</v>
      </c>
      <c r="D291" s="94" t="str">
        <f>'Resultater - Vestdanmark'!D291</f>
        <v>Areal-øvrige</v>
      </c>
      <c r="E291" s="94" t="str">
        <f>'Resultater - Vestdanmark'!E291</f>
        <v>Hektar</v>
      </c>
      <c r="F291" s="94" t="str">
        <f>'Resultater - Vestdanmark'!F291</f>
        <v>Øvrige</v>
      </c>
      <c r="G291" s="94" t="str">
        <f>'Resultater - Vestdanmark'!G291</f>
        <v>Ton</v>
      </c>
      <c r="H291" s="252">
        <f>'Resultater - Vestdanmark'!H291+'Resultater - Østdanmark'!H291</f>
        <v>39797.443271560704</v>
      </c>
      <c r="I291" s="253">
        <f>'Resultater - Vestdanmark'!I291+'Resultater - Østdanmark'!I291</f>
        <v>21234.796188628912</v>
      </c>
      <c r="J291" s="254">
        <f>'Resultater - Vestdanmark'!J291+'Resultater - Østdanmark'!J291</f>
        <v>0</v>
      </c>
    </row>
    <row r="292" spans="1:10" x14ac:dyDescent="0.25">
      <c r="A292" s="94" t="str">
        <f>'Resultater - Vestdanmark'!A292</f>
        <v>Øvrig mark</v>
      </c>
      <c r="B292" s="94" t="str">
        <f>'Resultater - Vestdanmark'!B292</f>
        <v>Konventionel</v>
      </c>
      <c r="C292" s="94" t="str">
        <f>'Resultater - Vestdanmark'!C292</f>
        <v>OC12</v>
      </c>
      <c r="D292" s="94" t="str">
        <f>'Resultater - Vestdanmark'!D292</f>
        <v>Areal-øvrige</v>
      </c>
      <c r="E292" s="94" t="str">
        <f>'Resultater - Vestdanmark'!E292</f>
        <v>Hektar</v>
      </c>
      <c r="F292" s="94" t="str">
        <f>'Resultater - Vestdanmark'!F292</f>
        <v>Gødning</v>
      </c>
      <c r="G292" s="94" t="str">
        <f>'Resultater - Vestdanmark'!G292</f>
        <v>kg N</v>
      </c>
      <c r="H292" s="252">
        <f>'Resultater - Vestdanmark'!H292+'Resultater - Østdanmark'!H292</f>
        <v>-102957.62524429863</v>
      </c>
      <c r="I292" s="253">
        <f>'Resultater - Vestdanmark'!I292+'Resultater - Østdanmark'!I292</f>
        <v>-51156.38768926631</v>
      </c>
      <c r="J292" s="254">
        <f>'Resultater - Vestdanmark'!J292+'Resultater - Østdanmark'!J292</f>
        <v>0</v>
      </c>
    </row>
    <row r="293" spans="1:10" x14ac:dyDescent="0.25">
      <c r="A293" s="94" t="str">
        <f>'Resultater - Vestdanmark'!A293</f>
        <v>Øvrig mark</v>
      </c>
      <c r="B293" s="94" t="str">
        <f>'Resultater - Vestdanmark'!B293</f>
        <v>Konventionel</v>
      </c>
      <c r="C293" s="94" t="str">
        <f>'Resultater - Vestdanmark'!C293</f>
        <v>OC12</v>
      </c>
      <c r="D293" s="94" t="str">
        <f>'Resultater - Vestdanmark'!D293</f>
        <v>Areal-øvrige</v>
      </c>
      <c r="E293" s="94" t="str">
        <f>'Resultater - Vestdanmark'!E293</f>
        <v>Hektar</v>
      </c>
      <c r="F293" s="94" t="str">
        <f>'Resultater - Vestdanmark'!F293</f>
        <v>CO2 - atmosfære</v>
      </c>
      <c r="G293" s="94" t="str">
        <f>'Resultater - Vestdanmark'!G293</f>
        <v>t CO2-ækvivalenter</v>
      </c>
      <c r="H293" s="252">
        <f>'Resultater - Vestdanmark'!H293+'Resultater - Østdanmark'!H293</f>
        <v>39069.861329482206</v>
      </c>
      <c r="I293" s="253">
        <f>'Resultater - Vestdanmark'!I293+'Resultater - Østdanmark'!I293</f>
        <v>17970.499317053123</v>
      </c>
      <c r="J293" s="254">
        <f>'Resultater - Vestdanmark'!J293+'Resultater - Østdanmark'!J293</f>
        <v>0</v>
      </c>
    </row>
    <row r="294" spans="1:10" x14ac:dyDescent="0.25">
      <c r="A294" s="94" t="str">
        <f>'Resultater - Vestdanmark'!A294</f>
        <v>Øvrig mark</v>
      </c>
      <c r="B294" s="94" t="str">
        <f>'Resultater - Vestdanmark'!B294</f>
        <v>Økologisk</v>
      </c>
      <c r="C294" s="94" t="str">
        <f>'Resultater - Vestdanmark'!C294</f>
        <v>JB1-10</v>
      </c>
      <c r="D294" s="94" t="str">
        <f>'Resultater - Vestdanmark'!D294</f>
        <v>Areal-øvrige</v>
      </c>
      <c r="E294" s="94" t="str">
        <f>'Resultater - Vestdanmark'!E294</f>
        <v>Hektar</v>
      </c>
      <c r="F294" s="94" t="str">
        <f>'Resultater - Vestdanmark'!F294</f>
        <v>Øvrige</v>
      </c>
      <c r="G294" s="94" t="str">
        <f>'Resultater - Vestdanmark'!G294</f>
        <v>Ton</v>
      </c>
      <c r="H294" s="252">
        <f>'Resultater - Vestdanmark'!H294+'Resultater - Østdanmark'!H294</f>
        <v>129051.01918003485</v>
      </c>
      <c r="I294" s="253">
        <f>'Resultater - Vestdanmark'!I294+'Resultater - Østdanmark'!I294</f>
        <v>87809.442188218993</v>
      </c>
      <c r="J294" s="254">
        <f>'Resultater - Vestdanmark'!J294+'Resultater - Østdanmark'!J294</f>
        <v>120867.78516734685</v>
      </c>
    </row>
    <row r="295" spans="1:10" x14ac:dyDescent="0.25">
      <c r="A295" s="94" t="str">
        <f>'Resultater - Vestdanmark'!A295</f>
        <v>Øvrig mark</v>
      </c>
      <c r="B295" s="94" t="str">
        <f>'Resultater - Vestdanmark'!B295</f>
        <v>Økologisk</v>
      </c>
      <c r="C295" s="94" t="str">
        <f>'Resultater - Vestdanmark'!C295</f>
        <v>JB1-10</v>
      </c>
      <c r="D295" s="94" t="str">
        <f>'Resultater - Vestdanmark'!D295</f>
        <v>Areal-øvrige</v>
      </c>
      <c r="E295" s="94" t="str">
        <f>'Resultater - Vestdanmark'!E295</f>
        <v>Hektar</v>
      </c>
      <c r="F295" s="94" t="str">
        <f>'Resultater - Vestdanmark'!F295</f>
        <v>Gødning</v>
      </c>
      <c r="G295" s="94" t="str">
        <f>'Resultater - Vestdanmark'!G295</f>
        <v>kg N</v>
      </c>
      <c r="H295" s="252">
        <f>'Resultater - Vestdanmark'!H295+'Resultater - Østdanmark'!H295</f>
        <v>-615385.74773192033</v>
      </c>
      <c r="I295" s="253">
        <f>'Resultater - Vestdanmark'!I295+'Resultater - Østdanmark'!I295</f>
        <v>-389920.11677502131</v>
      </c>
      <c r="J295" s="254">
        <f>'Resultater - Vestdanmark'!J295+'Resultater - Østdanmark'!J295</f>
        <v>-471486.65300565981</v>
      </c>
    </row>
    <row r="296" spans="1:10" x14ac:dyDescent="0.25">
      <c r="A296" s="94" t="str">
        <f>'Resultater - Vestdanmark'!A296</f>
        <v>Øvrig mark</v>
      </c>
      <c r="B296" s="94" t="str">
        <f>'Resultater - Vestdanmark'!B296</f>
        <v>Økologisk</v>
      </c>
      <c r="C296" s="94" t="str">
        <f>'Resultater - Vestdanmark'!C296</f>
        <v>JB1-10</v>
      </c>
      <c r="D296" s="94" t="str">
        <f>'Resultater - Vestdanmark'!D296</f>
        <v>Areal-øvrige</v>
      </c>
      <c r="E296" s="94" t="str">
        <f>'Resultater - Vestdanmark'!E296</f>
        <v>Hektar</v>
      </c>
      <c r="F296" s="94" t="str">
        <f>'Resultater - Vestdanmark'!F296</f>
        <v>CO2 - atmosfære</v>
      </c>
      <c r="G296" s="94" t="str">
        <f>'Resultater - Vestdanmark'!G296</f>
        <v>t CO2-ækvivalenter</v>
      </c>
      <c r="H296" s="252">
        <f>'Resultater - Vestdanmark'!H296+'Resultater - Østdanmark'!H296</f>
        <v>17276.729229188404</v>
      </c>
      <c r="I296" s="253">
        <f>'Resultater - Vestdanmark'!I296+'Resultater - Østdanmark'!I296</f>
        <v>10133.667636987308</v>
      </c>
      <c r="J296" s="254">
        <f>'Resultater - Vestdanmark'!J296+'Resultater - Østdanmark'!J296</f>
        <v>10465.675572808723</v>
      </c>
    </row>
    <row r="297" spans="1:10" x14ac:dyDescent="0.25">
      <c r="A297" s="94" t="str">
        <f>'Resultater - Vestdanmark'!A297</f>
        <v>Øvrig mark</v>
      </c>
      <c r="B297" s="94" t="str">
        <f>'Resultater - Vestdanmark'!B297</f>
        <v>Økologisk</v>
      </c>
      <c r="C297" s="94" t="str">
        <f>'Resultater - Vestdanmark'!C297</f>
        <v>OC6</v>
      </c>
      <c r="D297" s="94" t="str">
        <f>'Resultater - Vestdanmark'!D297</f>
        <v>Areal-øvrige</v>
      </c>
      <c r="E297" s="94" t="str">
        <f>'Resultater - Vestdanmark'!E297</f>
        <v>Hektar</v>
      </c>
      <c r="F297" s="94" t="str">
        <f>'Resultater - Vestdanmark'!F297</f>
        <v>Øvrige</v>
      </c>
      <c r="G297" s="94" t="str">
        <f>'Resultater - Vestdanmark'!G297</f>
        <v>Ton</v>
      </c>
      <c r="H297" s="252">
        <f>'Resultater - Vestdanmark'!H297+'Resultater - Østdanmark'!H297</f>
        <v>4321.1212221563428</v>
      </c>
      <c r="I297" s="253">
        <f>'Resultater - Vestdanmark'!I297+'Resultater - Østdanmark'!I297</f>
        <v>2295.7793577139332</v>
      </c>
      <c r="J297" s="254">
        <f>'Resultater - Vestdanmark'!J297+'Resultater - Østdanmark'!J297</f>
        <v>0</v>
      </c>
    </row>
    <row r="298" spans="1:10" x14ac:dyDescent="0.25">
      <c r="A298" s="94" t="str">
        <f>'Resultater - Vestdanmark'!A298</f>
        <v>Øvrig mark</v>
      </c>
      <c r="B298" s="94" t="str">
        <f>'Resultater - Vestdanmark'!B298</f>
        <v>Økologisk</v>
      </c>
      <c r="C298" s="94" t="str">
        <f>'Resultater - Vestdanmark'!C298</f>
        <v>OC6</v>
      </c>
      <c r="D298" s="94" t="str">
        <f>'Resultater - Vestdanmark'!D298</f>
        <v>Areal-øvrige</v>
      </c>
      <c r="E298" s="94" t="str">
        <f>'Resultater - Vestdanmark'!E298</f>
        <v>Hektar</v>
      </c>
      <c r="F298" s="94" t="str">
        <f>'Resultater - Vestdanmark'!F298</f>
        <v>Gødning</v>
      </c>
      <c r="G298" s="94" t="str">
        <f>'Resultater - Vestdanmark'!G298</f>
        <v>kg N</v>
      </c>
      <c r="H298" s="252">
        <f>'Resultater - Vestdanmark'!H298+'Resultater - Østdanmark'!H298</f>
        <v>-15106.646777302138</v>
      </c>
      <c r="I298" s="253">
        <f>'Resultater - Vestdanmark'!I298+'Resultater - Østdanmark'!I298</f>
        <v>-7473.9502031002585</v>
      </c>
      <c r="J298" s="254">
        <f>'Resultater - Vestdanmark'!J298+'Resultater - Østdanmark'!J298</f>
        <v>0</v>
      </c>
    </row>
    <row r="299" spans="1:10" x14ac:dyDescent="0.25">
      <c r="A299" s="94" t="str">
        <f>'Resultater - Vestdanmark'!A299</f>
        <v>Øvrig mark</v>
      </c>
      <c r="B299" s="94" t="str">
        <f>'Resultater - Vestdanmark'!B299</f>
        <v>Økologisk</v>
      </c>
      <c r="C299" s="94" t="str">
        <f>'Resultater - Vestdanmark'!C299</f>
        <v>OC6</v>
      </c>
      <c r="D299" s="94" t="str">
        <f>'Resultater - Vestdanmark'!D299</f>
        <v>Areal-øvrige</v>
      </c>
      <c r="E299" s="94" t="str">
        <f>'Resultater - Vestdanmark'!E299</f>
        <v>Hektar</v>
      </c>
      <c r="F299" s="94" t="str">
        <f>'Resultater - Vestdanmark'!F299</f>
        <v>CO2 - atmosfære</v>
      </c>
      <c r="G299" s="94" t="str">
        <f>'Resultater - Vestdanmark'!G299</f>
        <v>t CO2-ækvivalenter</v>
      </c>
      <c r="H299" s="252">
        <f>'Resultater - Vestdanmark'!H299+'Resultater - Østdanmark'!H299</f>
        <v>3390.6088165638589</v>
      </c>
      <c r="I299" s="253">
        <f>'Resultater - Vestdanmark'!I299+'Resultater - Østdanmark'!I299</f>
        <v>1552.8758415593775</v>
      </c>
      <c r="J299" s="254">
        <f>'Resultater - Vestdanmark'!J299+'Resultater - Østdanmark'!J299</f>
        <v>0</v>
      </c>
    </row>
    <row r="300" spans="1:10" x14ac:dyDescent="0.25">
      <c r="A300" s="94" t="str">
        <f>'Resultater - Vestdanmark'!A300</f>
        <v>Øvrig mark</v>
      </c>
      <c r="B300" s="94" t="str">
        <f>'Resultater - Vestdanmark'!B300</f>
        <v>Økologisk</v>
      </c>
      <c r="C300" s="94" t="str">
        <f>'Resultater - Vestdanmark'!C300</f>
        <v>OC12</v>
      </c>
      <c r="D300" s="94" t="str">
        <f>'Resultater - Vestdanmark'!D300</f>
        <v>Areal-øvrige</v>
      </c>
      <c r="E300" s="94" t="str">
        <f>'Resultater - Vestdanmark'!E300</f>
        <v>Hektar</v>
      </c>
      <c r="F300" s="94" t="str">
        <f>'Resultater - Vestdanmark'!F300</f>
        <v>Øvrige</v>
      </c>
      <c r="G300" s="94" t="str">
        <f>'Resultater - Vestdanmark'!G300</f>
        <v>Ton</v>
      </c>
      <c r="H300" s="252">
        <f>'Resultater - Vestdanmark'!H300+'Resultater - Østdanmark'!H300</f>
        <v>2900.4799759551861</v>
      </c>
      <c r="I300" s="253">
        <f>'Resultater - Vestdanmark'!I300+'Resultater - Østdanmark'!I300</f>
        <v>1547.6145218258464</v>
      </c>
      <c r="J300" s="254">
        <f>'Resultater - Vestdanmark'!J300+'Resultater - Østdanmark'!J300</f>
        <v>0</v>
      </c>
    </row>
    <row r="301" spans="1:10" x14ac:dyDescent="0.25">
      <c r="A301" s="94" t="str">
        <f>'Resultater - Vestdanmark'!A301</f>
        <v>Øvrig mark</v>
      </c>
      <c r="B301" s="94" t="str">
        <f>'Resultater - Vestdanmark'!B301</f>
        <v>Økologisk</v>
      </c>
      <c r="C301" s="94" t="str">
        <f>'Resultater - Vestdanmark'!C301</f>
        <v>OC12</v>
      </c>
      <c r="D301" s="94" t="str">
        <f>'Resultater - Vestdanmark'!D301</f>
        <v>Areal-øvrige</v>
      </c>
      <c r="E301" s="94" t="str">
        <f>'Resultater - Vestdanmark'!E301</f>
        <v>Hektar</v>
      </c>
      <c r="F301" s="94" t="str">
        <f>'Resultater - Vestdanmark'!F301</f>
        <v>Gødning</v>
      </c>
      <c r="G301" s="94" t="str">
        <f>'Resultater - Vestdanmark'!G301</f>
        <v>kg N</v>
      </c>
      <c r="H301" s="252">
        <f>'Resultater - Vestdanmark'!H301+'Resultater - Østdanmark'!H301</f>
        <v>-7503.6611863552844</v>
      </c>
      <c r="I301" s="253">
        <f>'Resultater - Vestdanmark'!I301+'Resultater - Østdanmark'!I301</f>
        <v>-3728.3319212857195</v>
      </c>
      <c r="J301" s="254">
        <f>'Resultater - Vestdanmark'!J301+'Resultater - Østdanmark'!J301</f>
        <v>0</v>
      </c>
    </row>
    <row r="302" spans="1:10" x14ac:dyDescent="0.25">
      <c r="A302" s="94" t="str">
        <f>'Resultater - Vestdanmark'!A302</f>
        <v>Øvrig mark</v>
      </c>
      <c r="B302" s="94" t="str">
        <f>'Resultater - Vestdanmark'!B302</f>
        <v>Økologisk</v>
      </c>
      <c r="C302" s="94" t="str">
        <f>'Resultater - Vestdanmark'!C302</f>
        <v>OC12</v>
      </c>
      <c r="D302" s="94" t="str">
        <f>'Resultater - Vestdanmark'!D302</f>
        <v>Areal-øvrige</v>
      </c>
      <c r="E302" s="94" t="str">
        <f>'Resultater - Vestdanmark'!E302</f>
        <v>Hektar</v>
      </c>
      <c r="F302" s="94" t="str">
        <f>'Resultater - Vestdanmark'!F302</f>
        <v>CO2 - atmosfære</v>
      </c>
      <c r="G302" s="94" t="str">
        <f>'Resultater - Vestdanmark'!G302</f>
        <v>t CO2-ækvivalenter</v>
      </c>
      <c r="H302" s="252">
        <f>'Resultater - Vestdanmark'!H302+'Resultater - Østdanmark'!H302</f>
        <v>4995.5316324451924</v>
      </c>
      <c r="I302" s="253">
        <f>'Resultater - Vestdanmark'!I302+'Resultater - Østdanmark'!I302</f>
        <v>2297.7352551141848</v>
      </c>
      <c r="J302" s="254">
        <f>'Resultater - Vestdanmark'!J302+'Resultater - Østdanmark'!J302</f>
        <v>0</v>
      </c>
    </row>
    <row r="303" spans="1:10" x14ac:dyDescent="0.25">
      <c r="A303" s="94" t="str">
        <f>'Resultater - Vestdanmark'!A303</f>
        <v>Majsmark</v>
      </c>
      <c r="B303" s="94" t="str">
        <f>'Resultater - Vestdanmark'!B303</f>
        <v>Konventionel</v>
      </c>
      <c r="C303" s="94" t="str">
        <f>'Resultater - Vestdanmark'!C303</f>
        <v>JB1-10</v>
      </c>
      <c r="D303" s="94" t="str">
        <f>'Resultater - Vestdanmark'!D303</f>
        <v>Areal-majs</v>
      </c>
      <c r="E303" s="94" t="str">
        <f>'Resultater - Vestdanmark'!E303</f>
        <v>Hektar</v>
      </c>
      <c r="F303" s="94" t="str">
        <f>'Resultater - Vestdanmark'!F303</f>
        <v>Majs</v>
      </c>
      <c r="G303" s="94" t="str">
        <f>'Resultater - Vestdanmark'!G303</f>
        <v>Ton</v>
      </c>
      <c r="H303" s="252">
        <f>'Resultater - Vestdanmark'!H303+'Resultater - Østdanmark'!H303</f>
        <v>6824552.1371091604</v>
      </c>
      <c r="I303" s="253">
        <f>'Resultater - Vestdanmark'!I303+'Resultater - Østdanmark'!I303</f>
        <v>4682131.3106018631</v>
      </c>
      <c r="J303" s="254">
        <f>'Resultater - Vestdanmark'!J303+'Resultater - Østdanmark'!J303</f>
        <v>0</v>
      </c>
    </row>
    <row r="304" spans="1:10" x14ac:dyDescent="0.25">
      <c r="A304" s="94" t="str">
        <f>'Resultater - Vestdanmark'!A304</f>
        <v>Majsmark</v>
      </c>
      <c r="B304" s="94" t="str">
        <f>'Resultater - Vestdanmark'!B304</f>
        <v>Konventionel</v>
      </c>
      <c r="C304" s="94" t="str">
        <f>'Resultater - Vestdanmark'!C304</f>
        <v>JB1-10</v>
      </c>
      <c r="D304" s="94" t="str">
        <f>'Resultater - Vestdanmark'!D304</f>
        <v>Areal-majs</v>
      </c>
      <c r="E304" s="94" t="str">
        <f>'Resultater - Vestdanmark'!E304</f>
        <v>Hektar</v>
      </c>
      <c r="F304" s="94" t="str">
        <f>'Resultater - Vestdanmark'!F304</f>
        <v>Gødning</v>
      </c>
      <c r="G304" s="94" t="str">
        <f>'Resultater - Vestdanmark'!G304</f>
        <v>kg N</v>
      </c>
      <c r="H304" s="252">
        <f>'Resultater - Vestdanmark'!H304+'Resultater - Østdanmark'!H304</f>
        <v>-24532202.694618411</v>
      </c>
      <c r="I304" s="253">
        <f>'Resultater - Vestdanmark'!I304+'Resultater - Østdanmark'!I304</f>
        <v>-15673082.016557895</v>
      </c>
      <c r="J304" s="254">
        <f>'Resultater - Vestdanmark'!J304+'Resultater - Østdanmark'!J304</f>
        <v>0</v>
      </c>
    </row>
    <row r="305" spans="1:10" x14ac:dyDescent="0.25">
      <c r="A305" s="94" t="str">
        <f>'Resultater - Vestdanmark'!A305</f>
        <v>Majsmark</v>
      </c>
      <c r="B305" s="94" t="str">
        <f>'Resultater - Vestdanmark'!B305</f>
        <v>Konventionel</v>
      </c>
      <c r="C305" s="94" t="str">
        <f>'Resultater - Vestdanmark'!C305</f>
        <v>JB1-10</v>
      </c>
      <c r="D305" s="94" t="str">
        <f>'Resultater - Vestdanmark'!D305</f>
        <v>Areal-majs</v>
      </c>
      <c r="E305" s="94" t="str">
        <f>'Resultater - Vestdanmark'!E305</f>
        <v>Hektar</v>
      </c>
      <c r="F305" s="94" t="str">
        <f>'Resultater - Vestdanmark'!F305</f>
        <v>CO2 - atmosfære</v>
      </c>
      <c r="G305" s="94" t="str">
        <f>'Resultater - Vestdanmark'!G305</f>
        <v>t CO2-ækvivalenter</v>
      </c>
      <c r="H305" s="252">
        <f>'Resultater - Vestdanmark'!H305+'Resultater - Østdanmark'!H305</f>
        <v>348617.06930478453</v>
      </c>
      <c r="I305" s="253">
        <f>'Resultater - Vestdanmark'!I305+'Resultater - Østdanmark'!I305</f>
        <v>206178.52619537275</v>
      </c>
      <c r="J305" s="254">
        <f>'Resultater - Vestdanmark'!J305+'Resultater - Østdanmark'!J305</f>
        <v>0</v>
      </c>
    </row>
    <row r="306" spans="1:10" x14ac:dyDescent="0.25">
      <c r="A306" s="94" t="str">
        <f>'Resultater - Vestdanmark'!A306</f>
        <v>Majsmark</v>
      </c>
      <c r="B306" s="94" t="str">
        <f>'Resultater - Vestdanmark'!B306</f>
        <v>Konventionel</v>
      </c>
      <c r="C306" s="94" t="str">
        <f>'Resultater - Vestdanmark'!C306</f>
        <v>OC6</v>
      </c>
      <c r="D306" s="94" t="str">
        <f>'Resultater - Vestdanmark'!D306</f>
        <v>Areal-majs</v>
      </c>
      <c r="E306" s="94" t="str">
        <f>'Resultater - Vestdanmark'!E306</f>
        <v>Hektar</v>
      </c>
      <c r="F306" s="94" t="str">
        <f>'Resultater - Vestdanmark'!F306</f>
        <v>Majs</v>
      </c>
      <c r="G306" s="94" t="str">
        <f>'Resultater - Vestdanmark'!G306</f>
        <v>Ton</v>
      </c>
      <c r="H306" s="252">
        <f>'Resultater - Vestdanmark'!H306+'Resultater - Østdanmark'!H306</f>
        <v>263505.94367690803</v>
      </c>
      <c r="I306" s="253">
        <f>'Resultater - Vestdanmark'!I306+'Resultater - Østdanmark'!I306</f>
        <v>139971.71174409144</v>
      </c>
      <c r="J306" s="254">
        <f>'Resultater - Vestdanmark'!J306+'Resultater - Østdanmark'!J306</f>
        <v>0</v>
      </c>
    </row>
    <row r="307" spans="1:10" x14ac:dyDescent="0.25">
      <c r="A307" s="94" t="str">
        <f>'Resultater - Vestdanmark'!A307</f>
        <v>Majsmark</v>
      </c>
      <c r="B307" s="94" t="str">
        <f>'Resultater - Vestdanmark'!B307</f>
        <v>Konventionel</v>
      </c>
      <c r="C307" s="94" t="str">
        <f>'Resultater - Vestdanmark'!C307</f>
        <v>OC6</v>
      </c>
      <c r="D307" s="94" t="str">
        <f>'Resultater - Vestdanmark'!D307</f>
        <v>Areal-majs</v>
      </c>
      <c r="E307" s="94" t="str">
        <f>'Resultater - Vestdanmark'!E307</f>
        <v>Hektar</v>
      </c>
      <c r="F307" s="94" t="str">
        <f>'Resultater - Vestdanmark'!F307</f>
        <v>Gødning</v>
      </c>
      <c r="G307" s="94" t="str">
        <f>'Resultater - Vestdanmark'!G307</f>
        <v>kg N</v>
      </c>
      <c r="H307" s="252">
        <f>'Resultater - Vestdanmark'!H307+'Resultater - Østdanmark'!H307</f>
        <v>-641349.74683588033</v>
      </c>
      <c r="I307" s="253">
        <f>'Resultater - Vestdanmark'!I307+'Resultater - Østdanmark'!I307</f>
        <v>-317243.85181372147</v>
      </c>
      <c r="J307" s="254">
        <f>'Resultater - Vestdanmark'!J307+'Resultater - Østdanmark'!J307</f>
        <v>0</v>
      </c>
    </row>
    <row r="308" spans="1:10" x14ac:dyDescent="0.25">
      <c r="A308" s="94" t="str">
        <f>'Resultater - Vestdanmark'!A308</f>
        <v>Majsmark</v>
      </c>
      <c r="B308" s="94" t="str">
        <f>'Resultater - Vestdanmark'!B308</f>
        <v>Konventionel</v>
      </c>
      <c r="C308" s="94" t="str">
        <f>'Resultater - Vestdanmark'!C308</f>
        <v>OC6</v>
      </c>
      <c r="D308" s="94" t="str">
        <f>'Resultater - Vestdanmark'!D308</f>
        <v>Areal-majs</v>
      </c>
      <c r="E308" s="94" t="str">
        <f>'Resultater - Vestdanmark'!E308</f>
        <v>Hektar</v>
      </c>
      <c r="F308" s="94" t="str">
        <f>'Resultater - Vestdanmark'!F308</f>
        <v>CO2 - atmosfære</v>
      </c>
      <c r="G308" s="94" t="str">
        <f>'Resultater - Vestdanmark'!G308</f>
        <v>t CO2-ækvivalenter</v>
      </c>
      <c r="H308" s="252">
        <f>'Resultater - Vestdanmark'!H308+'Resultater - Østdanmark'!H308</f>
        <v>78894.37795433517</v>
      </c>
      <c r="I308" s="253">
        <f>'Resultater - Vestdanmark'!I308+'Resultater - Østdanmark'!I308</f>
        <v>36126.115346689716</v>
      </c>
      <c r="J308" s="254">
        <f>'Resultater - Vestdanmark'!J308+'Resultater - Østdanmark'!J308</f>
        <v>0</v>
      </c>
    </row>
    <row r="309" spans="1:10" x14ac:dyDescent="0.25">
      <c r="A309" s="94" t="str">
        <f>'Resultater - Vestdanmark'!A309</f>
        <v>Majsmark</v>
      </c>
      <c r="B309" s="94" t="str">
        <f>'Resultater - Vestdanmark'!B309</f>
        <v>Konventionel</v>
      </c>
      <c r="C309" s="94" t="str">
        <f>'Resultater - Vestdanmark'!C309</f>
        <v>OC12</v>
      </c>
      <c r="D309" s="94" t="str">
        <f>'Resultater - Vestdanmark'!D309</f>
        <v>Areal-majs</v>
      </c>
      <c r="E309" s="94" t="str">
        <f>'Resultater - Vestdanmark'!E309</f>
        <v>Hektar</v>
      </c>
      <c r="F309" s="94" t="str">
        <f>'Resultater - Vestdanmark'!F309</f>
        <v>Majs</v>
      </c>
      <c r="G309" s="94" t="str">
        <f>'Resultater - Vestdanmark'!G309</f>
        <v>Ton</v>
      </c>
      <c r="H309" s="252">
        <f>'Resultater - Vestdanmark'!H309+'Resultater - Østdanmark'!H309</f>
        <v>104547.38485235954</v>
      </c>
      <c r="I309" s="253">
        <f>'Resultater - Vestdanmark'!I309+'Resultater - Østdanmark'!I309</f>
        <v>55586.836032438863</v>
      </c>
      <c r="J309" s="254">
        <f>'Resultater - Vestdanmark'!J309+'Resultater - Østdanmark'!J309</f>
        <v>0</v>
      </c>
    </row>
    <row r="310" spans="1:10" x14ac:dyDescent="0.25">
      <c r="A310" s="94" t="str">
        <f>'Resultater - Vestdanmark'!A310</f>
        <v>Majsmark</v>
      </c>
      <c r="B310" s="94" t="str">
        <f>'Resultater - Vestdanmark'!B310</f>
        <v>Konventionel</v>
      </c>
      <c r="C310" s="94" t="str">
        <f>'Resultater - Vestdanmark'!C310</f>
        <v>OC12</v>
      </c>
      <c r="D310" s="94" t="str">
        <f>'Resultater - Vestdanmark'!D310</f>
        <v>Areal-majs</v>
      </c>
      <c r="E310" s="94" t="str">
        <f>'Resultater - Vestdanmark'!E310</f>
        <v>Hektar</v>
      </c>
      <c r="F310" s="94" t="str">
        <f>'Resultater - Vestdanmark'!F310</f>
        <v>Gødning</v>
      </c>
      <c r="G310" s="94" t="str">
        <f>'Resultater - Vestdanmark'!G310</f>
        <v>kg N</v>
      </c>
      <c r="H310" s="252">
        <f>'Resultater - Vestdanmark'!H310+'Resultater - Østdanmark'!H310</f>
        <v>-167775.11450454078</v>
      </c>
      <c r="I310" s="253">
        <f>'Resultater - Vestdanmark'!I310+'Resultater - Østdanmark'!I310</f>
        <v>-83068.191139777337</v>
      </c>
      <c r="J310" s="254">
        <f>'Resultater - Vestdanmark'!J310+'Resultater - Østdanmark'!J310</f>
        <v>0</v>
      </c>
    </row>
    <row r="311" spans="1:10" x14ac:dyDescent="0.25">
      <c r="A311" s="94" t="str">
        <f>'Resultater - Vestdanmark'!A311</f>
        <v>Majsmark</v>
      </c>
      <c r="B311" s="94" t="str">
        <f>'Resultater - Vestdanmark'!B311</f>
        <v>Konventionel</v>
      </c>
      <c r="C311" s="94" t="str">
        <f>'Resultater - Vestdanmark'!C311</f>
        <v>OC12</v>
      </c>
      <c r="D311" s="94" t="str">
        <f>'Resultater - Vestdanmark'!D311</f>
        <v>Areal-majs</v>
      </c>
      <c r="E311" s="94" t="str">
        <f>'Resultater - Vestdanmark'!E311</f>
        <v>Hektar</v>
      </c>
      <c r="F311" s="94" t="str">
        <f>'Resultater - Vestdanmark'!F311</f>
        <v>CO2 - atmosfære</v>
      </c>
      <c r="G311" s="94" t="str">
        <f>'Resultater - Vestdanmark'!G311</f>
        <v>t CO2-ækvivalenter</v>
      </c>
      <c r="H311" s="252">
        <f>'Resultater - Vestdanmark'!H311+'Resultater - Østdanmark'!H311</f>
        <v>68706.752116598291</v>
      </c>
      <c r="I311" s="253">
        <f>'Resultater - Vestdanmark'!I311+'Resultater - Østdanmark'!I311</f>
        <v>31490.789595550887</v>
      </c>
      <c r="J311" s="254">
        <f>'Resultater - Vestdanmark'!J311+'Resultater - Østdanmark'!J311</f>
        <v>0</v>
      </c>
    </row>
    <row r="312" spans="1:10" x14ac:dyDescent="0.25">
      <c r="A312" s="94" t="str">
        <f>'Resultater - Vestdanmark'!A312</f>
        <v>Majsmark</v>
      </c>
      <c r="B312" s="94" t="str">
        <f>'Resultater - Vestdanmark'!B312</f>
        <v>Økologisk</v>
      </c>
      <c r="C312" s="94" t="str">
        <f>'Resultater - Vestdanmark'!C312</f>
        <v>JB1-10</v>
      </c>
      <c r="D312" s="94" t="str">
        <f>'Resultater - Vestdanmark'!D312</f>
        <v>Areal-majs</v>
      </c>
      <c r="E312" s="94" t="str">
        <f>'Resultater - Vestdanmark'!E312</f>
        <v>Hektar</v>
      </c>
      <c r="F312" s="94" t="str">
        <f>'Resultater - Vestdanmark'!F312</f>
        <v>Majs</v>
      </c>
      <c r="G312" s="94" t="str">
        <f>'Resultater - Vestdanmark'!G312</f>
        <v>Ton</v>
      </c>
      <c r="H312" s="252">
        <f>'Resultater - Vestdanmark'!H312+'Resultater - Østdanmark'!H312</f>
        <v>724255.98356433213</v>
      </c>
      <c r="I312" s="253">
        <f>'Resultater - Vestdanmark'!I312+'Resultater - Østdanmark'!I312</f>
        <v>496891.45154274435</v>
      </c>
      <c r="J312" s="254">
        <f>'Resultater - Vestdanmark'!J312+'Resultater - Østdanmark'!J312</f>
        <v>683960.2634967803</v>
      </c>
    </row>
    <row r="313" spans="1:10" x14ac:dyDescent="0.25">
      <c r="A313" s="94" t="str">
        <f>'Resultater - Vestdanmark'!A313</f>
        <v>Majsmark</v>
      </c>
      <c r="B313" s="94" t="str">
        <f>'Resultater - Vestdanmark'!B313</f>
        <v>Økologisk</v>
      </c>
      <c r="C313" s="94" t="str">
        <f>'Resultater - Vestdanmark'!C313</f>
        <v>JB1-10</v>
      </c>
      <c r="D313" s="94" t="str">
        <f>'Resultater - Vestdanmark'!D313</f>
        <v>Areal-majs</v>
      </c>
      <c r="E313" s="94" t="str">
        <f>'Resultater - Vestdanmark'!E313</f>
        <v>Hektar</v>
      </c>
      <c r="F313" s="94" t="str">
        <f>'Resultater - Vestdanmark'!F313</f>
        <v>Gødning</v>
      </c>
      <c r="G313" s="94" t="str">
        <f>'Resultater - Vestdanmark'!G313</f>
        <v>kg N</v>
      </c>
      <c r="H313" s="252">
        <f>'Resultater - Vestdanmark'!H313+'Resultater - Østdanmark'!H313</f>
        <v>-2603481.405758102</v>
      </c>
      <c r="I313" s="253">
        <f>'Resultater - Vestdanmark'!I313+'Resultater - Østdanmark'!I313</f>
        <v>-1663306.7201088071</v>
      </c>
      <c r="J313" s="254">
        <f>'Resultater - Vestdanmark'!J313+'Resultater - Østdanmark'!J313</f>
        <v>-2011250.2142032641</v>
      </c>
    </row>
    <row r="314" spans="1:10" x14ac:dyDescent="0.25">
      <c r="A314" s="94" t="str">
        <f>'Resultater - Vestdanmark'!A314</f>
        <v>Majsmark</v>
      </c>
      <c r="B314" s="94" t="str">
        <f>'Resultater - Vestdanmark'!B314</f>
        <v>Økologisk</v>
      </c>
      <c r="C314" s="94" t="str">
        <f>'Resultater - Vestdanmark'!C314</f>
        <v>JB1-10</v>
      </c>
      <c r="D314" s="94" t="str">
        <f>'Resultater - Vestdanmark'!D314</f>
        <v>Areal-majs</v>
      </c>
      <c r="E314" s="94" t="str">
        <f>'Resultater - Vestdanmark'!E314</f>
        <v>Hektar</v>
      </c>
      <c r="F314" s="94" t="str">
        <f>'Resultater - Vestdanmark'!F314</f>
        <v>CO2 - atmosfære</v>
      </c>
      <c r="G314" s="94" t="str">
        <f>'Resultater - Vestdanmark'!G314</f>
        <v>t CO2-ækvivalenter</v>
      </c>
      <c r="H314" s="252">
        <f>'Resultater - Vestdanmark'!H314+'Resultater - Østdanmark'!H314</f>
        <v>44574.706386485894</v>
      </c>
      <c r="I314" s="253">
        <f>'Resultater - Vestdanmark'!I314+'Resultater - Østdanmark'!I314</f>
        <v>26362.298572139945</v>
      </c>
      <c r="J314" s="254">
        <f>'Resultater - Vestdanmark'!J314+'Resultater - Østdanmark'!J314</f>
        <v>27226.002874074802</v>
      </c>
    </row>
    <row r="315" spans="1:10" x14ac:dyDescent="0.25">
      <c r="A315" s="94" t="str">
        <f>'Resultater - Vestdanmark'!A315</f>
        <v>Majsmark</v>
      </c>
      <c r="B315" s="94" t="str">
        <f>'Resultater - Vestdanmark'!B315</f>
        <v>Økologisk</v>
      </c>
      <c r="C315" s="94" t="str">
        <f>'Resultater - Vestdanmark'!C315</f>
        <v>OC6</v>
      </c>
      <c r="D315" s="94" t="str">
        <f>'Resultater - Vestdanmark'!D315</f>
        <v>Areal-majs</v>
      </c>
      <c r="E315" s="94" t="str">
        <f>'Resultater - Vestdanmark'!E315</f>
        <v>Hektar</v>
      </c>
      <c r="F315" s="94" t="str">
        <f>'Resultater - Vestdanmark'!F315</f>
        <v>Majs</v>
      </c>
      <c r="G315" s="94" t="str">
        <f>'Resultater - Vestdanmark'!G315</f>
        <v>Ton</v>
      </c>
      <c r="H315" s="252">
        <f>'Resultater - Vestdanmark'!H315+'Resultater - Østdanmark'!H315</f>
        <v>27964.583254485577</v>
      </c>
      <c r="I315" s="253">
        <f>'Resultater - Vestdanmark'!I315+'Resultater - Østdanmark'!I315</f>
        <v>14854.505867009484</v>
      </c>
      <c r="J315" s="254">
        <f>'Resultater - Vestdanmark'!J315+'Resultater - Østdanmark'!J315</f>
        <v>0</v>
      </c>
    </row>
    <row r="316" spans="1:10" x14ac:dyDescent="0.25">
      <c r="A316" s="94" t="str">
        <f>'Resultater - Vestdanmark'!A316</f>
        <v>Majsmark</v>
      </c>
      <c r="B316" s="94" t="str">
        <f>'Resultater - Vestdanmark'!B316</f>
        <v>Økologisk</v>
      </c>
      <c r="C316" s="94" t="str">
        <f>'Resultater - Vestdanmark'!C316</f>
        <v>OC6</v>
      </c>
      <c r="D316" s="94" t="str">
        <f>'Resultater - Vestdanmark'!D316</f>
        <v>Areal-majs</v>
      </c>
      <c r="E316" s="94" t="str">
        <f>'Resultater - Vestdanmark'!E316</f>
        <v>Hektar</v>
      </c>
      <c r="F316" s="94" t="str">
        <f>'Resultater - Vestdanmark'!F316</f>
        <v>Gødning</v>
      </c>
      <c r="G316" s="94" t="str">
        <f>'Resultater - Vestdanmark'!G316</f>
        <v>kg N</v>
      </c>
      <c r="H316" s="252">
        <f>'Resultater - Vestdanmark'!H316+'Resultater - Østdanmark'!H316</f>
        <v>-68063.278347246393</v>
      </c>
      <c r="I316" s="253">
        <f>'Resultater - Vestdanmark'!I316+'Resultater - Østdanmark'!I316</f>
        <v>-33667.521810802886</v>
      </c>
      <c r="J316" s="254">
        <f>'Resultater - Vestdanmark'!J316+'Resultater - Østdanmark'!J316</f>
        <v>0</v>
      </c>
    </row>
    <row r="317" spans="1:10" x14ac:dyDescent="0.25">
      <c r="A317" s="94" t="str">
        <f>'Resultater - Vestdanmark'!A317</f>
        <v>Majsmark</v>
      </c>
      <c r="B317" s="94" t="str">
        <f>'Resultater - Vestdanmark'!B317</f>
        <v>Økologisk</v>
      </c>
      <c r="C317" s="94" t="str">
        <f>'Resultater - Vestdanmark'!C317</f>
        <v>OC6</v>
      </c>
      <c r="D317" s="94" t="str">
        <f>'Resultater - Vestdanmark'!D317</f>
        <v>Areal-majs</v>
      </c>
      <c r="E317" s="94" t="str">
        <f>'Resultater - Vestdanmark'!E317</f>
        <v>Hektar</v>
      </c>
      <c r="F317" s="94" t="str">
        <f>'Resultater - Vestdanmark'!F317</f>
        <v>CO2 - atmosfære</v>
      </c>
      <c r="G317" s="94" t="str">
        <f>'Resultater - Vestdanmark'!G317</f>
        <v>t CO2-ækvivalenter</v>
      </c>
      <c r="H317" s="252">
        <f>'Resultater - Vestdanmark'!H317+'Resultater - Østdanmark'!H317</f>
        <v>10087.55463371877</v>
      </c>
      <c r="I317" s="253">
        <f>'Resultater - Vestdanmark'!I317+'Resultater - Østdanmark'!I317</f>
        <v>4619.1398134185274</v>
      </c>
      <c r="J317" s="254">
        <f>'Resultater - Vestdanmark'!J317+'Resultater - Østdanmark'!J317</f>
        <v>0</v>
      </c>
    </row>
    <row r="318" spans="1:10" x14ac:dyDescent="0.25">
      <c r="A318" s="94" t="str">
        <f>'Resultater - Vestdanmark'!A318</f>
        <v>Majsmark</v>
      </c>
      <c r="B318" s="94" t="str">
        <f>'Resultater - Vestdanmark'!B318</f>
        <v>Økologisk</v>
      </c>
      <c r="C318" s="94" t="str">
        <f>'Resultater - Vestdanmark'!C318</f>
        <v>OC12</v>
      </c>
      <c r="D318" s="94" t="str">
        <f>'Resultater - Vestdanmark'!D318</f>
        <v>Areal-majs</v>
      </c>
      <c r="E318" s="94" t="str">
        <f>'Resultater - Vestdanmark'!E318</f>
        <v>Hektar</v>
      </c>
      <c r="F318" s="94" t="str">
        <f>'Resultater - Vestdanmark'!F318</f>
        <v>Majs</v>
      </c>
      <c r="G318" s="94" t="str">
        <f>'Resultater - Vestdanmark'!G318</f>
        <v>Ton</v>
      </c>
      <c r="H318" s="252">
        <f>'Resultater - Vestdanmark'!H318+'Resultater - Østdanmark'!H318</f>
        <v>11095.097161555068</v>
      </c>
      <c r="I318" s="253">
        <f>'Resultater - Vestdanmark'!I318+'Resultater - Østdanmark'!I318</f>
        <v>5899.1561343623644</v>
      </c>
      <c r="J318" s="254">
        <f>'Resultater - Vestdanmark'!J318+'Resultater - Østdanmark'!J318</f>
        <v>0</v>
      </c>
    </row>
    <row r="319" spans="1:10" x14ac:dyDescent="0.25">
      <c r="A319" s="94" t="str">
        <f>'Resultater - Vestdanmark'!A319</f>
        <v>Majsmark</v>
      </c>
      <c r="B319" s="94" t="str">
        <f>'Resultater - Vestdanmark'!B319</f>
        <v>Økologisk</v>
      </c>
      <c r="C319" s="94" t="str">
        <f>'Resultater - Vestdanmark'!C319</f>
        <v>OC12</v>
      </c>
      <c r="D319" s="94" t="str">
        <f>'Resultater - Vestdanmark'!D319</f>
        <v>Areal-majs</v>
      </c>
      <c r="E319" s="94" t="str">
        <f>'Resultater - Vestdanmark'!E319</f>
        <v>Hektar</v>
      </c>
      <c r="F319" s="94" t="str">
        <f>'Resultater - Vestdanmark'!F319</f>
        <v>Gødning</v>
      </c>
      <c r="G319" s="94" t="str">
        <f>'Resultater - Vestdanmark'!G319</f>
        <v>kg N</v>
      </c>
      <c r="H319" s="252">
        <f>'Resultater - Vestdanmark'!H319+'Resultater - Østdanmark'!H319</f>
        <v>-17805.143565739752</v>
      </c>
      <c r="I319" s="253">
        <f>'Resultater - Vestdanmark'!I319+'Resultater - Østdanmark'!I319</f>
        <v>-8815.6165075960471</v>
      </c>
      <c r="J319" s="254">
        <f>'Resultater - Vestdanmark'!J319+'Resultater - Østdanmark'!J319</f>
        <v>0</v>
      </c>
    </row>
    <row r="320" spans="1:10" x14ac:dyDescent="0.25">
      <c r="A320" s="94" t="str">
        <f>'Resultater - Vestdanmark'!A320</f>
        <v>Majsmark</v>
      </c>
      <c r="B320" s="94" t="str">
        <f>'Resultater - Vestdanmark'!B320</f>
        <v>Økologisk</v>
      </c>
      <c r="C320" s="94" t="str">
        <f>'Resultater - Vestdanmark'!C320</f>
        <v>OC12</v>
      </c>
      <c r="D320" s="94" t="str">
        <f>'Resultater - Vestdanmark'!D320</f>
        <v>Areal-majs</v>
      </c>
      <c r="E320" s="94" t="str">
        <f>'Resultater - Vestdanmark'!E320</f>
        <v>Hektar</v>
      </c>
      <c r="F320" s="94" t="str">
        <f>'Resultater - Vestdanmark'!F320</f>
        <v>CO2 - atmosfære</v>
      </c>
      <c r="G320" s="94" t="str">
        <f>'Resultater - Vestdanmark'!G320</f>
        <v>t CO2-ækvivalenter</v>
      </c>
      <c r="H320" s="252">
        <f>'Resultater - Vestdanmark'!H320+'Resultater - Østdanmark'!H320</f>
        <v>8784.9493671490909</v>
      </c>
      <c r="I320" s="253">
        <f>'Resultater - Vestdanmark'!I320+'Resultater - Østdanmark'!I320</f>
        <v>4026.4600436792825</v>
      </c>
      <c r="J320" s="254">
        <f>'Resultater - Vestdanmark'!J320+'Resultater - Østdanmark'!J320</f>
        <v>0</v>
      </c>
    </row>
    <row r="321" spans="1:10" x14ac:dyDescent="0.25">
      <c r="A321" s="94" t="str">
        <f>'Resultater - Vestdanmark'!A321</f>
        <v>Rapsmark</v>
      </c>
      <c r="B321" s="94" t="str">
        <f>'Resultater - Vestdanmark'!B321</f>
        <v>Konventionel</v>
      </c>
      <c r="C321" s="94" t="str">
        <f>'Resultater - Vestdanmark'!C321</f>
        <v>JB1-10</v>
      </c>
      <c r="D321" s="94" t="str">
        <f>'Resultater - Vestdanmark'!D321</f>
        <v>Areal-raps</v>
      </c>
      <c r="E321" s="94" t="str">
        <f>'Resultater - Vestdanmark'!E321</f>
        <v>Hektar</v>
      </c>
      <c r="F321" s="94" t="str">
        <f>'Resultater - Vestdanmark'!F321</f>
        <v>Raps</v>
      </c>
      <c r="G321" s="94" t="str">
        <f>'Resultater - Vestdanmark'!G321</f>
        <v>Ton</v>
      </c>
      <c r="H321" s="252">
        <f>'Resultater - Vestdanmark'!H321+'Resultater - Østdanmark'!H321</f>
        <v>613620.0150142312</v>
      </c>
      <c r="I321" s="253">
        <f>'Resultater - Vestdanmark'!I321+'Resultater - Østdanmark'!I321</f>
        <v>888248.20011897793</v>
      </c>
      <c r="J321" s="254">
        <f>'Resultater - Vestdanmark'!J321+'Resultater - Østdanmark'!J321</f>
        <v>0</v>
      </c>
    </row>
    <row r="322" spans="1:10" x14ac:dyDescent="0.25">
      <c r="A322" s="94" t="str">
        <f>'Resultater - Vestdanmark'!A322</f>
        <v>Rapsmark</v>
      </c>
      <c r="B322" s="94" t="str">
        <f>'Resultater - Vestdanmark'!B322</f>
        <v>Konventionel</v>
      </c>
      <c r="C322" s="94" t="str">
        <f>'Resultater - Vestdanmark'!C322</f>
        <v>JB1-10</v>
      </c>
      <c r="D322" s="94" t="str">
        <f>'Resultater - Vestdanmark'!D322</f>
        <v>Areal-raps</v>
      </c>
      <c r="E322" s="94" t="str">
        <f>'Resultater - Vestdanmark'!E322</f>
        <v>Hektar</v>
      </c>
      <c r="F322" s="94" t="str">
        <f>'Resultater - Vestdanmark'!F322</f>
        <v>Halm</v>
      </c>
      <c r="G322" s="94" t="str">
        <f>'Resultater - Vestdanmark'!G322</f>
        <v>Ton</v>
      </c>
      <c r="H322" s="252">
        <f>'Resultater - Vestdanmark'!H322+'Resultater - Østdanmark'!H322</f>
        <v>327737.51811917598</v>
      </c>
      <c r="I322" s="253">
        <f>'Resultater - Vestdanmark'!I322+'Resultater - Østdanmark'!I322</f>
        <v>474417.80492454662</v>
      </c>
      <c r="J322" s="254">
        <f>'Resultater - Vestdanmark'!J322+'Resultater - Østdanmark'!J322</f>
        <v>0</v>
      </c>
    </row>
    <row r="323" spans="1:10" x14ac:dyDescent="0.25">
      <c r="A323" s="94" t="str">
        <f>'Resultater - Vestdanmark'!A323</f>
        <v>Rapsmark</v>
      </c>
      <c r="B323" s="94" t="str">
        <f>'Resultater - Vestdanmark'!B323</f>
        <v>Konventionel</v>
      </c>
      <c r="C323" s="94" t="str">
        <f>'Resultater - Vestdanmark'!C323</f>
        <v>JB1-10</v>
      </c>
      <c r="D323" s="94" t="str">
        <f>'Resultater - Vestdanmark'!D323</f>
        <v>Areal-raps</v>
      </c>
      <c r="E323" s="94" t="str">
        <f>'Resultater - Vestdanmark'!E323</f>
        <v>Hektar</v>
      </c>
      <c r="F323" s="94" t="str">
        <f>'Resultater - Vestdanmark'!F323</f>
        <v>Gødning</v>
      </c>
      <c r="G323" s="94" t="str">
        <f>'Resultater - Vestdanmark'!G323</f>
        <v>kg N</v>
      </c>
      <c r="H323" s="252">
        <f>'Resultater - Vestdanmark'!H323+'Resultater - Østdanmark'!H323</f>
        <v>-24405341.506247833</v>
      </c>
      <c r="I323" s="253">
        <f>'Resultater - Vestdanmark'!I323+'Resultater - Østdanmark'!I323</f>
        <v>-32897897.025108565</v>
      </c>
      <c r="J323" s="254">
        <f>'Resultater - Vestdanmark'!J323+'Resultater - Østdanmark'!J323</f>
        <v>0</v>
      </c>
    </row>
    <row r="324" spans="1:10" x14ac:dyDescent="0.25">
      <c r="A324" s="94" t="str">
        <f>'Resultater - Vestdanmark'!A324</f>
        <v>Rapsmark</v>
      </c>
      <c r="B324" s="94" t="str">
        <f>'Resultater - Vestdanmark'!B324</f>
        <v>Konventionel</v>
      </c>
      <c r="C324" s="94" t="str">
        <f>'Resultater - Vestdanmark'!C324</f>
        <v>JB1-10</v>
      </c>
      <c r="D324" s="94" t="str">
        <f>'Resultater - Vestdanmark'!D324</f>
        <v>Areal-raps</v>
      </c>
      <c r="E324" s="94" t="str">
        <f>'Resultater - Vestdanmark'!E324</f>
        <v>Hektar</v>
      </c>
      <c r="F324" s="94" t="str">
        <f>'Resultater - Vestdanmark'!F324</f>
        <v>CO2 - atmosfære</v>
      </c>
      <c r="G324" s="94" t="str">
        <f>'Resultater - Vestdanmark'!G324</f>
        <v>t CO2-ækvivalenter</v>
      </c>
      <c r="H324" s="252">
        <f>'Resultater - Vestdanmark'!H324+'Resultater - Østdanmark'!H324</f>
        <v>317087.35725322756</v>
      </c>
      <c r="I324" s="253">
        <f>'Resultater - Vestdanmark'!I324+'Resultater - Østdanmark'!I324</f>
        <v>395675.44136180991</v>
      </c>
      <c r="J324" s="254">
        <f>'Resultater - Vestdanmark'!J324+'Resultater - Østdanmark'!J324</f>
        <v>0</v>
      </c>
    </row>
    <row r="325" spans="1:10" x14ac:dyDescent="0.25">
      <c r="A325" s="94" t="str">
        <f>'Resultater - Vestdanmark'!A325</f>
        <v>Rapsmark</v>
      </c>
      <c r="B325" s="94" t="str">
        <f>'Resultater - Vestdanmark'!B325</f>
        <v>Konventionel</v>
      </c>
      <c r="C325" s="94" t="str">
        <f>'Resultater - Vestdanmark'!C325</f>
        <v>OC6</v>
      </c>
      <c r="D325" s="94" t="str">
        <f>'Resultater - Vestdanmark'!D325</f>
        <v>Areal-raps</v>
      </c>
      <c r="E325" s="94" t="str">
        <f>'Resultater - Vestdanmark'!E325</f>
        <v>Hektar</v>
      </c>
      <c r="F325" s="94" t="str">
        <f>'Resultater - Vestdanmark'!F325</f>
        <v>Raps</v>
      </c>
      <c r="G325" s="94" t="str">
        <f>'Resultater - Vestdanmark'!G325</f>
        <v>Ton</v>
      </c>
      <c r="H325" s="252">
        <f>'Resultater - Vestdanmark'!H325+'Resultater - Østdanmark'!H325</f>
        <v>13566.838006498305</v>
      </c>
      <c r="I325" s="253">
        <f>'Resultater - Vestdanmark'!I325+'Resultater - Østdanmark'!I325</f>
        <v>7208.8238457347543</v>
      </c>
      <c r="J325" s="254">
        <f>'Resultater - Vestdanmark'!J325+'Resultater - Østdanmark'!J325</f>
        <v>0</v>
      </c>
    </row>
    <row r="326" spans="1:10" x14ac:dyDescent="0.25">
      <c r="A326" s="94" t="str">
        <f>'Resultater - Vestdanmark'!A326</f>
        <v>Rapsmark</v>
      </c>
      <c r="B326" s="94" t="str">
        <f>'Resultater - Vestdanmark'!B326</f>
        <v>Konventionel</v>
      </c>
      <c r="C326" s="94" t="str">
        <f>'Resultater - Vestdanmark'!C326</f>
        <v>OC6</v>
      </c>
      <c r="D326" s="94" t="str">
        <f>'Resultater - Vestdanmark'!D326</f>
        <v>Areal-raps</v>
      </c>
      <c r="E326" s="94" t="str">
        <f>'Resultater - Vestdanmark'!E326</f>
        <v>Hektar</v>
      </c>
      <c r="F326" s="94" t="str">
        <f>'Resultater - Vestdanmark'!F326</f>
        <v>Halm</v>
      </c>
      <c r="G326" s="94" t="str">
        <f>'Resultater - Vestdanmark'!G326</f>
        <v>Ton</v>
      </c>
      <c r="H326" s="252">
        <f>'Resultater - Vestdanmark'!H326+'Resultater - Østdanmark'!H326</f>
        <v>7246.116013460778</v>
      </c>
      <c r="I326" s="253">
        <f>'Resultater - Vestdanmark'!I326+'Resultater - Østdanmark'!I326</f>
        <v>3850.2688601261611</v>
      </c>
      <c r="J326" s="254">
        <f>'Resultater - Vestdanmark'!J326+'Resultater - Østdanmark'!J326</f>
        <v>0</v>
      </c>
    </row>
    <row r="327" spans="1:10" x14ac:dyDescent="0.25">
      <c r="A327" s="94" t="str">
        <f>'Resultater - Vestdanmark'!A327</f>
        <v>Rapsmark</v>
      </c>
      <c r="B327" s="94" t="str">
        <f>'Resultater - Vestdanmark'!B327</f>
        <v>Konventionel</v>
      </c>
      <c r="C327" s="94" t="str">
        <f>'Resultater - Vestdanmark'!C327</f>
        <v>OC6</v>
      </c>
      <c r="D327" s="94" t="str">
        <f>'Resultater - Vestdanmark'!D327</f>
        <v>Areal-raps</v>
      </c>
      <c r="E327" s="94" t="str">
        <f>'Resultater - Vestdanmark'!E327</f>
        <v>Hektar</v>
      </c>
      <c r="F327" s="94" t="str">
        <f>'Resultater - Vestdanmark'!F327</f>
        <v>Gødning</v>
      </c>
      <c r="G327" s="94" t="str">
        <f>'Resultater - Vestdanmark'!G327</f>
        <v>kg N</v>
      </c>
      <c r="H327" s="252">
        <f>'Resultater - Vestdanmark'!H327+'Resultater - Østdanmark'!H327</f>
        <v>-372574.14979966939</v>
      </c>
      <c r="I327" s="253">
        <f>'Resultater - Vestdanmark'!I327+'Resultater - Østdanmark'!I327</f>
        <v>-184351.60435808275</v>
      </c>
      <c r="J327" s="254">
        <f>'Resultater - Vestdanmark'!J327+'Resultater - Østdanmark'!J327</f>
        <v>0</v>
      </c>
    </row>
    <row r="328" spans="1:10" x14ac:dyDescent="0.25">
      <c r="A328" s="94" t="str">
        <f>'Resultater - Vestdanmark'!A328</f>
        <v>Rapsmark</v>
      </c>
      <c r="B328" s="94" t="str">
        <f>'Resultater - Vestdanmark'!B328</f>
        <v>Konventionel</v>
      </c>
      <c r="C328" s="94" t="str">
        <f>'Resultater - Vestdanmark'!C328</f>
        <v>OC6</v>
      </c>
      <c r="D328" s="94" t="str">
        <f>'Resultater - Vestdanmark'!D328</f>
        <v>Areal-raps</v>
      </c>
      <c r="E328" s="94" t="str">
        <f>'Resultater - Vestdanmark'!E328</f>
        <v>Hektar</v>
      </c>
      <c r="F328" s="94" t="str">
        <f>'Resultater - Vestdanmark'!F328</f>
        <v>CO2 - atmosfære</v>
      </c>
      <c r="G328" s="94" t="str">
        <f>'Resultater - Vestdanmark'!G328</f>
        <v>t CO2-ækvivalenter</v>
      </c>
      <c r="H328" s="252">
        <f>'Resultater - Vestdanmark'!H328+'Resultater - Østdanmark'!H328</f>
        <v>41090.289191876247</v>
      </c>
      <c r="I328" s="253">
        <f>'Resultater - Vestdanmark'!I328+'Resultater - Østdanmark'!I328</f>
        <v>18821.330529323604</v>
      </c>
      <c r="J328" s="254">
        <f>'Resultater - Vestdanmark'!J328+'Resultater - Østdanmark'!J328</f>
        <v>0</v>
      </c>
    </row>
    <row r="329" spans="1:10" x14ac:dyDescent="0.25">
      <c r="A329" s="94" t="str">
        <f>'Resultater - Vestdanmark'!A329</f>
        <v>Rapsmark</v>
      </c>
      <c r="B329" s="94" t="str">
        <f>'Resultater - Vestdanmark'!B329</f>
        <v>Konventionel</v>
      </c>
      <c r="C329" s="94" t="str">
        <f>'Resultater - Vestdanmark'!C329</f>
        <v>OC12</v>
      </c>
      <c r="D329" s="94" t="str">
        <f>'Resultater - Vestdanmark'!D329</f>
        <v>Areal-raps</v>
      </c>
      <c r="E329" s="94" t="str">
        <f>'Resultater - Vestdanmark'!E329</f>
        <v>Hektar</v>
      </c>
      <c r="F329" s="94" t="str">
        <f>'Resultater - Vestdanmark'!F329</f>
        <v>Raps</v>
      </c>
      <c r="G329" s="94" t="str">
        <f>'Resultater - Vestdanmark'!G329</f>
        <v>Ton</v>
      </c>
      <c r="H329" s="252">
        <f>'Resultater - Vestdanmark'!H329+'Resultater - Østdanmark'!H329</f>
        <v>6570.1536799285823</v>
      </c>
      <c r="I329" s="253">
        <f>'Resultater - Vestdanmark'!I329+'Resultater - Østdanmark'!I329</f>
        <v>3513.2582751236932</v>
      </c>
      <c r="J329" s="254">
        <f>'Resultater - Vestdanmark'!J329+'Resultater - Østdanmark'!J329</f>
        <v>0</v>
      </c>
    </row>
    <row r="330" spans="1:10" x14ac:dyDescent="0.25">
      <c r="A330" s="94" t="str">
        <f>'Resultater - Vestdanmark'!A330</f>
        <v>Rapsmark</v>
      </c>
      <c r="B330" s="94" t="str">
        <f>'Resultater - Vestdanmark'!B330</f>
        <v>Konventionel</v>
      </c>
      <c r="C330" s="94" t="str">
        <f>'Resultater - Vestdanmark'!C330</f>
        <v>OC12</v>
      </c>
      <c r="D330" s="94" t="str">
        <f>'Resultater - Vestdanmark'!D330</f>
        <v>Areal-raps</v>
      </c>
      <c r="E330" s="94" t="str">
        <f>'Resultater - Vestdanmark'!E330</f>
        <v>Hektar</v>
      </c>
      <c r="F330" s="94" t="str">
        <f>'Resultater - Vestdanmark'!F330</f>
        <v>Halm</v>
      </c>
      <c r="G330" s="94" t="str">
        <f>'Resultater - Vestdanmark'!G330</f>
        <v>Ton</v>
      </c>
      <c r="H330" s="252">
        <f>'Resultater - Vestdanmark'!H330+'Resultater - Østdanmark'!H330</f>
        <v>3509.1519312182554</v>
      </c>
      <c r="I330" s="253">
        <f>'Resultater - Vestdanmark'!I330+'Resultater - Østdanmark'!I330</f>
        <v>1876.4488110349403</v>
      </c>
      <c r="J330" s="254">
        <f>'Resultater - Vestdanmark'!J330+'Resultater - Østdanmark'!J330</f>
        <v>0</v>
      </c>
    </row>
    <row r="331" spans="1:10" x14ac:dyDescent="0.25">
      <c r="A331" s="94" t="str">
        <f>'Resultater - Vestdanmark'!A331</f>
        <v>Rapsmark</v>
      </c>
      <c r="B331" s="94" t="str">
        <f>'Resultater - Vestdanmark'!B331</f>
        <v>Konventionel</v>
      </c>
      <c r="C331" s="94" t="str">
        <f>'Resultater - Vestdanmark'!C331</f>
        <v>OC12</v>
      </c>
      <c r="D331" s="94" t="str">
        <f>'Resultater - Vestdanmark'!D331</f>
        <v>Areal-raps</v>
      </c>
      <c r="E331" s="94" t="str">
        <f>'Resultater - Vestdanmark'!E331</f>
        <v>Hektar</v>
      </c>
      <c r="F331" s="94" t="str">
        <f>'Resultater - Vestdanmark'!F331</f>
        <v>Gødning</v>
      </c>
      <c r="G331" s="94" t="str">
        <f>'Resultater - Vestdanmark'!G331</f>
        <v>kg N</v>
      </c>
      <c r="H331" s="252">
        <f>'Resultater - Vestdanmark'!H331+'Resultater - Østdanmark'!H331</f>
        <v>-122657.08980386153</v>
      </c>
      <c r="I331" s="253">
        <f>'Resultater - Vestdanmark'!I331+'Resultater - Østdanmark'!I331</f>
        <v>-61076.709940670553</v>
      </c>
      <c r="J331" s="254">
        <f>'Resultater - Vestdanmark'!J331+'Resultater - Østdanmark'!J331</f>
        <v>0</v>
      </c>
    </row>
    <row r="332" spans="1:10" x14ac:dyDescent="0.25">
      <c r="A332" s="94" t="str">
        <f>'Resultater - Vestdanmark'!A332</f>
        <v>Rapsmark</v>
      </c>
      <c r="B332" s="94" t="str">
        <f>'Resultater - Vestdanmark'!B332</f>
        <v>Konventionel</v>
      </c>
      <c r="C332" s="94" t="str">
        <f>'Resultater - Vestdanmark'!C332</f>
        <v>OC12</v>
      </c>
      <c r="D332" s="94" t="str">
        <f>'Resultater - Vestdanmark'!D332</f>
        <v>Areal-raps</v>
      </c>
      <c r="E332" s="94" t="str">
        <f>'Resultater - Vestdanmark'!E332</f>
        <v>Hektar</v>
      </c>
      <c r="F332" s="94" t="str">
        <f>'Resultater - Vestdanmark'!F332</f>
        <v>CO2 - atmosfære</v>
      </c>
      <c r="G332" s="94" t="str">
        <f>'Resultater - Vestdanmark'!G332</f>
        <v>t CO2-ækvivalenter</v>
      </c>
      <c r="H332" s="252">
        <f>'Resultater - Vestdanmark'!H332+'Resultater - Østdanmark'!H332</f>
        <v>43678.396988286549</v>
      </c>
      <c r="I332" s="253">
        <f>'Resultater - Vestdanmark'!I332+'Resultater - Østdanmark'!I332</f>
        <v>20133.83897420892</v>
      </c>
      <c r="J332" s="254">
        <f>'Resultater - Vestdanmark'!J332+'Resultater - Østdanmark'!J332</f>
        <v>0</v>
      </c>
    </row>
    <row r="333" spans="1:10" x14ac:dyDescent="0.25">
      <c r="A333" s="94" t="str">
        <f>'Resultater - Vestdanmark'!A333</f>
        <v>Rapsmark</v>
      </c>
      <c r="B333" s="94" t="str">
        <f>'Resultater - Vestdanmark'!B333</f>
        <v>Økologisk</v>
      </c>
      <c r="C333" s="94" t="str">
        <f>'Resultater - Vestdanmark'!C333</f>
        <v>JB1-10</v>
      </c>
      <c r="D333" s="94" t="str">
        <f>'Resultater - Vestdanmark'!D333</f>
        <v>Areal-raps</v>
      </c>
      <c r="E333" s="94" t="str">
        <f>'Resultater - Vestdanmark'!E333</f>
        <v>Hektar</v>
      </c>
      <c r="F333" s="94" t="str">
        <f>'Resultater - Vestdanmark'!F333</f>
        <v>Raps</v>
      </c>
      <c r="G333" s="94" t="str">
        <f>'Resultater - Vestdanmark'!G333</f>
        <v>Ton</v>
      </c>
      <c r="H333" s="252">
        <f>'Resultater - Vestdanmark'!H333+'Resultater - Østdanmark'!H333</f>
        <v>43152.111373008069</v>
      </c>
      <c r="I333" s="253">
        <f>'Resultater - Vestdanmark'!I333+'Resultater - Østdanmark'!I333</f>
        <v>62465.017959883771</v>
      </c>
      <c r="J333" s="254">
        <f>'Resultater - Vestdanmark'!J333+'Resultater - Østdanmark'!J333</f>
        <v>865274.96481497539</v>
      </c>
    </row>
    <row r="334" spans="1:10" x14ac:dyDescent="0.25">
      <c r="A334" s="94" t="str">
        <f>'Resultater - Vestdanmark'!A334</f>
        <v>Rapsmark</v>
      </c>
      <c r="B334" s="94" t="str">
        <f>'Resultater - Vestdanmark'!B334</f>
        <v>Økologisk</v>
      </c>
      <c r="C334" s="94" t="str">
        <f>'Resultater - Vestdanmark'!C334</f>
        <v>JB1-10</v>
      </c>
      <c r="D334" s="94" t="str">
        <f>'Resultater - Vestdanmark'!D334</f>
        <v>Areal-raps</v>
      </c>
      <c r="E334" s="94" t="str">
        <f>'Resultater - Vestdanmark'!E334</f>
        <v>Hektar</v>
      </c>
      <c r="F334" s="94" t="str">
        <f>'Resultater - Vestdanmark'!F334</f>
        <v>Halm</v>
      </c>
      <c r="G334" s="94" t="str">
        <f>'Resultater - Vestdanmark'!G334</f>
        <v>Ton</v>
      </c>
      <c r="H334" s="252">
        <f>'Resultater - Vestdanmark'!H334+'Resultater - Østdanmark'!H334</f>
        <v>23047.758444880474</v>
      </c>
      <c r="I334" s="253">
        <f>'Resultater - Vestdanmark'!I334+'Resultater - Østdanmark'!I334</f>
        <v>33362.878417463719</v>
      </c>
      <c r="J334" s="254">
        <f>'Resultater - Vestdanmark'!J334+'Resultater - Østdanmark'!J334</f>
        <v>462147.68508250231</v>
      </c>
    </row>
    <row r="335" spans="1:10" x14ac:dyDescent="0.25">
      <c r="A335" s="94" t="str">
        <f>'Resultater - Vestdanmark'!A335</f>
        <v>Rapsmark</v>
      </c>
      <c r="B335" s="94" t="str">
        <f>'Resultater - Vestdanmark'!B335</f>
        <v>Økologisk</v>
      </c>
      <c r="C335" s="94" t="str">
        <f>'Resultater - Vestdanmark'!C335</f>
        <v>JB1-10</v>
      </c>
      <c r="D335" s="94" t="str">
        <f>'Resultater - Vestdanmark'!D335</f>
        <v>Areal-raps</v>
      </c>
      <c r="E335" s="94" t="str">
        <f>'Resultater - Vestdanmark'!E335</f>
        <v>Hektar</v>
      </c>
      <c r="F335" s="94" t="str">
        <f>'Resultater - Vestdanmark'!F335</f>
        <v>Gødning</v>
      </c>
      <c r="G335" s="94" t="str">
        <f>'Resultater - Vestdanmark'!G335</f>
        <v>kg N</v>
      </c>
      <c r="H335" s="252">
        <f>'Resultater - Vestdanmark'!H335+'Resultater - Østdanmark'!H335</f>
        <v>-1716277.1568810029</v>
      </c>
      <c r="I335" s="253">
        <f>'Resultater - Vestdanmark'!I335+'Resultater - Østdanmark'!I335</f>
        <v>-2313506.2117103725</v>
      </c>
      <c r="J335" s="254">
        <f>'Resultater - Vestdanmark'!J335+'Resultater - Østdanmark'!J335</f>
        <v>-28152201.000000007</v>
      </c>
    </row>
    <row r="336" spans="1:10" x14ac:dyDescent="0.25">
      <c r="A336" s="94" t="str">
        <f>'Resultater - Vestdanmark'!A336</f>
        <v>Rapsmark</v>
      </c>
      <c r="B336" s="94" t="str">
        <f>'Resultater - Vestdanmark'!B336</f>
        <v>Økologisk</v>
      </c>
      <c r="C336" s="94" t="str">
        <f>'Resultater - Vestdanmark'!C336</f>
        <v>JB1-10</v>
      </c>
      <c r="D336" s="94" t="str">
        <f>'Resultater - Vestdanmark'!D336</f>
        <v>Areal-raps</v>
      </c>
      <c r="E336" s="94" t="str">
        <f>'Resultater - Vestdanmark'!E336</f>
        <v>Hektar</v>
      </c>
      <c r="F336" s="94" t="str">
        <f>'Resultater - Vestdanmark'!F336</f>
        <v>CO2 - atmosfære</v>
      </c>
      <c r="G336" s="94" t="str">
        <f>'Resultater - Vestdanmark'!G336</f>
        <v>t CO2-ækvivalenter</v>
      </c>
      <c r="H336" s="252">
        <f>'Resultater - Vestdanmark'!H336+'Resultater - Østdanmark'!H336</f>
        <v>40543.269658642035</v>
      </c>
      <c r="I336" s="253">
        <f>'Resultater - Vestdanmark'!I336+'Resultater - Østdanmark'!I336</f>
        <v>50591.661097427052</v>
      </c>
      <c r="J336" s="254">
        <f>'Resultater - Vestdanmark'!J336+'Resultater - Østdanmark'!J336</f>
        <v>525808.34462356928</v>
      </c>
    </row>
    <row r="337" spans="1:10" x14ac:dyDescent="0.25">
      <c r="A337" s="94" t="str">
        <f>'Resultater - Vestdanmark'!A337</f>
        <v>Rapsmark</v>
      </c>
      <c r="B337" s="94" t="str">
        <f>'Resultater - Vestdanmark'!B337</f>
        <v>Økologisk</v>
      </c>
      <c r="C337" s="94" t="str">
        <f>'Resultater - Vestdanmark'!C337</f>
        <v>OC6</v>
      </c>
      <c r="D337" s="94" t="str">
        <f>'Resultater - Vestdanmark'!D337</f>
        <v>Areal-raps</v>
      </c>
      <c r="E337" s="94" t="str">
        <f>'Resultater - Vestdanmark'!E337</f>
        <v>Hektar</v>
      </c>
      <c r="F337" s="94" t="str">
        <f>'Resultater - Vestdanmark'!F337</f>
        <v>Raps</v>
      </c>
      <c r="G337" s="94" t="str">
        <f>'Resultater - Vestdanmark'!G337</f>
        <v>Ton</v>
      </c>
      <c r="H337" s="252">
        <f>'Resultater - Vestdanmark'!H337+'Resultater - Østdanmark'!H337</f>
        <v>954.07204835454411</v>
      </c>
      <c r="I337" s="253">
        <f>'Resultater - Vestdanmark'!I337+'Resultater - Østdanmark'!I337</f>
        <v>506.95212321639798</v>
      </c>
      <c r="J337" s="254">
        <f>'Resultater - Vestdanmark'!J337+'Resultater - Østdanmark'!J337</f>
        <v>0</v>
      </c>
    </row>
    <row r="338" spans="1:10" x14ac:dyDescent="0.25">
      <c r="A338" s="94" t="str">
        <f>'Resultater - Vestdanmark'!A338</f>
        <v>Rapsmark</v>
      </c>
      <c r="B338" s="94" t="str">
        <f>'Resultater - Vestdanmark'!B338</f>
        <v>Økologisk</v>
      </c>
      <c r="C338" s="94" t="str">
        <f>'Resultater - Vestdanmark'!C338</f>
        <v>OC6</v>
      </c>
      <c r="D338" s="94" t="str">
        <f>'Resultater - Vestdanmark'!D338</f>
        <v>Areal-raps</v>
      </c>
      <c r="E338" s="94" t="str">
        <f>'Resultater - Vestdanmark'!E338</f>
        <v>Hektar</v>
      </c>
      <c r="F338" s="94" t="str">
        <f>'Resultater - Vestdanmark'!F338</f>
        <v>Halm</v>
      </c>
      <c r="G338" s="94" t="str">
        <f>'Resultater - Vestdanmark'!G338</f>
        <v>Ton</v>
      </c>
      <c r="H338" s="252">
        <f>'Resultater - Vestdanmark'!H338+'Resultater - Østdanmark'!H338</f>
        <v>509.57465138640373</v>
      </c>
      <c r="I338" s="253">
        <f>'Resultater - Vestdanmark'!I338+'Resultater - Østdanmark'!I338</f>
        <v>270.7656637704942</v>
      </c>
      <c r="J338" s="254">
        <f>'Resultater - Vestdanmark'!J338+'Resultater - Østdanmark'!J338</f>
        <v>0</v>
      </c>
    </row>
    <row r="339" spans="1:10" x14ac:dyDescent="0.25">
      <c r="A339" s="94" t="str">
        <f>'Resultater - Vestdanmark'!A339</f>
        <v>Rapsmark</v>
      </c>
      <c r="B339" s="94" t="str">
        <f>'Resultater - Vestdanmark'!B339</f>
        <v>Økologisk</v>
      </c>
      <c r="C339" s="94" t="str">
        <f>'Resultater - Vestdanmark'!C339</f>
        <v>OC6</v>
      </c>
      <c r="D339" s="94" t="str">
        <f>'Resultater - Vestdanmark'!D339</f>
        <v>Areal-raps</v>
      </c>
      <c r="E339" s="94" t="str">
        <f>'Resultater - Vestdanmark'!E339</f>
        <v>Hektar</v>
      </c>
      <c r="F339" s="94" t="str">
        <f>'Resultater - Vestdanmark'!F339</f>
        <v>Gødning</v>
      </c>
      <c r="G339" s="94" t="str">
        <f>'Resultater - Vestdanmark'!G339</f>
        <v>kg N</v>
      </c>
      <c r="H339" s="252">
        <f>'Resultater - Vestdanmark'!H339+'Resultater - Østdanmark'!H339</f>
        <v>-26200.842237009252</v>
      </c>
      <c r="I339" s="253">
        <f>'Resultater - Vestdanmark'!I339+'Resultater - Østdanmark'!I339</f>
        <v>-12964.311411628594</v>
      </c>
      <c r="J339" s="254">
        <f>'Resultater - Vestdanmark'!J339+'Resultater - Østdanmark'!J339</f>
        <v>0</v>
      </c>
    </row>
    <row r="340" spans="1:10" x14ac:dyDescent="0.25">
      <c r="A340" s="94" t="str">
        <f>'Resultater - Vestdanmark'!A340</f>
        <v>Rapsmark</v>
      </c>
      <c r="B340" s="94" t="str">
        <f>'Resultater - Vestdanmark'!B340</f>
        <v>Økologisk</v>
      </c>
      <c r="C340" s="94" t="str">
        <f>'Resultater - Vestdanmark'!C340</f>
        <v>OC6</v>
      </c>
      <c r="D340" s="94" t="str">
        <f>'Resultater - Vestdanmark'!D340</f>
        <v>Areal-raps</v>
      </c>
      <c r="E340" s="94" t="str">
        <f>'Resultater - Vestdanmark'!E340</f>
        <v>Hektar</v>
      </c>
      <c r="F340" s="94" t="str">
        <f>'Resultater - Vestdanmark'!F340</f>
        <v>CO2 - atmosfære</v>
      </c>
      <c r="G340" s="94" t="str">
        <f>'Resultater - Vestdanmark'!G340</f>
        <v>t CO2-ækvivalenter</v>
      </c>
      <c r="H340" s="252">
        <f>'Resultater - Vestdanmark'!H340+'Resultater - Østdanmark'!H340</f>
        <v>5253.8665984320505</v>
      </c>
      <c r="I340" s="253">
        <f>'Resultater - Vestdanmark'!I340+'Resultater - Østdanmark'!I340</f>
        <v>2406.5238223149991</v>
      </c>
      <c r="J340" s="254">
        <f>'Resultater - Vestdanmark'!J340+'Resultater - Østdanmark'!J340</f>
        <v>0</v>
      </c>
    </row>
    <row r="341" spans="1:10" x14ac:dyDescent="0.25">
      <c r="A341" s="94" t="str">
        <f>'Resultater - Vestdanmark'!A341</f>
        <v>Rapsmark</v>
      </c>
      <c r="B341" s="94" t="str">
        <f>'Resultater - Vestdanmark'!B341</f>
        <v>Økologisk</v>
      </c>
      <c r="C341" s="94" t="str">
        <f>'Resultater - Vestdanmark'!C341</f>
        <v>OC12</v>
      </c>
      <c r="D341" s="94" t="str">
        <f>'Resultater - Vestdanmark'!D341</f>
        <v>Areal-raps</v>
      </c>
      <c r="E341" s="94" t="str">
        <f>'Resultater - Vestdanmark'!E341</f>
        <v>Hektar</v>
      </c>
      <c r="F341" s="94" t="str">
        <f>'Resultater - Vestdanmark'!F341</f>
        <v>Raps</v>
      </c>
      <c r="G341" s="94" t="str">
        <f>'Resultater - Vestdanmark'!G341</f>
        <v>Ton</v>
      </c>
      <c r="H341" s="252">
        <f>'Resultater - Vestdanmark'!H341+'Resultater - Østdanmark'!H341</f>
        <v>462.03838922607775</v>
      </c>
      <c r="I341" s="253">
        <f>'Resultater - Vestdanmark'!I341+'Resultater - Østdanmark'!I341</f>
        <v>247.06578772004988</v>
      </c>
      <c r="J341" s="254">
        <f>'Resultater - Vestdanmark'!J341+'Resultater - Østdanmark'!J341</f>
        <v>0</v>
      </c>
    </row>
    <row r="342" spans="1:10" x14ac:dyDescent="0.25">
      <c r="A342" s="94" t="str">
        <f>'Resultater - Vestdanmark'!A342</f>
        <v>Rapsmark</v>
      </c>
      <c r="B342" s="94" t="str">
        <f>'Resultater - Vestdanmark'!B342</f>
        <v>Økologisk</v>
      </c>
      <c r="C342" s="94" t="str">
        <f>'Resultater - Vestdanmark'!C342</f>
        <v>OC12</v>
      </c>
      <c r="D342" s="94" t="str">
        <f>'Resultater - Vestdanmark'!D342</f>
        <v>Areal-raps</v>
      </c>
      <c r="E342" s="94" t="str">
        <f>'Resultater - Vestdanmark'!E342</f>
        <v>Hektar</v>
      </c>
      <c r="F342" s="94" t="str">
        <f>'Resultater - Vestdanmark'!F342</f>
        <v>Halm</v>
      </c>
      <c r="G342" s="94" t="str">
        <f>'Resultater - Vestdanmark'!G342</f>
        <v>Ton</v>
      </c>
      <c r="H342" s="252">
        <f>'Resultater - Vestdanmark'!H342+'Resultater - Østdanmark'!H342</f>
        <v>246.77701387759424</v>
      </c>
      <c r="I342" s="253">
        <f>'Resultater - Vestdanmark'!I342+'Resultater - Østdanmark'!I342</f>
        <v>131.95907255021723</v>
      </c>
      <c r="J342" s="254">
        <f>'Resultater - Vestdanmark'!J342+'Resultater - Østdanmark'!J342</f>
        <v>0</v>
      </c>
    </row>
    <row r="343" spans="1:10" x14ac:dyDescent="0.25">
      <c r="A343" s="94" t="str">
        <f>'Resultater - Vestdanmark'!A343</f>
        <v>Rapsmark</v>
      </c>
      <c r="B343" s="94" t="str">
        <f>'Resultater - Vestdanmark'!B343</f>
        <v>Økologisk</v>
      </c>
      <c r="C343" s="94" t="str">
        <f>'Resultater - Vestdanmark'!C343</f>
        <v>OC12</v>
      </c>
      <c r="D343" s="94" t="str">
        <f>'Resultater - Vestdanmark'!D343</f>
        <v>Areal-raps</v>
      </c>
      <c r="E343" s="94" t="str">
        <f>'Resultater - Vestdanmark'!E343</f>
        <v>Hektar</v>
      </c>
      <c r="F343" s="94" t="str">
        <f>'Resultater - Vestdanmark'!F343</f>
        <v>Gødning</v>
      </c>
      <c r="G343" s="94" t="str">
        <f>'Resultater - Vestdanmark'!G343</f>
        <v>kg N</v>
      </c>
      <c r="H343" s="252">
        <f>'Resultater - Vestdanmark'!H343+'Resultater - Østdanmark'!H343</f>
        <v>-8625.7166819803479</v>
      </c>
      <c r="I343" s="253">
        <f>'Resultater - Vestdanmark'!I343+'Resultater - Østdanmark'!I343</f>
        <v>-4295.1483412671932</v>
      </c>
      <c r="J343" s="254">
        <f>'Resultater - Vestdanmark'!J343+'Resultater - Østdanmark'!J343</f>
        <v>0</v>
      </c>
    </row>
    <row r="344" spans="1:10" x14ac:dyDescent="0.25">
      <c r="A344" s="94" t="str">
        <f>'Resultater - Vestdanmark'!A344</f>
        <v>Rapsmark</v>
      </c>
      <c r="B344" s="94" t="str">
        <f>'Resultater - Vestdanmark'!B344</f>
        <v>Økologisk</v>
      </c>
      <c r="C344" s="94" t="str">
        <f>'Resultater - Vestdanmark'!C344</f>
        <v>OC12</v>
      </c>
      <c r="D344" s="94" t="str">
        <f>'Resultater - Vestdanmark'!D344</f>
        <v>Areal-raps</v>
      </c>
      <c r="E344" s="94" t="str">
        <f>'Resultater - Vestdanmark'!E344</f>
        <v>Hektar</v>
      </c>
      <c r="F344" s="94" t="str">
        <f>'Resultater - Vestdanmark'!F344</f>
        <v>CO2 - atmosfære</v>
      </c>
      <c r="G344" s="94" t="str">
        <f>'Resultater - Vestdanmark'!G344</f>
        <v>t CO2-ækvivalenter</v>
      </c>
      <c r="H344" s="252">
        <f>'Resultater - Vestdanmark'!H344+'Resultater - Østdanmark'!H344</f>
        <v>5584.7859804107484</v>
      </c>
      <c r="I344" s="253">
        <f>'Resultater - Vestdanmark'!I344+'Resultater - Østdanmark'!I344</f>
        <v>2574.3431395882949</v>
      </c>
      <c r="J344" s="254">
        <f>'Resultater - Vestdanmark'!J344+'Resultater - Østdanmark'!J344</f>
        <v>0</v>
      </c>
    </row>
    <row r="345" spans="1:10" x14ac:dyDescent="0.25">
      <c r="A345" s="94" t="str">
        <f>'Resultater - Vestdanmark'!A345</f>
        <v>Frøgræsmark</v>
      </c>
      <c r="B345" s="94" t="str">
        <f>'Resultater - Vestdanmark'!B345</f>
        <v>Konventionel</v>
      </c>
      <c r="C345" s="94" t="str">
        <f>'Resultater - Vestdanmark'!C345</f>
        <v>JB1-10</v>
      </c>
      <c r="D345" s="94" t="str">
        <f>'Resultater - Vestdanmark'!D345</f>
        <v>Areal-frøgræs</v>
      </c>
      <c r="E345" s="94" t="str">
        <f>'Resultater - Vestdanmark'!E345</f>
        <v>Hektar</v>
      </c>
      <c r="F345" s="94" t="str">
        <f>'Resultater - Vestdanmark'!F345</f>
        <v>Frø</v>
      </c>
      <c r="G345" s="94" t="str">
        <f>'Resultater - Vestdanmark'!G345</f>
        <v>Ton</v>
      </c>
      <c r="H345" s="252">
        <f>'Resultater - Vestdanmark'!H345+'Resultater - Østdanmark'!H345</f>
        <v>1241441.5414695307</v>
      </c>
      <c r="I345" s="253">
        <f>'Resultater - Vestdanmark'!I345+'Resultater - Østdanmark'!I345</f>
        <v>834499.49714928633</v>
      </c>
      <c r="J345" s="254">
        <f>'Resultater - Vestdanmark'!J345+'Resultater - Østdanmark'!J345</f>
        <v>0</v>
      </c>
    </row>
    <row r="346" spans="1:10" x14ac:dyDescent="0.25">
      <c r="A346" s="94" t="str">
        <f>'Resultater - Vestdanmark'!A346</f>
        <v>Frøgræsmark</v>
      </c>
      <c r="B346" s="94" t="str">
        <f>'Resultater - Vestdanmark'!B346</f>
        <v>Konventionel</v>
      </c>
      <c r="C346" s="94" t="str">
        <f>'Resultater - Vestdanmark'!C346</f>
        <v>JB1-10</v>
      </c>
      <c r="D346" s="94" t="str">
        <f>'Resultater - Vestdanmark'!D346</f>
        <v>Areal-frøgræs</v>
      </c>
      <c r="E346" s="94" t="str">
        <f>'Resultater - Vestdanmark'!E346</f>
        <v>Hektar</v>
      </c>
      <c r="F346" s="94" t="str">
        <f>'Resultater - Vestdanmark'!F346</f>
        <v>Halm</v>
      </c>
      <c r="G346" s="94" t="str">
        <f>'Resultater - Vestdanmark'!G346</f>
        <v>Ton</v>
      </c>
      <c r="H346" s="252">
        <f>'Resultater - Vestdanmark'!H346+'Resultater - Østdanmark'!H346</f>
        <v>206239.95017814124</v>
      </c>
      <c r="I346" s="253">
        <f>'Resultater - Vestdanmark'!I346+'Resultater - Østdanmark'!I346</f>
        <v>138634.90866595658</v>
      </c>
      <c r="J346" s="254">
        <f>'Resultater - Vestdanmark'!J346+'Resultater - Østdanmark'!J346</f>
        <v>0</v>
      </c>
    </row>
    <row r="347" spans="1:10" x14ac:dyDescent="0.25">
      <c r="A347" s="94" t="str">
        <f>'Resultater - Vestdanmark'!A347</f>
        <v>Frøgræsmark</v>
      </c>
      <c r="B347" s="94" t="str">
        <f>'Resultater - Vestdanmark'!B347</f>
        <v>Konventionel</v>
      </c>
      <c r="C347" s="94" t="str">
        <f>'Resultater - Vestdanmark'!C347</f>
        <v>JB1-10</v>
      </c>
      <c r="D347" s="94" t="str">
        <f>'Resultater - Vestdanmark'!D347</f>
        <v>Areal-frøgræs</v>
      </c>
      <c r="E347" s="94" t="str">
        <f>'Resultater - Vestdanmark'!E347</f>
        <v>Hektar</v>
      </c>
      <c r="F347" s="94" t="str">
        <f>'Resultater - Vestdanmark'!F347</f>
        <v>Gødning</v>
      </c>
      <c r="G347" s="94" t="str">
        <f>'Resultater - Vestdanmark'!G347</f>
        <v>kg N</v>
      </c>
      <c r="H347" s="252">
        <f>'Resultater - Vestdanmark'!H347+'Resultater - Østdanmark'!H347</f>
        <v>-13032265.787648994</v>
      </c>
      <c r="I347" s="253">
        <f>'Resultater - Vestdanmark'!I347+'Resultater - Østdanmark'!I347</f>
        <v>-8157708.1268554069</v>
      </c>
      <c r="J347" s="254">
        <f>'Resultater - Vestdanmark'!J347+'Resultater - Østdanmark'!J347</f>
        <v>0</v>
      </c>
    </row>
    <row r="348" spans="1:10" x14ac:dyDescent="0.25">
      <c r="A348" s="94" t="str">
        <f>'Resultater - Vestdanmark'!A348</f>
        <v>Frøgræsmark</v>
      </c>
      <c r="B348" s="94" t="str">
        <f>'Resultater - Vestdanmark'!B348</f>
        <v>Konventionel</v>
      </c>
      <c r="C348" s="94" t="str">
        <f>'Resultater - Vestdanmark'!C348</f>
        <v>JB1-10</v>
      </c>
      <c r="D348" s="94" t="str">
        <f>'Resultater - Vestdanmark'!D348</f>
        <v>Areal-frøgræs</v>
      </c>
      <c r="E348" s="94" t="str">
        <f>'Resultater - Vestdanmark'!E348</f>
        <v>Hektar</v>
      </c>
      <c r="F348" s="94" t="str">
        <f>'Resultater - Vestdanmark'!F348</f>
        <v>CO2 - atmosfære</v>
      </c>
      <c r="G348" s="94" t="str">
        <f>'Resultater - Vestdanmark'!G348</f>
        <v>t CO2-ækvivalenter</v>
      </c>
      <c r="H348" s="252">
        <f>'Resultater - Vestdanmark'!H348+'Resultater - Østdanmark'!H348</f>
        <v>197542.59544633992</v>
      </c>
      <c r="I348" s="253">
        <f>'Resultater - Vestdanmark'!I348+'Resultater - Østdanmark'!I348</f>
        <v>114468.47867872083</v>
      </c>
      <c r="J348" s="254">
        <f>'Resultater - Vestdanmark'!J348+'Resultater - Østdanmark'!J348</f>
        <v>0</v>
      </c>
    </row>
    <row r="349" spans="1:10" x14ac:dyDescent="0.25">
      <c r="A349" s="94" t="str">
        <f>'Resultater - Vestdanmark'!A349</f>
        <v>Frøgræsmark</v>
      </c>
      <c r="B349" s="94" t="str">
        <f>'Resultater - Vestdanmark'!B349</f>
        <v>Konventionel</v>
      </c>
      <c r="C349" s="94" t="str">
        <f>'Resultater - Vestdanmark'!C349</f>
        <v>OC6</v>
      </c>
      <c r="D349" s="94" t="str">
        <f>'Resultater - Vestdanmark'!D349</f>
        <v>Areal-frøgræs</v>
      </c>
      <c r="E349" s="94" t="str">
        <f>'Resultater - Vestdanmark'!E349</f>
        <v>Hektar</v>
      </c>
      <c r="F349" s="94" t="str">
        <f>'Resultater - Vestdanmark'!F349</f>
        <v>Frø</v>
      </c>
      <c r="G349" s="94" t="str">
        <f>'Resultater - Vestdanmark'!G349</f>
        <v>Ton</v>
      </c>
      <c r="H349" s="252">
        <f>'Resultater - Vestdanmark'!H349+'Resultater - Østdanmark'!H349</f>
        <v>87728.525972100848</v>
      </c>
      <c r="I349" s="253">
        <f>'Resultater - Vestdanmark'!I349+'Resultater - Østdanmark'!I349</f>
        <v>46625.079099309049</v>
      </c>
      <c r="J349" s="254">
        <f>'Resultater - Vestdanmark'!J349+'Resultater - Østdanmark'!J349</f>
        <v>0</v>
      </c>
    </row>
    <row r="350" spans="1:10" x14ac:dyDescent="0.25">
      <c r="A350" s="94" t="str">
        <f>'Resultater - Vestdanmark'!A350</f>
        <v>Frøgræsmark</v>
      </c>
      <c r="B350" s="94" t="str">
        <f>'Resultater - Vestdanmark'!B350</f>
        <v>Konventionel</v>
      </c>
      <c r="C350" s="94" t="str">
        <f>'Resultater - Vestdanmark'!C350</f>
        <v>OC6</v>
      </c>
      <c r="D350" s="94" t="str">
        <f>'Resultater - Vestdanmark'!D350</f>
        <v>Areal-frøgræs</v>
      </c>
      <c r="E350" s="94" t="str">
        <f>'Resultater - Vestdanmark'!E350</f>
        <v>Hektar</v>
      </c>
      <c r="F350" s="94" t="str">
        <f>'Resultater - Vestdanmark'!F350</f>
        <v>Halm</v>
      </c>
      <c r="G350" s="94" t="str">
        <f>'Resultater - Vestdanmark'!G350</f>
        <v>Ton</v>
      </c>
      <c r="H350" s="252">
        <f>'Resultater - Vestdanmark'!H350+'Resultater - Østdanmark'!H350</f>
        <v>14574.288213579908</v>
      </c>
      <c r="I350" s="253">
        <f>'Resultater - Vestdanmark'!I350+'Resultater - Østdanmark'!I350</f>
        <v>7745.796857345942</v>
      </c>
      <c r="J350" s="254">
        <f>'Resultater - Vestdanmark'!J350+'Resultater - Østdanmark'!J350</f>
        <v>0</v>
      </c>
    </row>
    <row r="351" spans="1:10" x14ac:dyDescent="0.25">
      <c r="A351" s="94" t="str">
        <f>'Resultater - Vestdanmark'!A351</f>
        <v>Frøgræsmark</v>
      </c>
      <c r="B351" s="94" t="str">
        <f>'Resultater - Vestdanmark'!B351</f>
        <v>Konventionel</v>
      </c>
      <c r="C351" s="94" t="str">
        <f>'Resultater - Vestdanmark'!C351</f>
        <v>OC6</v>
      </c>
      <c r="D351" s="94" t="str">
        <f>'Resultater - Vestdanmark'!D351</f>
        <v>Areal-frøgræs</v>
      </c>
      <c r="E351" s="94" t="str">
        <f>'Resultater - Vestdanmark'!E351</f>
        <v>Hektar</v>
      </c>
      <c r="F351" s="94" t="str">
        <f>'Resultater - Vestdanmark'!F351</f>
        <v>Gødning</v>
      </c>
      <c r="G351" s="94" t="str">
        <f>'Resultater - Vestdanmark'!G351</f>
        <v>kg N</v>
      </c>
      <c r="H351" s="252">
        <f>'Resultater - Vestdanmark'!H351+'Resultater - Østdanmark'!H351</f>
        <v>-690710.01096458826</v>
      </c>
      <c r="I351" s="253">
        <f>'Resultater - Vestdanmark'!I351+'Resultater - Østdanmark'!I351</f>
        <v>-341840.03823521803</v>
      </c>
      <c r="J351" s="254">
        <f>'Resultater - Vestdanmark'!J351+'Resultater - Østdanmark'!J351</f>
        <v>0</v>
      </c>
    </row>
    <row r="352" spans="1:10" x14ac:dyDescent="0.25">
      <c r="A352" s="94" t="str">
        <f>'Resultater - Vestdanmark'!A352</f>
        <v>Frøgræsmark</v>
      </c>
      <c r="B352" s="94" t="str">
        <f>'Resultater - Vestdanmark'!B352</f>
        <v>Konventionel</v>
      </c>
      <c r="C352" s="94" t="str">
        <f>'Resultater - Vestdanmark'!C352</f>
        <v>OC6</v>
      </c>
      <c r="D352" s="94" t="str">
        <f>'Resultater - Vestdanmark'!D352</f>
        <v>Areal-frøgræs</v>
      </c>
      <c r="E352" s="94" t="str">
        <f>'Resultater - Vestdanmark'!E352</f>
        <v>Hektar</v>
      </c>
      <c r="F352" s="94" t="str">
        <f>'Resultater - Vestdanmark'!F352</f>
        <v>CO2 - atmosfære</v>
      </c>
      <c r="G352" s="94" t="str">
        <f>'Resultater - Vestdanmark'!G352</f>
        <v>t CO2-ækvivalenter</v>
      </c>
      <c r="H352" s="252">
        <f>'Resultater - Vestdanmark'!H352+'Resultater - Østdanmark'!H352</f>
        <v>81819.432532653533</v>
      </c>
      <c r="I352" s="253">
        <f>'Resultater - Vestdanmark'!I352+'Resultater - Østdanmark'!I352</f>
        <v>37485.262998419246</v>
      </c>
      <c r="J352" s="254">
        <f>'Resultater - Vestdanmark'!J352+'Resultater - Østdanmark'!J352</f>
        <v>0</v>
      </c>
    </row>
    <row r="353" spans="1:10" x14ac:dyDescent="0.25">
      <c r="A353" s="94" t="str">
        <f>'Resultater - Vestdanmark'!A353</f>
        <v>Frøgræsmark</v>
      </c>
      <c r="B353" s="94" t="str">
        <f>'Resultater - Vestdanmark'!B353</f>
        <v>Konventionel</v>
      </c>
      <c r="C353" s="94" t="str">
        <f>'Resultater - Vestdanmark'!C353</f>
        <v>OC12</v>
      </c>
      <c r="D353" s="94" t="str">
        <f>'Resultater - Vestdanmark'!D353</f>
        <v>Areal-frøgræs</v>
      </c>
      <c r="E353" s="94" t="str">
        <f>'Resultater - Vestdanmark'!E353</f>
        <v>Hektar</v>
      </c>
      <c r="F353" s="94" t="str">
        <f>'Resultater - Vestdanmark'!F353</f>
        <v>Frø</v>
      </c>
      <c r="G353" s="94" t="str">
        <f>'Resultater - Vestdanmark'!G353</f>
        <v>Ton</v>
      </c>
      <c r="H353" s="252">
        <f>'Resultater - Vestdanmark'!H353+'Resultater - Østdanmark'!H353</f>
        <v>76654.605084511393</v>
      </c>
      <c r="I353" s="253">
        <f>'Resultater - Vestdanmark'!I353+'Resultater - Østdanmark'!I353</f>
        <v>41146.489055010592</v>
      </c>
      <c r="J353" s="254">
        <f>'Resultater - Vestdanmark'!J353+'Resultater - Østdanmark'!J353</f>
        <v>0</v>
      </c>
    </row>
    <row r="354" spans="1:10" x14ac:dyDescent="0.25">
      <c r="A354" s="94" t="str">
        <f>'Resultater - Vestdanmark'!A354</f>
        <v>Frøgræsmark</v>
      </c>
      <c r="B354" s="94" t="str">
        <f>'Resultater - Vestdanmark'!B354</f>
        <v>Konventionel</v>
      </c>
      <c r="C354" s="94" t="str">
        <f>'Resultater - Vestdanmark'!C354</f>
        <v>OC12</v>
      </c>
      <c r="D354" s="94" t="str">
        <f>'Resultater - Vestdanmark'!D354</f>
        <v>Areal-frøgræs</v>
      </c>
      <c r="E354" s="94" t="str">
        <f>'Resultater - Vestdanmark'!E354</f>
        <v>Hektar</v>
      </c>
      <c r="F354" s="94" t="str">
        <f>'Resultater - Vestdanmark'!F354</f>
        <v>Halm</v>
      </c>
      <c r="G354" s="94" t="str">
        <f>'Resultater - Vestdanmark'!G354</f>
        <v>Ton</v>
      </c>
      <c r="H354" s="252">
        <f>'Resultater - Vestdanmark'!H354+'Resultater - Østdanmark'!H354</f>
        <v>12734.584275986817</v>
      </c>
      <c r="I354" s="253">
        <f>'Resultater - Vestdanmark'!I354+'Resultater - Østdanmark'!I354</f>
        <v>6835.6419285483507</v>
      </c>
      <c r="J354" s="254">
        <f>'Resultater - Vestdanmark'!J354+'Resultater - Østdanmark'!J354</f>
        <v>0</v>
      </c>
    </row>
    <row r="355" spans="1:10" x14ac:dyDescent="0.25">
      <c r="A355" s="94" t="str">
        <f>'Resultater - Vestdanmark'!A355</f>
        <v>Frøgræsmark</v>
      </c>
      <c r="B355" s="94" t="str">
        <f>'Resultater - Vestdanmark'!B355</f>
        <v>Konventionel</v>
      </c>
      <c r="C355" s="94" t="str">
        <f>'Resultater - Vestdanmark'!C355</f>
        <v>OC12</v>
      </c>
      <c r="D355" s="94" t="str">
        <f>'Resultater - Vestdanmark'!D355</f>
        <v>Areal-frøgræs</v>
      </c>
      <c r="E355" s="94" t="str">
        <f>'Resultater - Vestdanmark'!E355</f>
        <v>Hektar</v>
      </c>
      <c r="F355" s="94" t="str">
        <f>'Resultater - Vestdanmark'!F355</f>
        <v>Gødning</v>
      </c>
      <c r="G355" s="94" t="str">
        <f>'Resultater - Vestdanmark'!G355</f>
        <v>kg N</v>
      </c>
      <c r="H355" s="252">
        <f>'Resultater - Vestdanmark'!H355+'Resultater - Østdanmark'!H355</f>
        <v>-459826.35229782818</v>
      </c>
      <c r="I355" s="253">
        <f>'Resultater - Vestdanmark'!I355+'Resultater - Østdanmark'!I355</f>
        <v>-229845.93026959494</v>
      </c>
      <c r="J355" s="254">
        <f>'Resultater - Vestdanmark'!J355+'Resultater - Østdanmark'!J355</f>
        <v>0</v>
      </c>
    </row>
    <row r="356" spans="1:10" x14ac:dyDescent="0.25">
      <c r="A356" s="94" t="str">
        <f>'Resultater - Vestdanmark'!A356</f>
        <v>Frøgræsmark</v>
      </c>
      <c r="B356" s="94" t="str">
        <f>'Resultater - Vestdanmark'!B356</f>
        <v>Konventionel</v>
      </c>
      <c r="C356" s="94" t="str">
        <f>'Resultater - Vestdanmark'!C356</f>
        <v>OC12</v>
      </c>
      <c r="D356" s="94" t="str">
        <f>'Resultater - Vestdanmark'!D356</f>
        <v>Areal-frøgræs</v>
      </c>
      <c r="E356" s="94" t="str">
        <f>'Resultater - Vestdanmark'!E356</f>
        <v>Hektar</v>
      </c>
      <c r="F356" s="94" t="str">
        <f>'Resultater - Vestdanmark'!F356</f>
        <v>CO2 - atmosfære</v>
      </c>
      <c r="G356" s="94" t="str">
        <f>'Resultater - Vestdanmark'!G356</f>
        <v>t CO2-ækvivalenter</v>
      </c>
      <c r="H356" s="252">
        <f>'Resultater - Vestdanmark'!H356+'Resultater - Østdanmark'!H356</f>
        <v>156922.23534513626</v>
      </c>
      <c r="I356" s="253">
        <f>'Resultater - Vestdanmark'!I356+'Resultater - Østdanmark'!I356</f>
        <v>72611.326210837375</v>
      </c>
      <c r="J356" s="254">
        <f>'Resultater - Vestdanmark'!J356+'Resultater - Østdanmark'!J356</f>
        <v>0</v>
      </c>
    </row>
    <row r="357" spans="1:10" x14ac:dyDescent="0.25">
      <c r="A357" s="94" t="str">
        <f>'Resultater - Vestdanmark'!A357</f>
        <v>Frøgræsmark</v>
      </c>
      <c r="B357" s="94" t="str">
        <f>'Resultater - Vestdanmark'!B357</f>
        <v>Økologisk</v>
      </c>
      <c r="C357" s="94" t="str">
        <f>'Resultater - Vestdanmark'!C357</f>
        <v>JB1-10</v>
      </c>
      <c r="D357" s="94" t="str">
        <f>'Resultater - Vestdanmark'!D357</f>
        <v>Areal-frøgræs</v>
      </c>
      <c r="E357" s="94" t="str">
        <f>'Resultater - Vestdanmark'!E357</f>
        <v>Hektar</v>
      </c>
      <c r="F357" s="94" t="str">
        <f>'Resultater - Vestdanmark'!F357</f>
        <v>Frø</v>
      </c>
      <c r="G357" s="94" t="str">
        <f>'Resultater - Vestdanmark'!G357</f>
        <v>Ton</v>
      </c>
      <c r="H357" s="252">
        <f>'Resultater - Vestdanmark'!H357+'Resultater - Østdanmark'!H357</f>
        <v>90477.579370643434</v>
      </c>
      <c r="I357" s="253">
        <f>'Resultater - Vestdanmark'!I357+'Resultater - Østdanmark'!I357</f>
        <v>60819.210543503243</v>
      </c>
      <c r="J357" s="254">
        <f>'Resultater - Vestdanmark'!J357+'Resultater - Østdanmark'!J357</f>
        <v>83716.319006591395</v>
      </c>
    </row>
    <row r="358" spans="1:10" x14ac:dyDescent="0.25">
      <c r="A358" s="94" t="str">
        <f>'Resultater - Vestdanmark'!A358</f>
        <v>Frøgræsmark</v>
      </c>
      <c r="B358" s="94" t="str">
        <f>'Resultater - Vestdanmark'!B358</f>
        <v>Økologisk</v>
      </c>
      <c r="C358" s="94" t="str">
        <f>'Resultater - Vestdanmark'!C358</f>
        <v>JB1-10</v>
      </c>
      <c r="D358" s="94" t="str">
        <f>'Resultater - Vestdanmark'!D358</f>
        <v>Areal-frøgræs</v>
      </c>
      <c r="E358" s="94" t="str">
        <f>'Resultater - Vestdanmark'!E358</f>
        <v>Hektar</v>
      </c>
      <c r="F358" s="94" t="str">
        <f>'Resultater - Vestdanmark'!F358</f>
        <v>Halm</v>
      </c>
      <c r="G358" s="94" t="str">
        <f>'Resultater - Vestdanmark'!G358</f>
        <v>Ton</v>
      </c>
      <c r="H358" s="252">
        <f>'Resultater - Vestdanmark'!H358+'Resultater - Østdanmark'!H358</f>
        <v>15030.986831286333</v>
      </c>
      <c r="I358" s="253">
        <f>'Resultater - Vestdanmark'!I358+'Resultater - Østdanmark'!I358</f>
        <v>10103.859532135568</v>
      </c>
      <c r="J358" s="254">
        <f>'Resultater - Vestdanmark'!J358+'Resultater - Østdanmark'!J358</f>
        <v>13907.742639721026</v>
      </c>
    </row>
    <row r="359" spans="1:10" x14ac:dyDescent="0.25">
      <c r="A359" s="94" t="str">
        <f>'Resultater - Vestdanmark'!A359</f>
        <v>Frøgræsmark</v>
      </c>
      <c r="B359" s="94" t="str">
        <f>'Resultater - Vestdanmark'!B359</f>
        <v>Økologisk</v>
      </c>
      <c r="C359" s="94" t="str">
        <f>'Resultater - Vestdanmark'!C359</f>
        <v>JB1-10</v>
      </c>
      <c r="D359" s="94" t="str">
        <f>'Resultater - Vestdanmark'!D359</f>
        <v>Areal-frøgræs</v>
      </c>
      <c r="E359" s="94" t="str">
        <f>'Resultater - Vestdanmark'!E359</f>
        <v>Hektar</v>
      </c>
      <c r="F359" s="94" t="str">
        <f>'Resultater - Vestdanmark'!F359</f>
        <v>Gødning</v>
      </c>
      <c r="G359" s="94" t="str">
        <f>'Resultater - Vestdanmark'!G359</f>
        <v>kg N</v>
      </c>
      <c r="H359" s="252">
        <f>'Resultater - Vestdanmark'!H359+'Resultater - Østdanmark'!H359</f>
        <v>-949805.38574983133</v>
      </c>
      <c r="I359" s="253">
        <f>'Resultater - Vestdanmark'!I359+'Resultater - Østdanmark'!I359</f>
        <v>-594542.44108538912</v>
      </c>
      <c r="J359" s="254">
        <f>'Resultater - Vestdanmark'!J359+'Resultater - Østdanmark'!J359</f>
        <v>-718913.47370237135</v>
      </c>
    </row>
    <row r="360" spans="1:10" x14ac:dyDescent="0.25">
      <c r="A360" s="94" t="str">
        <f>'Resultater - Vestdanmark'!A360</f>
        <v>Frøgræsmark</v>
      </c>
      <c r="B360" s="94" t="str">
        <f>'Resultater - Vestdanmark'!B360</f>
        <v>Økologisk</v>
      </c>
      <c r="C360" s="94" t="str">
        <f>'Resultater - Vestdanmark'!C360</f>
        <v>JB1-10</v>
      </c>
      <c r="D360" s="94" t="str">
        <f>'Resultater - Vestdanmark'!D360</f>
        <v>Areal-frøgræs</v>
      </c>
      <c r="E360" s="94" t="str">
        <f>'Resultater - Vestdanmark'!E360</f>
        <v>Hektar</v>
      </c>
      <c r="F360" s="94" t="str">
        <f>'Resultater - Vestdanmark'!F360</f>
        <v>CO2 - atmosfære</v>
      </c>
      <c r="G360" s="94" t="str">
        <f>'Resultater - Vestdanmark'!G360</f>
        <v>t CO2-ækvivalenter</v>
      </c>
      <c r="H360" s="252">
        <f>'Resultater - Vestdanmark'!H360+'Resultater - Østdanmark'!H360</f>
        <v>25258.095389318682</v>
      </c>
      <c r="I360" s="253">
        <f>'Resultater - Vestdanmark'!I360+'Resultater - Østdanmark'!I360</f>
        <v>14636.113021622705</v>
      </c>
      <c r="J360" s="254">
        <f>'Resultater - Vestdanmark'!J360+'Resultater - Østdanmark'!J360</f>
        <v>15115.633946013566</v>
      </c>
    </row>
    <row r="361" spans="1:10" x14ac:dyDescent="0.25">
      <c r="A361" s="94" t="str">
        <f>'Resultater - Vestdanmark'!A361</f>
        <v>Frøgræsmark</v>
      </c>
      <c r="B361" s="94" t="str">
        <f>'Resultater - Vestdanmark'!B361</f>
        <v>Økologisk</v>
      </c>
      <c r="C361" s="94" t="str">
        <f>'Resultater - Vestdanmark'!C361</f>
        <v>OC6</v>
      </c>
      <c r="D361" s="94" t="str">
        <f>'Resultater - Vestdanmark'!D361</f>
        <v>Areal-frøgræs</v>
      </c>
      <c r="E361" s="94" t="str">
        <f>'Resultater - Vestdanmark'!E361</f>
        <v>Hektar</v>
      </c>
      <c r="F361" s="94" t="str">
        <f>'Resultater - Vestdanmark'!F361</f>
        <v>Frø</v>
      </c>
      <c r="G361" s="94" t="str">
        <f>'Resultater - Vestdanmark'!G361</f>
        <v>Ton</v>
      </c>
      <c r="H361" s="252">
        <f>'Resultater - Vestdanmark'!H361+'Resultater - Østdanmark'!H361</f>
        <v>6393.7482407061234</v>
      </c>
      <c r="I361" s="253">
        <f>'Resultater - Vestdanmark'!I361+'Resultater - Østdanmark'!I361</f>
        <v>3398.0853338262496</v>
      </c>
      <c r="J361" s="254">
        <f>'Resultater - Vestdanmark'!J361+'Resultater - Østdanmark'!J361</f>
        <v>0</v>
      </c>
    </row>
    <row r="362" spans="1:10" x14ac:dyDescent="0.25">
      <c r="A362" s="94" t="str">
        <f>'Resultater - Vestdanmark'!A362</f>
        <v>Frøgræsmark</v>
      </c>
      <c r="B362" s="94" t="str">
        <f>'Resultater - Vestdanmark'!B362</f>
        <v>Økologisk</v>
      </c>
      <c r="C362" s="94" t="str">
        <f>'Resultater - Vestdanmark'!C362</f>
        <v>OC6</v>
      </c>
      <c r="D362" s="94" t="str">
        <f>'Resultater - Vestdanmark'!D362</f>
        <v>Areal-frøgræs</v>
      </c>
      <c r="E362" s="94" t="str">
        <f>'Resultater - Vestdanmark'!E362</f>
        <v>Hektar</v>
      </c>
      <c r="F362" s="94" t="str">
        <f>'Resultater - Vestdanmark'!F362</f>
        <v>Halm</v>
      </c>
      <c r="G362" s="94" t="str">
        <f>'Resultater - Vestdanmark'!G362</f>
        <v>Ton</v>
      </c>
      <c r="H362" s="252">
        <f>'Resultater - Vestdanmark'!H362+'Resultater - Østdanmark'!H362</f>
        <v>1062.1896195401109</v>
      </c>
      <c r="I362" s="253">
        <f>'Resultater - Vestdanmark'!I362+'Resultater - Østdanmark'!I362</f>
        <v>564.52190984346782</v>
      </c>
      <c r="J362" s="254">
        <f>'Resultater - Vestdanmark'!J362+'Resultater - Østdanmark'!J362</f>
        <v>0</v>
      </c>
    </row>
    <row r="363" spans="1:10" x14ac:dyDescent="0.25">
      <c r="A363" s="94" t="str">
        <f>'Resultater - Vestdanmark'!A363</f>
        <v>Frøgræsmark</v>
      </c>
      <c r="B363" s="94" t="str">
        <f>'Resultater - Vestdanmark'!B363</f>
        <v>Økologisk</v>
      </c>
      <c r="C363" s="94" t="str">
        <f>'Resultater - Vestdanmark'!C363</f>
        <v>OC6</v>
      </c>
      <c r="D363" s="94" t="str">
        <f>'Resultater - Vestdanmark'!D363</f>
        <v>Areal-frøgræs</v>
      </c>
      <c r="E363" s="94" t="str">
        <f>'Resultater - Vestdanmark'!E363</f>
        <v>Hektar</v>
      </c>
      <c r="F363" s="94" t="str">
        <f>'Resultater - Vestdanmark'!F363</f>
        <v>Gødning</v>
      </c>
      <c r="G363" s="94" t="str">
        <f>'Resultater - Vestdanmark'!G363</f>
        <v>kg N</v>
      </c>
      <c r="H363" s="252">
        <f>'Resultater - Vestdanmark'!H363+'Resultater - Østdanmark'!H363</f>
        <v>-50339.679921755182</v>
      </c>
      <c r="I363" s="253">
        <f>'Resultater - Vestdanmark'!I363+'Resultater - Østdanmark'!I363</f>
        <v>-24913.665411002225</v>
      </c>
      <c r="J363" s="254">
        <f>'Resultater - Vestdanmark'!J363+'Resultater - Østdanmark'!J363</f>
        <v>0</v>
      </c>
    </row>
    <row r="364" spans="1:10" x14ac:dyDescent="0.25">
      <c r="A364" s="94" t="str">
        <f>'Resultater - Vestdanmark'!A364</f>
        <v>Frøgræsmark</v>
      </c>
      <c r="B364" s="94" t="str">
        <f>'Resultater - Vestdanmark'!B364</f>
        <v>Økologisk</v>
      </c>
      <c r="C364" s="94" t="str">
        <f>'Resultater - Vestdanmark'!C364</f>
        <v>OC6</v>
      </c>
      <c r="D364" s="94" t="str">
        <f>'Resultater - Vestdanmark'!D364</f>
        <v>Areal-frøgræs</v>
      </c>
      <c r="E364" s="94" t="str">
        <f>'Resultater - Vestdanmark'!E364</f>
        <v>Hektar</v>
      </c>
      <c r="F364" s="94" t="str">
        <f>'Resultater - Vestdanmark'!F364</f>
        <v>CO2 - atmosfære</v>
      </c>
      <c r="G364" s="94" t="str">
        <f>'Resultater - Vestdanmark'!G364</f>
        <v>t CO2-ækvivalenter</v>
      </c>
      <c r="H364" s="252">
        <f>'Resultater - Vestdanmark'!H364+'Resultater - Østdanmark'!H364</f>
        <v>10461.556541465279</v>
      </c>
      <c r="I364" s="253">
        <f>'Resultater - Vestdanmark'!I364+'Resultater - Østdanmark'!I364</f>
        <v>4792.9224903039194</v>
      </c>
      <c r="J364" s="254">
        <f>'Resultater - Vestdanmark'!J364+'Resultater - Østdanmark'!J364</f>
        <v>0</v>
      </c>
    </row>
    <row r="365" spans="1:10" x14ac:dyDescent="0.25">
      <c r="A365" s="94" t="str">
        <f>'Resultater - Vestdanmark'!A365</f>
        <v>Frøgræsmark</v>
      </c>
      <c r="B365" s="94" t="str">
        <f>'Resultater - Vestdanmark'!B365</f>
        <v>Økologisk</v>
      </c>
      <c r="C365" s="94" t="str">
        <f>'Resultater - Vestdanmark'!C365</f>
        <v>OC12</v>
      </c>
      <c r="D365" s="94" t="str">
        <f>'Resultater - Vestdanmark'!D365</f>
        <v>Areal-frøgræs</v>
      </c>
      <c r="E365" s="94" t="str">
        <f>'Resultater - Vestdanmark'!E365</f>
        <v>Hektar</v>
      </c>
      <c r="F365" s="94" t="str">
        <f>'Resultater - Vestdanmark'!F365</f>
        <v>Frø</v>
      </c>
      <c r="G365" s="94" t="str">
        <f>'Resultater - Vestdanmark'!G365</f>
        <v>Ton</v>
      </c>
      <c r="H365" s="252">
        <f>'Resultater - Vestdanmark'!H365+'Resultater - Østdanmark'!H365</f>
        <v>5586.669113270872</v>
      </c>
      <c r="I365" s="253">
        <f>'Resultater - Vestdanmark'!I365+'Resultater - Østdanmark'!I365</f>
        <v>2998.7998668799214</v>
      </c>
      <c r="J365" s="254">
        <f>'Resultater - Vestdanmark'!J365+'Resultater - Østdanmark'!J365</f>
        <v>0</v>
      </c>
    </row>
    <row r="366" spans="1:10" x14ac:dyDescent="0.25">
      <c r="A366" s="94" t="str">
        <f>'Resultater - Vestdanmark'!A366</f>
        <v>Frøgræsmark</v>
      </c>
      <c r="B366" s="94" t="str">
        <f>'Resultater - Vestdanmark'!B366</f>
        <v>Økologisk</v>
      </c>
      <c r="C366" s="94" t="str">
        <f>'Resultater - Vestdanmark'!C366</f>
        <v>OC12</v>
      </c>
      <c r="D366" s="94" t="str">
        <f>'Resultater - Vestdanmark'!D366</f>
        <v>Areal-frøgræs</v>
      </c>
      <c r="E366" s="94" t="str">
        <f>'Resultater - Vestdanmark'!E366</f>
        <v>Hektar</v>
      </c>
      <c r="F366" s="94" t="str">
        <f>'Resultater - Vestdanmark'!F366</f>
        <v>Halm</v>
      </c>
      <c r="G366" s="94" t="str">
        <f>'Resultater - Vestdanmark'!G366</f>
        <v>Ton</v>
      </c>
      <c r="H366" s="252">
        <f>'Resultater - Vestdanmark'!H366+'Resultater - Østdanmark'!H366</f>
        <v>928.11004070224612</v>
      </c>
      <c r="I366" s="253">
        <f>'Resultater - Vestdanmark'!I366+'Resultater - Østdanmark'!I366</f>
        <v>498.1888510089874</v>
      </c>
      <c r="J366" s="254">
        <f>'Resultater - Vestdanmark'!J366+'Resultater - Østdanmark'!J366</f>
        <v>0</v>
      </c>
    </row>
    <row r="367" spans="1:10" x14ac:dyDescent="0.25">
      <c r="A367" s="94" t="str">
        <f>'Resultater - Vestdanmark'!A367</f>
        <v>Frøgræsmark</v>
      </c>
      <c r="B367" s="94" t="str">
        <f>'Resultater - Vestdanmark'!B367</f>
        <v>Økologisk</v>
      </c>
      <c r="C367" s="94" t="str">
        <f>'Resultater - Vestdanmark'!C367</f>
        <v>OC12</v>
      </c>
      <c r="D367" s="94" t="str">
        <f>'Resultater - Vestdanmark'!D367</f>
        <v>Areal-frøgræs</v>
      </c>
      <c r="E367" s="94" t="str">
        <f>'Resultater - Vestdanmark'!E367</f>
        <v>Hektar</v>
      </c>
      <c r="F367" s="94" t="str">
        <f>'Resultater - Vestdanmark'!F367</f>
        <v>Gødning</v>
      </c>
      <c r="G367" s="94" t="str">
        <f>'Resultater - Vestdanmark'!G367</f>
        <v>kg N</v>
      </c>
      <c r="H367" s="252">
        <f>'Resultater - Vestdanmark'!H367+'Resultater - Østdanmark'!H367</f>
        <v>-33512.633416062716</v>
      </c>
      <c r="I367" s="253">
        <f>'Resultater - Vestdanmark'!I367+'Resultater - Østdanmark'!I367</f>
        <v>-16751.415756854676</v>
      </c>
      <c r="J367" s="254">
        <f>'Resultater - Vestdanmark'!J367+'Resultater - Østdanmark'!J367</f>
        <v>0</v>
      </c>
    </row>
    <row r="368" spans="1:10" x14ac:dyDescent="0.25">
      <c r="A368" s="94" t="str">
        <f>'Resultater - Vestdanmark'!A368</f>
        <v>Frøgræsmark</v>
      </c>
      <c r="B368" s="94" t="str">
        <f>'Resultater - Vestdanmark'!B368</f>
        <v>Økologisk</v>
      </c>
      <c r="C368" s="94" t="str">
        <f>'Resultater - Vestdanmark'!C368</f>
        <v>OC12</v>
      </c>
      <c r="D368" s="94" t="str">
        <f>'Resultater - Vestdanmark'!D368</f>
        <v>Areal-frøgræs</v>
      </c>
      <c r="E368" s="94" t="str">
        <f>'Resultater - Vestdanmark'!E368</f>
        <v>Hektar</v>
      </c>
      <c r="F368" s="94" t="str">
        <f>'Resultater - Vestdanmark'!F368</f>
        <v>CO2 - atmosfære</v>
      </c>
      <c r="G368" s="94" t="str">
        <f>'Resultater - Vestdanmark'!G368</f>
        <v>t CO2-ækvivalenter</v>
      </c>
      <c r="H368" s="252">
        <f>'Resultater - Vestdanmark'!H368+'Resultater - Østdanmark'!H368</f>
        <v>20064.314636026029</v>
      </c>
      <c r="I368" s="253">
        <f>'Resultater - Vestdanmark'!I368+'Resultater - Østdanmark'!I368</f>
        <v>9284.1941234717488</v>
      </c>
      <c r="J368" s="254">
        <f>'Resultater - Vestdanmark'!J368+'Resultater - Østdanmark'!J368</f>
        <v>0</v>
      </c>
    </row>
    <row r="369" spans="1:10" x14ac:dyDescent="0.25">
      <c r="A369" s="94" t="str">
        <f>'Resultater - Vestdanmark'!A369</f>
        <v>Juletræsmark</v>
      </c>
      <c r="B369" s="94" t="str">
        <f>'Resultater - Vestdanmark'!B369</f>
        <v>Konventionel</v>
      </c>
      <c r="C369" s="94" t="str">
        <f>'Resultater - Vestdanmark'!C369</f>
        <v>JB1-10</v>
      </c>
      <c r="D369" s="94" t="str">
        <f>'Resultater - Vestdanmark'!D369</f>
        <v>Areal-juletræer</v>
      </c>
      <c r="E369" s="94" t="str">
        <f>'Resultater - Vestdanmark'!E369</f>
        <v>Hektar</v>
      </c>
      <c r="F369" s="94" t="str">
        <f>'Resultater - Vestdanmark'!F369</f>
        <v>Juletræer</v>
      </c>
      <c r="G369" s="94" t="str">
        <f>'Resultater - Vestdanmark'!G369</f>
        <v>Ton</v>
      </c>
      <c r="H369" s="252">
        <f>'Resultater - Vestdanmark'!H369+'Resultater - Østdanmark'!H369</f>
        <v>804386.70310434792</v>
      </c>
      <c r="I369" s="253">
        <f>'Resultater - Vestdanmark'!I369+'Resultater - Østdanmark'!I369</f>
        <v>802949.18566601502</v>
      </c>
      <c r="J369" s="254">
        <f>'Resultater - Vestdanmark'!J369+'Resultater - Østdanmark'!J369</f>
        <v>0</v>
      </c>
    </row>
    <row r="370" spans="1:10" x14ac:dyDescent="0.25">
      <c r="A370" s="94" t="str">
        <f>'Resultater - Vestdanmark'!A370</f>
        <v>Juletræsmark</v>
      </c>
      <c r="B370" s="94" t="str">
        <f>'Resultater - Vestdanmark'!B370</f>
        <v>Konventionel</v>
      </c>
      <c r="C370" s="94" t="str">
        <f>'Resultater - Vestdanmark'!C370</f>
        <v>JB1-10</v>
      </c>
      <c r="D370" s="94" t="str">
        <f>'Resultater - Vestdanmark'!D370</f>
        <v>Areal-juletræer</v>
      </c>
      <c r="E370" s="94" t="str">
        <f>'Resultater - Vestdanmark'!E370</f>
        <v>Hektar</v>
      </c>
      <c r="F370" s="94" t="str">
        <f>'Resultater - Vestdanmark'!F370</f>
        <v>Gødning</v>
      </c>
      <c r="G370" s="94" t="str">
        <f>'Resultater - Vestdanmark'!G370</f>
        <v>kg N</v>
      </c>
      <c r="H370" s="252">
        <f>'Resultater - Vestdanmark'!H370+'Resultater - Østdanmark'!H370</f>
        <v>-1769650.7468295656</v>
      </c>
      <c r="I370" s="253">
        <f>'Resultater - Vestdanmark'!I370+'Resultater - Østdanmark'!I370</f>
        <v>-1644974.5050322893</v>
      </c>
      <c r="J370" s="254">
        <f>'Resultater - Vestdanmark'!J370+'Resultater - Østdanmark'!J370</f>
        <v>0</v>
      </c>
    </row>
    <row r="371" spans="1:10" x14ac:dyDescent="0.25">
      <c r="A371" s="94" t="str">
        <f>'Resultater - Vestdanmark'!A371</f>
        <v>Juletræsmark</v>
      </c>
      <c r="B371" s="94" t="str">
        <f>'Resultater - Vestdanmark'!B371</f>
        <v>Konventionel</v>
      </c>
      <c r="C371" s="94" t="str">
        <f>'Resultater - Vestdanmark'!C371</f>
        <v>JB1-10</v>
      </c>
      <c r="D371" s="94" t="str">
        <f>'Resultater - Vestdanmark'!D371</f>
        <v>Areal-juletræer</v>
      </c>
      <c r="E371" s="94" t="str">
        <f>'Resultater - Vestdanmark'!E371</f>
        <v>Hektar</v>
      </c>
      <c r="F371" s="94" t="str">
        <f>'Resultater - Vestdanmark'!F371</f>
        <v>CO2 - atmosfære</v>
      </c>
      <c r="G371" s="94" t="str">
        <f>'Resultater - Vestdanmark'!G371</f>
        <v>t CO2-ækvivalenter</v>
      </c>
      <c r="H371" s="252">
        <f>'Resultater - Vestdanmark'!H371+'Resultater - Østdanmark'!H371</f>
        <v>31623.568231448324</v>
      </c>
      <c r="I371" s="253">
        <f>'Resultater - Vestdanmark'!I371+'Resultater - Østdanmark'!I371</f>
        <v>27211.933487807302</v>
      </c>
      <c r="J371" s="254">
        <f>'Resultater - Vestdanmark'!J371+'Resultater - Østdanmark'!J371</f>
        <v>0</v>
      </c>
    </row>
    <row r="372" spans="1:10" x14ac:dyDescent="0.25">
      <c r="A372" s="94" t="str">
        <f>'Resultater - Vestdanmark'!A372</f>
        <v>Juletræsmark</v>
      </c>
      <c r="B372" s="94" t="str">
        <f>'Resultater - Vestdanmark'!B372</f>
        <v>Konventionel</v>
      </c>
      <c r="C372" s="94" t="str">
        <f>'Resultater - Vestdanmark'!C372</f>
        <v>OC6</v>
      </c>
      <c r="D372" s="94" t="str">
        <f>'Resultater - Vestdanmark'!D372</f>
        <v>Areal-juletræer</v>
      </c>
      <c r="E372" s="94" t="str">
        <f>'Resultater - Vestdanmark'!E372</f>
        <v>Hektar</v>
      </c>
      <c r="F372" s="94" t="str">
        <f>'Resultater - Vestdanmark'!F372</f>
        <v>Juletræer</v>
      </c>
      <c r="G372" s="94" t="str">
        <f>'Resultater - Vestdanmark'!G372</f>
        <v>Ton</v>
      </c>
      <c r="H372" s="252">
        <f>'Resultater - Vestdanmark'!H372+'Resultater - Østdanmark'!H372</f>
        <v>27393.452669089784</v>
      </c>
      <c r="I372" s="253">
        <f>'Resultater - Vestdanmark'!I372+'Resultater - Østdanmark'!I372</f>
        <v>14553.207066073377</v>
      </c>
      <c r="J372" s="254">
        <f>'Resultater - Vestdanmark'!J372+'Resultater - Østdanmark'!J372</f>
        <v>0</v>
      </c>
    </row>
    <row r="373" spans="1:10" x14ac:dyDescent="0.25">
      <c r="A373" s="94" t="str">
        <f>'Resultater - Vestdanmark'!A373</f>
        <v>Juletræsmark</v>
      </c>
      <c r="B373" s="94" t="str">
        <f>'Resultater - Vestdanmark'!B373</f>
        <v>Konventionel</v>
      </c>
      <c r="C373" s="94" t="str">
        <f>'Resultater - Vestdanmark'!C373</f>
        <v>OC6</v>
      </c>
      <c r="D373" s="94" t="str">
        <f>'Resultater - Vestdanmark'!D373</f>
        <v>Areal-juletræer</v>
      </c>
      <c r="E373" s="94" t="str">
        <f>'Resultater - Vestdanmark'!E373</f>
        <v>Hektar</v>
      </c>
      <c r="F373" s="94" t="str">
        <f>'Resultater - Vestdanmark'!F373</f>
        <v>Gødning</v>
      </c>
      <c r="G373" s="94" t="str">
        <f>'Resultater - Vestdanmark'!G373</f>
        <v>kg N</v>
      </c>
      <c r="H373" s="252">
        <f>'Resultater - Vestdanmark'!H373+'Resultater - Østdanmark'!H373</f>
        <v>-45655.75444848297</v>
      </c>
      <c r="I373" s="253">
        <f>'Resultater - Vestdanmark'!I373+'Resultater - Østdanmark'!I373</f>
        <v>-22586.861392964722</v>
      </c>
      <c r="J373" s="254">
        <f>'Resultater - Vestdanmark'!J373+'Resultater - Østdanmark'!J373</f>
        <v>0</v>
      </c>
    </row>
    <row r="374" spans="1:10" x14ac:dyDescent="0.25">
      <c r="A374" s="94" t="str">
        <f>'Resultater - Vestdanmark'!A374</f>
        <v>Juletræsmark</v>
      </c>
      <c r="B374" s="94" t="str">
        <f>'Resultater - Vestdanmark'!B374</f>
        <v>Konventionel</v>
      </c>
      <c r="C374" s="94" t="str">
        <f>'Resultater - Vestdanmark'!C374</f>
        <v>OC6</v>
      </c>
      <c r="D374" s="94" t="str">
        <f>'Resultater - Vestdanmark'!D374</f>
        <v>Areal-juletræer</v>
      </c>
      <c r="E374" s="94" t="str">
        <f>'Resultater - Vestdanmark'!E374</f>
        <v>Hektar</v>
      </c>
      <c r="F374" s="94" t="str">
        <f>'Resultater - Vestdanmark'!F374</f>
        <v>CO2 - atmosfære</v>
      </c>
      <c r="G374" s="94" t="str">
        <f>'Resultater - Vestdanmark'!G374</f>
        <v>t CO2-ækvivalenter</v>
      </c>
      <c r="H374" s="252">
        <f>'Resultater - Vestdanmark'!H374+'Resultater - Østdanmark'!H374</f>
        <v>4867.6770004669015</v>
      </c>
      <c r="I374" s="253">
        <f>'Resultater - Vestdanmark'!I374+'Resultater - Østdanmark'!I374</f>
        <v>2229.2513423745231</v>
      </c>
      <c r="J374" s="254">
        <f>'Resultater - Vestdanmark'!J374+'Resultater - Østdanmark'!J374</f>
        <v>0</v>
      </c>
    </row>
    <row r="375" spans="1:10" x14ac:dyDescent="0.25">
      <c r="A375" s="94" t="str">
        <f>'Resultater - Vestdanmark'!A375</f>
        <v>Juletræsmark</v>
      </c>
      <c r="B375" s="94" t="str">
        <f>'Resultater - Vestdanmark'!B375</f>
        <v>Konventionel</v>
      </c>
      <c r="C375" s="94" t="str">
        <f>'Resultater - Vestdanmark'!C375</f>
        <v>OC12</v>
      </c>
      <c r="D375" s="94" t="str">
        <f>'Resultater - Vestdanmark'!D375</f>
        <v>Areal-juletræer</v>
      </c>
      <c r="E375" s="94" t="str">
        <f>'Resultater - Vestdanmark'!E375</f>
        <v>Hektar</v>
      </c>
      <c r="F375" s="94" t="str">
        <f>'Resultater - Vestdanmark'!F375</f>
        <v>Juletræer</v>
      </c>
      <c r="G375" s="94" t="str">
        <f>'Resultater - Vestdanmark'!G375</f>
        <v>Ton</v>
      </c>
      <c r="H375" s="252">
        <f>'Resultater - Vestdanmark'!H375+'Resultater - Østdanmark'!H375</f>
        <v>18360.165184548681</v>
      </c>
      <c r="I375" s="253">
        <f>'Resultater - Vestdanmark'!I375+'Resultater - Østdanmark'!I375</f>
        <v>9787.5380130538288</v>
      </c>
      <c r="J375" s="254">
        <f>'Resultater - Vestdanmark'!J375+'Resultater - Østdanmark'!J375</f>
        <v>0</v>
      </c>
    </row>
    <row r="376" spans="1:10" x14ac:dyDescent="0.25">
      <c r="A376" s="94" t="str">
        <f>'Resultater - Vestdanmark'!A376</f>
        <v>Juletræsmark</v>
      </c>
      <c r="B376" s="94" t="str">
        <f>'Resultater - Vestdanmark'!B376</f>
        <v>Konventionel</v>
      </c>
      <c r="C376" s="94" t="str">
        <f>'Resultater - Vestdanmark'!C376</f>
        <v>OC12</v>
      </c>
      <c r="D376" s="94" t="str">
        <f>'Resultater - Vestdanmark'!D376</f>
        <v>Areal-juletræer</v>
      </c>
      <c r="E376" s="94" t="str">
        <f>'Resultater - Vestdanmark'!E376</f>
        <v>Hektar</v>
      </c>
      <c r="F376" s="94" t="str">
        <f>'Resultater - Vestdanmark'!F376</f>
        <v>Gødning</v>
      </c>
      <c r="G376" s="94" t="str">
        <f>'Resultater - Vestdanmark'!G376</f>
        <v>kg N</v>
      </c>
      <c r="H376" s="252">
        <f>'Resultater - Vestdanmark'!H376+'Resultater - Østdanmark'!H376</f>
        <v>-23605.926665848303</v>
      </c>
      <c r="I376" s="253">
        <f>'Resultater - Vestdanmark'!I376+'Resultater - Østdanmark'!I376</f>
        <v>-11718.347153585102</v>
      </c>
      <c r="J376" s="254">
        <f>'Resultater - Vestdanmark'!J376+'Resultater - Østdanmark'!J376</f>
        <v>0</v>
      </c>
    </row>
    <row r="377" spans="1:10" x14ac:dyDescent="0.25">
      <c r="A377" s="94" t="str">
        <f>'Resultater - Vestdanmark'!A377</f>
        <v>Juletræsmark</v>
      </c>
      <c r="B377" s="94" t="str">
        <f>'Resultater - Vestdanmark'!B377</f>
        <v>Konventionel</v>
      </c>
      <c r="C377" s="94" t="str">
        <f>'Resultater - Vestdanmark'!C377</f>
        <v>OC12</v>
      </c>
      <c r="D377" s="94" t="str">
        <f>'Resultater - Vestdanmark'!D377</f>
        <v>Areal-juletræer</v>
      </c>
      <c r="E377" s="94" t="str">
        <f>'Resultater - Vestdanmark'!E377</f>
        <v>Hektar</v>
      </c>
      <c r="F377" s="94" t="str">
        <f>'Resultater - Vestdanmark'!F377</f>
        <v>CO2 - atmosfære</v>
      </c>
      <c r="G377" s="94" t="str">
        <f>'Resultater - Vestdanmark'!G377</f>
        <v>t CO2-ækvivalenter</v>
      </c>
      <c r="H377" s="252">
        <f>'Resultater - Vestdanmark'!H377+'Resultater - Østdanmark'!H377</f>
        <v>7475.6545232364842</v>
      </c>
      <c r="I377" s="253">
        <f>'Resultater - Vestdanmark'!I377+'Resultater - Østdanmark'!I377</f>
        <v>3435.3536383925029</v>
      </c>
      <c r="J377" s="254">
        <f>'Resultater - Vestdanmark'!J377+'Resultater - Østdanmark'!J377</f>
        <v>0</v>
      </c>
    </row>
    <row r="378" spans="1:10" x14ac:dyDescent="0.25">
      <c r="A378" s="94" t="str">
        <f>'Resultater - Vestdanmark'!A378</f>
        <v>Juletræsmark</v>
      </c>
      <c r="B378" s="94" t="str">
        <f>'Resultater - Vestdanmark'!B378</f>
        <v>Økologisk</v>
      </c>
      <c r="C378" s="94" t="str">
        <f>'Resultater - Vestdanmark'!C378</f>
        <v>JB1-10</v>
      </c>
      <c r="D378" s="94" t="str">
        <f>'Resultater - Vestdanmark'!D378</f>
        <v>Areal-juletræer</v>
      </c>
      <c r="E378" s="94" t="str">
        <f>'Resultater - Vestdanmark'!E378</f>
        <v>Hektar</v>
      </c>
      <c r="F378" s="94" t="str">
        <f>'Resultater - Vestdanmark'!F378</f>
        <v>Juletræer</v>
      </c>
      <c r="G378" s="94" t="str">
        <f>'Resultater - Vestdanmark'!G378</f>
        <v>Ton</v>
      </c>
      <c r="H378" s="252">
        <f>'Resultater - Vestdanmark'!H378+'Resultater - Østdanmark'!H378</f>
        <v>58624.558099339294</v>
      </c>
      <c r="I378" s="253">
        <f>'Resultater - Vestdanmark'!I378+'Resultater - Østdanmark'!I378</f>
        <v>58519.790300148772</v>
      </c>
      <c r="J378" s="254">
        <f>'Resultater - Vestdanmark'!J378+'Resultater - Østdanmark'!J378</f>
        <v>515416.99573239626</v>
      </c>
    </row>
    <row r="379" spans="1:10" x14ac:dyDescent="0.25">
      <c r="A379" s="94" t="str">
        <f>'Resultater - Vestdanmark'!A379</f>
        <v>Juletræsmark</v>
      </c>
      <c r="B379" s="94" t="str">
        <f>'Resultater - Vestdanmark'!B379</f>
        <v>Økologisk</v>
      </c>
      <c r="C379" s="94" t="str">
        <f>'Resultater - Vestdanmark'!C379</f>
        <v>JB1-10</v>
      </c>
      <c r="D379" s="94" t="str">
        <f>'Resultater - Vestdanmark'!D379</f>
        <v>Areal-juletræer</v>
      </c>
      <c r="E379" s="94" t="str">
        <f>'Resultater - Vestdanmark'!E379</f>
        <v>Hektar</v>
      </c>
      <c r="F379" s="94" t="str">
        <f>'Resultater - Vestdanmark'!F379</f>
        <v>Gødning</v>
      </c>
      <c r="G379" s="94" t="str">
        <f>'Resultater - Vestdanmark'!G379</f>
        <v>kg N</v>
      </c>
      <c r="H379" s="252">
        <f>'Resultater - Vestdanmark'!H379+'Resultater - Østdanmark'!H379</f>
        <v>-128974.02781854646</v>
      </c>
      <c r="I379" s="253">
        <f>'Resultater - Vestdanmark'!I379+'Resultater - Østdanmark'!I379</f>
        <v>-119887.490767842</v>
      </c>
      <c r="J379" s="254">
        <f>'Resultater - Vestdanmark'!J379+'Resultater - Østdanmark'!J379</f>
        <v>-927586.15979025408</v>
      </c>
    </row>
    <row r="380" spans="1:10" x14ac:dyDescent="0.25">
      <c r="A380" s="94" t="str">
        <f>'Resultater - Vestdanmark'!A380</f>
        <v>Juletræsmark</v>
      </c>
      <c r="B380" s="94" t="str">
        <f>'Resultater - Vestdanmark'!B380</f>
        <v>Økologisk</v>
      </c>
      <c r="C380" s="94" t="str">
        <f>'Resultater - Vestdanmark'!C380</f>
        <v>JB1-10</v>
      </c>
      <c r="D380" s="94" t="str">
        <f>'Resultater - Vestdanmark'!D380</f>
        <v>Areal-juletræer</v>
      </c>
      <c r="E380" s="94" t="str">
        <f>'Resultater - Vestdanmark'!E380</f>
        <v>Hektar</v>
      </c>
      <c r="F380" s="94" t="str">
        <f>'Resultater - Vestdanmark'!F380</f>
        <v>CO2 - atmosfære</v>
      </c>
      <c r="G380" s="94" t="str">
        <f>'Resultater - Vestdanmark'!G380</f>
        <v>t CO2-ækvivalenter</v>
      </c>
      <c r="H380" s="252">
        <f>'Resultater - Vestdanmark'!H380+'Resultater - Østdanmark'!H380</f>
        <v>4043.4373211296634</v>
      </c>
      <c r="I380" s="253">
        <f>'Resultater - Vestdanmark'!I380+'Resultater - Østdanmark'!I380</f>
        <v>3479.3590223407537</v>
      </c>
      <c r="J380" s="254">
        <f>'Resultater - Vestdanmark'!J380+'Resultater - Østdanmark'!J380</f>
        <v>22992.515303746361</v>
      </c>
    </row>
    <row r="381" spans="1:10" x14ac:dyDescent="0.25">
      <c r="A381" s="94" t="str">
        <f>'Resultater - Vestdanmark'!A381</f>
        <v>Juletræsmark</v>
      </c>
      <c r="B381" s="94" t="str">
        <f>'Resultater - Vestdanmark'!B381</f>
        <v>Økologisk</v>
      </c>
      <c r="C381" s="94" t="str">
        <f>'Resultater - Vestdanmark'!C381</f>
        <v>OC6</v>
      </c>
      <c r="D381" s="94" t="str">
        <f>'Resultater - Vestdanmark'!D381</f>
        <v>Areal-juletræer</v>
      </c>
      <c r="E381" s="94" t="str">
        <f>'Resultater - Vestdanmark'!E381</f>
        <v>Hektar</v>
      </c>
      <c r="F381" s="94" t="str">
        <f>'Resultater - Vestdanmark'!F381</f>
        <v>Juletræer</v>
      </c>
      <c r="G381" s="94" t="str">
        <f>'Resultater - Vestdanmark'!G381</f>
        <v>Ton</v>
      </c>
      <c r="H381" s="252">
        <f>'Resultater - Vestdanmark'!H381+'Resultater - Østdanmark'!H381</f>
        <v>1996.4639536467182</v>
      </c>
      <c r="I381" s="253">
        <f>'Resultater - Vestdanmark'!I381+'Resultater - Østdanmark'!I381</f>
        <v>1060.6532030975866</v>
      </c>
      <c r="J381" s="254">
        <f>'Resultater - Vestdanmark'!J381+'Resultater - Østdanmark'!J381</f>
        <v>0</v>
      </c>
    </row>
    <row r="382" spans="1:10" x14ac:dyDescent="0.25">
      <c r="A382" s="94" t="str">
        <f>'Resultater - Vestdanmark'!A382</f>
        <v>Juletræsmark</v>
      </c>
      <c r="B382" s="94" t="str">
        <f>'Resultater - Vestdanmark'!B382</f>
        <v>Økologisk</v>
      </c>
      <c r="C382" s="94" t="str">
        <f>'Resultater - Vestdanmark'!C382</f>
        <v>OC6</v>
      </c>
      <c r="D382" s="94" t="str">
        <f>'Resultater - Vestdanmark'!D382</f>
        <v>Areal-juletræer</v>
      </c>
      <c r="E382" s="94" t="str">
        <f>'Resultater - Vestdanmark'!E382</f>
        <v>Hektar</v>
      </c>
      <c r="F382" s="94" t="str">
        <f>'Resultater - Vestdanmark'!F382</f>
        <v>Gødning</v>
      </c>
      <c r="G382" s="94" t="str">
        <f>'Resultater - Vestdanmark'!G382</f>
        <v>kg N</v>
      </c>
      <c r="H382" s="252">
        <f>'Resultater - Vestdanmark'!H382+'Resultater - Østdanmark'!H382</f>
        <v>-3327.4399227445301</v>
      </c>
      <c r="I382" s="253">
        <f>'Resultater - Vestdanmark'!I382+'Resultater - Østdanmark'!I382</f>
        <v>-1646.1544713548196</v>
      </c>
      <c r="J382" s="254">
        <f>'Resultater - Vestdanmark'!J382+'Resultater - Østdanmark'!J382</f>
        <v>0</v>
      </c>
    </row>
    <row r="383" spans="1:10" x14ac:dyDescent="0.25">
      <c r="A383" s="94" t="str">
        <f>'Resultater - Vestdanmark'!A383</f>
        <v>Juletræsmark</v>
      </c>
      <c r="B383" s="94" t="str">
        <f>'Resultater - Vestdanmark'!B383</f>
        <v>Økologisk</v>
      </c>
      <c r="C383" s="94" t="str">
        <f>'Resultater - Vestdanmark'!C383</f>
        <v>OC6</v>
      </c>
      <c r="D383" s="94" t="str">
        <f>'Resultater - Vestdanmark'!D383</f>
        <v>Areal-juletræer</v>
      </c>
      <c r="E383" s="94" t="str">
        <f>'Resultater - Vestdanmark'!E383</f>
        <v>Hektar</v>
      </c>
      <c r="F383" s="94" t="str">
        <f>'Resultater - Vestdanmark'!F383</f>
        <v>CO2 - atmosfære</v>
      </c>
      <c r="G383" s="94" t="str">
        <f>'Resultater - Vestdanmark'!G383</f>
        <v>t CO2-ækvivalenter</v>
      </c>
      <c r="H383" s="252">
        <f>'Resultater - Vestdanmark'!H383+'Resultater - Østdanmark'!H383</f>
        <v>622.38855232406365</v>
      </c>
      <c r="I383" s="253">
        <f>'Resultater - Vestdanmark'!I383+'Resultater - Østdanmark'!I383</f>
        <v>285.03545235517294</v>
      </c>
      <c r="J383" s="254">
        <f>'Resultater - Vestdanmark'!J383+'Resultater - Østdanmark'!J383</f>
        <v>0</v>
      </c>
    </row>
    <row r="384" spans="1:10" x14ac:dyDescent="0.25">
      <c r="A384" s="94" t="str">
        <f>'Resultater - Vestdanmark'!A384</f>
        <v>Juletræsmark</v>
      </c>
      <c r="B384" s="94" t="str">
        <f>'Resultater - Vestdanmark'!B384</f>
        <v>Økologisk</v>
      </c>
      <c r="C384" s="94" t="str">
        <f>'Resultater - Vestdanmark'!C384</f>
        <v>OC12</v>
      </c>
      <c r="D384" s="94" t="str">
        <f>'Resultater - Vestdanmark'!D384</f>
        <v>Areal-juletræer</v>
      </c>
      <c r="E384" s="94" t="str">
        <f>'Resultater - Vestdanmark'!E384</f>
        <v>Hektar</v>
      </c>
      <c r="F384" s="94" t="str">
        <f>'Resultater - Vestdanmark'!F384</f>
        <v>Juletræer</v>
      </c>
      <c r="G384" s="94" t="str">
        <f>'Resultater - Vestdanmark'!G384</f>
        <v>Ton</v>
      </c>
      <c r="H384" s="252">
        <f>'Resultater - Vestdanmark'!H384+'Resultater - Østdanmark'!H384</f>
        <v>1338.1083581082171</v>
      </c>
      <c r="I384" s="253">
        <f>'Resultater - Vestdanmark'!I384+'Resultater - Østdanmark'!I384</f>
        <v>713.32617593174211</v>
      </c>
      <c r="J384" s="254">
        <f>'Resultater - Vestdanmark'!J384+'Resultater - Østdanmark'!J384</f>
        <v>0</v>
      </c>
    </row>
    <row r="385" spans="1:10" x14ac:dyDescent="0.25">
      <c r="A385" s="94" t="str">
        <f>'Resultater - Vestdanmark'!A385</f>
        <v>Juletræsmark</v>
      </c>
      <c r="B385" s="94" t="str">
        <f>'Resultater - Vestdanmark'!B385</f>
        <v>Økologisk</v>
      </c>
      <c r="C385" s="94" t="str">
        <f>'Resultater - Vestdanmark'!C385</f>
        <v>OC12</v>
      </c>
      <c r="D385" s="94" t="str">
        <f>'Resultater - Vestdanmark'!D385</f>
        <v>Areal-juletræer</v>
      </c>
      <c r="E385" s="94" t="str">
        <f>'Resultater - Vestdanmark'!E385</f>
        <v>Hektar</v>
      </c>
      <c r="F385" s="94" t="str">
        <f>'Resultater - Vestdanmark'!F385</f>
        <v>Gødning</v>
      </c>
      <c r="G385" s="94" t="str">
        <f>'Resultater - Vestdanmark'!G385</f>
        <v>kg N</v>
      </c>
      <c r="H385" s="252">
        <f>'Resultater - Vestdanmark'!H385+'Resultater - Østdanmark'!H385</f>
        <v>-1720.4250318534218</v>
      </c>
      <c r="I385" s="253">
        <f>'Resultater - Vestdanmark'!I385+'Resultater - Østdanmark'!I385</f>
        <v>-854.04559881748719</v>
      </c>
      <c r="J385" s="254">
        <f>'Resultater - Vestdanmark'!J385+'Resultater - Østdanmark'!J385</f>
        <v>0</v>
      </c>
    </row>
    <row r="386" spans="1:10" x14ac:dyDescent="0.25">
      <c r="A386" s="94" t="str">
        <f>'Resultater - Vestdanmark'!A386</f>
        <v>Juletræsmark</v>
      </c>
      <c r="B386" s="94" t="str">
        <f>'Resultater - Vestdanmark'!B386</f>
        <v>Økologisk</v>
      </c>
      <c r="C386" s="94" t="str">
        <f>'Resultater - Vestdanmark'!C386</f>
        <v>OC12</v>
      </c>
      <c r="D386" s="94" t="str">
        <f>'Resultater - Vestdanmark'!D386</f>
        <v>Areal-juletræer</v>
      </c>
      <c r="E386" s="94" t="str">
        <f>'Resultater - Vestdanmark'!E386</f>
        <v>Hektar</v>
      </c>
      <c r="F386" s="94" t="str">
        <f>'Resultater - Vestdanmark'!F386</f>
        <v>CO2 - atmosfære</v>
      </c>
      <c r="G386" s="94" t="str">
        <f>'Resultater - Vestdanmark'!G386</f>
        <v>t CO2-ækvivalenter</v>
      </c>
      <c r="H386" s="252">
        <f>'Resultater - Vestdanmark'!H386+'Resultater - Østdanmark'!H386</f>
        <v>955.84850760346353</v>
      </c>
      <c r="I386" s="253">
        <f>'Resultater - Vestdanmark'!I386+'Resultater - Østdanmark'!I386</f>
        <v>439.24951830518495</v>
      </c>
      <c r="J386" s="254">
        <f>'Resultater - Vestdanmark'!J386+'Resultater - Østdanmark'!J386</f>
        <v>0</v>
      </c>
    </row>
    <row r="387" spans="1:10" x14ac:dyDescent="0.25">
      <c r="A387" s="94" t="str">
        <f>'Resultater - Vestdanmark'!A387</f>
        <v>Pil- og poppeldyrkning</v>
      </c>
      <c r="B387" s="94" t="str">
        <f>'Resultater - Vestdanmark'!B387</f>
        <v>Konventionel</v>
      </c>
      <c r="C387" s="94" t="str">
        <f>'Resultater - Vestdanmark'!C387</f>
        <v>JB1-10</v>
      </c>
      <c r="D387" s="94" t="str">
        <f>'Resultater - Vestdanmark'!D387</f>
        <v>Areal-pil-poppel</v>
      </c>
      <c r="E387" s="94" t="str">
        <f>'Resultater - Vestdanmark'!E387</f>
        <v>Hektar</v>
      </c>
      <c r="F387" s="94" t="str">
        <f>'Resultater - Vestdanmark'!F387</f>
        <v>Pil &amp; poppel</v>
      </c>
      <c r="G387" s="94" t="str">
        <f>'Resultater - Vestdanmark'!G387</f>
        <v>Ton</v>
      </c>
      <c r="H387" s="252">
        <f>'Resultater - Vestdanmark'!H387+'Resultater - Østdanmark'!H387</f>
        <v>151198.05286083202</v>
      </c>
      <c r="I387" s="253">
        <f>'Resultater - Vestdanmark'!I387+'Resultater - Østdanmark'!I387</f>
        <v>1066562.9388888984</v>
      </c>
      <c r="J387" s="254">
        <f>'Resultater - Vestdanmark'!J387+'Resultater - Østdanmark'!J387</f>
        <v>0</v>
      </c>
    </row>
    <row r="388" spans="1:10" x14ac:dyDescent="0.25">
      <c r="A388" s="94" t="str">
        <f>'Resultater - Vestdanmark'!A388</f>
        <v>Pil- og poppeldyrkning</v>
      </c>
      <c r="B388" s="94" t="str">
        <f>'Resultater - Vestdanmark'!B388</f>
        <v>Konventionel</v>
      </c>
      <c r="C388" s="94" t="str">
        <f>'Resultater - Vestdanmark'!C388</f>
        <v>JB1-10</v>
      </c>
      <c r="D388" s="94" t="str">
        <f>'Resultater - Vestdanmark'!D388</f>
        <v>Areal-pil-poppel</v>
      </c>
      <c r="E388" s="94" t="str">
        <f>'Resultater - Vestdanmark'!E388</f>
        <v>Hektar</v>
      </c>
      <c r="F388" s="94" t="str">
        <f>'Resultater - Vestdanmark'!F388</f>
        <v>Gødning</v>
      </c>
      <c r="G388" s="94" t="str">
        <f>'Resultater - Vestdanmark'!G388</f>
        <v>kg N</v>
      </c>
      <c r="H388" s="252">
        <f>'Resultater - Vestdanmark'!H388+'Resultater - Østdanmark'!H388</f>
        <v>-743894.42007529351</v>
      </c>
      <c r="I388" s="253">
        <f>'Resultater - Vestdanmark'!I388+'Resultater - Østdanmark'!I388</f>
        <v>-4886523.8180806534</v>
      </c>
      <c r="J388" s="254">
        <f>'Resultater - Vestdanmark'!J388+'Resultater - Østdanmark'!J388</f>
        <v>0</v>
      </c>
    </row>
    <row r="389" spans="1:10" x14ac:dyDescent="0.25">
      <c r="A389" s="94" t="str">
        <f>'Resultater - Vestdanmark'!A389</f>
        <v>Pil- og poppeldyrkning</v>
      </c>
      <c r="B389" s="94" t="str">
        <f>'Resultater - Vestdanmark'!B389</f>
        <v>Konventionel</v>
      </c>
      <c r="C389" s="94" t="str">
        <f>'Resultater - Vestdanmark'!C389</f>
        <v>JB1-10</v>
      </c>
      <c r="D389" s="94" t="str">
        <f>'Resultater - Vestdanmark'!D389</f>
        <v>Areal-pil-poppel</v>
      </c>
      <c r="E389" s="94" t="str">
        <f>'Resultater - Vestdanmark'!E389</f>
        <v>Hektar</v>
      </c>
      <c r="F389" s="94" t="str">
        <f>'Resultater - Vestdanmark'!F389</f>
        <v>CO2 - atmosfære</v>
      </c>
      <c r="G389" s="94" t="str">
        <f>'Resultater - Vestdanmark'!G389</f>
        <v>t CO2-ækvivalenter</v>
      </c>
      <c r="H389" s="252">
        <f>'Resultater - Vestdanmark'!H389+'Resultater - Østdanmark'!H389</f>
        <v>12185.575596215564</v>
      </c>
      <c r="I389" s="253">
        <f>'Resultater - Vestdanmark'!I389+'Resultater - Østdanmark'!I389</f>
        <v>74098.887646967662</v>
      </c>
      <c r="J389" s="254">
        <f>'Resultater - Vestdanmark'!J389+'Resultater - Østdanmark'!J389</f>
        <v>0</v>
      </c>
    </row>
    <row r="390" spans="1:10" x14ac:dyDescent="0.25">
      <c r="A390" s="94" t="str">
        <f>'Resultater - Vestdanmark'!A390</f>
        <v>Pil- og poppeldyrkning</v>
      </c>
      <c r="B390" s="94" t="str">
        <f>'Resultater - Vestdanmark'!B390</f>
        <v>Konventionel</v>
      </c>
      <c r="C390" s="94" t="str">
        <f>'Resultater - Vestdanmark'!C390</f>
        <v>OC6</v>
      </c>
      <c r="D390" s="94" t="str">
        <f>'Resultater - Vestdanmark'!D390</f>
        <v>Areal-pil-poppel</v>
      </c>
      <c r="E390" s="94" t="str">
        <f>'Resultater - Vestdanmark'!E390</f>
        <v>Hektar</v>
      </c>
      <c r="F390" s="94" t="str">
        <f>'Resultater - Vestdanmark'!F390</f>
        <v>Pil &amp; poppel</v>
      </c>
      <c r="G390" s="94" t="str">
        <f>'Resultater - Vestdanmark'!G390</f>
        <v>Ton</v>
      </c>
      <c r="H390" s="252">
        <f>'Resultater - Vestdanmark'!H390+'Resultater - Østdanmark'!H390</f>
        <v>22604.883417166257</v>
      </c>
      <c r="I390" s="253">
        <f>'Resultater - Vestdanmark'!I390+'Resultater - Østdanmark'!I390</f>
        <v>12009.80534093025</v>
      </c>
      <c r="J390" s="254">
        <f>'Resultater - Vestdanmark'!J390+'Resultater - Østdanmark'!J390</f>
        <v>0</v>
      </c>
    </row>
    <row r="391" spans="1:10" x14ac:dyDescent="0.25">
      <c r="A391" s="94" t="str">
        <f>'Resultater - Vestdanmark'!A391</f>
        <v>Pil- og poppeldyrkning</v>
      </c>
      <c r="B391" s="94" t="str">
        <f>'Resultater - Vestdanmark'!B391</f>
        <v>Konventionel</v>
      </c>
      <c r="C391" s="94" t="str">
        <f>'Resultater - Vestdanmark'!C391</f>
        <v>OC6</v>
      </c>
      <c r="D391" s="94" t="str">
        <f>'Resultater - Vestdanmark'!D391</f>
        <v>Areal-pil-poppel</v>
      </c>
      <c r="E391" s="94" t="str">
        <f>'Resultater - Vestdanmark'!E391</f>
        <v>Hektar</v>
      </c>
      <c r="F391" s="94" t="str">
        <f>'Resultater - Vestdanmark'!F391</f>
        <v>Gødning</v>
      </c>
      <c r="G391" s="94" t="str">
        <f>'Resultater - Vestdanmark'!G391</f>
        <v>kg N</v>
      </c>
      <c r="H391" s="252">
        <f>'Resultater - Vestdanmark'!H391+'Resultater - Østdanmark'!H391</f>
        <v>-92680.022010381668</v>
      </c>
      <c r="I391" s="253">
        <f>'Resultater - Vestdanmark'!I391+'Resultater - Østdanmark'!I391</f>
        <v>-45853.052602553391</v>
      </c>
      <c r="J391" s="254">
        <f>'Resultater - Vestdanmark'!J391+'Resultater - Østdanmark'!J391</f>
        <v>0</v>
      </c>
    </row>
    <row r="392" spans="1:10" x14ac:dyDescent="0.25">
      <c r="A392" s="94" t="str">
        <f>'Resultater - Vestdanmark'!A392</f>
        <v>Pil- og poppeldyrkning</v>
      </c>
      <c r="B392" s="94" t="str">
        <f>'Resultater - Vestdanmark'!B392</f>
        <v>Konventionel</v>
      </c>
      <c r="C392" s="94" t="str">
        <f>'Resultater - Vestdanmark'!C392</f>
        <v>OC6</v>
      </c>
      <c r="D392" s="94" t="str">
        <f>'Resultater - Vestdanmark'!D392</f>
        <v>Areal-pil-poppel</v>
      </c>
      <c r="E392" s="94" t="str">
        <f>'Resultater - Vestdanmark'!E392</f>
        <v>Hektar</v>
      </c>
      <c r="F392" s="94" t="str">
        <f>'Resultater - Vestdanmark'!F392</f>
        <v>CO2 - atmosfære</v>
      </c>
      <c r="G392" s="94" t="str">
        <f>'Resultater - Vestdanmark'!G392</f>
        <v>t CO2-ækvivalenter</v>
      </c>
      <c r="H392" s="252">
        <f>'Resultater - Vestdanmark'!H392+'Resultater - Østdanmark'!H392</f>
        <v>8234.3839053876236</v>
      </c>
      <c r="I392" s="253">
        <f>'Resultater - Vestdanmark'!I392+'Resultater - Østdanmark'!I392</f>
        <v>3771.2919798753105</v>
      </c>
      <c r="J392" s="254">
        <f>'Resultater - Vestdanmark'!J392+'Resultater - Østdanmark'!J392</f>
        <v>0</v>
      </c>
    </row>
    <row r="393" spans="1:10" x14ac:dyDescent="0.25">
      <c r="A393" s="94" t="str">
        <f>'Resultater - Vestdanmark'!A393</f>
        <v>Pil- og poppeldyrkning</v>
      </c>
      <c r="B393" s="94" t="str">
        <f>'Resultater - Vestdanmark'!B393</f>
        <v>Konventionel</v>
      </c>
      <c r="C393" s="94" t="str">
        <f>'Resultater - Vestdanmark'!C393</f>
        <v>OC12</v>
      </c>
      <c r="D393" s="94" t="str">
        <f>'Resultater - Vestdanmark'!D393</f>
        <v>Areal-pil-poppel</v>
      </c>
      <c r="E393" s="94" t="str">
        <f>'Resultater - Vestdanmark'!E393</f>
        <v>Hektar</v>
      </c>
      <c r="F393" s="94" t="str">
        <f>'Resultater - Vestdanmark'!F393</f>
        <v>Pil &amp; poppel</v>
      </c>
      <c r="G393" s="94" t="str">
        <f>'Resultater - Vestdanmark'!G393</f>
        <v>Ton</v>
      </c>
      <c r="H393" s="252">
        <f>'Resultater - Vestdanmark'!H393+'Resultater - Østdanmark'!H393</f>
        <v>21807.878272481728</v>
      </c>
      <c r="I393" s="253">
        <f>'Resultater - Vestdanmark'!I393+'Resultater - Østdanmark'!I393</f>
        <v>11636.070369211378</v>
      </c>
      <c r="J393" s="254">
        <f>'Resultater - Vestdanmark'!J393+'Resultater - Østdanmark'!J393</f>
        <v>0</v>
      </c>
    </row>
    <row r="394" spans="1:10" x14ac:dyDescent="0.25">
      <c r="A394" s="94" t="str">
        <f>'Resultater - Vestdanmark'!A394</f>
        <v>Pil- og poppeldyrkning</v>
      </c>
      <c r="B394" s="94" t="str">
        <f>'Resultater - Vestdanmark'!B394</f>
        <v>Konventionel</v>
      </c>
      <c r="C394" s="94" t="str">
        <f>'Resultater - Vestdanmark'!C394</f>
        <v>OC12</v>
      </c>
      <c r="D394" s="94" t="str">
        <f>'Resultater - Vestdanmark'!D394</f>
        <v>Areal-pil-poppel</v>
      </c>
      <c r="E394" s="94" t="str">
        <f>'Resultater - Vestdanmark'!E394</f>
        <v>Hektar</v>
      </c>
      <c r="F394" s="94" t="str">
        <f>'Resultater - Vestdanmark'!F394</f>
        <v>Gødning</v>
      </c>
      <c r="G394" s="94" t="str">
        <f>'Resultater - Vestdanmark'!G394</f>
        <v>kg N</v>
      </c>
      <c r="H394" s="252">
        <f>'Resultater - Vestdanmark'!H394+'Resultater - Østdanmark'!H394</f>
        <v>-76639.115071864377</v>
      </c>
      <c r="I394" s="253">
        <f>'Resultater - Vestdanmark'!I394+'Resultater - Østdanmark'!I394</f>
        <v>-38079.552373860657</v>
      </c>
      <c r="J394" s="254">
        <f>'Resultater - Vestdanmark'!J394+'Resultater - Østdanmark'!J394</f>
        <v>0</v>
      </c>
    </row>
    <row r="395" spans="1:10" x14ac:dyDescent="0.25">
      <c r="A395" s="94" t="str">
        <f>'Resultater - Vestdanmark'!A395</f>
        <v>Pil- og poppeldyrkning</v>
      </c>
      <c r="B395" s="94" t="str">
        <f>'Resultater - Vestdanmark'!B395</f>
        <v>Konventionel</v>
      </c>
      <c r="C395" s="94" t="str">
        <f>'Resultater - Vestdanmark'!C395</f>
        <v>OC12</v>
      </c>
      <c r="D395" s="94" t="str">
        <f>'Resultater - Vestdanmark'!D395</f>
        <v>Areal-pil-poppel</v>
      </c>
      <c r="E395" s="94" t="str">
        <f>'Resultater - Vestdanmark'!E395</f>
        <v>Hektar</v>
      </c>
      <c r="F395" s="94" t="str">
        <f>'Resultater - Vestdanmark'!F395</f>
        <v>CO2 - atmosfære</v>
      </c>
      <c r="G395" s="94" t="str">
        <f>'Resultater - Vestdanmark'!G395</f>
        <v>t CO2-ækvivalenter</v>
      </c>
      <c r="H395" s="252">
        <f>'Resultater - Vestdanmark'!H395+'Resultater - Østdanmark'!H395</f>
        <v>18202.871953106896</v>
      </c>
      <c r="I395" s="253">
        <f>'Resultater - Vestdanmark'!I395+'Resultater - Østdanmark'!I395</f>
        <v>8372.5584599111808</v>
      </c>
      <c r="J395" s="254">
        <f>'Resultater - Vestdanmark'!J395+'Resultater - Østdanmark'!J395</f>
        <v>0</v>
      </c>
    </row>
    <row r="396" spans="1:10" x14ac:dyDescent="0.25">
      <c r="A396" s="94" t="str">
        <f>'Resultater - Vestdanmark'!A396</f>
        <v>Pil- og poppeldyrkning</v>
      </c>
      <c r="B396" s="94" t="str">
        <f>'Resultater - Vestdanmark'!B396</f>
        <v>Økologisk</v>
      </c>
      <c r="C396" s="94" t="str">
        <f>'Resultater - Vestdanmark'!C396</f>
        <v>JB1-10</v>
      </c>
      <c r="D396" s="94" t="str">
        <f>'Resultater - Vestdanmark'!D396</f>
        <v>Areal-pil-poppel</v>
      </c>
      <c r="E396" s="94" t="str">
        <f>'Resultater - Vestdanmark'!E396</f>
        <v>Hektar</v>
      </c>
      <c r="F396" s="94" t="str">
        <f>'Resultater - Vestdanmark'!F396</f>
        <v>Pil &amp; poppel</v>
      </c>
      <c r="G396" s="94" t="str">
        <f>'Resultater - Vestdanmark'!G396</f>
        <v>Ton</v>
      </c>
      <c r="H396" s="252">
        <f>'Resultater - Vestdanmark'!H396+'Resultater - Østdanmark'!H396</f>
        <v>11019.474837461308</v>
      </c>
      <c r="I396" s="253">
        <f>'Resultater - Vestdanmark'!I396+'Resultater - Østdanmark'!I396</f>
        <v>77732.240893821785</v>
      </c>
      <c r="J396" s="254">
        <f>'Resultater - Vestdanmark'!J396+'Resultater - Østdanmark'!J396</f>
        <v>1753629.766003873</v>
      </c>
    </row>
    <row r="397" spans="1:10" x14ac:dyDescent="0.25">
      <c r="A397" s="94" t="str">
        <f>'Resultater - Vestdanmark'!A397</f>
        <v>Pil- og poppeldyrkning</v>
      </c>
      <c r="B397" s="94" t="str">
        <f>'Resultater - Vestdanmark'!B397</f>
        <v>Økologisk</v>
      </c>
      <c r="C397" s="94" t="str">
        <f>'Resultater - Vestdanmark'!C397</f>
        <v>JB1-10</v>
      </c>
      <c r="D397" s="94" t="str">
        <f>'Resultater - Vestdanmark'!D397</f>
        <v>Areal-pil-poppel</v>
      </c>
      <c r="E397" s="94" t="str">
        <f>'Resultater - Vestdanmark'!E397</f>
        <v>Hektar</v>
      </c>
      <c r="F397" s="94" t="str">
        <f>'Resultater - Vestdanmark'!F397</f>
        <v>Gødning</v>
      </c>
      <c r="G397" s="94" t="str">
        <f>'Resultater - Vestdanmark'!G397</f>
        <v>kg N</v>
      </c>
      <c r="H397" s="252">
        <f>'Resultater - Vestdanmark'!H397+'Resultater - Østdanmark'!H397</f>
        <v>-54215.816200309637</v>
      </c>
      <c r="I397" s="253">
        <f>'Resultater - Vestdanmark'!I397+'Resultater - Østdanmark'!I397</f>
        <v>-356135.05092924513</v>
      </c>
      <c r="J397" s="254">
        <f>'Resultater - Vestdanmark'!J397+'Resultater - Østdanmark'!J397</f>
        <v>-7057905.7627517823</v>
      </c>
    </row>
    <row r="398" spans="1:10" x14ac:dyDescent="0.25">
      <c r="A398" s="94" t="str">
        <f>'Resultater - Vestdanmark'!A398</f>
        <v>Pil- og poppeldyrkning</v>
      </c>
      <c r="B398" s="94" t="str">
        <f>'Resultater - Vestdanmark'!B398</f>
        <v>Økologisk</v>
      </c>
      <c r="C398" s="94" t="str">
        <f>'Resultater - Vestdanmark'!C398</f>
        <v>JB1-10</v>
      </c>
      <c r="D398" s="94" t="str">
        <f>'Resultater - Vestdanmark'!D398</f>
        <v>Areal-pil-poppel</v>
      </c>
      <c r="E398" s="94" t="str">
        <f>'Resultater - Vestdanmark'!E398</f>
        <v>Hektar</v>
      </c>
      <c r="F398" s="94" t="str">
        <f>'Resultater - Vestdanmark'!F398</f>
        <v>CO2 - atmosfære</v>
      </c>
      <c r="G398" s="94" t="str">
        <f>'Resultater - Vestdanmark'!G398</f>
        <v>t CO2-ækvivalenter</v>
      </c>
      <c r="H398" s="252">
        <f>'Resultater - Vestdanmark'!H398+'Resultater - Østdanmark'!H398</f>
        <v>1558.0661481516906</v>
      </c>
      <c r="I398" s="253">
        <f>'Resultater - Vestdanmark'!I398+'Resultater - Østdanmark'!I398</f>
        <v>9474.3959812855319</v>
      </c>
      <c r="J398" s="254">
        <f>'Resultater - Vestdanmark'!J398+'Resultater - Østdanmark'!J398</f>
        <v>160368.66674922593</v>
      </c>
    </row>
    <row r="399" spans="1:10" x14ac:dyDescent="0.25">
      <c r="A399" s="94" t="str">
        <f>'Resultater - Vestdanmark'!A399</f>
        <v>Pil- og poppeldyrkning</v>
      </c>
      <c r="B399" s="94" t="str">
        <f>'Resultater - Vestdanmark'!B399</f>
        <v>Økologisk</v>
      </c>
      <c r="C399" s="94" t="str">
        <f>'Resultater - Vestdanmark'!C399</f>
        <v>OC6</v>
      </c>
      <c r="D399" s="94" t="str">
        <f>'Resultater - Vestdanmark'!D399</f>
        <v>Areal-pil-poppel</v>
      </c>
      <c r="E399" s="94" t="str">
        <f>'Resultater - Vestdanmark'!E399</f>
        <v>Hektar</v>
      </c>
      <c r="F399" s="94" t="str">
        <f>'Resultater - Vestdanmark'!F399</f>
        <v>Pil &amp; poppel</v>
      </c>
      <c r="G399" s="94" t="str">
        <f>'Resultater - Vestdanmark'!G399</f>
        <v>Ton</v>
      </c>
      <c r="H399" s="252">
        <f>'Resultater - Vestdanmark'!H399+'Resultater - Østdanmark'!H399</f>
        <v>1647.4679356385941</v>
      </c>
      <c r="I399" s="253">
        <f>'Resultater - Vestdanmark'!I399+'Resultater - Østdanmark'!I399</f>
        <v>875.28738137257142</v>
      </c>
      <c r="J399" s="254">
        <f>'Resultater - Vestdanmark'!J399+'Resultater - Østdanmark'!J399</f>
        <v>0</v>
      </c>
    </row>
    <row r="400" spans="1:10" x14ac:dyDescent="0.25">
      <c r="A400" s="94" t="str">
        <f>'Resultater - Vestdanmark'!A400</f>
        <v>Pil- og poppeldyrkning</v>
      </c>
      <c r="B400" s="94" t="str">
        <f>'Resultater - Vestdanmark'!B400</f>
        <v>Økologisk</v>
      </c>
      <c r="C400" s="94" t="str">
        <f>'Resultater - Vestdanmark'!C400</f>
        <v>OC6</v>
      </c>
      <c r="D400" s="94" t="str">
        <f>'Resultater - Vestdanmark'!D400</f>
        <v>Areal-pil-poppel</v>
      </c>
      <c r="E400" s="94" t="str">
        <f>'Resultater - Vestdanmark'!E400</f>
        <v>Hektar</v>
      </c>
      <c r="F400" s="94" t="str">
        <f>'Resultater - Vestdanmark'!F400</f>
        <v>Gødning</v>
      </c>
      <c r="G400" s="94" t="str">
        <f>'Resultater - Vestdanmark'!G400</f>
        <v>kg N</v>
      </c>
      <c r="H400" s="252">
        <f>'Resultater - Vestdanmark'!H400+'Resultater - Østdanmark'!H400</f>
        <v>-6754.6185361182361</v>
      </c>
      <c r="I400" s="253">
        <f>'Resultater - Vestdanmark'!I400+'Resultater - Østdanmark'!I400</f>
        <v>-3341.8192219690882</v>
      </c>
      <c r="J400" s="254">
        <f>'Resultater - Vestdanmark'!J400+'Resultater - Østdanmark'!J400</f>
        <v>0</v>
      </c>
    </row>
    <row r="401" spans="1:10" x14ac:dyDescent="0.25">
      <c r="A401" s="94" t="str">
        <f>'Resultater - Vestdanmark'!A401</f>
        <v>Pil- og poppeldyrkning</v>
      </c>
      <c r="B401" s="94" t="str">
        <f>'Resultater - Vestdanmark'!B401</f>
        <v>Økologisk</v>
      </c>
      <c r="C401" s="94" t="str">
        <f>'Resultater - Vestdanmark'!C401</f>
        <v>OC6</v>
      </c>
      <c r="D401" s="94" t="str">
        <f>'Resultater - Vestdanmark'!D401</f>
        <v>Areal-pil-poppel</v>
      </c>
      <c r="E401" s="94" t="str">
        <f>'Resultater - Vestdanmark'!E401</f>
        <v>Hektar</v>
      </c>
      <c r="F401" s="94" t="str">
        <f>'Resultater - Vestdanmark'!F401</f>
        <v>CO2 - atmosfære</v>
      </c>
      <c r="G401" s="94" t="str">
        <f>'Resultater - Vestdanmark'!G401</f>
        <v>t CO2-ækvivalenter</v>
      </c>
      <c r="H401" s="252">
        <f>'Resultater - Vestdanmark'!H401+'Resultater - Østdanmark'!H401</f>
        <v>1052.8607953369108</v>
      </c>
      <c r="I401" s="253">
        <f>'Resultater - Vestdanmark'!I401+'Resultater - Østdanmark'!I401</f>
        <v>482.20310335316083</v>
      </c>
      <c r="J401" s="254">
        <f>'Resultater - Vestdanmark'!J401+'Resultater - Østdanmark'!J401</f>
        <v>0</v>
      </c>
    </row>
    <row r="402" spans="1:10" x14ac:dyDescent="0.25">
      <c r="A402" s="94" t="str">
        <f>'Resultater - Vestdanmark'!A402</f>
        <v>Pil- og poppeldyrkning</v>
      </c>
      <c r="B402" s="94" t="str">
        <f>'Resultater - Vestdanmark'!B402</f>
        <v>Økologisk</v>
      </c>
      <c r="C402" s="94" t="str">
        <f>'Resultater - Vestdanmark'!C402</f>
        <v>OC12</v>
      </c>
      <c r="D402" s="94" t="str">
        <f>'Resultater - Vestdanmark'!D402</f>
        <v>Areal-pil-poppel</v>
      </c>
      <c r="E402" s="94" t="str">
        <f>'Resultater - Vestdanmark'!E402</f>
        <v>Hektar</v>
      </c>
      <c r="F402" s="94" t="str">
        <f>'Resultater - Vestdanmark'!F402</f>
        <v>Pil &amp; poppel</v>
      </c>
      <c r="G402" s="94" t="str">
        <f>'Resultater - Vestdanmark'!G402</f>
        <v>Ton</v>
      </c>
      <c r="H402" s="252">
        <f>'Resultater - Vestdanmark'!H402+'Resultater - Østdanmark'!H402</f>
        <v>1589.3813533645339</v>
      </c>
      <c r="I402" s="253">
        <f>'Resultater - Vestdanmark'!I402+'Resultater - Østdanmark'!I402</f>
        <v>848.04917930044485</v>
      </c>
      <c r="J402" s="254">
        <f>'Resultater - Vestdanmark'!J402+'Resultater - Østdanmark'!J402</f>
        <v>0</v>
      </c>
    </row>
    <row r="403" spans="1:10" x14ac:dyDescent="0.25">
      <c r="A403" s="94" t="str">
        <f>'Resultater - Vestdanmark'!A403</f>
        <v>Pil- og poppeldyrkning</v>
      </c>
      <c r="B403" s="94" t="str">
        <f>'Resultater - Vestdanmark'!B403</f>
        <v>Økologisk</v>
      </c>
      <c r="C403" s="94" t="str">
        <f>'Resultater - Vestdanmark'!C403</f>
        <v>OC12</v>
      </c>
      <c r="D403" s="94" t="str">
        <f>'Resultater - Vestdanmark'!D403</f>
        <v>Areal-pil-poppel</v>
      </c>
      <c r="E403" s="94" t="str">
        <f>'Resultater - Vestdanmark'!E403</f>
        <v>Hektar</v>
      </c>
      <c r="F403" s="94" t="str">
        <f>'Resultater - Vestdanmark'!F403</f>
        <v>Gødning</v>
      </c>
      <c r="G403" s="94" t="str">
        <f>'Resultater - Vestdanmark'!G403</f>
        <v>kg N</v>
      </c>
      <c r="H403" s="252">
        <f>'Resultater - Vestdanmark'!H403+'Resultater - Østdanmark'!H403</f>
        <v>-5585.5401846810773</v>
      </c>
      <c r="I403" s="253">
        <f>'Resultater - Vestdanmark'!I403+'Resultater - Østdanmark'!I403</f>
        <v>-2775.2782609692554</v>
      </c>
      <c r="J403" s="254">
        <f>'Resultater - Vestdanmark'!J403+'Resultater - Østdanmark'!J403</f>
        <v>0</v>
      </c>
    </row>
    <row r="404" spans="1:10" x14ac:dyDescent="0.25">
      <c r="A404" s="94" t="str">
        <f>'Resultater - Vestdanmark'!A404</f>
        <v>Pil- og poppeldyrkning</v>
      </c>
      <c r="B404" s="94" t="str">
        <f>'Resultater - Vestdanmark'!B404</f>
        <v>Økologisk</v>
      </c>
      <c r="C404" s="94" t="str">
        <f>'Resultater - Vestdanmark'!C404</f>
        <v>OC12</v>
      </c>
      <c r="D404" s="94" t="str">
        <f>'Resultater - Vestdanmark'!D404</f>
        <v>Areal-pil-poppel</v>
      </c>
      <c r="E404" s="94" t="str">
        <f>'Resultater - Vestdanmark'!E404</f>
        <v>Hektar</v>
      </c>
      <c r="F404" s="94" t="str">
        <f>'Resultater - Vestdanmark'!F404</f>
        <v>CO2 - atmosfære</v>
      </c>
      <c r="G404" s="94" t="str">
        <f>'Resultater - Vestdanmark'!G404</f>
        <v>t CO2-ækvivalenter</v>
      </c>
      <c r="H404" s="252">
        <f>'Resultater - Vestdanmark'!H404+'Resultater - Østdanmark'!H404</f>
        <v>2327.4467722381351</v>
      </c>
      <c r="I404" s="253">
        <f>'Resultater - Vestdanmark'!I404+'Resultater - Østdanmark'!I404</f>
        <v>1070.5280031137806</v>
      </c>
      <c r="J404" s="254">
        <f>'Resultater - Vestdanmark'!J404+'Resultater - Østdanmark'!J404</f>
        <v>0</v>
      </c>
    </row>
    <row r="405" spans="1:10" x14ac:dyDescent="0.25">
      <c r="A405" s="94" t="str">
        <f>'Resultater - Vestdanmark'!A405</f>
        <v>Permanent græs</v>
      </c>
      <c r="B405" s="94" t="str">
        <f>'Resultater - Vestdanmark'!B405</f>
        <v>Konventionel</v>
      </c>
      <c r="C405" s="94" t="str">
        <f>'Resultater - Vestdanmark'!C405</f>
        <v>JB1-10</v>
      </c>
      <c r="D405" s="94" t="str">
        <f>'Resultater - Vestdanmark'!D405</f>
        <v>Areal-permanent græs</v>
      </c>
      <c r="E405" s="94" t="str">
        <f>'Resultater - Vestdanmark'!E405</f>
        <v>Hektar</v>
      </c>
      <c r="F405" s="94" t="str">
        <f>'Resultater - Vestdanmark'!F405</f>
        <v>Græs</v>
      </c>
      <c r="G405" s="94" t="str">
        <f>'Resultater - Vestdanmark'!G405</f>
        <v>Ton</v>
      </c>
      <c r="H405" s="252">
        <f>'Resultater - Vestdanmark'!H405+'Resultater - Østdanmark'!H405</f>
        <v>2074307.374215838</v>
      </c>
      <c r="I405" s="253">
        <f>'Resultater - Vestdanmark'!I405+'Resultater - Østdanmark'!I405</f>
        <v>1411004.6038271608</v>
      </c>
      <c r="J405" s="254">
        <f>'Resultater - Vestdanmark'!J405+'Resultater - Østdanmark'!J405</f>
        <v>0</v>
      </c>
    </row>
    <row r="406" spans="1:10" x14ac:dyDescent="0.25">
      <c r="A406" s="94" t="str">
        <f>'Resultater - Vestdanmark'!A406</f>
        <v>Permanent græs</v>
      </c>
      <c r="B406" s="94" t="str">
        <f>'Resultater - Vestdanmark'!B406</f>
        <v>Konventionel</v>
      </c>
      <c r="C406" s="94" t="str">
        <f>'Resultater - Vestdanmark'!C406</f>
        <v>JB1-10</v>
      </c>
      <c r="D406" s="94" t="str">
        <f>'Resultater - Vestdanmark'!D406</f>
        <v>Areal-permanent græs</v>
      </c>
      <c r="E406" s="94" t="str">
        <f>'Resultater - Vestdanmark'!E406</f>
        <v>Hektar</v>
      </c>
      <c r="F406" s="94" t="str">
        <f>'Resultater - Vestdanmark'!F406</f>
        <v>Gødning</v>
      </c>
      <c r="G406" s="94" t="str">
        <f>'Resultater - Vestdanmark'!G406</f>
        <v>kg N</v>
      </c>
      <c r="H406" s="252">
        <f>'Resultater - Vestdanmark'!H406+'Resultater - Østdanmark'!H406</f>
        <v>-7521056.4692379907</v>
      </c>
      <c r="I406" s="253">
        <f>'Resultater - Vestdanmark'!I406+'Resultater - Østdanmark'!I406</f>
        <v>-4764118.9620526787</v>
      </c>
      <c r="J406" s="254">
        <f>'Resultater - Vestdanmark'!J406+'Resultater - Østdanmark'!J406</f>
        <v>0</v>
      </c>
    </row>
    <row r="407" spans="1:10" x14ac:dyDescent="0.25">
      <c r="A407" s="94" t="str">
        <f>'Resultater - Vestdanmark'!A407</f>
        <v>Permanent græs</v>
      </c>
      <c r="B407" s="94" t="str">
        <f>'Resultater - Vestdanmark'!B407</f>
        <v>Konventionel</v>
      </c>
      <c r="C407" s="94" t="str">
        <f>'Resultater - Vestdanmark'!C407</f>
        <v>JB1-10</v>
      </c>
      <c r="D407" s="94" t="str">
        <f>'Resultater - Vestdanmark'!D407</f>
        <v>Areal-permanent græs</v>
      </c>
      <c r="E407" s="94" t="str">
        <f>'Resultater - Vestdanmark'!E407</f>
        <v>Hektar</v>
      </c>
      <c r="F407" s="94" t="str">
        <f>'Resultater - Vestdanmark'!F407</f>
        <v>CO2 - atmosfære</v>
      </c>
      <c r="G407" s="94" t="str">
        <f>'Resultater - Vestdanmark'!G407</f>
        <v>t CO2-ækvivalenter</v>
      </c>
      <c r="H407" s="252">
        <f>'Resultater - Vestdanmark'!H407+'Resultater - Østdanmark'!H407</f>
        <v>295681.96678242408</v>
      </c>
      <c r="I407" s="253">
        <f>'Resultater - Vestdanmark'!I407+'Resultater - Østdanmark'!I407</f>
        <v>173382.59859889775</v>
      </c>
      <c r="J407" s="254">
        <f>'Resultater - Vestdanmark'!J407+'Resultater - Østdanmark'!J407</f>
        <v>0</v>
      </c>
    </row>
    <row r="408" spans="1:10" x14ac:dyDescent="0.25">
      <c r="A408" s="94" t="str">
        <f>'Resultater - Vestdanmark'!A408</f>
        <v>Permanent græs</v>
      </c>
      <c r="B408" s="94" t="str">
        <f>'Resultater - Vestdanmark'!B408</f>
        <v>Konventionel</v>
      </c>
      <c r="C408" s="94" t="str">
        <f>'Resultater - Vestdanmark'!C408</f>
        <v>OC6</v>
      </c>
      <c r="D408" s="94" t="str">
        <f>'Resultater - Vestdanmark'!D408</f>
        <v>Areal-permanent græs</v>
      </c>
      <c r="E408" s="94" t="str">
        <f>'Resultater - Vestdanmark'!E408</f>
        <v>Hektar</v>
      </c>
      <c r="F408" s="94" t="str">
        <f>'Resultater - Vestdanmark'!F408</f>
        <v>Græs</v>
      </c>
      <c r="G408" s="94" t="str">
        <f>'Resultater - Vestdanmark'!G408</f>
        <v>Ton</v>
      </c>
      <c r="H408" s="252">
        <f>'Resultater - Vestdanmark'!H408+'Resultater - Østdanmark'!H408</f>
        <v>362795.13500095531</v>
      </c>
      <c r="I408" s="253">
        <f>'Resultater - Vestdanmark'!I408+'Resultater - Østdanmark'!I408</f>
        <v>623331.76565629267</v>
      </c>
      <c r="J408" s="254">
        <f>'Resultater - Vestdanmark'!J408+'Resultater - Østdanmark'!J408</f>
        <v>0</v>
      </c>
    </row>
    <row r="409" spans="1:10" x14ac:dyDescent="0.25">
      <c r="A409" s="94" t="str">
        <f>'Resultater - Vestdanmark'!A409</f>
        <v>Permanent græs</v>
      </c>
      <c r="B409" s="94" t="str">
        <f>'Resultater - Vestdanmark'!B409</f>
        <v>Konventionel</v>
      </c>
      <c r="C409" s="94" t="str">
        <f>'Resultater - Vestdanmark'!C409</f>
        <v>OC6</v>
      </c>
      <c r="D409" s="94" t="str">
        <f>'Resultater - Vestdanmark'!D409</f>
        <v>Areal-permanent græs</v>
      </c>
      <c r="E409" s="94" t="str">
        <f>'Resultater - Vestdanmark'!E409</f>
        <v>Hektar</v>
      </c>
      <c r="F409" s="94" t="str">
        <f>'Resultater - Vestdanmark'!F409</f>
        <v>Gødning</v>
      </c>
      <c r="G409" s="94" t="str">
        <f>'Resultater - Vestdanmark'!G409</f>
        <v>kg N</v>
      </c>
      <c r="H409" s="252">
        <f>'Resultater - Vestdanmark'!H409+'Resultater - Østdanmark'!H409</f>
        <v>-1096190.2797950064</v>
      </c>
      <c r="I409" s="253">
        <f>'Resultater - Vestdanmark'!I409+'Resultater - Østdanmark'!I409</f>
        <v>-1753848.9222254639</v>
      </c>
      <c r="J409" s="254">
        <f>'Resultater - Vestdanmark'!J409+'Resultater - Østdanmark'!J409</f>
        <v>0</v>
      </c>
    </row>
    <row r="410" spans="1:10" x14ac:dyDescent="0.25">
      <c r="A410" s="94" t="str">
        <f>'Resultater - Vestdanmark'!A410</f>
        <v>Permanent græs</v>
      </c>
      <c r="B410" s="94" t="str">
        <f>'Resultater - Vestdanmark'!B410</f>
        <v>Konventionel</v>
      </c>
      <c r="C410" s="94" t="str">
        <f>'Resultater - Vestdanmark'!C410</f>
        <v>OC6</v>
      </c>
      <c r="D410" s="94" t="str">
        <f>'Resultater - Vestdanmark'!D410</f>
        <v>Areal-permanent græs</v>
      </c>
      <c r="E410" s="94" t="str">
        <f>'Resultater - Vestdanmark'!E410</f>
        <v>Hektar</v>
      </c>
      <c r="F410" s="94" t="str">
        <f>'Resultater - Vestdanmark'!F410</f>
        <v>CO2 - atmosfære</v>
      </c>
      <c r="G410" s="94" t="str">
        <f>'Resultater - Vestdanmark'!G410</f>
        <v>t CO2-ækvivalenter</v>
      </c>
      <c r="H410" s="252">
        <f>'Resultater - Vestdanmark'!H410+'Resultater - Østdanmark'!H410</f>
        <v>233744.91463565463</v>
      </c>
      <c r="I410" s="253">
        <f>'Resultater - Vestdanmark'!I410+'Resultater - Østdanmark'!I410</f>
        <v>346198.61486474855</v>
      </c>
      <c r="J410" s="254">
        <f>'Resultater - Vestdanmark'!J410+'Resultater - Østdanmark'!J410</f>
        <v>0</v>
      </c>
    </row>
    <row r="411" spans="1:10" x14ac:dyDescent="0.25">
      <c r="A411" s="94" t="str">
        <f>'Resultater - Vestdanmark'!A411</f>
        <v>Permanent græs</v>
      </c>
      <c r="B411" s="94" t="str">
        <f>'Resultater - Vestdanmark'!B411</f>
        <v>Konventionel</v>
      </c>
      <c r="C411" s="94" t="str">
        <f>'Resultater - Vestdanmark'!C411</f>
        <v>OC12</v>
      </c>
      <c r="D411" s="94" t="str">
        <f>'Resultater - Vestdanmark'!D411</f>
        <v>Areal-permanent græs</v>
      </c>
      <c r="E411" s="94" t="str">
        <f>'Resultater - Vestdanmark'!E411</f>
        <v>Hektar</v>
      </c>
      <c r="F411" s="94" t="str">
        <f>'Resultater - Vestdanmark'!F411</f>
        <v>Græs</v>
      </c>
      <c r="G411" s="94" t="str">
        <f>'Resultater - Vestdanmark'!G411</f>
        <v>Ton</v>
      </c>
      <c r="H411" s="252">
        <f>'Resultater - Vestdanmark'!H411+'Resultater - Østdanmark'!H411</f>
        <v>458081.74348965334</v>
      </c>
      <c r="I411" s="253">
        <f>'Resultater - Vestdanmark'!I411+'Resultater - Østdanmark'!I411</f>
        <v>632512.25781539013</v>
      </c>
      <c r="J411" s="254">
        <f>'Resultater - Vestdanmark'!J411+'Resultater - Østdanmark'!J411</f>
        <v>0</v>
      </c>
    </row>
    <row r="412" spans="1:10" x14ac:dyDescent="0.25">
      <c r="A412" s="94" t="str">
        <f>'Resultater - Vestdanmark'!A412</f>
        <v>Permanent græs</v>
      </c>
      <c r="B412" s="94" t="str">
        <f>'Resultater - Vestdanmark'!B412</f>
        <v>Konventionel</v>
      </c>
      <c r="C412" s="94" t="str">
        <f>'Resultater - Vestdanmark'!C412</f>
        <v>OC12</v>
      </c>
      <c r="D412" s="94" t="str">
        <f>'Resultater - Vestdanmark'!D412</f>
        <v>Areal-permanent græs</v>
      </c>
      <c r="E412" s="94" t="str">
        <f>'Resultater - Vestdanmark'!E412</f>
        <v>Hektar</v>
      </c>
      <c r="F412" s="94" t="str">
        <f>'Resultater - Vestdanmark'!F412</f>
        <v>Gødning</v>
      </c>
      <c r="G412" s="94" t="str">
        <f>'Resultater - Vestdanmark'!G412</f>
        <v>kg N</v>
      </c>
      <c r="H412" s="252">
        <f>'Resultater - Vestdanmark'!H412+'Resultater - Østdanmark'!H412</f>
        <v>-1186371.4479686453</v>
      </c>
      <c r="I412" s="253">
        <f>'Resultater - Vestdanmark'!I412+'Resultater - Østdanmark'!I412</f>
        <v>-1525439.8143076357</v>
      </c>
      <c r="J412" s="254">
        <f>'Resultater - Vestdanmark'!J412+'Resultater - Østdanmark'!J412</f>
        <v>0</v>
      </c>
    </row>
    <row r="413" spans="1:10" x14ac:dyDescent="0.25">
      <c r="A413" s="94" t="str">
        <f>'Resultater - Vestdanmark'!A413</f>
        <v>Permanent græs</v>
      </c>
      <c r="B413" s="94" t="str">
        <f>'Resultater - Vestdanmark'!B413</f>
        <v>Konventionel</v>
      </c>
      <c r="C413" s="94" t="str">
        <f>'Resultater - Vestdanmark'!C413</f>
        <v>OC12</v>
      </c>
      <c r="D413" s="94" t="str">
        <f>'Resultater - Vestdanmark'!D413</f>
        <v>Areal-permanent græs</v>
      </c>
      <c r="E413" s="94" t="str">
        <f>'Resultater - Vestdanmark'!E413</f>
        <v>Hektar</v>
      </c>
      <c r="F413" s="94" t="str">
        <f>'Resultater - Vestdanmark'!F413</f>
        <v>CO2 - atmosfære</v>
      </c>
      <c r="G413" s="94" t="str">
        <f>'Resultater - Vestdanmark'!G413</f>
        <v>t CO2-ækvivalenter</v>
      </c>
      <c r="H413" s="252">
        <f>'Resultater - Vestdanmark'!H413+'Resultater - Østdanmark'!H413</f>
        <v>676271.92832627031</v>
      </c>
      <c r="I413" s="253">
        <f>'Resultater - Vestdanmark'!I413+'Resultater - Østdanmark'!I413</f>
        <v>804956.98459736141</v>
      </c>
      <c r="J413" s="254">
        <f>'Resultater - Vestdanmark'!J413+'Resultater - Østdanmark'!J413</f>
        <v>0</v>
      </c>
    </row>
    <row r="414" spans="1:10" x14ac:dyDescent="0.25">
      <c r="A414" s="94" t="str">
        <f>'Resultater - Vestdanmark'!A414</f>
        <v>Permanent græs</v>
      </c>
      <c r="B414" s="94" t="str">
        <f>'Resultater - Vestdanmark'!B414</f>
        <v>Økologisk</v>
      </c>
      <c r="C414" s="94" t="str">
        <f>'Resultater - Vestdanmark'!C414</f>
        <v>JB1-10</v>
      </c>
      <c r="D414" s="94" t="str">
        <f>'Resultater - Vestdanmark'!D414</f>
        <v>Areal-permanent græs</v>
      </c>
      <c r="E414" s="94" t="str">
        <f>'Resultater - Vestdanmark'!E414</f>
        <v>Hektar</v>
      </c>
      <c r="F414" s="94" t="str">
        <f>'Resultater - Vestdanmark'!F414</f>
        <v>Græs</v>
      </c>
      <c r="G414" s="94" t="str">
        <f>'Resultater - Vestdanmark'!G414</f>
        <v>Ton</v>
      </c>
      <c r="H414" s="252">
        <f>'Resultater - Vestdanmark'!H414+'Resultater - Østdanmark'!H414</f>
        <v>265224.08195726445</v>
      </c>
      <c r="I414" s="253">
        <f>'Resultater - Vestdanmark'!I414+'Resultater - Østdanmark'!I414</f>
        <v>180413.18530673673</v>
      </c>
      <c r="J414" s="254">
        <f>'Resultater - Vestdanmark'!J414+'Resultater - Østdanmark'!J414</f>
        <v>248334.82117185142</v>
      </c>
    </row>
    <row r="415" spans="1:10" x14ac:dyDescent="0.25">
      <c r="A415" s="94" t="str">
        <f>'Resultater - Vestdanmark'!A415</f>
        <v>Permanent græs</v>
      </c>
      <c r="B415" s="94" t="str">
        <f>'Resultater - Vestdanmark'!B415</f>
        <v>Økologisk</v>
      </c>
      <c r="C415" s="94" t="str">
        <f>'Resultater - Vestdanmark'!C415</f>
        <v>JB1-10</v>
      </c>
      <c r="D415" s="94" t="str">
        <f>'Resultater - Vestdanmark'!D415</f>
        <v>Areal-permanent græs</v>
      </c>
      <c r="E415" s="94" t="str">
        <f>'Resultater - Vestdanmark'!E415</f>
        <v>Hektar</v>
      </c>
      <c r="F415" s="94" t="str">
        <f>'Resultater - Vestdanmark'!F415</f>
        <v>Gødning</v>
      </c>
      <c r="G415" s="94" t="str">
        <f>'Resultater - Vestdanmark'!G415</f>
        <v>kg N</v>
      </c>
      <c r="H415" s="252">
        <f>'Resultater - Vestdanmark'!H415+'Resultater - Østdanmark'!H415</f>
        <v>-961653.66917064704</v>
      </c>
      <c r="I415" s="253">
        <f>'Resultater - Vestdanmark'!I415+'Resultater - Østdanmark'!I415</f>
        <v>-609147.4647161623</v>
      </c>
      <c r="J415" s="254">
        <f>'Resultater - Vestdanmark'!J415+'Resultater - Østdanmark'!J415</f>
        <v>-736573.69027620589</v>
      </c>
    </row>
    <row r="416" spans="1:10" x14ac:dyDescent="0.25">
      <c r="A416" s="94" t="str">
        <f>'Resultater - Vestdanmark'!A416</f>
        <v>Permanent græs</v>
      </c>
      <c r="B416" s="94" t="str">
        <f>'Resultater - Vestdanmark'!B416</f>
        <v>Økologisk</v>
      </c>
      <c r="C416" s="94" t="str">
        <f>'Resultater - Vestdanmark'!C416</f>
        <v>JB1-10</v>
      </c>
      <c r="D416" s="94" t="str">
        <f>'Resultater - Vestdanmark'!D416</f>
        <v>Areal-permanent græs</v>
      </c>
      <c r="E416" s="94" t="str">
        <f>'Resultater - Vestdanmark'!E416</f>
        <v>Hektar</v>
      </c>
      <c r="F416" s="94" t="str">
        <f>'Resultater - Vestdanmark'!F416</f>
        <v>CO2 - atmosfære</v>
      </c>
      <c r="G416" s="94" t="str">
        <f>'Resultater - Vestdanmark'!G416</f>
        <v>t CO2-ækvivalenter</v>
      </c>
      <c r="H416" s="252">
        <f>'Resultater - Vestdanmark'!H416+'Resultater - Østdanmark'!H416</f>
        <v>37806.344019209348</v>
      </c>
      <c r="I416" s="253">
        <f>'Resultater - Vestdanmark'!I416+'Resultater - Østdanmark'!I416</f>
        <v>22168.961607313187</v>
      </c>
      <c r="J416" s="254">
        <f>'Resultater - Vestdanmark'!J416+'Resultater - Østdanmark'!J416</f>
        <v>22895.280196614818</v>
      </c>
    </row>
    <row r="417" spans="1:10" x14ac:dyDescent="0.25">
      <c r="A417" s="94" t="str">
        <f>'Resultater - Vestdanmark'!A417</f>
        <v>Permanent græs</v>
      </c>
      <c r="B417" s="94" t="str">
        <f>'Resultater - Vestdanmark'!B417</f>
        <v>Økologisk</v>
      </c>
      <c r="C417" s="94" t="str">
        <f>'Resultater - Vestdanmark'!C417</f>
        <v>OC6</v>
      </c>
      <c r="D417" s="94" t="str">
        <f>'Resultater - Vestdanmark'!D417</f>
        <v>Areal-permanent græs</v>
      </c>
      <c r="E417" s="94" t="str">
        <f>'Resultater - Vestdanmark'!E417</f>
        <v>Hektar</v>
      </c>
      <c r="F417" s="94" t="str">
        <f>'Resultater - Vestdanmark'!F417</f>
        <v>Græs</v>
      </c>
      <c r="G417" s="94" t="str">
        <f>'Resultater - Vestdanmark'!G417</f>
        <v>Ton</v>
      </c>
      <c r="H417" s="252">
        <f>'Resultater - Vestdanmark'!H417+'Resultater - Østdanmark'!H417</f>
        <v>46387.535336013323</v>
      </c>
      <c r="I417" s="253">
        <f>'Resultater - Vestdanmark'!I417+'Resultater - Østdanmark'!I417</f>
        <v>79700.143458000675</v>
      </c>
      <c r="J417" s="254">
        <f>'Resultater - Vestdanmark'!J417+'Resultater - Østdanmark'!J417</f>
        <v>203304.67835244909</v>
      </c>
    </row>
    <row r="418" spans="1:10" x14ac:dyDescent="0.25">
      <c r="A418" s="94" t="str">
        <f>'Resultater - Vestdanmark'!A418</f>
        <v>Permanent græs</v>
      </c>
      <c r="B418" s="94" t="str">
        <f>'Resultater - Vestdanmark'!B418</f>
        <v>Økologisk</v>
      </c>
      <c r="C418" s="94" t="str">
        <f>'Resultater - Vestdanmark'!C418</f>
        <v>OC6</v>
      </c>
      <c r="D418" s="94" t="str">
        <f>'Resultater - Vestdanmark'!D418</f>
        <v>Areal-permanent græs</v>
      </c>
      <c r="E418" s="94" t="str">
        <f>'Resultater - Vestdanmark'!E418</f>
        <v>Hektar</v>
      </c>
      <c r="F418" s="94" t="str">
        <f>'Resultater - Vestdanmark'!F418</f>
        <v>Gødning</v>
      </c>
      <c r="G418" s="94" t="str">
        <f>'Resultater - Vestdanmark'!G418</f>
        <v>kg N</v>
      </c>
      <c r="H418" s="252">
        <f>'Resultater - Vestdanmark'!H418+'Resultater - Østdanmark'!H418</f>
        <v>-140160.5491177584</v>
      </c>
      <c r="I418" s="253">
        <f>'Resultater - Vestdanmark'!I418+'Resultater - Østdanmark'!I418</f>
        <v>-224249.77902073675</v>
      </c>
      <c r="J418" s="254">
        <f>'Resultater - Vestdanmark'!J418+'Resultater - Østdanmark'!J418</f>
        <v>-502510.00000000006</v>
      </c>
    </row>
    <row r="419" spans="1:10" x14ac:dyDescent="0.25">
      <c r="A419" s="94" t="str">
        <f>'Resultater - Vestdanmark'!A419</f>
        <v>Permanent græs</v>
      </c>
      <c r="B419" s="94" t="str">
        <f>'Resultater - Vestdanmark'!B419</f>
        <v>Økologisk</v>
      </c>
      <c r="C419" s="94" t="str">
        <f>'Resultater - Vestdanmark'!C419</f>
        <v>OC6</v>
      </c>
      <c r="D419" s="94" t="str">
        <f>'Resultater - Vestdanmark'!D419</f>
        <v>Areal-permanent græs</v>
      </c>
      <c r="E419" s="94" t="str">
        <f>'Resultater - Vestdanmark'!E419</f>
        <v>Hektar</v>
      </c>
      <c r="F419" s="94" t="str">
        <f>'Resultater - Vestdanmark'!F419</f>
        <v>CO2 - atmosfære</v>
      </c>
      <c r="G419" s="94" t="str">
        <f>'Resultater - Vestdanmark'!G419</f>
        <v>t CO2-ækvivalenter</v>
      </c>
      <c r="H419" s="252">
        <f>'Resultater - Vestdanmark'!H419+'Resultater - Østdanmark'!H419</f>
        <v>29886.978741449482</v>
      </c>
      <c r="I419" s="253">
        <f>'Resultater - Vestdanmark'!I419+'Resultater - Østdanmark'!I419</f>
        <v>44265.479139556548</v>
      </c>
      <c r="J419" s="254">
        <f>'Resultater - Vestdanmark'!J419+'Resultater - Østdanmark'!J419</f>
        <v>84719.757662516611</v>
      </c>
    </row>
    <row r="420" spans="1:10" x14ac:dyDescent="0.25">
      <c r="A420" s="94" t="str">
        <f>'Resultater - Vestdanmark'!A420</f>
        <v>Permanent græs</v>
      </c>
      <c r="B420" s="94" t="str">
        <f>'Resultater - Vestdanmark'!B420</f>
        <v>Økologisk</v>
      </c>
      <c r="C420" s="94" t="str">
        <f>'Resultater - Vestdanmark'!C420</f>
        <v>OC12</v>
      </c>
      <c r="D420" s="94" t="str">
        <f>'Resultater - Vestdanmark'!D420</f>
        <v>Areal-permanent græs</v>
      </c>
      <c r="E420" s="94" t="str">
        <f>'Resultater - Vestdanmark'!E420</f>
        <v>Hektar</v>
      </c>
      <c r="F420" s="94" t="str">
        <f>'Resultater - Vestdanmark'!F420</f>
        <v>Græs</v>
      </c>
      <c r="G420" s="94" t="str">
        <f>'Resultater - Vestdanmark'!G420</f>
        <v>Ton</v>
      </c>
      <c r="H420" s="252">
        <f>'Resultater - Vestdanmark'!H420+'Resultater - Østdanmark'!H420</f>
        <v>58571.025388344671</v>
      </c>
      <c r="I420" s="253">
        <f>'Resultater - Vestdanmark'!I420+'Resultater - Østdanmark'!I420</f>
        <v>80873.975087333296</v>
      </c>
      <c r="J420" s="254">
        <f>'Resultater - Vestdanmark'!J420+'Resultater - Østdanmark'!J420</f>
        <v>184630.6892368336</v>
      </c>
    </row>
    <row r="421" spans="1:10" x14ac:dyDescent="0.25">
      <c r="A421" s="94" t="str">
        <f>'Resultater - Vestdanmark'!A421</f>
        <v>Permanent græs</v>
      </c>
      <c r="B421" s="94" t="str">
        <f>'Resultater - Vestdanmark'!B421</f>
        <v>Økologisk</v>
      </c>
      <c r="C421" s="94" t="str">
        <f>'Resultater - Vestdanmark'!C421</f>
        <v>OC12</v>
      </c>
      <c r="D421" s="94" t="str">
        <f>'Resultater - Vestdanmark'!D421</f>
        <v>Areal-permanent græs</v>
      </c>
      <c r="E421" s="94" t="str">
        <f>'Resultater - Vestdanmark'!E421</f>
        <v>Hektar</v>
      </c>
      <c r="F421" s="94" t="str">
        <f>'Resultater - Vestdanmark'!F421</f>
        <v>Gødning</v>
      </c>
      <c r="G421" s="94" t="str">
        <f>'Resultater - Vestdanmark'!G421</f>
        <v>kg N</v>
      </c>
      <c r="H421" s="252">
        <f>'Resultater - Vestdanmark'!H421+'Resultater - Østdanmark'!H421</f>
        <v>-151691.24984032079</v>
      </c>
      <c r="I421" s="253">
        <f>'Resultater - Vestdanmark'!I421+'Resultater - Østdanmark'!I421</f>
        <v>-195045.04460615417</v>
      </c>
      <c r="J421" s="254">
        <f>'Resultater - Vestdanmark'!J421+'Resultater - Østdanmark'!J421</f>
        <v>-391159.99999999983</v>
      </c>
    </row>
    <row r="422" spans="1:10" x14ac:dyDescent="0.25">
      <c r="A422" s="94" t="str">
        <f>'Resultater - Vestdanmark'!A422</f>
        <v>Permanent græs</v>
      </c>
      <c r="B422" s="94" t="str">
        <f>'Resultater - Vestdanmark'!B422</f>
        <v>Økologisk</v>
      </c>
      <c r="C422" s="94" t="str">
        <f>'Resultater - Vestdanmark'!C422</f>
        <v>OC12</v>
      </c>
      <c r="D422" s="94" t="str">
        <f>'Resultater - Vestdanmark'!D422</f>
        <v>Areal-permanent græs</v>
      </c>
      <c r="E422" s="94" t="str">
        <f>'Resultater - Vestdanmark'!E422</f>
        <v>Hektar</v>
      </c>
      <c r="F422" s="94" t="str">
        <f>'Resultater - Vestdanmark'!F422</f>
        <v>CO2 - atmosfære</v>
      </c>
      <c r="G422" s="94" t="str">
        <f>'Resultater - Vestdanmark'!G422</f>
        <v>t CO2-ækvivalenter</v>
      </c>
      <c r="H422" s="252">
        <f>'Resultater - Vestdanmark'!H422+'Resultater - Østdanmark'!H422</f>
        <v>86469.152823414028</v>
      </c>
      <c r="I422" s="253">
        <f>'Resultater - Vestdanmark'!I422+'Resultater - Østdanmark'!I422</f>
        <v>102923.01898393017</v>
      </c>
      <c r="J422" s="254">
        <f>'Resultater - Vestdanmark'!J422+'Resultater - Østdanmark'!J422</f>
        <v>176294.5487547456</v>
      </c>
    </row>
    <row r="423" spans="1:10" x14ac:dyDescent="0.25">
      <c r="A423" s="94" t="str">
        <f>'Resultater - Vestdanmark'!A423</f>
        <v>Tømmerproduktion</v>
      </c>
      <c r="B423" s="94" t="str">
        <f>'Resultater - Vestdanmark'!B423</f>
        <v/>
      </c>
      <c r="C423" s="94" t="str">
        <f>'Resultater - Vestdanmark'!C423</f>
        <v/>
      </c>
      <c r="D423" s="94" t="str">
        <f>'Resultater - Vestdanmark'!D423</f>
        <v>Træer</v>
      </c>
      <c r="E423" s="94" t="str">
        <f>'Resultater - Vestdanmark'!E423</f>
        <v>m3</v>
      </c>
      <c r="F423" s="94" t="str">
        <f>'Resultater - Vestdanmark'!F423</f>
        <v>Træmaterialer</v>
      </c>
      <c r="G423" s="94" t="str">
        <f>'Resultater - Vestdanmark'!G423</f>
        <v>m3</v>
      </c>
      <c r="H423" s="252">
        <f ca="1">'Resultater - Vestdanmark'!H423+'Resultater - Østdanmark'!H423</f>
        <v>827707.93518034508</v>
      </c>
      <c r="I423" s="253">
        <f ca="1">'Resultater - Vestdanmark'!I423+'Resultater - Østdanmark'!I423</f>
        <v>789510.6267450063</v>
      </c>
      <c r="J423" s="254">
        <f ca="1">'Resultater - Vestdanmark'!J423+'Resultater - Østdanmark'!J423</f>
        <v>814379.14075048931</v>
      </c>
    </row>
    <row r="424" spans="1:10" x14ac:dyDescent="0.25">
      <c r="A424" s="94" t="str">
        <f>'Resultater - Vestdanmark'!A424</f>
        <v>Tømmerproduktion</v>
      </c>
      <c r="B424" s="94" t="str">
        <f>'Resultater - Vestdanmark'!B424</f>
        <v/>
      </c>
      <c r="C424" s="94" t="str">
        <f>'Resultater - Vestdanmark'!C424</f>
        <v/>
      </c>
      <c r="D424" s="94" t="str">
        <f>'Resultater - Vestdanmark'!D424</f>
        <v>Træer</v>
      </c>
      <c r="E424" s="94" t="str">
        <f>'Resultater - Vestdanmark'!E424</f>
        <v>m3</v>
      </c>
      <c r="F424" s="94" t="str">
        <f>'Resultater - Vestdanmark'!F424</f>
        <v>Træ til energi</v>
      </c>
      <c r="G424" s="94" t="str">
        <f>'Resultater - Vestdanmark'!G424</f>
        <v>m3</v>
      </c>
      <c r="H424" s="252">
        <f ca="1">'Resultater - Vestdanmark'!H424+'Resultater - Østdanmark'!H424</f>
        <v>896683.59644537373</v>
      </c>
      <c r="I424" s="253">
        <f ca="1">'Resultater - Vestdanmark'!I424+'Resultater - Østdanmark'!I424</f>
        <v>855303.17897375696</v>
      </c>
      <c r="J424" s="254">
        <f ca="1">'Resultater - Vestdanmark'!J424+'Resultater - Østdanmark'!J424</f>
        <v>882244.0691463633</v>
      </c>
    </row>
    <row r="425" spans="1:10" x14ac:dyDescent="0.25">
      <c r="A425" s="94" t="str">
        <f>'Resultater - Vestdanmark'!A425</f>
        <v>Tømmerproduktion</v>
      </c>
      <c r="B425" s="94" t="str">
        <f>'Resultater - Vestdanmark'!B425</f>
        <v/>
      </c>
      <c r="C425" s="94" t="str">
        <f>'Resultater - Vestdanmark'!C425</f>
        <v/>
      </c>
      <c r="D425" s="94" t="str">
        <f>'Resultater - Vestdanmark'!D425</f>
        <v>CO2 - HWP</v>
      </c>
      <c r="E425" s="94" t="str">
        <f>'Resultater - Vestdanmark'!E425</f>
        <v>t CO2-ækvivalenter</v>
      </c>
      <c r="F425" s="94" t="str">
        <f>'Resultater - Vestdanmark'!F425</f>
        <v>CO2 - atmosfære</v>
      </c>
      <c r="G425" s="94" t="str">
        <f>'Resultater - Vestdanmark'!G425</f>
        <v>t CO2-ækvivalenter</v>
      </c>
      <c r="H425" s="252">
        <f ca="1">'Resultater - Vestdanmark'!H425+'Resultater - Østdanmark'!H425</f>
        <v>-121290.05206481964</v>
      </c>
      <c r="I425" s="253">
        <f ca="1">'Resultater - Vestdanmark'!I425+'Resultater - Østdanmark'!I425</f>
        <v>-122610.02662156825</v>
      </c>
      <c r="J425" s="254">
        <f ca="1">'Resultater - Vestdanmark'!J425+'Resultater - Østdanmark'!J425</f>
        <v>-438942.57839262037</v>
      </c>
    </row>
    <row r="426" spans="1:10" x14ac:dyDescent="0.25">
      <c r="A426" s="94" t="str">
        <f>'Resultater - Vestdanmark'!A426</f>
        <v>Mejeri</v>
      </c>
      <c r="B426" s="94" t="str">
        <f>'Resultater - Vestdanmark'!B426</f>
        <v/>
      </c>
      <c r="C426" s="94" t="str">
        <f>'Resultater - Vestdanmark'!C426</f>
        <v/>
      </c>
      <c r="D426" s="94" t="str">
        <f>'Resultater - Vestdanmark'!D426</f>
        <v>Råmælk</v>
      </c>
      <c r="E426" s="94" t="str">
        <f>'Resultater - Vestdanmark'!E426</f>
        <v>Ton</v>
      </c>
      <c r="F426" s="94" t="str">
        <f>'Resultater - Vestdanmark'!F426</f>
        <v>Mejeriprodukter</v>
      </c>
      <c r="G426" s="94" t="str">
        <f>'Resultater - Vestdanmark'!G426</f>
        <v>Ton</v>
      </c>
      <c r="H426" s="252">
        <f>'Resultater - Vestdanmark'!H426+'Resultater - Østdanmark'!H426</f>
        <v>3383628.2</v>
      </c>
      <c r="I426" s="253">
        <f>'Resultater - Vestdanmark'!I426+'Resultater - Østdanmark'!I426</f>
        <v>1460315.2156438841</v>
      </c>
      <c r="J426" s="254">
        <f>'Resultater - Vestdanmark'!J426+'Resultater - Østdanmark'!J426</f>
        <v>0</v>
      </c>
    </row>
    <row r="427" spans="1:10" x14ac:dyDescent="0.25">
      <c r="A427" s="94" t="str">
        <f>'Resultater - Vestdanmark'!A427</f>
        <v>Mejeri</v>
      </c>
      <c r="B427" s="94" t="str">
        <f>'Resultater - Vestdanmark'!B427</f>
        <v/>
      </c>
      <c r="C427" s="94" t="str">
        <f>'Resultater - Vestdanmark'!C427</f>
        <v/>
      </c>
      <c r="D427" s="94" t="str">
        <f>'Resultater - Vestdanmark'!D427</f>
        <v>Råmælk</v>
      </c>
      <c r="E427" s="94" t="str">
        <f>'Resultater - Vestdanmark'!E427</f>
        <v>Ton</v>
      </c>
      <c r="F427" s="94" t="str">
        <f>'Resultater - Vestdanmark'!F427</f>
        <v>Spildevandsslam</v>
      </c>
      <c r="G427" s="94" t="str">
        <f>'Resultater - Vestdanmark'!G427</f>
        <v>Ton</v>
      </c>
      <c r="H427" s="252">
        <f>'Resultater - Vestdanmark'!H427+'Resultater - Østdanmark'!H427</f>
        <v>131725</v>
      </c>
      <c r="I427" s="253">
        <f>'Resultater - Vestdanmark'!I427+'Resultater - Østdanmark'!I427</f>
        <v>56850.224200368895</v>
      </c>
      <c r="J427" s="254">
        <f>'Resultater - Vestdanmark'!J427+'Resultater - Østdanmark'!J427</f>
        <v>0</v>
      </c>
    </row>
    <row r="428" spans="1:10" x14ac:dyDescent="0.25">
      <c r="A428" s="94" t="str">
        <f>'Resultater - Vestdanmark'!A428</f>
        <v>Mejeri</v>
      </c>
      <c r="B428" s="94" t="str">
        <f>'Resultater - Vestdanmark'!B428</f>
        <v/>
      </c>
      <c r="C428" s="94" t="str">
        <f>'Resultater - Vestdanmark'!C428</f>
        <v/>
      </c>
      <c r="D428" s="94" t="str">
        <f>'Resultater - Vestdanmark'!D428</f>
        <v>Råmælk</v>
      </c>
      <c r="E428" s="94" t="str">
        <f>'Resultater - Vestdanmark'!E428</f>
        <v>Ton</v>
      </c>
      <c r="F428" s="94" t="str">
        <f>'Resultater - Vestdanmark'!F428</f>
        <v>Industriaffald</v>
      </c>
      <c r="G428" s="94" t="str">
        <f>'Resultater - Vestdanmark'!G428</f>
        <v>Ton</v>
      </c>
      <c r="H428" s="252">
        <f>'Resultater - Vestdanmark'!H428+'Resultater - Østdanmark'!H428</f>
        <v>17308.665000000001</v>
      </c>
      <c r="I428" s="253">
        <f>'Resultater - Vestdanmark'!I428+'Resultater - Østdanmark'!I428</f>
        <v>7470.1194599284727</v>
      </c>
      <c r="J428" s="254">
        <f>'Resultater - Vestdanmark'!J428+'Resultater - Østdanmark'!J428</f>
        <v>0</v>
      </c>
    </row>
    <row r="429" spans="1:10" x14ac:dyDescent="0.25">
      <c r="A429" s="94" t="str">
        <f>'Resultater - Vestdanmark'!A429</f>
        <v>Mejeri</v>
      </c>
      <c r="B429" s="94" t="str">
        <f>'Resultater - Vestdanmark'!B429</f>
        <v/>
      </c>
      <c r="C429" s="94" t="str">
        <f>'Resultater - Vestdanmark'!C429</f>
        <v/>
      </c>
      <c r="D429" s="94" t="str">
        <f>'Resultater - Vestdanmark'!D429</f>
        <v>Råmælk</v>
      </c>
      <c r="E429" s="94" t="str">
        <f>'Resultater - Vestdanmark'!E429</f>
        <v>Ton</v>
      </c>
      <c r="F429" s="94" t="str">
        <f>'Resultater - Vestdanmark'!F429</f>
        <v>Mælk til foder</v>
      </c>
      <c r="G429" s="94" t="str">
        <f>'Resultater - Vestdanmark'!G429</f>
        <v>Ton</v>
      </c>
      <c r="H429" s="252">
        <f>'Resultater - Vestdanmark'!H429+'Resultater - Østdanmark'!H429</f>
        <v>1753646.8000000003</v>
      </c>
      <c r="I429" s="253">
        <f>'Resultater - Vestdanmark'!I429+'Resultater - Østdanmark'!I429</f>
        <v>756843.52817050298</v>
      </c>
      <c r="J429" s="254">
        <f>'Resultater - Vestdanmark'!J429+'Resultater - Østdanmark'!J429</f>
        <v>0</v>
      </c>
    </row>
    <row r="430" spans="1:10" x14ac:dyDescent="0.25">
      <c r="A430" s="94" t="str">
        <f>'Resultater - Vestdanmark'!A430</f>
        <v>Slagteri</v>
      </c>
      <c r="B430" s="94" t="str">
        <f>'Resultater - Vestdanmark'!B430</f>
        <v/>
      </c>
      <c r="C430" s="94" t="str">
        <f>'Resultater - Vestdanmark'!C430</f>
        <v/>
      </c>
      <c r="D430" s="94" t="str">
        <f>'Resultater - Vestdanmark'!D430</f>
        <v>Slagtesvin</v>
      </c>
      <c r="E430" s="94" t="str">
        <f>'Resultater - Vestdanmark'!E430</f>
        <v>Antal</v>
      </c>
      <c r="F430" s="94" t="str">
        <f>'Resultater - Vestdanmark'!F430</f>
        <v>Svinekød</v>
      </c>
      <c r="G430" s="94" t="str">
        <f>'Resultater - Vestdanmark'!G430</f>
        <v>Ton</v>
      </c>
      <c r="H430" s="252">
        <f>'Resultater - Vestdanmark'!H430+'Resultater - Østdanmark'!H430</f>
        <v>1601127.6966659406</v>
      </c>
      <c r="I430" s="253">
        <f>'Resultater - Vestdanmark'!I430+'Resultater - Østdanmark'!I430</f>
        <v>1487499.2794831963</v>
      </c>
      <c r="J430" s="254">
        <f>'Resultater - Vestdanmark'!J430+'Resultater - Østdanmark'!J430</f>
        <v>448542.41861653945</v>
      </c>
    </row>
    <row r="431" spans="1:10" x14ac:dyDescent="0.25">
      <c r="A431" s="94" t="str">
        <f>'Resultater - Vestdanmark'!A431</f>
        <v>Slagteri</v>
      </c>
      <c r="B431" s="94" t="str">
        <f>'Resultater - Vestdanmark'!B431</f>
        <v/>
      </c>
      <c r="C431" s="94" t="str">
        <f>'Resultater - Vestdanmark'!C431</f>
        <v/>
      </c>
      <c r="D431" s="94" t="str">
        <f>'Resultater - Vestdanmark'!D431</f>
        <v>Slagtesvin</v>
      </c>
      <c r="E431" s="94" t="str">
        <f>'Resultater - Vestdanmark'!E431</f>
        <v>Antal</v>
      </c>
      <c r="F431" s="94" t="str">
        <f>'Resultater - Vestdanmark'!F431</f>
        <v>Industriaffald</v>
      </c>
      <c r="G431" s="94" t="str">
        <f>'Resultater - Vestdanmark'!G431</f>
        <v>Ton</v>
      </c>
      <c r="H431" s="252">
        <f>'Resultater - Vestdanmark'!H431+'Resultater - Østdanmark'!H431</f>
        <v>22728.326432774025</v>
      </c>
      <c r="I431" s="253">
        <f>'Resultater - Vestdanmark'!I431+'Resultater - Østdanmark'!I431</f>
        <v>28498.150556379562</v>
      </c>
      <c r="J431" s="254">
        <f>'Resultater - Vestdanmark'!J431+'Resultater - Østdanmark'!J431</f>
        <v>8593.3684492928642</v>
      </c>
    </row>
    <row r="432" spans="1:10" x14ac:dyDescent="0.25">
      <c r="A432" s="94" t="str">
        <f>'Resultater - Vestdanmark'!A432</f>
        <v>Slagteri</v>
      </c>
      <c r="B432" s="94" t="str">
        <f>'Resultater - Vestdanmark'!B432</f>
        <v/>
      </c>
      <c r="C432" s="94" t="str">
        <f>'Resultater - Vestdanmark'!C432</f>
        <v/>
      </c>
      <c r="D432" s="94" t="str">
        <f>'Resultater - Vestdanmark'!D432</f>
        <v>Slagtesvin</v>
      </c>
      <c r="E432" s="94" t="str">
        <f>'Resultater - Vestdanmark'!E432</f>
        <v>Antal</v>
      </c>
      <c r="F432" s="94" t="str">
        <f>'Resultater - Vestdanmark'!F432</f>
        <v>Slagteriaffald til foder</v>
      </c>
      <c r="G432" s="94" t="str">
        <f>'Resultater - Vestdanmark'!G432</f>
        <v>Ton</v>
      </c>
      <c r="H432" s="252">
        <f>'Resultater - Vestdanmark'!H432+'Resultater - Østdanmark'!H432</f>
        <v>142794.72651993899</v>
      </c>
      <c r="I432" s="253">
        <f>'Resultater - Vestdanmark'!I432+'Resultater - Østdanmark'!I432</f>
        <v>132660.90721852396</v>
      </c>
      <c r="J432" s="254">
        <f>'Resultater - Vestdanmark'!J432+'Resultater - Østdanmark'!J432</f>
        <v>40002.738152810831</v>
      </c>
    </row>
    <row r="433" spans="1:10" x14ac:dyDescent="0.25">
      <c r="A433" s="94" t="str">
        <f>'Resultater - Vestdanmark'!A433</f>
        <v>Slagteri</v>
      </c>
      <c r="B433" s="94" t="str">
        <f>'Resultater - Vestdanmark'!B433</f>
        <v/>
      </c>
      <c r="C433" s="94" t="str">
        <f>'Resultater - Vestdanmark'!C433</f>
        <v/>
      </c>
      <c r="D433" s="94" t="str">
        <f>'Resultater - Vestdanmark'!D433</f>
        <v>Slagtesvin</v>
      </c>
      <c r="E433" s="94" t="str">
        <f>'Resultater - Vestdanmark'!E433</f>
        <v>Antal</v>
      </c>
      <c r="F433" s="94" t="str">
        <f>'Resultater - Vestdanmark'!F433</f>
        <v>Slagteriaffald til andet</v>
      </c>
      <c r="G433" s="94" t="str">
        <f>'Resultater - Vestdanmark'!G433</f>
        <v>Ton</v>
      </c>
      <c r="H433" s="252">
        <f>'Resultater - Vestdanmark'!H433+'Resultater - Østdanmark'!H433</f>
        <v>140895.61996077577</v>
      </c>
      <c r="I433" s="253">
        <f>'Resultater - Vestdanmark'!I433+'Resultater - Østdanmark'!I433</f>
        <v>130896.57596355941</v>
      </c>
      <c r="J433" s="254">
        <f>'Resultater - Vestdanmark'!J433+'Resultater - Østdanmark'!J433</f>
        <v>39470.719469334559</v>
      </c>
    </row>
    <row r="434" spans="1:10" x14ac:dyDescent="0.25">
      <c r="A434" s="94" t="str">
        <f>'Resultater - Vestdanmark'!A434</f>
        <v>Slagteri</v>
      </c>
      <c r="B434" s="94" t="str">
        <f>'Resultater - Vestdanmark'!B434</f>
        <v/>
      </c>
      <c r="C434" s="94" t="str">
        <f>'Resultater - Vestdanmark'!C434</f>
        <v/>
      </c>
      <c r="D434" s="94" t="str">
        <f>'Resultater - Vestdanmark'!D434</f>
        <v>Slagtekøer</v>
      </c>
      <c r="E434" s="94" t="str">
        <f>'Resultater - Vestdanmark'!E434</f>
        <v>Antal</v>
      </c>
      <c r="F434" s="94" t="str">
        <f>'Resultater - Vestdanmark'!F434</f>
        <v>Oksekød</v>
      </c>
      <c r="G434" s="94" t="str">
        <f>'Resultater - Vestdanmark'!G434</f>
        <v>Ton</v>
      </c>
      <c r="H434" s="252">
        <f>'Resultater - Vestdanmark'!H434+'Resultater - Østdanmark'!H434</f>
        <v>115671.91919191919</v>
      </c>
      <c r="I434" s="253">
        <f>'Resultater - Vestdanmark'!I434+'Resultater - Østdanmark'!I434</f>
        <v>94202.59631534839</v>
      </c>
      <c r="J434" s="254">
        <f>'Resultater - Vestdanmark'!J434+'Resultater - Østdanmark'!J434</f>
        <v>4193.3637747548428</v>
      </c>
    </row>
    <row r="435" spans="1:10" x14ac:dyDescent="0.25">
      <c r="A435" s="94" t="str">
        <f>'Resultater - Vestdanmark'!A435</f>
        <v>Slagteri</v>
      </c>
      <c r="B435" s="94" t="str">
        <f>'Resultater - Vestdanmark'!B435</f>
        <v/>
      </c>
      <c r="C435" s="94" t="str">
        <f>'Resultater - Vestdanmark'!C435</f>
        <v/>
      </c>
      <c r="D435" s="94" t="str">
        <f>'Resultater - Vestdanmark'!D435</f>
        <v>Slagtekøer</v>
      </c>
      <c r="E435" s="94" t="str">
        <f>'Resultater - Vestdanmark'!E435</f>
        <v>Antal</v>
      </c>
      <c r="F435" s="94" t="str">
        <f>'Resultater - Vestdanmark'!F435</f>
        <v>Industriaffald</v>
      </c>
      <c r="G435" s="94" t="str">
        <f>'Resultater - Vestdanmark'!G435</f>
        <v>Ton</v>
      </c>
      <c r="H435" s="252">
        <f>'Resultater - Vestdanmark'!H435+'Resultater - Østdanmark'!H435</f>
        <v>50006.545454545456</v>
      </c>
      <c r="I435" s="253">
        <f>'Resultater - Vestdanmark'!I435+'Resultater - Østdanmark'!I435</f>
        <v>45689.022605134538</v>
      </c>
      <c r="J435" s="254">
        <f>'Resultater - Vestdanmark'!J435+'Resultater - Østdanmark'!J435</f>
        <v>2033.8154126343388</v>
      </c>
    </row>
    <row r="436" spans="1:10" x14ac:dyDescent="0.25">
      <c r="A436" s="94" t="str">
        <f>'Resultater - Vestdanmark'!A436</f>
        <v>Slagteri</v>
      </c>
      <c r="B436" s="94" t="str">
        <f>'Resultater - Vestdanmark'!B436</f>
        <v/>
      </c>
      <c r="C436" s="94" t="str">
        <f>'Resultater - Vestdanmark'!C436</f>
        <v/>
      </c>
      <c r="D436" s="94" t="str">
        <f>'Resultater - Vestdanmark'!D436</f>
        <v>Slagtekøer</v>
      </c>
      <c r="E436" s="94" t="str">
        <f>'Resultater - Vestdanmark'!E436</f>
        <v>Antal</v>
      </c>
      <c r="F436" s="94" t="str">
        <f>'Resultater - Vestdanmark'!F436</f>
        <v>Slagteriaffald til foder</v>
      </c>
      <c r="G436" s="94" t="str">
        <f>'Resultater - Vestdanmark'!G436</f>
        <v>Ton</v>
      </c>
      <c r="H436" s="252">
        <f>'Resultater - Vestdanmark'!H436+'Resultater - Østdanmark'!H436</f>
        <v>7405.2525252525256</v>
      </c>
      <c r="I436" s="253">
        <f>'Resultater - Vestdanmark'!I436+'Resultater - Østdanmark'!I436</f>
        <v>6030.7983054396473</v>
      </c>
      <c r="J436" s="254">
        <f>'Resultater - Vestdanmark'!J436+'Resultater - Østdanmark'!J436</f>
        <v>268.45683809208481</v>
      </c>
    </row>
    <row r="437" spans="1:10" x14ac:dyDescent="0.25">
      <c r="A437" s="94" t="str">
        <f>'Resultater - Vestdanmark'!A437</f>
        <v>Slagteri</v>
      </c>
      <c r="B437" s="94" t="str">
        <f>'Resultater - Vestdanmark'!B437</f>
        <v/>
      </c>
      <c r="C437" s="94" t="str">
        <f>'Resultater - Vestdanmark'!C437</f>
        <v/>
      </c>
      <c r="D437" s="94" t="str">
        <f>'Resultater - Vestdanmark'!D437</f>
        <v>Slagtekøer</v>
      </c>
      <c r="E437" s="94" t="str">
        <f>'Resultater - Vestdanmark'!E437</f>
        <v>Antal</v>
      </c>
      <c r="F437" s="94" t="str">
        <f>'Resultater - Vestdanmark'!F437</f>
        <v>Slagteriaffald til andet</v>
      </c>
      <c r="G437" s="94" t="str">
        <f>'Resultater - Vestdanmark'!G437</f>
        <v>Ton</v>
      </c>
      <c r="H437" s="252">
        <f>'Resultater - Vestdanmark'!H437+'Resultater - Østdanmark'!H437</f>
        <v>76114.747474747448</v>
      </c>
      <c r="I437" s="253">
        <f>'Resultater - Vestdanmark'!I437+'Resultater - Østdanmark'!I437</f>
        <v>61987.445873632809</v>
      </c>
      <c r="J437" s="254">
        <f>'Resultater - Vestdanmark'!J437+'Resultater - Østdanmark'!J437</f>
        <v>2759.328513047757</v>
      </c>
    </row>
    <row r="438" spans="1:10" x14ac:dyDescent="0.25">
      <c r="A438" s="94" t="str">
        <f>'Resultater - Vestdanmark'!A438</f>
        <v>Slagteri</v>
      </c>
      <c r="B438" s="94" t="str">
        <f>'Resultater - Vestdanmark'!B438</f>
        <v/>
      </c>
      <c r="C438" s="94" t="str">
        <f>'Resultater - Vestdanmark'!C438</f>
        <v/>
      </c>
      <c r="D438" s="94" t="str">
        <f>'Resultater - Vestdanmark'!D438</f>
        <v>Slagtefjerkræ</v>
      </c>
      <c r="E438" s="94" t="str">
        <f>'Resultater - Vestdanmark'!E438</f>
        <v>Antal</v>
      </c>
      <c r="F438" s="94" t="str">
        <f>'Resultater - Vestdanmark'!F438</f>
        <v>Fjerkrækød</v>
      </c>
      <c r="G438" s="94" t="str">
        <f>'Resultater - Vestdanmark'!G438</f>
        <v>Ton</v>
      </c>
      <c r="H438" s="252">
        <f>'Resultater - Vestdanmark'!H438+'Resultater - Østdanmark'!H438</f>
        <v>201545.30567673693</v>
      </c>
      <c r="I438" s="253">
        <f>'Resultater - Vestdanmark'!I438+'Resultater - Østdanmark'!I438</f>
        <v>201545.30567673693</v>
      </c>
      <c r="J438" s="254">
        <f>'Resultater - Vestdanmark'!J438+'Resultater - Østdanmark'!J438</f>
        <v>16263.347635785858</v>
      </c>
    </row>
    <row r="439" spans="1:10" ht="15.75" thickBot="1" x14ac:dyDescent="0.3">
      <c r="A439" s="94" t="str">
        <f>'Resultater - Vestdanmark'!A439</f>
        <v>Slagteri</v>
      </c>
      <c r="B439" s="94" t="str">
        <f>'Resultater - Vestdanmark'!B439</f>
        <v/>
      </c>
      <c r="C439" s="94" t="str">
        <f>'Resultater - Vestdanmark'!C439</f>
        <v/>
      </c>
      <c r="D439" s="94" t="str">
        <f>'Resultater - Vestdanmark'!D439</f>
        <v>Slagtefjerkræ</v>
      </c>
      <c r="E439" s="94" t="str">
        <f>'Resultater - Vestdanmark'!E439</f>
        <v>Antal</v>
      </c>
      <c r="F439" s="94" t="str">
        <f>'Resultater - Vestdanmark'!F439</f>
        <v>Industriaffald</v>
      </c>
      <c r="G439" s="94" t="str">
        <f>'Resultater - Vestdanmark'!G439</f>
        <v>Ton</v>
      </c>
      <c r="H439" s="255">
        <f>'Resultater - Vestdanmark'!H439+'Resultater - Østdanmark'!H439</f>
        <v>550.81037157810442</v>
      </c>
      <c r="I439" s="256">
        <f>'Resultater - Vestdanmark'!I439+'Resultater - Østdanmark'!I439</f>
        <v>743.39653692532011</v>
      </c>
      <c r="J439" s="257">
        <f>'Resultater - Vestdanmark'!J439+'Resultater - Østdanmark'!J439</f>
        <v>59.987089605785265</v>
      </c>
    </row>
    <row r="440" spans="1:10" x14ac:dyDescent="0.25">
      <c r="A440" s="94" t="str">
        <f>'Resultater - Vestdanmark'!A440</f>
        <v>Foderproduktion</v>
      </c>
      <c r="B440" s="94" t="str">
        <f>'Resultater - Vestdanmark'!B440</f>
        <v/>
      </c>
      <c r="C440" s="94" t="str">
        <f>'Resultater - Vestdanmark'!C440</f>
        <v/>
      </c>
      <c r="D440" s="94" t="str">
        <f>'Resultater - Vestdanmark'!D440</f>
        <v>Korn</v>
      </c>
      <c r="E440" s="94" t="str">
        <f>'Resultater - Vestdanmark'!E440</f>
        <v>Ton</v>
      </c>
      <c r="F440" s="94" t="str">
        <f>'Resultater - Vestdanmark'!F440</f>
        <v>Foder</v>
      </c>
      <c r="G440" s="94" t="str">
        <f>'Resultater - Vestdanmark'!G440</f>
        <v>FE</v>
      </c>
      <c r="H440" s="249">
        <f>'Resultater - Vestdanmark'!H440+'Resultater - Østdanmark'!H440</f>
        <v>5940049093.1121235</v>
      </c>
      <c r="I440" s="250">
        <f>'Resultater - Vestdanmark'!I440+'Resultater - Østdanmark'!I440</f>
        <v>3270741914.5045767</v>
      </c>
      <c r="J440" s="251">
        <f>'Resultater - Vestdanmark'!J440+'Resultater - Østdanmark'!J440</f>
        <v>359538023.11850488</v>
      </c>
    </row>
    <row r="441" spans="1:10" x14ac:dyDescent="0.25">
      <c r="A441" s="94" t="str">
        <f>'Resultater - Vestdanmark'!A441</f>
        <v>Foderproduktion</v>
      </c>
      <c r="B441" s="94" t="str">
        <f>'Resultater - Vestdanmark'!B441</f>
        <v/>
      </c>
      <c r="C441" s="94" t="str">
        <f>'Resultater - Vestdanmark'!C441</f>
        <v/>
      </c>
      <c r="D441" s="94" t="str">
        <f>'Resultater - Vestdanmark'!D441</f>
        <v>Halm</v>
      </c>
      <c r="E441" s="94" t="str">
        <f>'Resultater - Vestdanmark'!E441</f>
        <v>Ton</v>
      </c>
      <c r="F441" s="94" t="str">
        <f>'Resultater - Vestdanmark'!F441</f>
        <v>Foder</v>
      </c>
      <c r="G441" s="94" t="str">
        <f>'Resultater - Vestdanmark'!G441</f>
        <v>FE</v>
      </c>
      <c r="H441" s="252">
        <f>'Resultater - Vestdanmark'!H441+'Resultater - Østdanmark'!H441</f>
        <v>164945487.85478973</v>
      </c>
      <c r="I441" s="253">
        <f>'Resultater - Vestdanmark'!I441+'Resultater - Østdanmark'!I441</f>
        <v>107334568.54328686</v>
      </c>
      <c r="J441" s="254">
        <f>'Resultater - Vestdanmark'!J441+'Resultater - Østdanmark'!J441</f>
        <v>44387410.26154381</v>
      </c>
    </row>
    <row r="442" spans="1:10" x14ac:dyDescent="0.25">
      <c r="A442" s="94" t="str">
        <f>'Resultater - Vestdanmark'!A442</f>
        <v>Foderproduktion</v>
      </c>
      <c r="B442" s="94" t="str">
        <f>'Resultater - Vestdanmark'!B442</f>
        <v/>
      </c>
      <c r="C442" s="94" t="str">
        <f>'Resultater - Vestdanmark'!C442</f>
        <v/>
      </c>
      <c r="D442" s="94" t="str">
        <f>'Resultater - Vestdanmark'!D442</f>
        <v>Kartofler</v>
      </c>
      <c r="E442" s="94" t="str">
        <f>'Resultater - Vestdanmark'!E442</f>
        <v>Ton</v>
      </c>
      <c r="F442" s="94" t="str">
        <f>'Resultater - Vestdanmark'!F442</f>
        <v>Foder</v>
      </c>
      <c r="G442" s="94" t="str">
        <f>'Resultater - Vestdanmark'!G442</f>
        <v>FE</v>
      </c>
      <c r="H442" s="252">
        <f>'Resultater - Vestdanmark'!H442+'Resultater - Østdanmark'!H442</f>
        <v>0</v>
      </c>
      <c r="I442" s="253">
        <f>'Resultater - Vestdanmark'!I442+'Resultater - Østdanmark'!I442</f>
        <v>213029290.1037696</v>
      </c>
      <c r="J442" s="254">
        <f>'Resultater - Vestdanmark'!J442+'Resultater - Østdanmark'!J442</f>
        <v>443874102.61543816</v>
      </c>
    </row>
    <row r="443" spans="1:10" x14ac:dyDescent="0.25">
      <c r="A443" s="94" t="str">
        <f>'Resultater - Vestdanmark'!A443</f>
        <v>Foderproduktion</v>
      </c>
      <c r="B443" s="94" t="str">
        <f>'Resultater - Vestdanmark'!B443</f>
        <v/>
      </c>
      <c r="C443" s="94" t="str">
        <f>'Resultater - Vestdanmark'!C443</f>
        <v/>
      </c>
      <c r="D443" s="94" t="str">
        <f>'Resultater - Vestdanmark'!D443</f>
        <v>Bælgsæd</v>
      </c>
      <c r="E443" s="94" t="str">
        <f>'Resultater - Vestdanmark'!E443</f>
        <v>Ton</v>
      </c>
      <c r="F443" s="94" t="str">
        <f>'Resultater - Vestdanmark'!F443</f>
        <v>Foder</v>
      </c>
      <c r="G443" s="94" t="str">
        <f>'Resultater - Vestdanmark'!G443</f>
        <v>FE</v>
      </c>
      <c r="H443" s="252">
        <f>'Resultater - Vestdanmark'!H443+'Resultater - Østdanmark'!H443</f>
        <v>78449683.248009756</v>
      </c>
      <c r="I443" s="253">
        <f>'Resultater - Vestdanmark'!I443+'Resultater - Østdanmark'!I443</f>
        <v>63422104.99712687</v>
      </c>
      <c r="J443" s="254">
        <f>'Resultater - Vestdanmark'!J443+'Resultater - Østdanmark'!J443</f>
        <v>46891284.626537777</v>
      </c>
    </row>
    <row r="444" spans="1:10" x14ac:dyDescent="0.25">
      <c r="A444" s="94" t="str">
        <f>'Resultater - Vestdanmark'!A444</f>
        <v>Foderproduktion</v>
      </c>
      <c r="B444" s="94" t="str">
        <f>'Resultater - Vestdanmark'!B444</f>
        <v/>
      </c>
      <c r="C444" s="94" t="str">
        <f>'Resultater - Vestdanmark'!C444</f>
        <v/>
      </c>
      <c r="D444" s="94" t="str">
        <f>'Resultater - Vestdanmark'!D444</f>
        <v>Roer</v>
      </c>
      <c r="E444" s="94" t="str">
        <f>'Resultater - Vestdanmark'!E444</f>
        <v>Ton</v>
      </c>
      <c r="F444" s="94" t="str">
        <f>'Resultater - Vestdanmark'!F444</f>
        <v>Foder</v>
      </c>
      <c r="G444" s="94" t="str">
        <f>'Resultater - Vestdanmark'!G444</f>
        <v>FE</v>
      </c>
      <c r="H444" s="252">
        <f>'Resultater - Vestdanmark'!H444+'Resultater - Østdanmark'!H444</f>
        <v>143824419.28801787</v>
      </c>
      <c r="I444" s="253">
        <f>'Resultater - Vestdanmark'!I444+'Resultater - Østdanmark'!I444</f>
        <v>116273859.16139928</v>
      </c>
      <c r="J444" s="254">
        <f>'Resultater - Vestdanmark'!J444+'Resultater - Østdanmark'!J444</f>
        <v>85967355.148652613</v>
      </c>
    </row>
    <row r="445" spans="1:10" x14ac:dyDescent="0.25">
      <c r="A445" s="94" t="str">
        <f>'Resultater - Vestdanmark'!A445</f>
        <v>Foderproduktion</v>
      </c>
      <c r="B445" s="94" t="str">
        <f>'Resultater - Vestdanmark'!B445</f>
        <v/>
      </c>
      <c r="C445" s="94" t="str">
        <f>'Resultater - Vestdanmark'!C445</f>
        <v/>
      </c>
      <c r="D445" s="94" t="str">
        <f>'Resultater - Vestdanmark'!D445</f>
        <v>Majs</v>
      </c>
      <c r="E445" s="94" t="str">
        <f>'Resultater - Vestdanmark'!E445</f>
        <v>Ton</v>
      </c>
      <c r="F445" s="94" t="str">
        <f>'Resultater - Vestdanmark'!F445</f>
        <v>Foder</v>
      </c>
      <c r="G445" s="94" t="str">
        <f>'Resultater - Vestdanmark'!G445</f>
        <v>FE</v>
      </c>
      <c r="H445" s="252">
        <f>'Resultater - Vestdanmark'!H445+'Resultater - Østdanmark'!H445</f>
        <v>1682645129.1528244</v>
      </c>
      <c r="I445" s="253">
        <f>'Resultater - Vestdanmark'!I445+'Resultater - Østdanmark'!I445</f>
        <v>930884962.39520001</v>
      </c>
      <c r="J445" s="254">
        <f>'Resultater - Vestdanmark'!J445+'Resultater - Østdanmark'!J445</f>
        <v>110968525.65385954</v>
      </c>
    </row>
    <row r="446" spans="1:10" x14ac:dyDescent="0.25">
      <c r="A446" s="94" t="str">
        <f>'Resultater - Vestdanmark'!A446</f>
        <v>Foderproduktion</v>
      </c>
      <c r="B446" s="94" t="str">
        <f>'Resultater - Vestdanmark'!B446</f>
        <v/>
      </c>
      <c r="C446" s="94" t="str">
        <f>'Resultater - Vestdanmark'!C446</f>
        <v/>
      </c>
      <c r="D446" s="94" t="str">
        <f>'Resultater - Vestdanmark'!D446</f>
        <v>Rapskage</v>
      </c>
      <c r="E446" s="94" t="str">
        <f>'Resultater - Vestdanmark'!E446</f>
        <v>Ton</v>
      </c>
      <c r="F446" s="94" t="str">
        <f>'Resultater - Vestdanmark'!F446</f>
        <v>Foder</v>
      </c>
      <c r="G446" s="94" t="str">
        <f>'Resultater - Vestdanmark'!G446</f>
        <v>FE</v>
      </c>
      <c r="H446" s="252">
        <f>'Resultater - Vestdanmark'!H446+'Resultater - Østdanmark'!H446</f>
        <v>242389405.93295321</v>
      </c>
      <c r="I446" s="253">
        <f>'Resultater - Vestdanmark'!I446+'Resultater - Østdanmark'!I446</f>
        <v>339453833.56371647</v>
      </c>
      <c r="J446" s="254">
        <f>'Resultater - Vestdanmark'!J446+'Resultater - Østdanmark'!J446</f>
        <v>443874102.61543816</v>
      </c>
    </row>
    <row r="447" spans="1:10" x14ac:dyDescent="0.25">
      <c r="A447" s="94" t="str">
        <f>'Resultater - Vestdanmark'!A447</f>
        <v>Foderproduktion</v>
      </c>
      <c r="B447" s="94" t="str">
        <f>'Resultater - Vestdanmark'!B447</f>
        <v/>
      </c>
      <c r="C447" s="94" t="str">
        <f>'Resultater - Vestdanmark'!C447</f>
        <v/>
      </c>
      <c r="D447" s="94" t="str">
        <f>'Resultater - Vestdanmark'!D447</f>
        <v>Tang</v>
      </c>
      <c r="E447" s="94" t="str">
        <f>'Resultater - Vestdanmark'!E447</f>
        <v>Ton</v>
      </c>
      <c r="F447" s="94" t="str">
        <f>'Resultater - Vestdanmark'!F447</f>
        <v>Foder</v>
      </c>
      <c r="G447" s="94" t="str">
        <f>'Resultater - Vestdanmark'!G447</f>
        <v>FE</v>
      </c>
      <c r="H447" s="252">
        <f>'Resultater - Vestdanmark'!H447+'Resultater - Østdanmark'!H447</f>
        <v>0</v>
      </c>
      <c r="I447" s="253">
        <f>'Resultater - Vestdanmark'!I447+'Resultater - Østdanmark'!I447</f>
        <v>0</v>
      </c>
      <c r="J447" s="254">
        <f>'Resultater - Vestdanmark'!J447+'Resultater - Østdanmark'!J447</f>
        <v>0</v>
      </c>
    </row>
    <row r="448" spans="1:10" x14ac:dyDescent="0.25">
      <c r="A448" s="94" t="str">
        <f>'Resultater - Vestdanmark'!A448</f>
        <v>Foderproduktion</v>
      </c>
      <c r="B448" s="94" t="str">
        <f>'Resultater - Vestdanmark'!B448</f>
        <v/>
      </c>
      <c r="C448" s="94" t="str">
        <f>'Resultater - Vestdanmark'!C448</f>
        <v/>
      </c>
      <c r="D448" s="94" t="str">
        <f>'Resultater - Vestdanmark'!D448</f>
        <v>Muslinger</v>
      </c>
      <c r="E448" s="94" t="str">
        <f>'Resultater - Vestdanmark'!E448</f>
        <v>Ton</v>
      </c>
      <c r="F448" s="94" t="str">
        <f>'Resultater - Vestdanmark'!F448</f>
        <v>Foder</v>
      </c>
      <c r="G448" s="94" t="str">
        <f>'Resultater - Vestdanmark'!G448</f>
        <v>FE</v>
      </c>
      <c r="H448" s="252">
        <f>'Resultater - Vestdanmark'!H448+'Resultater - Østdanmark'!H448</f>
        <v>0</v>
      </c>
      <c r="I448" s="253">
        <f>'Resultater - Vestdanmark'!I448+'Resultater - Østdanmark'!I448</f>
        <v>0</v>
      </c>
      <c r="J448" s="254">
        <f>'Resultater - Vestdanmark'!J448+'Resultater - Østdanmark'!J448</f>
        <v>0</v>
      </c>
    </row>
    <row r="449" spans="1:10" x14ac:dyDescent="0.25">
      <c r="A449" s="94" t="str">
        <f>'Resultater - Vestdanmark'!A449</f>
        <v>Foderproduktion</v>
      </c>
      <c r="B449" s="94" t="str">
        <f>'Resultater - Vestdanmark'!B449</f>
        <v/>
      </c>
      <c r="C449" s="94" t="str">
        <f>'Resultater - Vestdanmark'!C449</f>
        <v/>
      </c>
      <c r="D449" s="94" t="str">
        <f>'Resultater - Vestdanmark'!D449</f>
        <v>Græs</v>
      </c>
      <c r="E449" s="94" t="str">
        <f>'Resultater - Vestdanmark'!E449</f>
        <v>Ton</v>
      </c>
      <c r="F449" s="94" t="str">
        <f>'Resultater - Vestdanmark'!F449</f>
        <v>Foder</v>
      </c>
      <c r="G449" s="94" t="str">
        <f>'Resultater - Vestdanmark'!G449</f>
        <v>FE</v>
      </c>
      <c r="H449" s="252">
        <f>'Resultater - Vestdanmark'!H449+'Resultater - Østdanmark'!H449</f>
        <v>2285098465.8907456</v>
      </c>
      <c r="I449" s="253">
        <f>'Resultater - Vestdanmark'!I449+'Resultater - Østdanmark'!I449</f>
        <v>1847372084.0188751</v>
      </c>
      <c r="J449" s="254">
        <f>'Resultater - Vestdanmark'!J449+'Resultater - Østdanmark'!J449</f>
        <v>1365858957.3268442</v>
      </c>
    </row>
    <row r="450" spans="1:10" x14ac:dyDescent="0.25">
      <c r="A450" s="94" t="str">
        <f>'Resultater - Vestdanmark'!A450</f>
        <v>Foderproduktion</v>
      </c>
      <c r="B450" s="94" t="str">
        <f>'Resultater - Vestdanmark'!B450</f>
        <v/>
      </c>
      <c r="C450" s="94" t="str">
        <f>'Resultater - Vestdanmark'!C450</f>
        <v/>
      </c>
      <c r="D450" s="94" t="str">
        <f>'Resultater - Vestdanmark'!D450</f>
        <v>Mælk til foder</v>
      </c>
      <c r="E450" s="94" t="str">
        <f>'Resultater - Vestdanmark'!E450</f>
        <v>Ton</v>
      </c>
      <c r="F450" s="94" t="str">
        <f>'Resultater - Vestdanmark'!F450</f>
        <v>Foder</v>
      </c>
      <c r="G450" s="94" t="str">
        <f>'Resultater - Vestdanmark'!G450</f>
        <v>FE</v>
      </c>
      <c r="H450" s="252">
        <f>'Resultater - Vestdanmark'!H450+'Resultater - Østdanmark'!H450</f>
        <v>163939722.68494347</v>
      </c>
      <c r="I450" s="253">
        <f>'Resultater - Vestdanmark'!I450+'Resultater - Østdanmark'!I450</f>
        <v>85507056.365026295</v>
      </c>
      <c r="J450" s="254">
        <f>'Resultater - Vestdanmark'!J450+'Resultater - Østdanmark'!J450</f>
        <v>0</v>
      </c>
    </row>
    <row r="451" spans="1:10" x14ac:dyDescent="0.25">
      <c r="A451" s="94" t="str">
        <f>'Resultater - Vestdanmark'!A451</f>
        <v>Foderproduktion</v>
      </c>
      <c r="B451" s="94" t="str">
        <f>'Resultater - Vestdanmark'!B451</f>
        <v/>
      </c>
      <c r="C451" s="94" t="str">
        <f>'Resultater - Vestdanmark'!C451</f>
        <v/>
      </c>
      <c r="D451" s="94" t="str">
        <f>'Resultater - Vestdanmark'!D451</f>
        <v>Fiberfraktion</v>
      </c>
      <c r="E451" s="94" t="str">
        <f>'Resultater - Vestdanmark'!E451</f>
        <v>Ton</v>
      </c>
      <c r="F451" s="94" t="str">
        <f>'Resultater - Vestdanmark'!F451</f>
        <v>Foder</v>
      </c>
      <c r="G451" s="94" t="str">
        <f>'Resultater - Vestdanmark'!G451</f>
        <v>FE</v>
      </c>
      <c r="H451" s="252">
        <f>'Resultater - Vestdanmark'!H451+'Resultater - Østdanmark'!H451</f>
        <v>0</v>
      </c>
      <c r="I451" s="253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54">
        <f>'Resultater - Vestdanmark'!J451+'Resultater - Østdanmark'!J451</f>
        <v>2627734687.4833937</v>
      </c>
    </row>
    <row r="452" spans="1:10" x14ac:dyDescent="0.25">
      <c r="A452" s="94" t="str">
        <f>'Resultater - Vestdanmark'!A452</f>
        <v>Foderproduktion</v>
      </c>
      <c r="B452" s="94" t="str">
        <f>'Resultater - Vestdanmark'!B452</f>
        <v/>
      </c>
      <c r="C452" s="94" t="str">
        <f>'Resultater - Vestdanmark'!C452</f>
        <v/>
      </c>
      <c r="D452" s="94" t="str">
        <f>'Resultater - Vestdanmark'!D452</f>
        <v>Græsprotein</v>
      </c>
      <c r="E452" s="94" t="str">
        <f>'Resultater - Vestdanmark'!E452</f>
        <v>Ton</v>
      </c>
      <c r="F452" s="94" t="str">
        <f>'Resultater - Vestdanmark'!F452</f>
        <v>Foder</v>
      </c>
      <c r="G452" s="94" t="str">
        <f>'Resultater - Vestdanmark'!G452</f>
        <v>FE</v>
      </c>
      <c r="H452" s="252">
        <f>'Resultater - Vestdanmark'!H452+'Resultater - Østdanmark'!H452</f>
        <v>0</v>
      </c>
      <c r="I452" s="253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54">
        <f>'Resultater - Vestdanmark'!J452+'Resultater - Østdanmark'!J452</f>
        <v>816907168.53873503</v>
      </c>
    </row>
    <row r="453" spans="1:10" x14ac:dyDescent="0.25">
      <c r="A453" s="94" t="str">
        <f>'Resultater - Vestdanmark'!A453</f>
        <v>Foderproduktion</v>
      </c>
      <c r="B453" s="94" t="str">
        <f>'Resultater - Vestdanmark'!B453</f>
        <v/>
      </c>
      <c r="C453" s="94" t="str">
        <f>'Resultater - Vestdanmark'!C453</f>
        <v/>
      </c>
      <c r="D453" s="94" t="str">
        <f>'Resultater - Vestdanmark'!D453</f>
        <v>Slagteriaffald til foder</v>
      </c>
      <c r="E453" s="94" t="str">
        <f>'Resultater - Vestdanmark'!E453</f>
        <v>Ton</v>
      </c>
      <c r="F453" s="94" t="str">
        <f>'Resultater - Vestdanmark'!F453</f>
        <v>Foder</v>
      </c>
      <c r="G453" s="94" t="str">
        <f>'Resultater - Vestdanmark'!G453</f>
        <v>FE</v>
      </c>
      <c r="H453" s="252">
        <f>'Resultater - Vestdanmark'!H453+'Resultater - Østdanmark'!H453</f>
        <v>121697585.55139975</v>
      </c>
      <c r="I453" s="253">
        <f>'Resultater - Vestdanmark'!I453+'Resultater - Østdanmark'!I453</f>
        <v>123122764.54297073</v>
      </c>
      <c r="J453" s="254">
        <f>'Resultater - Vestdanmark'!J453+'Resultater - Østdanmark'!J453</f>
        <v>124284748.73232268</v>
      </c>
    </row>
    <row r="454" spans="1:10" x14ac:dyDescent="0.25">
      <c r="A454" s="94" t="str">
        <f>'Resultater - Vestdanmark'!A454</f>
        <v>Foderproduktion</v>
      </c>
      <c r="B454" s="94" t="str">
        <f>'Resultater - Vestdanmark'!B454</f>
        <v/>
      </c>
      <c r="C454" s="94" t="str">
        <f>'Resultater - Vestdanmark'!C454</f>
        <v/>
      </c>
      <c r="D454" s="94" t="str">
        <f>'Resultater - Vestdanmark'!D454</f>
        <v>Import af foder</v>
      </c>
      <c r="E454" s="94" t="str">
        <f>'Resultater - Vestdanmark'!E454</f>
        <v>Ton</v>
      </c>
      <c r="F454" s="94" t="str">
        <f>'Resultater - Vestdanmark'!F454</f>
        <v>Foder</v>
      </c>
      <c r="G454" s="94" t="str">
        <f>'Resultater - Vestdanmark'!G454</f>
        <v>FE</v>
      </c>
      <c r="H454" s="252">
        <f>'Resultater - Vestdanmark'!H454+'Resultater - Østdanmark'!H454</f>
        <v>4029095270.4041944</v>
      </c>
      <c r="I454" s="253">
        <f>'Resultater - Vestdanmark'!I454+'Resultater - Østdanmark'!I454</f>
        <v>2101480170.5416896</v>
      </c>
      <c r="J454" s="254">
        <f>'Resultater - Vestdanmark'!J454+'Resultater - Østdanmark'!J454</f>
        <v>0</v>
      </c>
    </row>
    <row r="455" spans="1:10" x14ac:dyDescent="0.25">
      <c r="A455" s="94" t="str">
        <f>'Resultater - Vestdanmark'!A455</f>
        <v>Biogasanlæg</v>
      </c>
      <c r="B455" s="94" t="str">
        <f>'Resultater - Vestdanmark'!B455</f>
        <v/>
      </c>
      <c r="C455" s="94" t="str">
        <f>'Resultater - Vestdanmark'!C455</f>
        <v/>
      </c>
      <c r="D455" s="94" t="str">
        <f>'Resultater - Vestdanmark'!D455</f>
        <v>Halm</v>
      </c>
      <c r="E455" s="94" t="str">
        <f>'Resultater - Vestdanmark'!E455</f>
        <v>Ton</v>
      </c>
      <c r="F455" s="94" t="str">
        <f>'Resultater - Vestdanmark'!F455</f>
        <v>Biogas</v>
      </c>
      <c r="G455" s="94" t="str">
        <f>'Resultater - Vestdanmark'!G455</f>
        <v>Nm3 CH4</v>
      </c>
      <c r="H455" s="252">
        <f>'Resultater - Vestdanmark'!H455+'Resultater - Østdanmark'!H455</f>
        <v>12195000.399999995</v>
      </c>
      <c r="I455" s="253">
        <f>'Resultater - Vestdanmark'!I455+'Resultater - Østdanmark'!I455</f>
        <v>0</v>
      </c>
      <c r="J455" s="254">
        <f>'Resultater - Vestdanmark'!J455+'Resultater - Østdanmark'!J455</f>
        <v>0</v>
      </c>
    </row>
    <row r="456" spans="1:10" x14ac:dyDescent="0.25">
      <c r="A456" s="94" t="str">
        <f>'Resultater - Vestdanmark'!A456</f>
        <v>Biogasanlæg</v>
      </c>
      <c r="B456" s="94" t="str">
        <f>'Resultater - Vestdanmark'!B456</f>
        <v/>
      </c>
      <c r="C456" s="94" t="str">
        <f>'Resultater - Vestdanmark'!C456</f>
        <v/>
      </c>
      <c r="D456" s="94" t="str">
        <f>'Resultater - Vestdanmark'!D456</f>
        <v>Korn</v>
      </c>
      <c r="E456" s="94" t="str">
        <f>'Resultater - Vestdanmark'!E456</f>
        <v>Ton</v>
      </c>
      <c r="F456" s="94" t="str">
        <f>'Resultater - Vestdanmark'!F456</f>
        <v>Biogas</v>
      </c>
      <c r="G456" s="94" t="str">
        <f>'Resultater - Vestdanmark'!G456</f>
        <v>Nm3 CH4</v>
      </c>
      <c r="H456" s="252">
        <f>'Resultater - Vestdanmark'!H456+'Resultater - Østdanmark'!H456</f>
        <v>361184.4</v>
      </c>
      <c r="I456" s="253">
        <f>'Resultater - Vestdanmark'!I456+'Resultater - Østdanmark'!I456</f>
        <v>0</v>
      </c>
      <c r="J456" s="254">
        <f>'Resultater - Vestdanmark'!J456+'Resultater - Østdanmark'!J456</f>
        <v>0</v>
      </c>
    </row>
    <row r="457" spans="1:10" x14ac:dyDescent="0.25">
      <c r="A457" s="94" t="str">
        <f>'Resultater - Vestdanmark'!A457</f>
        <v>Biogasanlæg</v>
      </c>
      <c r="B457" s="94" t="str">
        <f>'Resultater - Vestdanmark'!B457</f>
        <v/>
      </c>
      <c r="C457" s="94" t="str">
        <f>'Resultater - Vestdanmark'!C457</f>
        <v/>
      </c>
      <c r="D457" s="94" t="str">
        <f>'Resultater - Vestdanmark'!D457</f>
        <v>Græs</v>
      </c>
      <c r="E457" s="94" t="str">
        <f>'Resultater - Vestdanmark'!E457</f>
        <v>Ton</v>
      </c>
      <c r="F457" s="94" t="str">
        <f>'Resultater - Vestdanmark'!F457</f>
        <v>Biogas</v>
      </c>
      <c r="G457" s="94" t="str">
        <f>'Resultater - Vestdanmark'!G457</f>
        <v>Nm3 CH4</v>
      </c>
      <c r="H457" s="252">
        <f>'Resultater - Vestdanmark'!H457+'Resultater - Østdanmark'!H457</f>
        <v>4390946.2499999981</v>
      </c>
      <c r="I457" s="253">
        <f>'Resultater - Vestdanmark'!I457+'Resultater - Østdanmark'!I457</f>
        <v>0</v>
      </c>
      <c r="J457" s="254">
        <f>'Resultater - Vestdanmark'!J457+'Resultater - Østdanmark'!J457</f>
        <v>0</v>
      </c>
    </row>
    <row r="458" spans="1:10" x14ac:dyDescent="0.25">
      <c r="A458" s="94" t="str">
        <f>'Resultater - Vestdanmark'!A458</f>
        <v>Biogasanlæg</v>
      </c>
      <c r="B458" s="94" t="str">
        <f>'Resultater - Vestdanmark'!B458</f>
        <v/>
      </c>
      <c r="C458" s="94" t="str">
        <f>'Resultater - Vestdanmark'!C458</f>
        <v/>
      </c>
      <c r="D458" s="94" t="str">
        <f>'Resultater - Vestdanmark'!D458</f>
        <v>Svinegylle</v>
      </c>
      <c r="E458" s="94" t="str">
        <f>'Resultater - Vestdanmark'!E458</f>
        <v>Ton</v>
      </c>
      <c r="F458" s="94" t="str">
        <f>'Resultater - Vestdanmark'!F458</f>
        <v>Biogas</v>
      </c>
      <c r="G458" s="94" t="str">
        <f>'Resultater - Vestdanmark'!G458</f>
        <v>Nm3 CH4</v>
      </c>
      <c r="H458" s="252">
        <f>'Resultater - Vestdanmark'!H458+'Resultater - Østdanmark'!H458</f>
        <v>34978432</v>
      </c>
      <c r="I458" s="253">
        <f>'Resultater - Vestdanmark'!I458+'Resultater - Østdanmark'!I458</f>
        <v>147635303.22580644</v>
      </c>
      <c r="J458" s="254">
        <f>'Resultater - Vestdanmark'!J458+'Resultater - Østdanmark'!J458</f>
        <v>0</v>
      </c>
    </row>
    <row r="459" spans="1:10" x14ac:dyDescent="0.25">
      <c r="A459" s="94" t="str">
        <f>'Resultater - Vestdanmark'!A459</f>
        <v>Biogasanlæg</v>
      </c>
      <c r="B459" s="94" t="str">
        <f>'Resultater - Vestdanmark'!B459</f>
        <v/>
      </c>
      <c r="C459" s="94" t="str">
        <f>'Resultater - Vestdanmark'!C459</f>
        <v/>
      </c>
      <c r="D459" s="94" t="str">
        <f>'Resultater - Vestdanmark'!D459</f>
        <v>Svinegylle</v>
      </c>
      <c r="E459" s="94" t="str">
        <f>'Resultater - Vestdanmark'!E459</f>
        <v>Ton</v>
      </c>
      <c r="F459" s="94" t="str">
        <f>'Resultater - Vestdanmark'!F459</f>
        <v>CO2 - atmosfære</v>
      </c>
      <c r="G459" s="94" t="str">
        <f>'Resultater - Vestdanmark'!G459</f>
        <v>t CO2-ækvivalenter</v>
      </c>
      <c r="H459" s="258">
        <f>'Resultater - Vestdanmark'!H459+'Resultater - Østdanmark'!H459</f>
        <v>-37099.291058504961</v>
      </c>
      <c r="I459" s="259">
        <f>'Resultater - Vestdanmark'!I459+'Resultater - Østdanmark'!I459</f>
        <v>-156586.92433339576</v>
      </c>
      <c r="J459" s="260">
        <f>'Resultater - Vestdanmark'!J459+'Resultater - Østdanmark'!J459</f>
        <v>0</v>
      </c>
    </row>
    <row r="460" spans="1:10" x14ac:dyDescent="0.25">
      <c r="A460" s="94" t="str">
        <f>'Resultater - Vestdanmark'!A460</f>
        <v>Biogasanlæg</v>
      </c>
      <c r="B460" s="94" t="str">
        <f>'Resultater - Vestdanmark'!B460</f>
        <v/>
      </c>
      <c r="C460" s="94" t="str">
        <f>'Resultater - Vestdanmark'!C460</f>
        <v/>
      </c>
      <c r="D460" s="94" t="str">
        <f>'Resultater - Vestdanmark'!D460</f>
        <v>Kvæggylle</v>
      </c>
      <c r="E460" s="94" t="str">
        <f>'Resultater - Vestdanmark'!E460</f>
        <v>Ton</v>
      </c>
      <c r="F460" s="94" t="str">
        <f>'Resultater - Vestdanmark'!F460</f>
        <v>Biogas</v>
      </c>
      <c r="G460" s="94" t="str">
        <f>'Resultater - Vestdanmark'!G460</f>
        <v>Nm3 CH4</v>
      </c>
      <c r="H460" s="252">
        <f>'Resultater - Vestdanmark'!H460+'Resultater - Østdanmark'!H460</f>
        <v>61384486.300000004</v>
      </c>
      <c r="I460" s="253">
        <f>'Resultater - Vestdanmark'!I460+'Resultater - Østdanmark'!I460</f>
        <v>68731307.232958764</v>
      </c>
      <c r="J460" s="254">
        <f>'Resultater - Vestdanmark'!J460+'Resultater - Østdanmark'!J460</f>
        <v>934374.75811241684</v>
      </c>
    </row>
    <row r="461" spans="1:10" x14ac:dyDescent="0.25">
      <c r="A461" s="94" t="str">
        <f>'Resultater - Vestdanmark'!A461</f>
        <v>Biogasanlæg</v>
      </c>
      <c r="B461" s="94" t="str">
        <f>'Resultater - Vestdanmark'!B461</f>
        <v/>
      </c>
      <c r="C461" s="94" t="str">
        <f>'Resultater - Vestdanmark'!C461</f>
        <v/>
      </c>
      <c r="D461" s="94" t="str">
        <f>'Resultater - Vestdanmark'!D461</f>
        <v>Kvæggylle</v>
      </c>
      <c r="E461" s="94" t="str">
        <f>'Resultater - Vestdanmark'!E461</f>
        <v>Ton</v>
      </c>
      <c r="F461" s="94" t="str">
        <f>'Resultater - Vestdanmark'!F461</f>
        <v>CO2 - atmosfære</v>
      </c>
      <c r="G461" s="94" t="str">
        <f>'Resultater - Vestdanmark'!G461</f>
        <v>t CO2-ækvivalenter</v>
      </c>
      <c r="H461" s="258">
        <f>'Resultater - Vestdanmark'!H461+'Resultater - Østdanmark'!H461</f>
        <v>-128107.91983655478</v>
      </c>
      <c r="I461" s="259">
        <f>'Resultater - Vestdanmark'!I461+'Resultater - Østdanmark'!I461</f>
        <v>-143440.55522806419</v>
      </c>
      <c r="J461" s="260">
        <f>'Resultater - Vestdanmark'!J461+'Resultater - Østdanmark'!J461</f>
        <v>-1950.0172409126403</v>
      </c>
    </row>
    <row r="462" spans="1:10" x14ac:dyDescent="0.25">
      <c r="A462" s="94" t="str">
        <f>'Resultater - Vestdanmark'!A462</f>
        <v>Biogasanlæg</v>
      </c>
      <c r="B462" s="94" t="str">
        <f>'Resultater - Vestdanmark'!B462</f>
        <v/>
      </c>
      <c r="C462" s="94" t="str">
        <f>'Resultater - Vestdanmark'!C462</f>
        <v/>
      </c>
      <c r="D462" s="94" t="str">
        <f>'Resultater - Vestdanmark'!D462</f>
        <v>Fjerkrægylle</v>
      </c>
      <c r="E462" s="94" t="str">
        <f>'Resultater - Vestdanmark'!E462</f>
        <v>Ton</v>
      </c>
      <c r="F462" s="94" t="str">
        <f>'Resultater - Vestdanmark'!F462</f>
        <v>Biogas</v>
      </c>
      <c r="G462" s="94" t="str">
        <f>'Resultater - Vestdanmark'!G462</f>
        <v>Nm3 CH4</v>
      </c>
      <c r="H462" s="252">
        <f>'Resultater - Vestdanmark'!H462+'Resultater - Østdanmark'!H462</f>
        <v>58183.649999999994</v>
      </c>
      <c r="I462" s="253">
        <f>'Resultater - Vestdanmark'!I462+'Resultater - Østdanmark'!I462</f>
        <v>87275.475000000006</v>
      </c>
      <c r="J462" s="254">
        <f>'Resultater - Vestdanmark'!J462+'Resultater - Østdanmark'!J462</f>
        <v>179501.76795210477</v>
      </c>
    </row>
    <row r="463" spans="1:10" x14ac:dyDescent="0.25">
      <c r="A463" s="94" t="str">
        <f>'Resultater - Vestdanmark'!A463</f>
        <v>Biogasanlæg</v>
      </c>
      <c r="B463" s="94" t="str">
        <f>'Resultater - Vestdanmark'!B463</f>
        <v/>
      </c>
      <c r="C463" s="94" t="str">
        <f>'Resultater - Vestdanmark'!C463</f>
        <v/>
      </c>
      <c r="D463" s="94" t="str">
        <f>'Resultater - Vestdanmark'!D463</f>
        <v>Dybstrøelse</v>
      </c>
      <c r="E463" s="94" t="str">
        <f>'Resultater - Vestdanmark'!E463</f>
        <v>Ton</v>
      </c>
      <c r="F463" s="94" t="str">
        <f>'Resultater - Vestdanmark'!F463</f>
        <v>Biogas</v>
      </c>
      <c r="G463" s="94" t="str">
        <f>'Resultater - Vestdanmark'!G463</f>
        <v>Nm3 CH4</v>
      </c>
      <c r="H463" s="252">
        <f>'Resultater - Vestdanmark'!H463+'Resultater - Østdanmark'!H463</f>
        <v>45425220.000000007</v>
      </c>
      <c r="I463" s="253">
        <f>'Resultater - Vestdanmark'!I463+'Resultater - Østdanmark'!I463</f>
        <v>120068230.00278237</v>
      </c>
      <c r="J463" s="254">
        <f>'Resultater - Vestdanmark'!J463+'Resultater - Østdanmark'!J463</f>
        <v>275540020.17117274</v>
      </c>
    </row>
    <row r="464" spans="1:10" x14ac:dyDescent="0.25">
      <c r="A464" s="94" t="str">
        <f>'Resultater - Vestdanmark'!A464</f>
        <v>Biogasanlæg</v>
      </c>
      <c r="B464" s="94" t="str">
        <f>'Resultater - Vestdanmark'!B464</f>
        <v/>
      </c>
      <c r="C464" s="94" t="str">
        <f>'Resultater - Vestdanmark'!C464</f>
        <v/>
      </c>
      <c r="D464" s="94" t="str">
        <f>'Resultater - Vestdanmark'!D464</f>
        <v>Majs</v>
      </c>
      <c r="E464" s="94" t="str">
        <f>'Resultater - Vestdanmark'!E464</f>
        <v>Ton</v>
      </c>
      <c r="F464" s="94" t="str">
        <f>'Resultater - Vestdanmark'!F464</f>
        <v>Biogas</v>
      </c>
      <c r="G464" s="94" t="str">
        <f>'Resultater - Vestdanmark'!G464</f>
        <v>Nm3 CH4</v>
      </c>
      <c r="H464" s="252">
        <f>'Resultater - Vestdanmark'!H464+'Resultater - Østdanmark'!H464</f>
        <v>33002600</v>
      </c>
      <c r="I464" s="253">
        <f>'Resultater - Vestdanmark'!I464+'Resultater - Østdanmark'!I464</f>
        <v>0</v>
      </c>
      <c r="J464" s="254">
        <f>'Resultater - Vestdanmark'!J464+'Resultater - Østdanmark'!J464</f>
        <v>0</v>
      </c>
    </row>
    <row r="465" spans="1:12" x14ac:dyDescent="0.25">
      <c r="A465" s="94" t="str">
        <f>'Resultater - Vestdanmark'!A465</f>
        <v>Biogasanlæg</v>
      </c>
      <c r="B465" s="94" t="str">
        <f>'Resultater - Vestdanmark'!B465</f>
        <v/>
      </c>
      <c r="C465" s="94" t="str">
        <f>'Resultater - Vestdanmark'!C465</f>
        <v/>
      </c>
      <c r="D465" s="94" t="str">
        <f>'Resultater - Vestdanmark'!D465</f>
        <v>Roer</v>
      </c>
      <c r="E465" s="94" t="str">
        <f>'Resultater - Vestdanmark'!E465</f>
        <v>Ton</v>
      </c>
      <c r="F465" s="94" t="str">
        <f>'Resultater - Vestdanmark'!F465</f>
        <v>Biogas</v>
      </c>
      <c r="G465" s="94" t="str">
        <f>'Resultater - Vestdanmark'!G465</f>
        <v>Nm3 CH4</v>
      </c>
      <c r="H465" s="252">
        <f>'Resultater - Vestdanmark'!H465+'Resultater - Østdanmark'!H465</f>
        <v>2165561.9999999995</v>
      </c>
      <c r="I465" s="253">
        <f>'Resultater - Vestdanmark'!I465+'Resultater - Østdanmark'!I465</f>
        <v>0</v>
      </c>
      <c r="J465" s="254">
        <f>'Resultater - Vestdanmark'!J465+'Resultater - Østdanmark'!J465</f>
        <v>0</v>
      </c>
    </row>
    <row r="466" spans="1:12" x14ac:dyDescent="0.25">
      <c r="A466" s="94" t="str">
        <f>'Resultater - Vestdanmark'!A466</f>
        <v>Biogasanlæg</v>
      </c>
      <c r="B466" s="94" t="str">
        <f>'Resultater - Vestdanmark'!B466</f>
        <v/>
      </c>
      <c r="C466" s="94" t="str">
        <f>'Resultater - Vestdanmark'!C466</f>
        <v/>
      </c>
      <c r="D466" s="94" t="str">
        <f>'Resultater - Vestdanmark'!D466</f>
        <v>Bioaffald</v>
      </c>
      <c r="E466" s="94" t="str">
        <f>'Resultater - Vestdanmark'!E466</f>
        <v>Ton</v>
      </c>
      <c r="F466" s="94" t="str">
        <f>'Resultater - Vestdanmark'!F466</f>
        <v>Biogas</v>
      </c>
      <c r="G466" s="94" t="str">
        <f>'Resultater - Vestdanmark'!G466</f>
        <v>Nm3 CH4</v>
      </c>
      <c r="H466" s="252">
        <f ca="1">'Resultater - Vestdanmark'!H466+'Resultater - Østdanmark'!H466</f>
        <v>69194816.600000009</v>
      </c>
      <c r="I466" s="253">
        <f ca="1">'Resultater - Vestdanmark'!I466+'Resultater - Østdanmark'!I466</f>
        <v>0</v>
      </c>
      <c r="J466" s="254">
        <f ca="1">'Resultater - Vestdanmark'!J466+'Resultater - Østdanmark'!J466</f>
        <v>0</v>
      </c>
    </row>
    <row r="467" spans="1:12" x14ac:dyDescent="0.25">
      <c r="A467" s="94" t="str">
        <f>'Resultater - Vestdanmark'!A467</f>
        <v>Biogasanlæg</v>
      </c>
      <c r="B467" s="94" t="str">
        <f>'Resultater - Vestdanmark'!B467</f>
        <v/>
      </c>
      <c r="C467" s="94" t="str">
        <f>'Resultater - Vestdanmark'!C467</f>
        <v/>
      </c>
      <c r="D467" s="94" t="str">
        <f>'Resultater - Vestdanmark'!D467</f>
        <v>Industriaffald</v>
      </c>
      <c r="E467" s="94" t="str">
        <f>'Resultater - Vestdanmark'!E467</f>
        <v>Ton</v>
      </c>
      <c r="F467" s="94" t="str">
        <f>'Resultater - Vestdanmark'!F467</f>
        <v>Biogas</v>
      </c>
      <c r="G467" s="94" t="str">
        <f>'Resultater - Vestdanmark'!G467</f>
        <v>Nm3 CH4</v>
      </c>
      <c r="H467" s="252">
        <f>'Resultater - Vestdanmark'!H467+'Resultater - Østdanmark'!H467</f>
        <v>102149122.13</v>
      </c>
      <c r="I467" s="253">
        <f>'Resultater - Vestdanmark'!I467+'Resultater - Østdanmark'!I467</f>
        <v>0</v>
      </c>
      <c r="J467" s="254">
        <f>'Resultater - Vestdanmark'!J467+'Resultater - Østdanmark'!J467</f>
        <v>0</v>
      </c>
    </row>
    <row r="468" spans="1:12" x14ac:dyDescent="0.25">
      <c r="A468" s="94" t="str">
        <f>'Resultater - Vestdanmark'!A468</f>
        <v>Biogasanlæg</v>
      </c>
      <c r="B468" s="94" t="str">
        <f>'Resultater - Vestdanmark'!B468</f>
        <v/>
      </c>
      <c r="C468" s="94" t="str">
        <f>'Resultater - Vestdanmark'!C468</f>
        <v/>
      </c>
      <c r="D468" s="94" t="str">
        <f>'Resultater - Vestdanmark'!D468</f>
        <v>Muslinger</v>
      </c>
      <c r="E468" s="94" t="str">
        <f>'Resultater - Vestdanmark'!E468</f>
        <v>Ton</v>
      </c>
      <c r="F468" s="94" t="str">
        <f>'Resultater - Vestdanmark'!F468</f>
        <v>Biogas</v>
      </c>
      <c r="G468" s="94" t="str">
        <f>'Resultater - Vestdanmark'!G468</f>
        <v>Nm3 CH4</v>
      </c>
      <c r="H468" s="252">
        <f>'Resultater - Vestdanmark'!H468+'Resultater - Østdanmark'!H468</f>
        <v>0</v>
      </c>
      <c r="I468" s="253">
        <f>'Resultater - Vestdanmark'!I468+'Resultater - Østdanmark'!I468</f>
        <v>0</v>
      </c>
      <c r="J468" s="254">
        <f>'Resultater - Vestdanmark'!J468+'Resultater - Østdanmark'!J468</f>
        <v>0</v>
      </c>
    </row>
    <row r="469" spans="1:12" x14ac:dyDescent="0.25">
      <c r="A469" s="94" t="str">
        <f>'Resultater - Vestdanmark'!A469</f>
        <v>Biogasanlæg</v>
      </c>
      <c r="B469" s="94" t="str">
        <f>'Resultater - Vestdanmark'!B469</f>
        <v/>
      </c>
      <c r="C469" s="94" t="str">
        <f>'Resultater - Vestdanmark'!C469</f>
        <v/>
      </c>
      <c r="D469" s="94" t="str">
        <f>'Resultater - Vestdanmark'!D469</f>
        <v>Tang</v>
      </c>
      <c r="E469" s="94" t="str">
        <f>'Resultater - Vestdanmark'!E469</f>
        <v>Ton</v>
      </c>
      <c r="F469" s="94" t="str">
        <f>'Resultater - Vestdanmark'!F469</f>
        <v>Biogas</v>
      </c>
      <c r="G469" s="94" t="str">
        <f>'Resultater - Vestdanmark'!G469</f>
        <v>Nm3 CH4</v>
      </c>
      <c r="H469" s="252">
        <f>'Resultater - Vestdanmark'!H469+'Resultater - Østdanmark'!H469</f>
        <v>0</v>
      </c>
      <c r="I469" s="253">
        <f>'Resultater - Vestdanmark'!I469+'Resultater - Østdanmark'!I469</f>
        <v>0</v>
      </c>
      <c r="J469" s="254">
        <f>'Resultater - Vestdanmark'!J469+'Resultater - Østdanmark'!J469</f>
        <v>0</v>
      </c>
    </row>
    <row r="470" spans="1:12" x14ac:dyDescent="0.25">
      <c r="A470" s="94" t="str">
        <f>'Resultater - Vestdanmark'!A470</f>
        <v>Biogasanlæg</v>
      </c>
      <c r="B470" s="94" t="str">
        <f>'Resultater - Vestdanmark'!B470</f>
        <v/>
      </c>
      <c r="C470" s="94" t="str">
        <f>'Resultater - Vestdanmark'!C470</f>
        <v/>
      </c>
      <c r="D470" s="94" t="str">
        <f>'Resultater - Vestdanmark'!D470</f>
        <v>Have/parkaffald</v>
      </c>
      <c r="E470" s="94" t="str">
        <f>'Resultater - Vestdanmark'!E470</f>
        <v>Ton</v>
      </c>
      <c r="F470" s="94" t="str">
        <f>'Resultater - Vestdanmark'!F470</f>
        <v>Biogas</v>
      </c>
      <c r="G470" s="94" t="str">
        <f>'Resultater - Vestdanmark'!G470</f>
        <v>Nm3 CH4</v>
      </c>
      <c r="H470" s="252">
        <f>'Resultater - Vestdanmark'!H470+'Resultater - Østdanmark'!H470</f>
        <v>3689.3999999999996</v>
      </c>
      <c r="I470" s="253">
        <f>'Resultater - Vestdanmark'!I470+'Resultater - Østdanmark'!I470</f>
        <v>0</v>
      </c>
      <c r="J470" s="254">
        <f>'Resultater - Vestdanmark'!J470+'Resultater - Østdanmark'!J470</f>
        <v>0</v>
      </c>
    </row>
    <row r="471" spans="1:12" x14ac:dyDescent="0.25">
      <c r="A471" s="94" t="str">
        <f>'Resultater - Vestdanmark'!A471</f>
        <v>Biogasanlæg</v>
      </c>
      <c r="B471" s="94" t="str">
        <f>'Resultater - Vestdanmark'!B471</f>
        <v/>
      </c>
      <c r="C471" s="94" t="str">
        <f>'Resultater - Vestdanmark'!C471</f>
        <v/>
      </c>
      <c r="D471" s="94" t="str">
        <f>'Resultater - Vestdanmark'!D471</f>
        <v>Brun saft</v>
      </c>
      <c r="E471" s="94" t="str">
        <f>'Resultater - Vestdanmark'!E471</f>
        <v>PJ</v>
      </c>
      <c r="F471" s="94" t="str">
        <f>'Resultater - Vestdanmark'!F471</f>
        <v>Biogas</v>
      </c>
      <c r="G471" s="94" t="str">
        <f>'Resultater - Vestdanmark'!G471</f>
        <v>Nm3 CH4</v>
      </c>
      <c r="H471" s="252">
        <f>'Resultater - Vestdanmark'!H471+'Resultater - Østdanmark'!H471</f>
        <v>0</v>
      </c>
      <c r="I471" s="253">
        <f>'Resultater - Vestdanmark'!I471+'Resultater - Østdanmark'!I471</f>
        <v>68684703.869635984</v>
      </c>
      <c r="J471" s="254">
        <f>'Resultater - Vestdanmark'!J471+'Resultater - Østdanmark'!J471</f>
        <v>171736166.11325681</v>
      </c>
    </row>
    <row r="472" spans="1:12" x14ac:dyDescent="0.25">
      <c r="A472" s="94" t="str">
        <f>'Resultater - Vestdanmark'!A472</f>
        <v>Biogasanlæg</v>
      </c>
      <c r="B472" s="94" t="str">
        <f>'Resultater - Vestdanmark'!B472</f>
        <v/>
      </c>
      <c r="C472" s="94" t="str">
        <f>'Resultater - Vestdanmark'!C472</f>
        <v/>
      </c>
      <c r="D472" s="94" t="str">
        <f>'Resultater - Vestdanmark'!D472</f>
        <v>Glycerin</v>
      </c>
      <c r="E472" s="94" t="str">
        <f>'Resultater - Vestdanmark'!E472</f>
        <v>Ton</v>
      </c>
      <c r="F472" s="94" t="str">
        <f>'Resultater - Vestdanmark'!F472</f>
        <v>Biogas</v>
      </c>
      <c r="G472" s="94" t="str">
        <f>'Resultater - Vestdanmark'!G472</f>
        <v>Nm3 CH4</v>
      </c>
      <c r="H472" s="252">
        <f>'Resultater - Vestdanmark'!H472+'Resultater - Østdanmark'!H472</f>
        <v>60431253.120000005</v>
      </c>
      <c r="I472" s="253">
        <f>'Resultater - Vestdanmark'!I472+'Resultater - Østdanmark'!I472</f>
        <v>0</v>
      </c>
      <c r="J472" s="254">
        <f>'Resultater - Vestdanmark'!J472+'Resultater - Østdanmark'!J472</f>
        <v>0</v>
      </c>
    </row>
    <row r="473" spans="1:12" x14ac:dyDescent="0.25">
      <c r="A473" s="94" t="str">
        <f>'Resultater - Vestdanmark'!A473</f>
        <v>Biogasanlæg</v>
      </c>
      <c r="B473" s="94" t="str">
        <f>'Resultater - Vestdanmark'!B473</f>
        <v/>
      </c>
      <c r="C473" s="94" t="str">
        <f>'Resultater - Vestdanmark'!C473</f>
        <v/>
      </c>
      <c r="D473" s="94" t="str">
        <f>'Resultater - Vestdanmark'!D473</f>
        <v>Spildevandsslam</v>
      </c>
      <c r="E473" s="94" t="str">
        <f>'Resultater - Vestdanmark'!E473</f>
        <v>Ton</v>
      </c>
      <c r="F473" s="94" t="str">
        <f>'Resultater - Vestdanmark'!F473</f>
        <v>Biogas</v>
      </c>
      <c r="G473" s="94" t="str">
        <f>'Resultater - Vestdanmark'!G473</f>
        <v>Nm3 CH4</v>
      </c>
      <c r="H473" s="252">
        <f>'Resultater - Vestdanmark'!H473+'Resultater - Østdanmark'!H473</f>
        <v>37096792.599999994</v>
      </c>
      <c r="I473" s="253">
        <f>'Resultater - Vestdanmark'!I473+'Resultater - Østdanmark'!I473</f>
        <v>38189284.152657539</v>
      </c>
      <c r="J473" s="254">
        <f>'Resultater - Vestdanmark'!J473+'Resultater - Østdanmark'!J473</f>
        <v>39505704.530032769</v>
      </c>
      <c r="L473" s="94"/>
    </row>
    <row r="474" spans="1:12" x14ac:dyDescent="0.25">
      <c r="A474" s="94" t="str">
        <f>'Resultater - Vestdanmark'!A474</f>
        <v>Biogasanlæg</v>
      </c>
      <c r="B474" s="94" t="str">
        <f>'Resultater - Vestdanmark'!B474</f>
        <v/>
      </c>
      <c r="C474" s="94" t="str">
        <f>'Resultater - Vestdanmark'!C474</f>
        <v/>
      </c>
      <c r="D474" s="94" t="str">
        <f>'Resultater - Vestdanmark'!D474</f>
        <v>Total til biogas</v>
      </c>
      <c r="E474" s="94" t="str">
        <f>'Resultater - Vestdanmark'!E474</f>
        <v>Ton</v>
      </c>
      <c r="F474" s="94" t="str">
        <f>'Resultater - Vestdanmark'!F474</f>
        <v>Biogasgylle</v>
      </c>
      <c r="G474" s="94" t="str">
        <f>'Resultater - Vestdanmark'!G474</f>
        <v>Ton</v>
      </c>
      <c r="H474" s="258">
        <f ca="1">'Resultater - Vestdanmark'!H474+'Resultater - Østdanmark'!H474</f>
        <v>12034020.807749998</v>
      </c>
      <c r="I474" s="259">
        <f ca="1">'Resultater - Vestdanmark'!I474+'Resultater - Østdanmark'!I474</f>
        <v>24153409.533455886</v>
      </c>
      <c r="J474" s="260">
        <f ca="1">'Resultater - Vestdanmark'!J474+'Resultater - Østdanmark'!J474</f>
        <v>16886064.477759119</v>
      </c>
    </row>
    <row r="475" spans="1:12" x14ac:dyDescent="0.25">
      <c r="A475" s="94" t="str">
        <f>'Resultater - Vestdanmark'!A475</f>
        <v>Gødning</v>
      </c>
      <c r="B475" s="94" t="str">
        <f>'Resultater - Vestdanmark'!B475</f>
        <v/>
      </c>
      <c r="C475" s="94" t="str">
        <f>'Resultater - Vestdanmark'!C475</f>
        <v/>
      </c>
      <c r="D475" s="94" t="str">
        <f>'Resultater - Vestdanmark'!D475</f>
        <v>Svinegylle</v>
      </c>
      <c r="E475" s="94" t="str">
        <f>'Resultater - Vestdanmark'!E475</f>
        <v>Ton</v>
      </c>
      <c r="F475" s="94" t="str">
        <f>'Resultater - Vestdanmark'!F475</f>
        <v>Gødning</v>
      </c>
      <c r="G475" s="94" t="str">
        <f>'Resultater - Vestdanmark'!G475</f>
        <v>kg N</v>
      </c>
      <c r="H475" s="258">
        <f>'Resultater - Vestdanmark'!H475+'Resultater - Østdanmark'!H475</f>
        <v>78133292.533333316</v>
      </c>
      <c r="I475" s="259">
        <f>'Resultater - Vestdanmark'!I475+'Resultater - Østdanmark'!I475</f>
        <v>21735197.419354841</v>
      </c>
      <c r="J475" s="260">
        <f>'Resultater - Vestdanmark'!J475+'Resultater - Østdanmark'!J475</f>
        <v>0</v>
      </c>
    </row>
    <row r="476" spans="1:12" x14ac:dyDescent="0.25">
      <c r="A476" s="94" t="str">
        <f>'Resultater - Vestdanmark'!A476</f>
        <v>Gødning</v>
      </c>
      <c r="B476" s="94" t="str">
        <f>'Resultater - Vestdanmark'!B476</f>
        <v/>
      </c>
      <c r="C476" s="94" t="str">
        <f>'Resultater - Vestdanmark'!C476</f>
        <v/>
      </c>
      <c r="D476" s="94" t="str">
        <f>'Resultater - Vestdanmark'!D476</f>
        <v>Kvæggylle</v>
      </c>
      <c r="E476" s="94" t="str">
        <f>'Resultater - Vestdanmark'!E476</f>
        <v>Ton</v>
      </c>
      <c r="F476" s="94" t="str">
        <f>'Resultater - Vestdanmark'!F476</f>
        <v>Gødning</v>
      </c>
      <c r="G476" s="94" t="str">
        <f>'Resultater - Vestdanmark'!G476</f>
        <v>kg N</v>
      </c>
      <c r="H476" s="258">
        <f>'Resultater - Vestdanmark'!H476+'Resultater - Østdanmark'!H476</f>
        <v>77571922.666666672</v>
      </c>
      <c r="I476" s="259">
        <f>'Resultater - Vestdanmark'!I476+'Resultater - Østdanmark'!I476</f>
        <v>12998828.791103315</v>
      </c>
      <c r="J476" s="260">
        <f>'Resultater - Vestdanmark'!J476+'Resultater - Østdanmark'!J476</f>
        <v>58904.634081161028</v>
      </c>
    </row>
    <row r="477" spans="1:12" x14ac:dyDescent="0.25">
      <c r="A477" s="94" t="str">
        <f>'Resultater - Vestdanmark'!A477</f>
        <v>Gødning</v>
      </c>
      <c r="B477" s="94" t="str">
        <f>'Resultater - Vestdanmark'!B477</f>
        <v/>
      </c>
      <c r="C477" s="94" t="str">
        <f>'Resultater - Vestdanmark'!C477</f>
        <v/>
      </c>
      <c r="D477" s="94" t="str">
        <f>'Resultater - Vestdanmark'!D477</f>
        <v>Fjerkrægylle</v>
      </c>
      <c r="E477" s="94" t="str">
        <f>'Resultater - Vestdanmark'!E477</f>
        <v>Ton</v>
      </c>
      <c r="F477" s="94" t="str">
        <f>'Resultater - Vestdanmark'!F477</f>
        <v>Gødning</v>
      </c>
      <c r="G477" s="94" t="str">
        <f>'Resultater - Vestdanmark'!G477</f>
        <v>kg N</v>
      </c>
      <c r="H477" s="258">
        <f>'Resultater - Vestdanmark'!H477+'Resultater - Østdanmark'!H477</f>
        <v>31090.5</v>
      </c>
      <c r="I477" s="259">
        <f>'Resultater - Vestdanmark'!I477+'Resultater - Østdanmark'!I477</f>
        <v>15545.250000000002</v>
      </c>
      <c r="J477" s="260">
        <f>'Resultater - Vestdanmark'!J477+'Resultater - Østdanmark'!J477</f>
        <v>10657.441693509187</v>
      </c>
    </row>
    <row r="478" spans="1:12" x14ac:dyDescent="0.25">
      <c r="A478" s="94" t="str">
        <f>'Resultater - Vestdanmark'!A478</f>
        <v>Gødning</v>
      </c>
      <c r="B478" s="94" t="str">
        <f>'Resultater - Vestdanmark'!B478</f>
        <v/>
      </c>
      <c r="C478" s="94" t="str">
        <f>'Resultater - Vestdanmark'!C478</f>
        <v/>
      </c>
      <c r="D478" s="94" t="str">
        <f>'Resultater - Vestdanmark'!D478</f>
        <v>Dybstrøelse</v>
      </c>
      <c r="E478" s="94" t="str">
        <f>'Resultater - Vestdanmark'!E478</f>
        <v>Ton</v>
      </c>
      <c r="F478" s="94" t="str">
        <f>'Resultater - Vestdanmark'!F478</f>
        <v>Gødning</v>
      </c>
      <c r="G478" s="94" t="str">
        <f>'Resultater - Vestdanmark'!G478</f>
        <v>kg N</v>
      </c>
      <c r="H478" s="258">
        <f>'Resultater - Vestdanmark'!H478+'Resultater - Østdanmark'!H478</f>
        <v>11532709.900000002</v>
      </c>
      <c r="I478" s="259">
        <f>'Resultater - Vestdanmark'!I478+'Resultater - Østdanmark'!I478</f>
        <v>3535342.327859703</v>
      </c>
      <c r="J478" s="260">
        <f>'Resultater - Vestdanmark'!J478+'Resultater - Østdanmark'!J478</f>
        <v>2704374.2720503979</v>
      </c>
    </row>
    <row r="479" spans="1:12" x14ac:dyDescent="0.25">
      <c r="A479" s="94" t="str">
        <f>'Resultater - Vestdanmark'!A479</f>
        <v>Gødning</v>
      </c>
      <c r="B479" s="94" t="str">
        <f>'Resultater - Vestdanmark'!B479</f>
        <v/>
      </c>
      <c r="C479" s="94" t="str">
        <f>'Resultater - Vestdanmark'!C479</f>
        <v/>
      </c>
      <c r="D479" s="94" t="str">
        <f>'Resultater - Vestdanmark'!D479</f>
        <v>Biogasgylle</v>
      </c>
      <c r="E479" s="94" t="str">
        <f>'Resultater - Vestdanmark'!E479</f>
        <v>Ton</v>
      </c>
      <c r="F479" s="94" t="str">
        <f>'Resultater - Vestdanmark'!F479</f>
        <v>Gødning</v>
      </c>
      <c r="G479" s="94" t="str">
        <f>'Resultater - Vestdanmark'!G479</f>
        <v>kg N</v>
      </c>
      <c r="H479" s="258">
        <f ca="1">'Resultater - Vestdanmark'!H479+'Resultater - Østdanmark'!H479</f>
        <v>61624442.148559391</v>
      </c>
      <c r="I479" s="259">
        <f ca="1">'Resultater - Vestdanmark'!I479+'Resultater - Østdanmark'!I479</f>
        <v>145768221.14451587</v>
      </c>
      <c r="J479" s="260">
        <f ca="1">'Resultater - Vestdanmark'!J479+'Resultater - Østdanmark'!J479</f>
        <v>3234880.135875266</v>
      </c>
    </row>
    <row r="480" spans="1:12" x14ac:dyDescent="0.25">
      <c r="A480" s="94" t="str">
        <f>'Resultater - Vestdanmark'!A480</f>
        <v>Gødning</v>
      </c>
      <c r="B480" s="94" t="str">
        <f>'Resultater - Vestdanmark'!B480</f>
        <v/>
      </c>
      <c r="C480" s="94" t="str">
        <f>'Resultater - Vestdanmark'!C480</f>
        <v/>
      </c>
      <c r="D480" s="94" t="str">
        <f>'Resultater - Vestdanmark'!D480</f>
        <v>Kunstgødning</v>
      </c>
      <c r="E480" s="94" t="str">
        <f>'Resultater - Vestdanmark'!E480</f>
        <v>Ton</v>
      </c>
      <c r="F480" s="94" t="str">
        <f>'Resultater - Vestdanmark'!F480</f>
        <v>Gødning</v>
      </c>
      <c r="G480" s="94" t="str">
        <f>'Resultater - Vestdanmark'!G480</f>
        <v>kg N</v>
      </c>
      <c r="H480" s="258">
        <f ca="1">'Resultater - Vestdanmark'!H480+'Resultater - Østdanmark'!H480</f>
        <v>151170766.56868804</v>
      </c>
      <c r="I480" s="259">
        <f ca="1">'Resultater - Vestdanmark'!I480+'Resultater - Østdanmark'!I480</f>
        <v>169803703.50983122</v>
      </c>
      <c r="J480" s="260">
        <f ca="1">'Resultater - Vestdanmark'!J480+'Resultater - Østdanmark'!J480</f>
        <v>223180433.7794686</v>
      </c>
    </row>
    <row r="481" spans="1:13" x14ac:dyDescent="0.25">
      <c r="A481" s="94" t="str">
        <f>'Resultater - Vestdanmark'!A481</f>
        <v>Til energi</v>
      </c>
      <c r="B481" s="94" t="str">
        <f>'Resultater - Vestdanmark'!B481</f>
        <v/>
      </c>
      <c r="C481" s="94" t="str">
        <f>'Resultater - Vestdanmark'!C481</f>
        <v/>
      </c>
      <c r="D481" s="94" t="str">
        <f>'Resultater - Vestdanmark'!D481</f>
        <v>Halm</v>
      </c>
      <c r="E481" s="94" t="str">
        <f>'Resultater - Vestdanmark'!E481</f>
        <v>Ton</v>
      </c>
      <c r="F481" s="94" t="str">
        <f>'Resultater - Vestdanmark'!F481</f>
        <v>Energi</v>
      </c>
      <c r="G481" s="94" t="str">
        <f>'Resultater - Vestdanmark'!G481</f>
        <v>PJ</v>
      </c>
      <c r="H481" s="262">
        <f>'Resultater - Vestdanmark'!H481+'Resultater - Østdanmark'!H481</f>
        <v>19.591464268115235</v>
      </c>
      <c r="I481" s="263">
        <f>'Resultater - Vestdanmark'!I481+'Resultater - Østdanmark'!I481</f>
        <v>16.06400859827875</v>
      </c>
      <c r="J481" s="264">
        <f>'Resultater - Vestdanmark'!J481+'Resultater - Østdanmark'!J481</f>
        <v>1.3259802632011832</v>
      </c>
      <c r="L481" s="152" t="s">
        <v>214</v>
      </c>
      <c r="M481" s="150">
        <v>17963.28</v>
      </c>
    </row>
    <row r="482" spans="1:13" x14ac:dyDescent="0.25">
      <c r="A482" s="94" t="str">
        <f>'Resultater - Vestdanmark'!A482</f>
        <v>Til energi</v>
      </c>
      <c r="B482" s="94" t="str">
        <f>'Resultater - Vestdanmark'!B482</f>
        <v/>
      </c>
      <c r="C482" s="94" t="str">
        <f>'Resultater - Vestdanmark'!C482</f>
        <v/>
      </c>
      <c r="D482" s="94" t="str">
        <f>'Resultater - Vestdanmark'!D482</f>
        <v>Rapsolie</v>
      </c>
      <c r="E482" s="94" t="str">
        <f>'Resultater - Vestdanmark'!E482</f>
        <v>Ton</v>
      </c>
      <c r="F482" s="94" t="str">
        <f>'Resultater - Vestdanmark'!F482</f>
        <v>Energi</v>
      </c>
      <c r="G482" s="94" t="str">
        <f>'Resultater - Vestdanmark'!G482</f>
        <v>PJ</v>
      </c>
      <c r="H482" s="262">
        <f>'Resultater - Vestdanmark'!H482+'Resultater - Østdanmark'!H482</f>
        <v>3.9505661308495017</v>
      </c>
      <c r="I482" s="263">
        <f>'Resultater - Vestdanmark'!I482+'Resultater - Østdanmark'!I482</f>
        <v>10.776520362839355</v>
      </c>
      <c r="J482" s="264">
        <f>'Resultater - Vestdanmark'!J482+'Resultater - Østdanmark'!J482</f>
        <v>9.6910796059277224</v>
      </c>
      <c r="L482" s="152" t="s">
        <v>218</v>
      </c>
      <c r="M482" s="150">
        <v>14758.1</v>
      </c>
    </row>
    <row r="483" spans="1:13" x14ac:dyDescent="0.25">
      <c r="A483" s="94" t="str">
        <f>'Resultater - Vestdanmark'!A483</f>
        <v>Til energi</v>
      </c>
      <c r="B483" s="94" t="str">
        <f>'Resultater - Vestdanmark'!B483</f>
        <v/>
      </c>
      <c r="C483" s="94" t="str">
        <f>'Resultater - Vestdanmark'!C483</f>
        <v/>
      </c>
      <c r="D483" s="94" t="str">
        <f>'Resultater - Vestdanmark'!D483</f>
        <v>Pil &amp; poppel</v>
      </c>
      <c r="E483" s="94" t="str">
        <f>'Resultater - Vestdanmark'!E483</f>
        <v>Ton</v>
      </c>
      <c r="F483" s="94" t="str">
        <f>'Resultater - Vestdanmark'!F483</f>
        <v>Energi</v>
      </c>
      <c r="G483" s="94" t="str">
        <f>'Resultater - Vestdanmark'!G483</f>
        <v>PJ</v>
      </c>
      <c r="H483" s="261">
        <f>'Resultater - Vestdanmark'!H483+'Resultater - Østdanmark'!H483</f>
        <v>3.8615553516557766</v>
      </c>
      <c r="I483" s="263">
        <f>'Resultater - Vestdanmark'!I483+'Resultater - Østdanmark'!I483</f>
        <v>21.521824813785038</v>
      </c>
      <c r="J483" s="264">
        <f>'Resultater - Vestdanmark'!J483+'Resultater - Østdanmark'!J483</f>
        <v>32.266787694471262</v>
      </c>
      <c r="L483" s="152" t="s">
        <v>215</v>
      </c>
      <c r="M483" s="150">
        <v>1988.19</v>
      </c>
    </row>
    <row r="484" spans="1:13" x14ac:dyDescent="0.25">
      <c r="A484" s="94" t="str">
        <f>'Resultater - Vestdanmark'!A484</f>
        <v>Til energi</v>
      </c>
      <c r="B484" s="94" t="str">
        <f>'Resultater - Vestdanmark'!B484</f>
        <v/>
      </c>
      <c r="C484" s="94" t="str">
        <f>'Resultater - Vestdanmark'!C484</f>
        <v/>
      </c>
      <c r="D484" s="94" t="str">
        <f>'Resultater - Vestdanmark'!D484</f>
        <v>Træ til energi</v>
      </c>
      <c r="E484" s="94" t="str">
        <f>'Resultater - Vestdanmark'!E484</f>
        <v>m3</v>
      </c>
      <c r="F484" s="94" t="str">
        <f>'Resultater - Vestdanmark'!F484</f>
        <v>Energi</v>
      </c>
      <c r="G484" s="94" t="str">
        <f>'Resultater - Vestdanmark'!G484</f>
        <v>PJ</v>
      </c>
      <c r="H484" s="261">
        <f ca="1">'Resultater - Vestdanmark'!H484+'Resultater - Østdanmark'!H484</f>
        <v>43.629875452920871</v>
      </c>
      <c r="I484" s="263">
        <f ca="1">'Resultater - Vestdanmark'!I484+'Resultater - Østdanmark'!I484</f>
        <v>41.433609356083267</v>
      </c>
      <c r="J484" s="264">
        <f ca="1">'Resultater - Vestdanmark'!J484+'Resultater - Østdanmark'!J484</f>
        <v>40.017687395755054</v>
      </c>
      <c r="L484" s="152" t="s">
        <v>216</v>
      </c>
      <c r="M484" s="150">
        <v>8944.93</v>
      </c>
    </row>
    <row r="485" spans="1:13" x14ac:dyDescent="0.25">
      <c r="A485" s="94" t="str">
        <f>'Resultater - Vestdanmark'!A485</f>
        <v>Til energi</v>
      </c>
      <c r="B485" s="94" t="str">
        <f>'Resultater - Vestdanmark'!B485</f>
        <v/>
      </c>
      <c r="C485" s="94" t="str">
        <f>'Resultater - Vestdanmark'!C485</f>
        <v/>
      </c>
      <c r="D485" s="94" t="str">
        <f>'Resultater - Vestdanmark'!D485</f>
        <v>Have/parkaffald</v>
      </c>
      <c r="E485" s="94" t="str">
        <f>'Resultater - Vestdanmark'!E485</f>
        <v>Ton</v>
      </c>
      <c r="F485" s="94" t="str">
        <f>'Resultater - Vestdanmark'!F485</f>
        <v>Energi</v>
      </c>
      <c r="G485" s="94" t="str">
        <f>'Resultater - Vestdanmark'!G485</f>
        <v>PJ</v>
      </c>
      <c r="H485" s="261">
        <f>'Resultater - Vestdanmark'!H485+'Resultater - Østdanmark'!H485</f>
        <v>17.543930524502301</v>
      </c>
      <c r="I485" s="263">
        <f>'Resultater - Vestdanmark'!I485+'Resultater - Østdanmark'!I485</f>
        <v>17.545322997702911</v>
      </c>
      <c r="J485" s="264">
        <f>'Resultater - Vestdanmark'!J485+'Resultater - Østdanmark'!J485</f>
        <v>17.545322997702911</v>
      </c>
      <c r="L485" s="152" t="s">
        <v>217</v>
      </c>
      <c r="M485" s="150">
        <v>18651.71</v>
      </c>
    </row>
    <row r="486" spans="1:13" x14ac:dyDescent="0.25">
      <c r="A486" s="94" t="str">
        <f>'Resultater - Vestdanmark'!A486</f>
        <v>Til energi</v>
      </c>
      <c r="B486" s="94" t="str">
        <f>'Resultater - Vestdanmark'!B486</f>
        <v/>
      </c>
      <c r="C486" s="94" t="str">
        <f>'Resultater - Vestdanmark'!C486</f>
        <v/>
      </c>
      <c r="D486" s="94" t="str">
        <f>'Resultater - Vestdanmark'!D486</f>
        <v>Bioaffald</v>
      </c>
      <c r="E486" s="94" t="str">
        <f>'Resultater - Vestdanmark'!E486</f>
        <v>Ton</v>
      </c>
      <c r="F486" s="94" t="str">
        <f>'Resultater - Vestdanmark'!F486</f>
        <v>Energi</v>
      </c>
      <c r="G486" s="94" t="str">
        <f>'Resultater - Vestdanmark'!G486</f>
        <v>PJ</v>
      </c>
      <c r="H486" s="261">
        <f ca="1">'Resultater - Vestdanmark'!H486+'Resultater - Østdanmark'!H486</f>
        <v>0</v>
      </c>
      <c r="I486" s="263">
        <f ca="1">'Resultater - Vestdanmark'!I486+'Resultater - Østdanmark'!I486</f>
        <v>6.4981185039678975</v>
      </c>
      <c r="J486" s="264">
        <f ca="1">'Resultater - Vestdanmark'!J486+'Resultater - Østdanmark'!J486</f>
        <v>6.6013372467689999</v>
      </c>
      <c r="L486" s="151" t="s">
        <v>109</v>
      </c>
      <c r="M486" s="150">
        <v>16604.849999999999</v>
      </c>
    </row>
    <row r="487" spans="1:13" x14ac:dyDescent="0.25">
      <c r="A487" s="94" t="str">
        <f>'Resultater - Vestdanmark'!A487</f>
        <v>Til energi</v>
      </c>
      <c r="B487" s="94" t="str">
        <f>'Resultater - Vestdanmark'!B487</f>
        <v/>
      </c>
      <c r="C487" s="94" t="str">
        <f>'Resultater - Vestdanmark'!C487</f>
        <v/>
      </c>
      <c r="D487" s="94" t="str">
        <f>'Resultater - Vestdanmark'!D487</f>
        <v>Pyrolyseolie</v>
      </c>
      <c r="E487" s="94" t="str">
        <f>'Resultater - Vestdanmark'!E487</f>
        <v>Ton</v>
      </c>
      <c r="F487" s="94" t="str">
        <f>'Resultater - Vestdanmark'!F487</f>
        <v>Energi</v>
      </c>
      <c r="G487" s="94" t="str">
        <f>'Resultater - Vestdanmark'!G487</f>
        <v>PJ</v>
      </c>
      <c r="H487" s="261">
        <f>'Resultater - Vestdanmark'!H487+'Resultater - Østdanmark'!H487</f>
        <v>0</v>
      </c>
      <c r="I487" s="263">
        <f>'Resultater - Vestdanmark'!I487+'Resultater - Østdanmark'!I487</f>
        <v>0</v>
      </c>
      <c r="J487" s="264">
        <f>'Resultater - Vestdanmark'!J487+'Resultater - Østdanmark'!J487</f>
        <v>0</v>
      </c>
      <c r="L487" s="151"/>
      <c r="M487" s="150"/>
    </row>
    <row r="488" spans="1:13" x14ac:dyDescent="0.25">
      <c r="A488" s="94" t="str">
        <f>'Resultater - Vestdanmark'!A488</f>
        <v>Til energi</v>
      </c>
      <c r="B488" s="94" t="str">
        <f>'Resultater - Vestdanmark'!B488</f>
        <v/>
      </c>
      <c r="C488" s="94" t="str">
        <f>'Resultater - Vestdanmark'!C488</f>
        <v/>
      </c>
      <c r="D488" s="94" t="str">
        <f>'Resultater - Vestdanmark'!D488</f>
        <v>Pyrolysegas</v>
      </c>
      <c r="E488" s="94" t="str">
        <f>'Resultater - Vestdanmark'!E488</f>
        <v>Ton</v>
      </c>
      <c r="F488" s="94" t="str">
        <f>'Resultater - Vestdanmark'!F488</f>
        <v>Energi</v>
      </c>
      <c r="G488" s="94" t="str">
        <f>'Resultater - Vestdanmark'!G488</f>
        <v>PJ</v>
      </c>
      <c r="H488" s="261">
        <f>'Resultater - Vestdanmark'!H488+'Resultater - Østdanmark'!H488</f>
        <v>0</v>
      </c>
      <c r="I488" s="263">
        <f>'Resultater - Vestdanmark'!I488+'Resultater - Østdanmark'!I488</f>
        <v>0</v>
      </c>
      <c r="J488" s="264">
        <f>'Resultater - Vestdanmark'!J488+'Resultater - Østdanmark'!J488</f>
        <v>0</v>
      </c>
      <c r="L488" s="151"/>
      <c r="M488" s="150"/>
    </row>
    <row r="489" spans="1:13" x14ac:dyDescent="0.25">
      <c r="A489" s="94" t="str">
        <f>'Resultater - Vestdanmark'!A489</f>
        <v>Til energi</v>
      </c>
      <c r="B489" s="94" t="str">
        <f>'Resultater - Vestdanmark'!B489</f>
        <v/>
      </c>
      <c r="C489" s="94" t="str">
        <f>'Resultater - Vestdanmark'!C489</f>
        <v/>
      </c>
      <c r="D489" s="94" t="str">
        <f>'Resultater - Vestdanmark'!D489</f>
        <v>Biogas</v>
      </c>
      <c r="E489" s="94" t="str">
        <f>'Resultater - Vestdanmark'!E489</f>
        <v>Nm3 CH4</v>
      </c>
      <c r="F489" s="94" t="str">
        <f>'Resultater - Vestdanmark'!F489</f>
        <v>Energi</v>
      </c>
      <c r="G489" s="94" t="str">
        <f>'Resultater - Vestdanmark'!G489</f>
        <v>PJ</v>
      </c>
      <c r="H489" s="265">
        <f ca="1">'Resultater - Vestdanmark'!H489+'Resultater - Østdanmark'!H489</f>
        <v>16.609927730843868</v>
      </c>
      <c r="I489" s="266">
        <f ca="1">'Resultater - Vestdanmark'!I489+'Resultater - Østdanmark'!I489</f>
        <v>15.907149145606141</v>
      </c>
      <c r="J489" s="267">
        <f ca="1">'Resultater - Vestdanmark'!J489+'Resultater - Østdanmark'!J489</f>
        <v>17.515388041905965</v>
      </c>
    </row>
    <row r="490" spans="1:13" x14ac:dyDescent="0.25">
      <c r="A490" s="94" t="str">
        <f>'Resultater - Vestdanmark'!A490</f>
        <v>Proteinproces</v>
      </c>
      <c r="B490" s="94" t="str">
        <f>'Resultater - Vestdanmark'!B490</f>
        <v/>
      </c>
      <c r="C490" s="94" t="str">
        <f>'Resultater - Vestdanmark'!C490</f>
        <v/>
      </c>
      <c r="D490" s="94" t="str">
        <f>'Resultater - Vestdanmark'!D490</f>
        <v>Græs</v>
      </c>
      <c r="E490" s="94" t="str">
        <f>'Resultater - Vestdanmark'!E490</f>
        <v>Ton</v>
      </c>
      <c r="F490" s="94" t="str">
        <f>'Resultater - Vestdanmark'!F490</f>
        <v>Græsprotein</v>
      </c>
      <c r="G490" s="94" t="str">
        <f>'Resultater - Vestdanmark'!G490</f>
        <v>Ton</v>
      </c>
      <c r="H490" s="268">
        <f>'Resultater - Vestdanmark'!H490+'Resultater - Østdanmark'!H490</f>
        <v>0</v>
      </c>
      <c r="I490" s="269">
        <f>'Resultater - Vestdanmark'!I490+'Resultater - Østdanmark'!I490</f>
        <v>1980099.5710165328</v>
      </c>
      <c r="J490" s="270">
        <f>'Resultater - Vestdanmark'!J490+'Resultater - Østdanmark'!J490</f>
        <v>4125793.780498662</v>
      </c>
    </row>
    <row r="491" spans="1:13" x14ac:dyDescent="0.25">
      <c r="A491" s="94" t="str">
        <f>'Resultater - Vestdanmark'!A491</f>
        <v>Proteinproces</v>
      </c>
      <c r="B491" s="94" t="str">
        <f>'Resultater - Vestdanmark'!B491</f>
        <v/>
      </c>
      <c r="C491" s="94" t="str">
        <f>'Resultater - Vestdanmark'!C491</f>
        <v/>
      </c>
      <c r="D491" s="94" t="str">
        <f>'Resultater - Vestdanmark'!D491</f>
        <v>Græs</v>
      </c>
      <c r="E491" s="94" t="str">
        <f>'Resultater - Vestdanmark'!E491</f>
        <v>Ton</v>
      </c>
      <c r="F491" s="94" t="str">
        <f>'Resultater - Vestdanmark'!F491</f>
        <v>Fiberfraktion</v>
      </c>
      <c r="G491" s="94" t="str">
        <f>'Resultater - Vestdanmark'!G491</f>
        <v>Ton</v>
      </c>
      <c r="H491" s="268">
        <f>'Resultater - Vestdanmark'!H491+'Resultater - Østdanmark'!H491</f>
        <v>0</v>
      </c>
      <c r="I491" s="269">
        <f>'Resultater - Vestdanmark'!I491+'Resultater - Østdanmark'!I491</f>
        <v>4076675.5873869797</v>
      </c>
      <c r="J491" s="270">
        <f>'Resultater - Vestdanmark'!J491+'Resultater - Østdanmark'!J491</f>
        <v>8494281.3127913643</v>
      </c>
    </row>
    <row r="492" spans="1:13" x14ac:dyDescent="0.25">
      <c r="A492" s="94" t="str">
        <f>'Resultater - Vestdanmark'!A492</f>
        <v>Proteinproces</v>
      </c>
      <c r="B492" s="94" t="str">
        <f>'Resultater - Vestdanmark'!B492</f>
        <v/>
      </c>
      <c r="C492" s="94" t="str">
        <f>'Resultater - Vestdanmark'!C492</f>
        <v/>
      </c>
      <c r="D492" s="94" t="str">
        <f>'Resultater - Vestdanmark'!D492</f>
        <v>Græs</v>
      </c>
      <c r="E492" s="94" t="str">
        <f>'Resultater - Vestdanmark'!E492</f>
        <v>Ton</v>
      </c>
      <c r="F492" s="94" t="str">
        <f>'Resultater - Vestdanmark'!F492</f>
        <v>Brun saft</v>
      </c>
      <c r="G492" s="94" t="str">
        <f>'Resultater - Vestdanmark'!G492</f>
        <v>PJ</v>
      </c>
      <c r="H492" s="268">
        <f>'Resultater - Vestdanmark'!H492+'Resultater - Østdanmark'!H492</f>
        <v>0</v>
      </c>
      <c r="I492" s="269">
        <f>'Resultater - Vestdanmark'!I492+'Resultater - Østdanmark'!I492</f>
        <v>5787952.2766673062</v>
      </c>
      <c r="J492" s="270">
        <f>'Resultater - Vestdanmark'!J492+'Resultater - Østdanmark'!J492</f>
        <v>12059947.820016803</v>
      </c>
    </row>
    <row r="493" spans="1:13" x14ac:dyDescent="0.25">
      <c r="A493" s="94" t="str">
        <f>'Resultater - Vestdanmark'!A493</f>
        <v>Rapskageproduktion</v>
      </c>
      <c r="B493" s="94" t="str">
        <f>'Resultater - Vestdanmark'!B493</f>
        <v/>
      </c>
      <c r="C493" s="94" t="str">
        <f>'Resultater - Vestdanmark'!C493</f>
        <v/>
      </c>
      <c r="D493" s="94" t="str">
        <f>'Resultater - Vestdanmark'!D493</f>
        <v>Raps</v>
      </c>
      <c r="E493" s="94" t="str">
        <f>'Resultater - Vestdanmark'!E493</f>
        <v>Ton</v>
      </c>
      <c r="F493" s="94" t="str">
        <f>'Resultater - Vestdanmark'!F493</f>
        <v>Rapskage</v>
      </c>
      <c r="G493" s="94" t="str">
        <f>'Resultater - Vestdanmark'!G493</f>
        <v>Ton</v>
      </c>
      <c r="H493" s="268">
        <f>'Resultater - Vestdanmark'!H493+'Resultater - Østdanmark'!H493</f>
        <v>339162.61425562343</v>
      </c>
      <c r="I493" s="269">
        <f>'Resultater - Vestdanmark'!I493+'Resultater - Østdanmark'!I493</f>
        <v>481094.65905532835</v>
      </c>
      <c r="J493" s="270">
        <f>'Resultater - Vestdanmark'!J493+'Resultater - Østdanmark'!J493</f>
        <v>432637.4824074877</v>
      </c>
    </row>
    <row r="494" spans="1:13" x14ac:dyDescent="0.25">
      <c r="A494" s="94" t="str">
        <f>'Resultater - Vestdanmark'!A494</f>
        <v>Rapskageproduktion</v>
      </c>
      <c r="B494" s="94" t="str">
        <f>'Resultater - Vestdanmark'!B494</f>
        <v/>
      </c>
      <c r="C494" s="94" t="str">
        <f>'Resultater - Vestdanmark'!C494</f>
        <v/>
      </c>
      <c r="D494" s="94" t="str">
        <f>'Resultater - Vestdanmark'!D494</f>
        <v>Raps</v>
      </c>
      <c r="E494" s="94" t="str">
        <f>'Resultater - Vestdanmark'!E494</f>
        <v>Ton</v>
      </c>
      <c r="F494" s="94" t="str">
        <f>'Resultater - Vestdanmark'!F494</f>
        <v>Rapsolie</v>
      </c>
      <c r="G494" s="94" t="str">
        <f>'Resultater - Vestdanmark'!G494</f>
        <v>Ton</v>
      </c>
      <c r="H494" s="268">
        <f>'Resultater - Vestdanmark'!H494+'Resultater - Østdanmark'!H494</f>
        <v>217064.073123599</v>
      </c>
      <c r="I494" s="269">
        <f>'Resultater - Vestdanmark'!I494+'Resultater - Østdanmark'!I494</f>
        <v>307900.58179541014</v>
      </c>
      <c r="J494" s="270">
        <f>'Resultater - Vestdanmark'!J494+'Resultater - Østdanmark'!J494</f>
        <v>276887.98874079209</v>
      </c>
    </row>
    <row r="495" spans="1:13" x14ac:dyDescent="0.25">
      <c r="A495" s="94" t="str">
        <f>'Resultater - Vestdanmark'!A495</f>
        <v>Pyrolyseproces</v>
      </c>
      <c r="B495" s="94" t="str">
        <f>'Resultater - Vestdanmark'!B495</f>
        <v/>
      </c>
      <c r="C495" s="94" t="str">
        <f>'Resultater - Vestdanmark'!C495</f>
        <v/>
      </c>
      <c r="D495" s="94" t="str">
        <f>'Resultater - Vestdanmark'!D495</f>
        <v>Halm</v>
      </c>
      <c r="E495" s="94" t="str">
        <f>'Resultater - Vestdanmark'!E495</f>
        <v>Ton</v>
      </c>
      <c r="F495" s="94" t="str">
        <f>'Resultater - Vestdanmark'!F495</f>
        <v>CO2 - atmosfære</v>
      </c>
      <c r="G495" s="94" t="str">
        <f>'Resultater - Vestdanmark'!G495</f>
        <v>t CO2-ækvivalenter</v>
      </c>
      <c r="H495" s="268">
        <f>'Resultater - Vestdanmark'!H495+'Resultater - Østdanmark'!H495</f>
        <v>0</v>
      </c>
      <c r="I495" s="269">
        <f>'Resultater - Vestdanmark'!I495+'Resultater - Østdanmark'!I495</f>
        <v>0</v>
      </c>
      <c r="J495" s="270">
        <f>'Resultater - Vestdanmark'!J495+'Resultater - Østdanmark'!J495</f>
        <v>0</v>
      </c>
    </row>
    <row r="496" spans="1:13" x14ac:dyDescent="0.25">
      <c r="A496" s="94" t="str">
        <f>'Resultater - Vestdanmark'!A496</f>
        <v>Pyrolyseproces</v>
      </c>
      <c r="B496" s="94" t="str">
        <f>'Resultater - Vestdanmark'!B496</f>
        <v/>
      </c>
      <c r="C496" s="94" t="str">
        <f>'Resultater - Vestdanmark'!C496</f>
        <v/>
      </c>
      <c r="D496" s="94" t="str">
        <f>'Resultater - Vestdanmark'!D496</f>
        <v>Halm</v>
      </c>
      <c r="E496" s="94" t="str">
        <f>'Resultater - Vestdanmark'!E496</f>
        <v>Ton</v>
      </c>
      <c r="F496" s="94" t="str">
        <f>'Resultater - Vestdanmark'!F496</f>
        <v>Pyrolyseolie</v>
      </c>
      <c r="G496" s="94" t="str">
        <f>'Resultater - Vestdanmark'!G496</f>
        <v>Ton</v>
      </c>
      <c r="H496" s="268">
        <f>'Resultater - Vestdanmark'!H496+'Resultater - Østdanmark'!H496</f>
        <v>0</v>
      </c>
      <c r="I496" s="269">
        <f>'Resultater - Vestdanmark'!I496+'Resultater - Østdanmark'!I496</f>
        <v>0</v>
      </c>
      <c r="J496" s="270">
        <f>'Resultater - Vestdanmark'!J496+'Resultater - Østdanmark'!J496</f>
        <v>0</v>
      </c>
    </row>
    <row r="497" spans="1:10" ht="15.75" thickBot="1" x14ac:dyDescent="0.3">
      <c r="A497" s="94" t="str">
        <f>'Resultater - Vestdanmark'!A497</f>
        <v>Pyrolyseproces</v>
      </c>
      <c r="B497" s="94" t="str">
        <f>'Resultater - Vestdanmark'!B497</f>
        <v/>
      </c>
      <c r="C497" s="94" t="str">
        <f>'Resultater - Vestdanmark'!C497</f>
        <v/>
      </c>
      <c r="D497" s="94" t="str">
        <f>'Resultater - Vestdanmark'!D497</f>
        <v>Halm</v>
      </c>
      <c r="E497" s="94" t="str">
        <f>'Resultater - Vestdanmark'!E497</f>
        <v>Ton</v>
      </c>
      <c r="F497" s="94" t="str">
        <f>'Resultater - Vestdanmark'!F497</f>
        <v>Pyrolysegas</v>
      </c>
      <c r="G497" s="94" t="str">
        <f>'Resultater - Vestdanmark'!G497</f>
        <v>Ton</v>
      </c>
      <c r="H497" s="271">
        <f>'Resultater - Vestdanmark'!H497+'Resultater - Østdanmark'!H497</f>
        <v>0</v>
      </c>
      <c r="I497" s="272">
        <f>'Resultater - Vestdanmark'!I497+'Resultater - Østdanmark'!I497</f>
        <v>0</v>
      </c>
      <c r="J497" s="273">
        <f>'Resultater - Vestdanmark'!J497+'Resultater - Østdanmark'!J497</f>
        <v>0</v>
      </c>
    </row>
    <row r="498" spans="1:10" x14ac:dyDescent="0.25">
      <c r="A498" s="94"/>
      <c r="B498" s="94"/>
      <c r="C498" s="94"/>
      <c r="D498" s="94"/>
      <c r="E498" s="94"/>
      <c r="F498" s="94"/>
      <c r="G498" s="94"/>
      <c r="H498" s="93"/>
      <c r="I498" s="93"/>
      <c r="J498" s="93"/>
    </row>
    <row r="499" spans="1:10" x14ac:dyDescent="0.25">
      <c r="A499" s="94"/>
      <c r="B499" s="94"/>
      <c r="C499" s="94"/>
      <c r="D499" s="94"/>
      <c r="E499" s="94"/>
      <c r="F499" s="94"/>
      <c r="G499" s="94"/>
      <c r="H499" s="93"/>
      <c r="I499" s="93"/>
      <c r="J499" s="93"/>
    </row>
    <row r="500" spans="1:10" x14ac:dyDescent="0.25">
      <c r="A500" s="94"/>
      <c r="B500" s="94"/>
      <c r="C500" s="94"/>
      <c r="D500" s="94"/>
      <c r="E500" s="94"/>
      <c r="F500" s="94"/>
      <c r="G500" s="94"/>
      <c r="H500" s="93"/>
      <c r="I500" s="93"/>
      <c r="J500" s="93"/>
    </row>
    <row r="501" spans="1:10" x14ac:dyDescent="0.25">
      <c r="A501" s="94"/>
      <c r="B501" s="94"/>
      <c r="C501" s="94"/>
      <c r="D501" s="94"/>
      <c r="E501" s="94"/>
      <c r="F501" s="94"/>
      <c r="G501" s="94"/>
      <c r="H501" s="93"/>
      <c r="I501" s="93"/>
      <c r="J501" s="93"/>
    </row>
    <row r="502" spans="1:10" x14ac:dyDescent="0.25">
      <c r="A502" s="94"/>
      <c r="B502" s="94"/>
      <c r="C502" s="94"/>
      <c r="D502" s="94"/>
      <c r="E502" s="94"/>
      <c r="F502" s="94"/>
      <c r="G502" s="94"/>
      <c r="H502" s="93"/>
      <c r="I502" s="93"/>
      <c r="J502" s="93"/>
    </row>
    <row r="503" spans="1:10" x14ac:dyDescent="0.25">
      <c r="A503" s="94"/>
      <c r="B503" s="94"/>
      <c r="C503" s="94"/>
      <c r="D503" s="94"/>
      <c r="E503" s="94"/>
      <c r="F503" s="94"/>
      <c r="G503" s="94"/>
      <c r="H503" s="93"/>
      <c r="I503" s="93"/>
      <c r="J503" s="93"/>
    </row>
    <row r="504" spans="1:10" x14ac:dyDescent="0.25">
      <c r="A504" s="94"/>
      <c r="B504" s="94"/>
      <c r="C504" s="94"/>
      <c r="D504" s="94"/>
      <c r="E504" s="94"/>
      <c r="F504" s="94"/>
      <c r="G504" s="94"/>
      <c r="H504" s="93"/>
      <c r="I504" s="93"/>
      <c r="J504" s="93"/>
    </row>
    <row r="505" spans="1:10" x14ac:dyDescent="0.25">
      <c r="A505" s="94"/>
      <c r="B505" s="94"/>
      <c r="C505" s="94"/>
      <c r="D505" s="94"/>
      <c r="E505" s="94"/>
      <c r="F505" s="94"/>
      <c r="G505" s="94"/>
      <c r="H505" s="93"/>
      <c r="I505" s="93"/>
      <c r="J505" s="93"/>
    </row>
    <row r="506" spans="1:10" x14ac:dyDescent="0.25">
      <c r="A506" s="94"/>
      <c r="B506" s="94"/>
      <c r="C506" s="94"/>
      <c r="D506" s="94"/>
      <c r="E506" s="94"/>
      <c r="F506" s="94"/>
      <c r="G506" s="94"/>
      <c r="H506" s="93"/>
      <c r="I506" s="93"/>
      <c r="J506" s="93"/>
    </row>
    <row r="507" spans="1:10" x14ac:dyDescent="0.25">
      <c r="A507" s="94"/>
      <c r="B507" s="94"/>
      <c r="C507" s="94"/>
      <c r="D507" s="94"/>
      <c r="E507" s="94"/>
      <c r="F507" s="94"/>
      <c r="G507" s="94"/>
      <c r="H507" s="93"/>
      <c r="I507" s="93"/>
      <c r="J507" s="93"/>
    </row>
    <row r="508" spans="1:10" x14ac:dyDescent="0.25">
      <c r="A508" s="94"/>
      <c r="B508" s="94"/>
      <c r="C508" s="94"/>
      <c r="D508" s="94"/>
      <c r="E508" s="94"/>
      <c r="F508" s="94"/>
      <c r="G508" s="94"/>
      <c r="H508" s="93"/>
      <c r="I508" s="93"/>
      <c r="J508" s="93"/>
    </row>
    <row r="509" spans="1:10" x14ac:dyDescent="0.25">
      <c r="A509" s="94"/>
      <c r="B509" s="94"/>
      <c r="C509" s="94"/>
      <c r="D509" s="94"/>
      <c r="E509" s="94"/>
      <c r="F509" s="94"/>
      <c r="G509" s="94"/>
      <c r="H509" s="93"/>
      <c r="I509" s="93"/>
      <c r="J509" s="93"/>
    </row>
    <row r="510" spans="1:10" x14ac:dyDescent="0.25">
      <c r="H510" s="93"/>
      <c r="I510" s="93"/>
      <c r="J510" s="93"/>
    </row>
    <row r="511" spans="1:10" x14ac:dyDescent="0.25">
      <c r="H511" s="93"/>
      <c r="I511" s="93"/>
      <c r="J511" s="93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AA291"/>
  <sheetViews>
    <sheetView zoomScale="106" workbookViewId="0">
      <pane xSplit="6" ySplit="3" topLeftCell="G264" activePane="bottomRight" state="frozen"/>
      <selection pane="topRight" activeCell="F1" sqref="F1"/>
      <selection pane="bottomLeft" activeCell="A3" sqref="A3"/>
      <selection pane="bottomRight" activeCell="J52" sqref="J52:J291"/>
    </sheetView>
  </sheetViews>
  <sheetFormatPr defaultColWidth="18" defaultRowHeight="15" x14ac:dyDescent="0.25"/>
  <cols>
    <col min="1" max="2" width="18.140625" bestFit="1" customWidth="1"/>
    <col min="3" max="3" width="8.140625" bestFit="1" customWidth="1"/>
    <col min="4" max="4" width="8.140625" customWidth="1"/>
    <col min="5" max="5" width="7.85546875" customWidth="1"/>
    <col min="6" max="6" width="11.140625" bestFit="1" customWidth="1"/>
    <col min="7" max="7" width="14.28515625" bestFit="1" customWidth="1"/>
    <col min="8" max="9" width="12" bestFit="1" customWidth="1"/>
    <col min="10" max="10" width="9.140625" bestFit="1" customWidth="1"/>
    <col min="11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</cols>
  <sheetData>
    <row r="1" spans="1:27" ht="15.75" thickTop="1" x14ac:dyDescent="0.25">
      <c r="A1" s="447" t="s">
        <v>247</v>
      </c>
      <c r="B1" s="447"/>
      <c r="C1" s="447"/>
      <c r="D1" s="393"/>
      <c r="G1" s="448" t="s">
        <v>249</v>
      </c>
      <c r="H1" s="448"/>
      <c r="I1" s="448"/>
      <c r="J1" s="448"/>
      <c r="K1" s="448"/>
      <c r="L1" s="448"/>
      <c r="M1" s="448"/>
      <c r="N1" s="449"/>
      <c r="O1" s="450" t="s">
        <v>250</v>
      </c>
      <c r="P1" s="451"/>
      <c r="Q1" s="452"/>
      <c r="R1" s="444" t="s">
        <v>122</v>
      </c>
      <c r="S1" s="444"/>
      <c r="T1" s="444"/>
      <c r="U1" s="445"/>
      <c r="V1" s="446" t="s">
        <v>228</v>
      </c>
      <c r="W1" s="444"/>
      <c r="X1" s="444"/>
      <c r="Y1" s="445"/>
    </row>
    <row r="2" spans="1:27" x14ac:dyDescent="0.25">
      <c r="A2" s="393"/>
      <c r="B2" s="393"/>
      <c r="C2" s="393"/>
      <c r="D2" s="393"/>
      <c r="G2" s="394"/>
      <c r="H2" s="394"/>
      <c r="I2" s="394"/>
      <c r="J2" s="394"/>
      <c r="K2" s="394"/>
      <c r="L2" s="394"/>
      <c r="M2" s="394"/>
      <c r="N2" s="394"/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27" x14ac:dyDescent="0.25">
      <c r="A3" s="91" t="s">
        <v>128</v>
      </c>
      <c r="B3" s="91" t="s">
        <v>310</v>
      </c>
      <c r="C3" s="91" t="s">
        <v>129</v>
      </c>
      <c r="D3" s="91" t="s">
        <v>338</v>
      </c>
      <c r="E3" s="91" t="s">
        <v>58</v>
      </c>
      <c r="F3" s="91" t="s">
        <v>64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</row>
    <row r="4" spans="1:27" x14ac:dyDescent="0.25">
      <c r="A4" s="171" t="s">
        <v>15</v>
      </c>
      <c r="B4" s="171"/>
      <c r="C4" s="171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71">
        <v>1</v>
      </c>
      <c r="E4" s="171">
        <f t="shared" ref="E4:E16" si="0">År1</f>
        <v>2019</v>
      </c>
      <c r="F4" t="s">
        <v>23</v>
      </c>
      <c r="G4" s="94">
        <f>IF(F4="Vestdanmark",SUMIFS(IF(E4=År1,'Resultater - Vestdanmark'!H$3:H$504,IF(E4=År2,'Resultater - Vestdanmark'!I$3:I$504,'Resultater - Vestdanmark'!J$3:J$504)),'Resultater - Vestdanmark'!$F$3:$F$504,$A4,IF(E4=År1,'Resultater - Vestdanmark'!H$3:H$504,IF(E4=År2,'Resultater - Vestdanmark'!I$3:I$504,'Resultater - Vestdanmark'!J$3:J$504)),"&gt;0"),SUMIFS(IF(E4=År1,'Resultater - Østdanmark'!H$3:H$504,IF(E4=År2,'Resultater - Østdanmark'!I$3:I$504,'Resultater - Østdanmark'!J$3:J$504)),'Resultater - Østdanmark'!$F$3:$F$504,$A4,IF(E4=År1,'Resultater - Østdanmark'!H$3:H$504,IF(E4=År2,'Resultater - Østdanmark'!I$3:I$504,'Resultater - Østdanmark'!J$3:J$504)),"&gt;0"))</f>
        <v>216549.9929685164</v>
      </c>
      <c r="H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forbrug'!H$3,'Forbrug af biomasse'!$B$2:$B$425,$F4)</f>
        <v>0</v>
      </c>
      <c r="I4">
        <f>IF(F4="Vestdanmark",-IF(A4="Halm",SUMIFS(IF(E4=År1,'Resultater - Vestdanmark'!H$3:H$504,IF(E4=År2,'Resultater - Vestdanmark'!I$3:I$504,'Resultater - Vestdanmark'!J$3:J$504)),'Resultater - Vestdanmark'!$F$3:$F$504,$A4,'Resultater - Vestdanmark'!H$3:H$504,"&lt;0"),0),-IF(A4="Halm",SUMIFS(IF(E4=År1,'Resultater - Østdanmark'!H$3:H$504,IF(E4=År2,'Resultater - Østdanmark'!I$3:I$504,'Resultater - Østdanmark'!J$3:J$504)),'Resultater - Østdanmark'!$F$3:$F$504,$A4,'Resultater - Østdanmark'!H$3:H$504,"&lt;0"),0))</f>
        <v>0</v>
      </c>
      <c r="J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forbrug'!J$3,'Forbrug af biomasse'!$B$2:$B$425,$F4)</f>
        <v>31522.55833067331</v>
      </c>
      <c r="K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forbrug'!K$3,'Forbrug af biomasse'!$B$2:$B$425,$F4)</f>
        <v>0</v>
      </c>
      <c r="L4" s="94">
        <f>SUMIFS('Forbrug af biomasse'!$E$2:$E$425,'Forbrug af biomasse'!$C$2:$C$425,'Resultat-Produktion &amp; forbrug'!$A4,'Forbrug af biomasse'!$D$2:$D$425,'Resultat-Produktion &amp; forbrug'!$E4,'Forbrug af biomasse'!$A$2:$A$425,'Resultat-Produktion &amp; forbrug'!L$3,'Forbrug af biomasse'!$B$2:$B$425,$F4)</f>
        <v>0</v>
      </c>
      <c r="M4" s="94">
        <f>IF(A4&lt;&gt;"Biogas",SUMIFS('Forbrug af biomasse'!$E$2:$E$425,'Forbrug af biomasse'!$C$2:$C$425,'Resultat-Produktion &amp; forbrug'!$A4,'Forbrug af biomasse'!$D$2:$D$425,'Resultat-Produktion &amp; forbrug'!$E4,'Forbrug af biomasse'!$A$2:$A$425,'Resultat-Produktion &amp; forbrug'!M$3,'Forbrug af biomasse'!$B$2:$B$425,$F4),G4)</f>
        <v>0</v>
      </c>
      <c r="N4" s="94">
        <f>SUMIFS('Forbrug af biomasse'!E:E,'Forbrug af biomasse'!C:C,'Resultat-Produktion &amp; forbrug'!$A4,'Forbrug af biomasse'!D:D,'Resultat-Produktion &amp; forbrug'!$E4,'Forbrug af biomasse'!G:G,1,'Forbrug af biomasse'!B:B,$F4)</f>
        <v>0</v>
      </c>
      <c r="O4" s="179">
        <f>G4-SUM(H4:N4)</f>
        <v>185027.43463784308</v>
      </c>
      <c r="P4" s="94">
        <f>IF(C4=1,IF(O4+IF(SUMIFS($O$4:$O$291,$A$4:$A$291,A4,$E$4:$E$291,E4,$F$4:$F$291,"&lt;&gt;"&amp;F4)&lt;0,SUMIFS($O$4:$O$291,$A$4:$A$291,A4,$E$4:$E$291,E4,$F$4:$F$291,"&lt;&gt;"&amp;F4),0)&gt;0,O4+IF(SUMIFS($O$4:$O$291,$A$4:$A$291,A4,$E$4:$E$291,E4,$F$4:$F$291,"&lt;&gt;"&amp;F4)&lt;0,SUMIFS($O$4:$O$291,$A$4:$A$291,A4,$E$4:$E$291,E4,$F$4:$F$291,"&lt;&gt;"&amp;F4),0)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IF(A4&lt;&gt;"Biogas",IFERROR(VLOOKUP(A4,[1]Biogasudbytte!$A$2:$B$18,2,FALSE)*[1]Energiindhold!$C$10,0)*K4*IFERROR(VLOOKUP(A4,Biogasanlæg!$F$3:$G$8,2,FALSE),1)+IFERROR(VLOOKUP(A4,[1]Energiindhold!$A$2:$C$11,3,FALSE),0)*M4+IF(E4&lt;&gt;År1,R4,0),0)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IF(E4=År1,Q4,SUM(P4,Q4))*IFERROR(VLOOKUP(A4,[1]Tørstofindhold!A$2:B$24,2,FALSE),0)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67" si="1">IF(SUMIFS($O$4:$O$291,$A$4:$A$291,A4,$E$4:$E$291,E4)&lt;0,1,0)</f>
        <v>0</v>
      </c>
      <c r="AA4">
        <f t="shared" ref="AA4:AA67" si="2">IF(SUMIFS($O$4:$O$291,$A$4:$A$291,A4,$E$4:$E$291,E4)&gt;0,1,0)</f>
        <v>1</v>
      </c>
    </row>
    <row r="5" spans="1:27" x14ac:dyDescent="0.25">
      <c r="A5" s="171" t="s">
        <v>49</v>
      </c>
      <c r="B5" s="171"/>
      <c r="C5" s="171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0</v>
      </c>
      <c r="D5" s="171">
        <v>1</v>
      </c>
      <c r="E5" s="171">
        <f t="shared" si="0"/>
        <v>2019</v>
      </c>
      <c r="F5" t="s">
        <v>23</v>
      </c>
      <c r="G5" s="94">
        <f>IF(F5="Vestdanmark",SUMIFS(IF(E5=År1,'Resultater - Vestdanmark'!H$3:H$504,IF(E5=År2,'Resultater - Vestdanmark'!I$3:I$504,'Resultater - Vestdanmark'!J$3:J$504)),'Resultater - Vestdanmark'!$F$3:$F$504,$A5,IF(E5=År1,'Resultater - Vestdanmark'!H$3:H$504,IF(E5=År2,'Resultater - Vestdanmark'!I$3:I$504,'Resultater - Vestdanmark'!J$3:J$504)),"&gt;0"),SUMIFS(IF(E5=År1,'Resultater - Østdanmark'!H$3:H$504,IF(E5=År2,'Resultater - Østdanmark'!I$3:I$504,'Resultater - Østdanmark'!J$3:J$504)),'Resultater - Østdanmark'!$F$3:$F$504,$A5,IF(E5=År1,'Resultater - Østdanmark'!H$3:H$504,IF(E5=År2,'Resultater - Østdanmark'!I$3:I$504,'Resultater - Østdanmark'!J$3:J$504)),"&gt;0"))</f>
        <v>258397.36122446082</v>
      </c>
      <c r="H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forbrug'!H$3,'Forbrug af biomasse'!$B$2:$B$425,$F5)</f>
        <v>64498.47547519199</v>
      </c>
      <c r="I5">
        <f>IF(F5="Vestdanmark",-IF(A5="Halm",SUMIFS(IF(E5=År1,'Resultater - Vestdanmark'!H$3:H$504,IF(E5=År2,'Resultater - Vestdanmark'!I$3:I$504,'Resultater - Vestdanmark'!J$3:J$504)),'Resultater - Vestdanmark'!$F$3:$F$504,$A5,'Resultater - Vestdanmark'!H$3:H$504,"&lt;0"),0),-IF(A5="Halm",SUMIFS(IF(E5=År1,'Resultater - Østdanmark'!H$3:H$504,IF(E5=År2,'Resultater - Østdanmark'!I$3:I$504,'Resultater - Østdanmark'!J$3:J$504)),'Resultater - Østdanmark'!$F$3:$F$504,$A5,'Resultater - Østdanmark'!H$3:H$504,"&lt;0"),0))</f>
        <v>0</v>
      </c>
      <c r="J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forbrug'!J$3,'Forbrug af biomasse'!$B$2:$B$425,$F5)</f>
        <v>0</v>
      </c>
      <c r="K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forbrug'!K$3,'Forbrug af biomasse'!$B$2:$B$425,$F5)</f>
        <v>0</v>
      </c>
      <c r="L5" s="94">
        <f>SUMIFS('Forbrug af biomasse'!$E$2:$E$425,'Forbrug af biomasse'!$C$2:$C$425,'Resultat-Produktion &amp; forbrug'!$A5,'Forbrug af biomasse'!$D$2:$D$425,'Resultat-Produktion &amp; forbrug'!$E5,'Forbrug af biomasse'!$A$2:$A$425,'Resultat-Produktion &amp; forbrug'!L$3,'Forbrug af biomasse'!$B$2:$B$425,$F5)</f>
        <v>0</v>
      </c>
      <c r="M5" s="94">
        <f>IF(A5&lt;&gt;"Biogas",SUMIFS('Forbrug af biomasse'!$E$2:$E$425,'Forbrug af biomasse'!$C$2:$C$425,'Resultat-Produktion &amp; forbrug'!$A5,'Forbrug af biomasse'!$D$2:$D$425,'Resultat-Produktion &amp; forbrug'!$E5,'Forbrug af biomasse'!$A$2:$A$425,'Resultat-Produktion &amp; forbrug'!M$3,'Forbrug af biomasse'!$B$2:$B$425,$F5),G5)</f>
        <v>0</v>
      </c>
      <c r="N5" s="94">
        <f>SUMIFS('Forbrug af biomasse'!E:E,'Forbrug af biomasse'!C:C,'Resultat-Produktion &amp; forbrug'!$A5,'Forbrug af biomasse'!D:D,'Resultat-Produktion &amp; forbrug'!$E5,'Forbrug af biomasse'!G:G,1,'Forbrug af biomasse'!B:B,$F5)</f>
        <v>0</v>
      </c>
      <c r="O5" s="179">
        <f t="shared" ref="O5:O16" si="3">G5-SUM(H5:N5)</f>
        <v>193898.88574926884</v>
      </c>
      <c r="P5" s="94">
        <f t="shared" ref="P5:P67" si="4">IF(C5=1,IF(O5+IF(SUMIFS($O$4:$O$291,$A$4:$A$291,A5,$E$4:$E$291,E5,$F$4:$F$291,"&lt;&gt;"&amp;F5)&lt;0,SUMIFS($O$4:$O$291,$A$4:$A$291,A5,$E$4:$E$291,E5,$F$4:$F$291,"&lt;&gt;"&amp;F5),0)&gt;0,O5+IF(SUMIFS($O$4:$O$291,$A$4:$A$291,A5,$E$4:$E$291,E5,$F$4:$F$291,"&lt;&gt;"&amp;F5)&lt;0,SUMIFS($O$4:$O$291,$A$4:$A$291,A5,$E$4:$E$291,E5,$F$4:$F$291,"&lt;&gt;"&amp;F5),0),0),0)</f>
        <v>0</v>
      </c>
      <c r="Q5" s="180">
        <f t="shared" ref="Q5:Q16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IF(A5&lt;&gt;"Biogas",IFERROR(VLOOKUP(A5,[1]Biogasudbytte!$A$2:$B$18,2,FALSE)*[1]Energiindhold!$C$10,0)*K5*IFERROR(VLOOKUP(A5,Biogasanlæg!$F$3:$G$8,2,FALSE),1)+IFERROR(VLOOKUP(A5,[1]Energiindhold!$A$2:$C$11,3,FALSE),0)*M5+IF(E5&lt;&gt;År1,R5,0),0)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16" si="6">S5-T5</f>
        <v>0</v>
      </c>
      <c r="V5" s="169">
        <f>P5*IFERROR(VLOOKUP(A5,[1]Tørstofindhold!A$2:B$24,2,FALSE),0)</f>
        <v>0</v>
      </c>
      <c r="W5">
        <f>IF(E5=År1,Q5,SUM(P5,Q5))*IFERROR(VLOOKUP(A5,[1]Tørstofindhold!A$2:B$24,2,FALSE),0)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16" si="7">W5-X5</f>
        <v>0</v>
      </c>
      <c r="Z5">
        <f t="shared" si="1"/>
        <v>0</v>
      </c>
      <c r="AA5">
        <f t="shared" si="2"/>
        <v>1</v>
      </c>
    </row>
    <row r="6" spans="1:27" x14ac:dyDescent="0.25">
      <c r="A6" s="171" t="s">
        <v>102</v>
      </c>
      <c r="B6" s="171" t="s">
        <v>229</v>
      </c>
      <c r="C6" s="171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71">
        <v>0</v>
      </c>
      <c r="E6" s="171">
        <f t="shared" si="0"/>
        <v>2019</v>
      </c>
      <c r="F6" t="s">
        <v>23</v>
      </c>
      <c r="G6" s="94">
        <f ca="1">IF(F6="Vestdanmark",SUMIFS(IF(E6=År1,'Resultater - Vestdanmark'!H$3:H$504,IF(E6=År2,'Resultater - Vestdanmark'!I$3:I$504,'Resultater - Vestdanmark'!J$3:J$504)),'Resultater - Vestdanmark'!$F$3:$F$504,$A6,IF(E6=År1,'Resultater - Vestdanmark'!H$3:H$504,IF(E6=År2,'Resultater - Vestdanmark'!I$3:I$504,'Resultater - Vestdanmark'!J$3:J$504)),"&gt;0"),SUMIFS(IF(E6=År1,'Resultater - Østdanmark'!H$3:H$504,IF(E6=År2,'Resultater - Østdanmark'!I$3:I$504,'Resultater - Østdanmark'!J$3:J$504)),'Resultater - Østdanmark'!$F$3:$F$504,$A6,IF(E6=År1,'Resultater - Østdanmark'!H$3:H$504,IF(E6=År2,'Resultater - Østdanmark'!I$3:I$504,'Resultater - Østdanmark'!J$3:J$504)),"&gt;0"))</f>
        <v>193591.30306616417</v>
      </c>
      <c r="H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forbrug'!H$3,'Forbrug af biomasse'!$B$2:$B$425,$F6)</f>
        <v>0</v>
      </c>
      <c r="I6">
        <f>IF(F6="Vestdanmark",-IF(A6="Halm",SUMIFS(IF(E6=År1,'Resultater - Vestdanmark'!H$3:H$504,IF(E6=År2,'Resultater - Vestdanmark'!I$3:I$504,'Resultater - Vestdanmark'!J$3:J$504)),'Resultater - Vestdanmark'!$F$3:$F$504,$A6,'Resultater - Vestdanmark'!H$3:H$504,"&lt;0"),0),-IF(A6="Halm",SUMIFS(IF(E6=År1,'Resultater - Østdanmark'!H$3:H$504,IF(E6=År2,'Resultater - Østdanmark'!I$3:I$504,'Resultater - Østdanmark'!J$3:J$504)),'Resultater - Østdanmark'!$F$3:$F$504,$A6,'Resultater - Østdanmark'!H$3:H$504,"&lt;0"),0))</f>
        <v>0</v>
      </c>
      <c r="J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forbrug'!J$3,'Forbrug af biomasse'!$B$2:$B$425,$F6)</f>
        <v>0</v>
      </c>
      <c r="K6" s="94">
        <f ca="1">SUMIFS('Forbrug af biomasse'!$E$2:$E$425,'Forbrug af biomasse'!$C$2:$C$425,'Resultat-Produktion &amp; forbrug'!$A6,'Forbrug af biomasse'!$D$2:$D$425,'Resultat-Produktion &amp; forbrug'!$E6,'Forbrug af biomasse'!$A$2:$A$425,'Resultat-Produktion &amp; forbrug'!K$3,'Forbrug af biomasse'!$B$2:$B$425,$F6)</f>
        <v>393543.64426779439</v>
      </c>
      <c r="L6" s="94">
        <f>SUMIFS('Forbrug af biomasse'!$E$2:$E$425,'Forbrug af biomasse'!$C$2:$C$425,'Resultat-Produktion &amp; forbrug'!$A6,'Forbrug af biomasse'!$D$2:$D$425,'Resultat-Produktion &amp; forbrug'!$E6,'Forbrug af biomasse'!$A$2:$A$425,'Resultat-Produktion &amp; forbrug'!L$3,'Forbrug af biomasse'!$B$2:$B$425,$F6)</f>
        <v>0</v>
      </c>
      <c r="M6" s="94">
        <f ca="1">IF(A6&lt;&gt;"Biogas",SUMIFS('Forbrug af biomasse'!$E$2:$E$425,'Forbrug af biomasse'!$C$2:$C$425,'Resultat-Produktion &amp; forbrug'!$A6,'Forbrug af biomasse'!$D$2:$D$425,'Resultat-Produktion &amp; forbrug'!$E6,'Forbrug af biomasse'!$A$2:$A$425,'Resultat-Produktion &amp; forbrug'!M$3,'Forbrug af biomasse'!$B$2:$B$425,$F6),G6)</f>
        <v>0</v>
      </c>
      <c r="N6" s="94">
        <f ca="1">SUMIFS('Forbrug af biomasse'!E:E,'Forbrug af biomasse'!C:C,'Resultat-Produktion &amp; forbrug'!$A6,'Forbrug af biomasse'!D:D,'Resultat-Produktion &amp; forbrug'!$E6,'Forbrug af biomasse'!G:G,1,'Forbrug af biomasse'!B:B,$F6)</f>
        <v>0</v>
      </c>
      <c r="O6" s="179">
        <f t="shared" ca="1" si="3"/>
        <v>-199952.34120163022</v>
      </c>
      <c r="P6" s="94">
        <f t="shared" ca="1" si="4"/>
        <v>0</v>
      </c>
      <c r="Q6" s="180">
        <f t="shared" ca="1" si="5"/>
        <v>393543.64426779439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IF(A6&lt;&gt;"Biogas",IFERROR(VLOOKUP(A6,[1]Biogasudbytte!$A$2:$B$18,2,FALSE)*[1]Energiindhold!$C$10,0)*K6*IFERROR(VLOOKUP(A6,Biogasanlæg!$F$3:$G$8,2,FALSE),1)+IFERROR(VLOOKUP(A6,[1]Energiindhold!$A$2:$C$11,3,FALSE),0)*M6+IF(E6&lt;&gt;År1,R6,0),0)</f>
        <v>1.3407677770923916</v>
      </c>
      <c r="T6">
        <f ca="1">IFERROR(VLOOKUP(A6,[1]Biogasudbytte!$A$2:$B$18,2,FALSE)*[1]Energiindhold!$C$10,0)*K6*IFERROR(VLOOKUP(A6,Biogasanlæg!$F$3:$G$8,2,FALSE),1)</f>
        <v>1.3407677770923916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IF(E6=År1,Q6,SUM(P6,Q6))*IFERROR(VLOOKUP(A6,[1]Tørstofindhold!A$2:B$24,2,FALSE),0)</f>
        <v>110192.22039498243</v>
      </c>
      <c r="X6">
        <f ca="1">K6*IFERROR(VLOOKUP(A6,[1]Tørstofindhold!A$2:B$24,2,FALSE),0)</f>
        <v>110192.22039498243</v>
      </c>
      <c r="Y6" s="170">
        <f t="shared" ca="1" si="7"/>
        <v>0</v>
      </c>
      <c r="Z6">
        <f t="shared" ca="1" si="1"/>
        <v>1</v>
      </c>
      <c r="AA6">
        <f t="shared" ca="1" si="2"/>
        <v>0</v>
      </c>
    </row>
    <row r="7" spans="1:27" x14ac:dyDescent="0.25">
      <c r="A7" s="171" t="s">
        <v>109</v>
      </c>
      <c r="B7" s="171"/>
      <c r="C7" s="171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1</v>
      </c>
      <c r="D7" s="171">
        <v>0</v>
      </c>
      <c r="E7" s="171">
        <f t="shared" si="0"/>
        <v>2019</v>
      </c>
      <c r="F7" t="s">
        <v>23</v>
      </c>
      <c r="G7" s="94">
        <f ca="1">IF(F7="Vestdanmark",SUMIFS(IF(E7=År1,'Resultater - Vestdanmark'!H$3:H$504,IF(E7=År2,'Resultater - Vestdanmark'!I$3:I$504,'Resultater - Vestdanmark'!J$3:J$504)),'Resultater - Vestdanmark'!$F$3:$F$504,$A7,IF(E7=År1,'Resultater - Vestdanmark'!H$3:H$504,IF(E7=År2,'Resultater - Vestdanmark'!I$3:I$504,'Resultater - Vestdanmark'!J$3:J$504)),"&gt;0"),SUMIFS(IF(E7=År1,'Resultater - Østdanmark'!H$3:H$504,IF(E7=År2,'Resultater - Østdanmark'!I$3:I$504,'Resultater - Østdanmark'!J$3:J$504)),'Resultater - Østdanmark'!$F$3:$F$504,$A7,IF(E7=År1,'Resultater - Østdanmark'!H$3:H$504,IF(E7=År2,'Resultater - Østdanmark'!I$3:I$504,'Resultater - Østdanmark'!J$3:J$504)),"&gt;0"))</f>
        <v>352020220.25091624</v>
      </c>
      <c r="H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forbrug'!H$3,'Forbrug af biomasse'!$B$2:$B$425,$F7)</f>
        <v>0</v>
      </c>
      <c r="I7">
        <f>IF(F7="Vestdanmark",-IF(A7="Halm",SUMIFS(IF(E7=År1,'Resultater - Vestdanmark'!H$3:H$504,IF(E7=År2,'Resultater - Vestdanmark'!I$3:I$504,'Resultater - Vestdanmark'!J$3:J$504)),'Resultater - Vestdanmark'!$F$3:$F$504,$A7,'Resultater - Vestdanmark'!H$3:H$504,"&lt;0"),0),-IF(A7="Halm",SUMIFS(IF(E7=År1,'Resultater - Østdanmark'!H$3:H$504,IF(E7=År2,'Resultater - Østdanmark'!I$3:I$504,'Resultater - Østdanmark'!J$3:J$504)),'Resultater - Østdanmark'!$F$3:$F$504,$A7,'Resultater - Østdanmark'!H$3:H$504,"&lt;0"),0))</f>
        <v>0</v>
      </c>
      <c r="J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forbrug'!J$3,'Forbrug af biomasse'!$B$2:$B$425,$F7)</f>
        <v>0</v>
      </c>
      <c r="K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forbrug'!K$3,'Forbrug af biomasse'!$B$2:$B$425,$F7)</f>
        <v>0</v>
      </c>
      <c r="L7" s="94">
        <f>SUMIFS('Forbrug af biomasse'!$E$2:$E$425,'Forbrug af biomasse'!$C$2:$C$425,'Resultat-Produktion &amp; forbrug'!$A7,'Forbrug af biomasse'!$D$2:$D$425,'Resultat-Produktion &amp; forbrug'!$E7,'Forbrug af biomasse'!$A$2:$A$425,'Resultat-Produktion &amp; forbrug'!L$3,'Forbrug af biomasse'!$B$2:$B$425,$F7)</f>
        <v>0</v>
      </c>
      <c r="M7" s="94">
        <f ca="1">IF(A7&lt;&gt;"Biogas",SUMIFS('Forbrug af biomasse'!$E$2:$E$425,'Forbrug af biomasse'!$C$2:$C$425,'Resultat-Produktion &amp; forbrug'!$A7,'Forbrug af biomasse'!$D$2:$D$425,'Resultat-Produktion &amp; forbrug'!$E7,'Forbrug af biomasse'!$A$2:$A$425,'Resultat-Produktion &amp; forbrug'!M$3,'Forbrug af biomasse'!$B$2:$B$425,$F7),G7)</f>
        <v>352020220.25091624</v>
      </c>
      <c r="N7" s="94">
        <f>SUMIFS('Forbrug af biomasse'!E:E,'Forbrug af biomasse'!C:C,'Resultat-Produktion &amp; forbrug'!$A7,'Forbrug af biomasse'!D:D,'Resultat-Produktion &amp; forbrug'!$E7,'Forbrug af biomasse'!G:G,1,'Forbrug af biomasse'!B:B,$F7)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352020220.25091624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IF(A7&lt;&gt;"Biogas",IFERROR(VLOOKUP(A7,[1]Biogasudbytte!$A$2:$B$18,2,FALSE)*[1]Energiindhold!$C$10,0)*K7*IFERROR(VLOOKUP(A7,Biogasanlæg!$F$3:$G$8,2,FALSE),1)+IFERROR(VLOOKUP(A7,[1]Energiindhold!$A$2:$C$11,3,FALSE),0)*M7+IF(E7&lt;&gt;År1,R7,0),0)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IF(E7=År1,Q7,SUM(P7,Q7))*IFERROR(VLOOKUP(A7,[1]Tørstofindhold!A$2:B$24,2,FALSE),0)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1"/>
        <v>0</v>
      </c>
      <c r="AA7">
        <f t="shared" ca="1" si="2"/>
        <v>0</v>
      </c>
    </row>
    <row r="8" spans="1:27" x14ac:dyDescent="0.25">
      <c r="A8" s="171" t="s">
        <v>110</v>
      </c>
      <c r="B8" s="171"/>
      <c r="C8" s="171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0</v>
      </c>
      <c r="D8" s="171">
        <v>0</v>
      </c>
      <c r="E8" s="171">
        <f t="shared" si="0"/>
        <v>2019</v>
      </c>
      <c r="F8" t="s">
        <v>23</v>
      </c>
      <c r="G8" s="94">
        <f ca="1">IF(F8="Vestdanmark",SUMIFS(IF(E8=År1,'Resultater - Vestdanmark'!H$3:H$504,IF(E8=År2,'Resultater - Vestdanmark'!I$3:I$504,'Resultater - Vestdanmark'!J$3:J$504)),'Resultater - Vestdanmark'!$F$3:$F$504,$A8,IF(E8=År1,'Resultater - Vestdanmark'!H$3:H$504,IF(E8=År2,'Resultater - Vestdanmark'!I$3:I$504,'Resultater - Vestdanmark'!J$3:J$504)),"&gt;0"),SUMIFS(IF(E8=År1,'Resultater - Østdanmark'!H$3:H$504,IF(E8=År2,'Resultater - Østdanmark'!I$3:I$504,'Resultater - Østdanmark'!J$3:J$504)),'Resultater - Østdanmark'!$F$3:$F$504,$A8,IF(E8=År1,'Resultater - Østdanmark'!H$3:H$504,IF(E8=År2,'Resultater - Østdanmark'!I$3:I$504,'Resultater - Østdanmark'!J$3:J$504)),"&gt;0"))</f>
        <v>9570947.4163383078</v>
      </c>
      <c r="H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forbrug'!H$3,'Forbrug af biomasse'!$B$2:$B$425,$F8)</f>
        <v>0</v>
      </c>
      <c r="I8">
        <f>IF(F8="Vestdanmark",-IF(A8="Halm",SUMIFS(IF(E8=År1,'Resultater - Vestdanmark'!H$3:H$504,IF(E8=År2,'Resultater - Vestdanmark'!I$3:I$504,'Resultater - Vestdanmark'!J$3:J$504)),'Resultater - Vestdanmark'!$F$3:$F$504,$A8,'Resultater - Vestdanmark'!H$3:H$504,"&lt;0"),0),-IF(A8="Halm",SUMIFS(IF(E8=År1,'Resultater - Østdanmark'!H$3:H$504,IF(E8=År2,'Resultater - Østdanmark'!I$3:I$504,'Resultater - Østdanmark'!J$3:J$504)),'Resultater - Østdanmark'!$F$3:$F$504,$A8,'Resultater - Østdanmark'!H$3:H$504,"&lt;0"),0))</f>
        <v>0</v>
      </c>
      <c r="J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forbrug'!J$3,'Forbrug af biomasse'!$B$2:$B$425,$F8)</f>
        <v>0</v>
      </c>
      <c r="K8" s="94">
        <f>SUMIFS('Forbrug af biomasse'!$E$2:$E$425,'Forbrug af biomasse'!$C$2:$C$425,'Resultat-Produktion &amp; forbrug'!$A8,'Forbrug af biomasse'!$D$2:$D$425,'Resultat-Produktion &amp; forbrug'!$E8,'Forbrug af biomasse'!$A$2:$A$425,'Resultat-Produktion &amp; forbrug'!K$3,'Forbrug af biomasse'!$B$2:$B$425,$F8)</f>
        <v>0</v>
      </c>
      <c r="L8" s="94">
        <f ca="1">SUMIFS('Forbrug af biomasse'!$E$2:$E$425,'Forbrug af biomasse'!$C$2:$C$425,'Resultat-Produktion &amp; forbrug'!$A8,'Forbrug af biomasse'!$D$2:$D$425,'Resultat-Produktion &amp; forbrug'!$E8,'Forbrug af biomasse'!$A$2:$A$425,'Resultat-Produktion &amp; forbrug'!L$3,'Forbrug af biomasse'!$B$2:$B$425,$F8)</f>
        <v>7001629.6154696662</v>
      </c>
      <c r="M8" s="94">
        <f>IF(A8&lt;&gt;"Biogas",SUMIFS('Forbrug af biomasse'!$E$2:$E$425,'Forbrug af biomasse'!$C$2:$C$425,'Resultat-Produktion &amp; forbrug'!$A8,'Forbrug af biomasse'!$D$2:$D$425,'Resultat-Produktion &amp; forbrug'!$E8,'Forbrug af biomasse'!$A$2:$A$425,'Resultat-Produktion &amp; forbrug'!M$3,'Forbrug af biomasse'!$B$2:$B$425,$F8),G8)</f>
        <v>0</v>
      </c>
      <c r="N8" s="94">
        <f>SUMIFS('Forbrug af biomasse'!E:E,'Forbrug af biomasse'!C:C,'Resultat-Produktion &amp; forbrug'!$A8,'Forbrug af biomasse'!D:D,'Resultat-Produktion &amp; forbrug'!$E8,'Forbrug af biomasse'!G:G,1,'Forbrug af biomasse'!B:B,$F8)</f>
        <v>0</v>
      </c>
      <c r="O8" s="179">
        <f t="shared" ca="1" si="3"/>
        <v>2569317.8008686416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IF(A8&lt;&gt;"Biogas",IFERROR(VLOOKUP(A8,[1]Biogasudbytte!$A$2:$B$18,2,FALSE)*[1]Energiindhold!$C$10,0)*K8*IFERROR(VLOOKUP(A8,Biogasanlæg!$F$3:$G$8,2,FALSE),1)+IFERROR(VLOOKUP(A8,[1]Energiindhold!$A$2:$C$11,3,FALSE),0)*M8+IF(E8&lt;&gt;År1,R8,0),0)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IF(E8=År1,Q8,SUM(P8,Q8))*IFERROR(VLOOKUP(A8,[1]Tørstofindhold!A$2:B$24,2,FALSE),0)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1"/>
        <v>0</v>
      </c>
      <c r="AA8">
        <f t="shared" ca="1" si="2"/>
        <v>1</v>
      </c>
    </row>
    <row r="9" spans="1:27" x14ac:dyDescent="0.25">
      <c r="A9" s="171" t="s">
        <v>207</v>
      </c>
      <c r="B9" s="171" t="s">
        <v>229</v>
      </c>
      <c r="C9" s="171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71">
        <v>0</v>
      </c>
      <c r="E9" s="171">
        <f t="shared" si="0"/>
        <v>2019</v>
      </c>
      <c r="F9" t="s">
        <v>23</v>
      </c>
      <c r="G9" s="94">
        <f>IF(F9="Vestdanmark",SUMIFS(IF(E9=År1,'Resultater - Vestdanmark'!H$3:H$504,IF(E9=År2,'Resultater - Vestdanmark'!I$3:I$504,'Resultater - Vestdanmark'!J$3:J$504)),'Resultater - Vestdanmark'!$F$3:$F$504,$A9,IF(E9=År1,'Resultater - Vestdanmark'!H$3:H$504,IF(E9=År2,'Resultater - Vestdanmark'!I$3:I$504,'Resultater - Vestdanmark'!J$3:J$504)),"&gt;0"),SUMIFS(IF(E9=År1,'Resultater - Østdanmark'!H$3:H$504,IF(E9=År2,'Resultater - Østdanmark'!I$3:I$504,'Resultater - Østdanmark'!J$3:J$504)),'Resultater - Østdanmark'!$F$3:$F$504,$A9,IF(E9=År1,'Resultater - Østdanmark'!H$3:H$504,IF(E9=År2,'Resultater - Østdanmark'!I$3:I$504,'Resultater - Østdanmark'!J$3:J$504)),"&gt;0"))</f>
        <v>0</v>
      </c>
      <c r="H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forbrug'!H$3,'Forbrug af biomasse'!$B$2:$B$425,$F9)</f>
        <v>0</v>
      </c>
      <c r="I9">
        <f>IF(F9="Vestdanmark",-IF(A9="Halm",SUMIFS(IF(E9=År1,'Resultater - Vestdanmark'!H$3:H$504,IF(E9=År2,'Resultater - Vestdanmark'!I$3:I$504,'Resultater - Vestdanmark'!J$3:J$504)),'Resultater - Vestdanmark'!$F$3:$F$504,$A9,'Resultater - Vestdanmark'!H$3:H$504,"&lt;0"),0),-IF(A9="Halm",SUMIFS(IF(E9=År1,'Resultater - Østdanmark'!H$3:H$504,IF(E9=År2,'Resultater - Østdanmark'!I$3:I$504,'Resultater - Østdanmark'!J$3:J$504)),'Resultater - Østdanmark'!$F$3:$F$504,$A9,'Resultater - Østdanmark'!H$3:H$504,"&lt;0"),0))</f>
        <v>0</v>
      </c>
      <c r="J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forbrug'!J$3,'Forbrug af biomasse'!$B$2:$B$425,$F9)</f>
        <v>0</v>
      </c>
      <c r="K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forbrug'!K$3,'Forbrug af biomasse'!$B$2:$B$425,$F9)</f>
        <v>0</v>
      </c>
      <c r="L9" s="94">
        <f>SUMIFS('Forbrug af biomasse'!$E$2:$E$425,'Forbrug af biomasse'!$C$2:$C$425,'Resultat-Produktion &amp; forbrug'!$A9,'Forbrug af biomasse'!$D$2:$D$425,'Resultat-Produktion &amp; forbrug'!$E9,'Forbrug af biomasse'!$A$2:$A$425,'Resultat-Produktion &amp; forbrug'!L$3,'Forbrug af biomasse'!$B$2:$B$425,$F9)</f>
        <v>0</v>
      </c>
      <c r="M9" s="94">
        <f>IF(A9&lt;&gt;"Biogas",SUMIFS('Forbrug af biomasse'!$E$2:$E$425,'Forbrug af biomasse'!$C$2:$C$425,'Resultat-Produktion &amp; forbrug'!$A9,'Forbrug af biomasse'!$D$2:$D$425,'Resultat-Produktion &amp; forbrug'!$E9,'Forbrug af biomasse'!$A$2:$A$425,'Resultat-Produktion &amp; forbrug'!M$3,'Forbrug af biomasse'!$B$2:$B$425,$F9),G9)</f>
        <v>0</v>
      </c>
      <c r="N9" s="94">
        <f>SUMIFS('Forbrug af biomasse'!E:E,'Forbrug af biomasse'!C:C,'Resultat-Produktion &amp; forbrug'!$A9,'Forbrug af biomasse'!D:D,'Resultat-Produktion &amp; forbrug'!$E9,'Forbrug af biomasse'!G:G,1,'Forbrug af biomasse'!B:B,$F9)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IF(A9&lt;&gt;"Biogas",IFERROR(VLOOKUP(A9,[1]Biogasudbytte!$A$2:$B$18,2,FALSE)*[1]Energiindhold!$C$10,0)*K9*IFERROR(VLOOKUP(A9,Biogasanlæg!$F$3:$G$8,2,FALSE),1)+IFERROR(VLOOKUP(A9,[1]Energiindhold!$A$2:$C$11,3,FALSE),0)*M9+IF(E9&lt;&gt;År1,R9,0),0)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IF(E9=År1,Q9,SUM(P9,Q9))*IFERROR(VLOOKUP(A9,[1]Tørstofindhold!A$2:B$24,2,FALSE),0)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1"/>
        <v>0</v>
      </c>
      <c r="AA9">
        <f t="shared" si="2"/>
        <v>0</v>
      </c>
    </row>
    <row r="10" spans="1:27" x14ac:dyDescent="0.25">
      <c r="A10" t="s">
        <v>101</v>
      </c>
      <c r="B10" s="171" t="s">
        <v>221</v>
      </c>
      <c r="C10" s="171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1</v>
      </c>
      <c r="D10" s="171">
        <v>0</v>
      </c>
      <c r="E10" s="171">
        <f t="shared" si="0"/>
        <v>2019</v>
      </c>
      <c r="F10" t="s">
        <v>23</v>
      </c>
      <c r="G10" s="94">
        <f>IF(F10="Vestdanmark",SUMIFS(IF(E10=År1,'Resultater - Vestdanmark'!H$3:H$504,IF(E10=År2,'Resultater - Vestdanmark'!I$3:I$504,'Resultater - Vestdanmark'!J$3:J$504)),'Resultater - Vestdanmark'!$F$3:$F$504,$A10,IF(E10=År1,'Resultater - Vestdanmark'!H$3:H$504,IF(E10=År2,'Resultater - Vestdanmark'!I$3:I$504,'Resultater - Vestdanmark'!J$3:J$504)),"&gt;0"),SUMIFS(IF(E10=År1,'Resultater - Østdanmark'!H$3:H$504,IF(E10=År2,'Resultater - Østdanmark'!I$3:I$504,'Resultater - Østdanmark'!J$3:J$504)),'Resultater - Østdanmark'!$F$3:$F$504,$A10,IF(E10=År1,'Resultater - Østdanmark'!H$3:H$504,IF(E10=År2,'Resultater - Østdanmark'!I$3:I$504,'Resultater - Østdanmark'!J$3:J$504)),"&gt;0"))</f>
        <v>2600310.0770241949</v>
      </c>
      <c r="H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forbrug'!H$3,'Forbrug af biomasse'!$B$2:$B$425,$F10)</f>
        <v>0</v>
      </c>
      <c r="I10">
        <f>IF(F10="Vestdanmark",-IF(A10="Halm",SUMIFS(IF(E10=År1,'Resultater - Vestdanmark'!H$3:H$504,IF(E10=År2,'Resultater - Vestdanmark'!I$3:I$504,'Resultater - Vestdanmark'!J$3:J$504)),'Resultater - Vestdanmark'!$F$3:$F$504,$A10,'Resultater - Vestdanmark'!H$3:H$504,"&lt;0"),0),-IF(A10="Halm",SUMIFS(IF(E10=År1,'Resultater - Østdanmark'!H$3:H$504,IF(E10=År2,'Resultater - Østdanmark'!I$3:I$504,'Resultater - Østdanmark'!J$3:J$504)),'Resultater - Østdanmark'!$F$3:$F$504,$A10,'Resultater - Østdanmark'!H$3:H$504,"&lt;0"),0))</f>
        <v>0</v>
      </c>
      <c r="J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forbrug'!J$3,'Forbrug af biomasse'!$B$2:$B$425,$F10)</f>
        <v>0</v>
      </c>
      <c r="K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forbrug'!K$3,'Forbrug af biomasse'!$B$2:$B$425,$F10)</f>
        <v>671194.67155029252</v>
      </c>
      <c r="L10" s="94">
        <f>SUMIFS('Forbrug af biomasse'!$E$2:$E$425,'Forbrug af biomasse'!$C$2:$C$425,'Resultat-Produktion &amp; forbrug'!$A10,'Forbrug af biomasse'!$D$2:$D$425,'Resultat-Produktion &amp; forbrug'!$E10,'Forbrug af biomasse'!$A$2:$A$425,'Resultat-Produktion &amp; forbrug'!L$3,'Forbrug af biomasse'!$B$2:$B$425,$F10)</f>
        <v>730307.97492940596</v>
      </c>
      <c r="M10" s="94">
        <f>IF(A10&lt;&gt;"Biogas",SUMIFS('Forbrug af biomasse'!$E$2:$E$425,'Forbrug af biomasse'!$C$2:$C$425,'Resultat-Produktion &amp; forbrug'!$A10,'Forbrug af biomasse'!$D$2:$D$425,'Resultat-Produktion &amp; forbrug'!$E10,'Forbrug af biomasse'!$A$2:$A$425,'Resultat-Produktion &amp; forbrug'!M$3,'Forbrug af biomasse'!$B$2:$B$425,$F10),G10)</f>
        <v>0</v>
      </c>
      <c r="N10" s="94">
        <f>SUMIFS('Forbrug af biomasse'!E:E,'Forbrug af biomasse'!C:C,'Resultat-Produktion &amp; forbrug'!$A10,'Forbrug af biomasse'!D:D,'Resultat-Produktion &amp; forbrug'!$E10,'Forbrug af biomasse'!G:G,1,'Forbrug af biomasse'!B:B,$F10)</f>
        <v>0</v>
      </c>
      <c r="O10" s="179">
        <f t="shared" si="3"/>
        <v>1198807.4305444965</v>
      </c>
      <c r="P10" s="94">
        <f t="shared" si="4"/>
        <v>1198807.4305444965</v>
      </c>
      <c r="Q10" s="180">
        <f>SUM(K10,M10)</f>
        <v>671194.67155029252</v>
      </c>
      <c r="R10">
        <f>IFERROR(VLOOKUP(A10,[1]Energiindhold!$A$2:$C$11,3,FALSE),IFERROR(VLOOKUP(A10,[1]Biogasudbytte!$A$2:$B$18,2,FALSE)*[1]Energiindhold!$C$10,0))*P10</f>
        <v>2.5822312053928456</v>
      </c>
      <c r="S10">
        <f>IF(A10&lt;&gt;"Biogas",IFERROR(VLOOKUP(A10,[1]Biogasudbytte!$A$2:$B$18,2,FALSE)*[1]Energiindhold!$C$10,0)*K10*IFERROR(VLOOKUP(A10,Biogasanlæg!$F$3:$G$8,2,FALSE),1)+IFERROR(VLOOKUP(A10,[1]Energiindhold!$A$2:$C$11,3,FALSE),0)*M10+IF(E10&lt;&gt;År1,R10,0),0)</f>
        <v>1.4457533225193302</v>
      </c>
      <c r="T10">
        <f>IFERROR(VLOOKUP(A10,[1]Biogasudbytte!$A$2:$B$18,2,FALSE)*[1]Energiindhold!$C$10,0)*K10*IFERROR(VLOOKUP(A10,Biogasanlæg!$F$3:$G$8,2,FALSE),1)</f>
        <v>1.4457533225193302</v>
      </c>
      <c r="U10" s="170">
        <f t="shared" si="6"/>
        <v>0</v>
      </c>
      <c r="V10" s="169">
        <f>P10*IFERROR(VLOOKUP(A10,[1]Tørstofindhold!A$2:B$24,2,FALSE),0)</f>
        <v>359642.22916334897</v>
      </c>
      <c r="W10">
        <f>IF(E10=År1,Q10,SUM(P10,Q10))*IFERROR(VLOOKUP(A10,[1]Tørstofindhold!A$2:B$24,2,FALSE),0)</f>
        <v>201358.40146508775</v>
      </c>
      <c r="X10">
        <f>K10*IFERROR(VLOOKUP(A10,[1]Tørstofindhold!A$2:B$24,2,FALSE),0)</f>
        <v>201358.40146508775</v>
      </c>
      <c r="Y10" s="170">
        <f t="shared" si="7"/>
        <v>0</v>
      </c>
      <c r="Z10">
        <f t="shared" si="1"/>
        <v>0</v>
      </c>
      <c r="AA10">
        <f t="shared" si="2"/>
        <v>1</v>
      </c>
    </row>
    <row r="11" spans="1:27" x14ac:dyDescent="0.25">
      <c r="A11" t="s">
        <v>203</v>
      </c>
      <c r="B11" s="171"/>
      <c r="C11" s="171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0</v>
      </c>
      <c r="D11" s="171">
        <v>0</v>
      </c>
      <c r="E11" s="171">
        <f t="shared" si="0"/>
        <v>2019</v>
      </c>
      <c r="F11" t="s">
        <v>23</v>
      </c>
      <c r="G11" s="94">
        <f>IF(F11="Vestdanmark",SUMIFS(IF(E11=År1,'Resultater - Vestdanmark'!H$3:H$504,IF(E11=År2,'Resultater - Vestdanmark'!I$3:I$504,'Resultater - Vestdanmark'!J$3:J$504)),'Resultater - Vestdanmark'!$F$3:$F$504,$A11,IF(E11=År1,'Resultater - Vestdanmark'!H$3:H$504,IF(E11=År2,'Resultater - Vestdanmark'!I$3:I$504,'Resultater - Vestdanmark'!J$3:J$504)),"&gt;0"),SUMIFS(IF(E11=År1,'Resultater - Østdanmark'!H$3:H$504,IF(E11=År2,'Resultater - Østdanmark'!I$3:I$504,'Resultater - Østdanmark'!J$3:J$504)),'Resultater - Østdanmark'!$F$3:$F$504,$A11,IF(E11=År1,'Resultater - Østdanmark'!H$3:H$504,IF(E11=År2,'Resultater - Østdanmark'!I$3:I$504,'Resultater - Østdanmark'!J$3:J$504)),"&gt;0"))</f>
        <v>0</v>
      </c>
      <c r="H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forbrug'!H$3,'Forbrug af biomasse'!$B$2:$B$425,$F11)</f>
        <v>0</v>
      </c>
      <c r="I11">
        <f>IF(F11="Vestdanmark",-IF(A11="Halm",SUMIFS(IF(E11=År1,'Resultater - Vestdanmark'!H$3:H$504,IF(E11=År2,'Resultater - Vestdanmark'!I$3:I$504,'Resultater - Vestdanmark'!J$3:J$504)),'Resultater - Vestdanmark'!$F$3:$F$504,$A11,'Resultater - Vestdanmark'!H$3:H$504,"&lt;0"),0),-IF(A11="Halm",SUMIFS(IF(E11=År1,'Resultater - Østdanmark'!H$3:H$504,IF(E11=År2,'Resultater - Østdanmark'!I$3:I$504,'Resultater - Østdanmark'!J$3:J$504)),'Resultater - Østdanmark'!$F$3:$F$504,$A11,'Resultater - Østdanmark'!H$3:H$504,"&lt;0"),0))</f>
        <v>0</v>
      </c>
      <c r="J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forbrug'!J$3,'Forbrug af biomasse'!$B$2:$B$425,$F11)</f>
        <v>0</v>
      </c>
      <c r="K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forbrug'!K$3,'Forbrug af biomasse'!$B$2:$B$425,$F11)</f>
        <v>0</v>
      </c>
      <c r="L11" s="94">
        <f>SUMIFS('Forbrug af biomasse'!$E$2:$E$425,'Forbrug af biomasse'!$C$2:$C$425,'Resultat-Produktion &amp; forbrug'!$A11,'Forbrug af biomasse'!$D$2:$D$425,'Resultat-Produktion &amp; forbrug'!$E11,'Forbrug af biomasse'!$A$2:$A$425,'Resultat-Produktion &amp; forbrug'!L$3,'Forbrug af biomasse'!$B$2:$B$425,$F11)</f>
        <v>0</v>
      </c>
      <c r="M11" s="94">
        <f>IF(A11&lt;&gt;"Biogas",SUMIFS('Forbrug af biomasse'!$E$2:$E$425,'Forbrug af biomasse'!$C$2:$C$425,'Resultat-Produktion &amp; forbrug'!$A11,'Forbrug af biomasse'!$D$2:$D$425,'Resultat-Produktion &amp; forbrug'!$E11,'Forbrug af biomasse'!$A$2:$A$425,'Resultat-Produktion &amp; forbrug'!M$3,'Forbrug af biomasse'!$B$2:$B$425,$F11),G11)</f>
        <v>0</v>
      </c>
      <c r="N11" s="94">
        <f>SUMIFS('Forbrug af biomasse'!E:E,'Forbrug af biomasse'!C:C,'Resultat-Produktion &amp; forbrug'!$A11,'Forbrug af biomasse'!D:D,'Resultat-Produktion &amp; forbrug'!$E11,'Forbrug af biomasse'!G:G,1,'Forbrug af biomasse'!B:B,$F11)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IF(A11&lt;&gt;"Biogas",IFERROR(VLOOKUP(A11,[1]Biogasudbytte!$A$2:$B$18,2,FALSE)*[1]Energiindhold!$C$10,0)*K11*IFERROR(VLOOKUP(A11,Biogasanlæg!$F$3:$G$8,2,FALSE),1)+IFERROR(VLOOKUP(A11,[1]Energiindhold!$A$2:$C$11,3,FALSE),0)*M11+IF(E11&lt;&gt;År1,R11,0),0)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IF(E11=År1,Q11,SUM(P11,Q11))*IFERROR(VLOOKUP(A11,[1]Tørstofindhold!A$2:B$24,2,FALSE),0)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1"/>
        <v>0</v>
      </c>
      <c r="AA11">
        <f t="shared" si="2"/>
        <v>0</v>
      </c>
    </row>
    <row r="12" spans="1:27" x14ac:dyDescent="0.25">
      <c r="A12" t="s">
        <v>137</v>
      </c>
      <c r="B12" s="171" t="s">
        <v>221</v>
      </c>
      <c r="C12" s="171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1</v>
      </c>
      <c r="D12" s="171">
        <v>0</v>
      </c>
      <c r="E12" s="171">
        <f t="shared" si="0"/>
        <v>2019</v>
      </c>
      <c r="F12" t="s">
        <v>23</v>
      </c>
      <c r="G12" s="94">
        <f>IF(F12="Vestdanmark",SUMIFS(IF(E12=År1,'Resultater - Vestdanmark'!H$3:H$504,IF(E12=År2,'Resultater - Vestdanmark'!I$3:I$504,'Resultater - Vestdanmark'!J$3:J$504)),'Resultater - Vestdanmark'!$F$3:$F$504,$A12,IF(E12=År1,'Resultater - Vestdanmark'!H$3:H$504,IF(E12=År2,'Resultater - Vestdanmark'!I$3:I$504,'Resultater - Vestdanmark'!J$3:J$504)),"&gt;0"),SUMIFS(IF(E12=År1,'Resultater - Østdanmark'!H$3:H$504,IF(E12=År2,'Resultater - Østdanmark'!I$3:I$504,'Resultater - Østdanmark'!J$3:J$504)),'Resultater - Østdanmark'!$F$3:$F$504,$A12,IF(E12=År1,'Resultater - Østdanmark'!H$3:H$504,IF(E12=År2,'Resultater - Østdanmark'!I$3:I$504,'Resultater - Østdanmark'!J$3:J$504)),"&gt;0"))</f>
        <v>8207.6123560951182</v>
      </c>
      <c r="H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forbrug'!H$3,'Forbrug af biomasse'!$B$2:$B$425,$F12)</f>
        <v>0</v>
      </c>
      <c r="I12">
        <f>IF(F12="Vestdanmark",-IF(A12="Halm",SUMIFS(IF(E12=År1,'Resultater - Vestdanmark'!H$3:H$504,IF(E12=År2,'Resultater - Vestdanmark'!I$3:I$504,'Resultater - Vestdanmark'!J$3:J$504)),'Resultater - Vestdanmark'!$F$3:$F$504,$A12,'Resultater - Vestdanmark'!H$3:H$504,"&lt;0"),0),-IF(A12="Halm",SUMIFS(IF(E12=År1,'Resultater - Østdanmark'!H$3:H$504,IF(E12=År2,'Resultater - Østdanmark'!I$3:I$504,'Resultater - Østdanmark'!J$3:J$504)),'Resultater - Østdanmark'!$F$3:$F$504,$A12,'Resultater - Østdanmark'!H$3:H$504,"&lt;0"),0))</f>
        <v>0</v>
      </c>
      <c r="J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forbrug'!J$3,'Forbrug af biomasse'!$B$2:$B$425,$F12)</f>
        <v>0</v>
      </c>
      <c r="K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forbrug'!K$3,'Forbrug af biomasse'!$B$2:$B$425,$F12)</f>
        <v>4103.8061780475591</v>
      </c>
      <c r="L12" s="94">
        <f>SUMIFS('Forbrug af biomasse'!$E$2:$E$425,'Forbrug af biomasse'!$C$2:$C$425,'Resultat-Produktion &amp; forbrug'!$A12,'Forbrug af biomasse'!$D$2:$D$425,'Resultat-Produktion &amp; forbrug'!$E12,'Forbrug af biomasse'!$A$2:$A$425,'Resultat-Produktion &amp; forbrug'!L$3,'Forbrug af biomasse'!$B$2:$B$425,$F12)</f>
        <v>4103.8061780475591</v>
      </c>
      <c r="M12" s="94">
        <f>IF(A12&lt;&gt;"Biogas",SUMIFS('Forbrug af biomasse'!$E$2:$E$425,'Forbrug af biomasse'!$C$2:$C$425,'Resultat-Produktion &amp; forbrug'!$A12,'Forbrug af biomasse'!$D$2:$D$425,'Resultat-Produktion &amp; forbrug'!$E12,'Forbrug af biomasse'!$A$2:$A$425,'Resultat-Produktion &amp; forbrug'!M$3,'Forbrug af biomasse'!$B$2:$B$425,$F12),G12)</f>
        <v>0</v>
      </c>
      <c r="N12" s="94">
        <f>SUMIFS('Forbrug af biomasse'!E:E,'Forbrug af biomasse'!C:C,'Resultat-Produktion &amp; forbrug'!$A12,'Forbrug af biomasse'!D:D,'Resultat-Produktion &amp; forbrug'!$E12,'Forbrug af biomasse'!G:G,1,'Forbrug af biomasse'!B:B,$F12)</f>
        <v>0</v>
      </c>
      <c r="O12" s="179">
        <f t="shared" si="3"/>
        <v>0</v>
      </c>
      <c r="P12" s="94">
        <f t="shared" si="4"/>
        <v>0</v>
      </c>
      <c r="Q12" s="180">
        <f t="shared" si="5"/>
        <v>4103.8061780475591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IF(A12&lt;&gt;"Biogas",IFERROR(VLOOKUP(A12,[1]Biogasudbytte!$A$2:$B$18,2,FALSE)*[1]Energiindhold!$C$10,0)*K12*IFERROR(VLOOKUP(A12,Biogasanlæg!$F$3:$G$8,2,FALSE),1)+IFERROR(VLOOKUP(A12,[1]Energiindhold!$A$2:$C$11,3,FALSE),0)*M12+IF(E12&lt;&gt;År1,R12,0),0)</f>
        <v>1.9299790074739866E-3</v>
      </c>
      <c r="T12">
        <f>IFERROR(VLOOKUP(A12,[1]Biogasudbytte!$A$2:$B$18,2,FALSE)*[1]Energiindhold!$C$10,0)*K12*IFERROR(VLOOKUP(A12,Biogasanlæg!$F$3:$G$8,2,FALSE),1)</f>
        <v>1.9299790074739866E-3</v>
      </c>
      <c r="U12" s="170">
        <f t="shared" si="6"/>
        <v>0</v>
      </c>
      <c r="V12" s="169">
        <f>P12*IFERROR(VLOOKUP(A12,[1]Tørstofindhold!A$2:B$24,2,FALSE),0)</f>
        <v>0</v>
      </c>
      <c r="W12">
        <f>IF(E12=År1,Q12,SUM(P12,Q12))*IFERROR(VLOOKUP(A12,[1]Tørstofindhold!A$2:B$24,2,FALSE),0)</f>
        <v>258.53978921699621</v>
      </c>
      <c r="X12">
        <f>K12*IFERROR(VLOOKUP(A12,[1]Tørstofindhold!A$2:B$24,2,FALSE),0)</f>
        <v>258.53978921699621</v>
      </c>
      <c r="Y12" s="170">
        <f t="shared" si="7"/>
        <v>0</v>
      </c>
      <c r="Z12">
        <f t="shared" si="1"/>
        <v>0</v>
      </c>
      <c r="AA12">
        <f t="shared" si="2"/>
        <v>0</v>
      </c>
    </row>
    <row r="13" spans="1:27" x14ac:dyDescent="0.25">
      <c r="A13" t="s">
        <v>96</v>
      </c>
      <c r="B13" s="171"/>
      <c r="C13" s="171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71">
        <v>1</v>
      </c>
      <c r="E13" s="171">
        <f t="shared" si="0"/>
        <v>2019</v>
      </c>
      <c r="F13" t="s">
        <v>23</v>
      </c>
      <c r="G13" s="94">
        <f>IF(F13="Vestdanmark",SUMIFS(IF(E13=År1,'Resultater - Vestdanmark'!H$3:H$504,IF(E13=År2,'Resultater - Vestdanmark'!I$3:I$504,'Resultater - Vestdanmark'!J$3:J$504)),'Resultater - Vestdanmark'!$F$3:$F$504,$A13,IF(E13=År1,'Resultater - Vestdanmark'!H$3:H$504,IF(E13=År2,'Resultater - Vestdanmark'!I$3:I$504,'Resultater - Vestdanmark'!J$3:J$504)),"&gt;0"),SUMIFS(IF(E13=År1,'Resultater - Østdanmark'!H$3:H$504,IF(E13=År2,'Resultater - Østdanmark'!I$3:I$504,'Resultater - Østdanmark'!J$3:J$504)),'Resultater - Østdanmark'!$F$3:$F$504,$A13,IF(E13=År1,'Resultater - Østdanmark'!H$3:H$504,IF(E13=År2,'Resultater - Østdanmark'!I$3:I$504,'Resultater - Østdanmark'!J$3:J$504)),"&gt;0"))</f>
        <v>185576.29959415729</v>
      </c>
      <c r="H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forbrug'!H$3,'Forbrug af biomasse'!$B$2:$B$425,$F13)</f>
        <v>0</v>
      </c>
      <c r="I13">
        <f>IF(F13="Vestdanmark",-IF(A13="Halm",SUMIFS(IF(E13=År1,'Resultater - Vestdanmark'!H$3:H$504,IF(E13=År2,'Resultater - Vestdanmark'!I$3:I$504,'Resultater - Vestdanmark'!J$3:J$504)),'Resultater - Vestdanmark'!$F$3:$F$504,$A13,'Resultater - Vestdanmark'!H$3:H$504,"&lt;0"),0),-IF(A13="Halm",SUMIFS(IF(E13=År1,'Resultater - Østdanmark'!H$3:H$504,IF(E13=År2,'Resultater - Østdanmark'!I$3:I$504,'Resultater - Østdanmark'!J$3:J$504)),'Resultater - Østdanmark'!$F$3:$F$504,$A13,'Resultater - Østdanmark'!H$3:H$504,"&lt;0"),0))</f>
        <v>0</v>
      </c>
      <c r="J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forbrug'!J$3,'Forbrug af biomasse'!$B$2:$B$425,$F13)</f>
        <v>34149.438191562753</v>
      </c>
      <c r="K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forbrug'!K$3,'Forbrug af biomasse'!$B$2:$B$425,$F13)</f>
        <v>0</v>
      </c>
      <c r="L13" s="94">
        <f>SUMIFS('Forbrug af biomasse'!$E$2:$E$425,'Forbrug af biomasse'!$C$2:$C$425,'Resultat-Produktion &amp; forbrug'!$A13,'Forbrug af biomasse'!$D$2:$D$425,'Resultat-Produktion &amp; forbrug'!$E13,'Forbrug af biomasse'!$A$2:$A$425,'Resultat-Produktion &amp; forbrug'!L$3,'Forbrug af biomasse'!$B$2:$B$425,$F13)</f>
        <v>0</v>
      </c>
      <c r="M13" s="94">
        <f>IF(A13&lt;&gt;"Biogas",SUMIFS('Forbrug af biomasse'!$E$2:$E$425,'Forbrug af biomasse'!$C$2:$C$425,'Resultat-Produktion &amp; forbrug'!$A13,'Forbrug af biomasse'!$D$2:$D$425,'Resultat-Produktion &amp; forbrug'!$E13,'Forbrug af biomasse'!$A$2:$A$425,'Resultat-Produktion &amp; forbrug'!M$3,'Forbrug af biomasse'!$B$2:$B$425,$F13),G13)</f>
        <v>0</v>
      </c>
      <c r="N13" s="94">
        <f>SUMIFS('Forbrug af biomasse'!E:E,'Forbrug af biomasse'!C:C,'Resultat-Produktion &amp; forbrug'!$A13,'Forbrug af biomasse'!D:D,'Resultat-Produktion &amp; forbrug'!$E13,'Forbrug af biomasse'!G:G,1,'Forbrug af biomasse'!B:B,$F13)</f>
        <v>0</v>
      </c>
      <c r="O13" s="179">
        <f t="shared" si="3"/>
        <v>151426.86140259454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IF(A13&lt;&gt;"Biogas",IFERROR(VLOOKUP(A13,[1]Biogasudbytte!$A$2:$B$18,2,FALSE)*[1]Energiindhold!$C$10,0)*K13*IFERROR(VLOOKUP(A13,Biogasanlæg!$F$3:$G$8,2,FALSE),1)+IFERROR(VLOOKUP(A13,[1]Energiindhold!$A$2:$C$11,3,FALSE),0)*M13+IF(E13&lt;&gt;År1,R13,0),0)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IF(E13=År1,Q13,SUM(P13,Q13))*IFERROR(VLOOKUP(A13,[1]Tørstofindhold!A$2:B$24,2,FALSE),0)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1"/>
        <v>0</v>
      </c>
      <c r="AA13">
        <f t="shared" si="2"/>
        <v>1</v>
      </c>
    </row>
    <row r="14" spans="1:27" x14ac:dyDescent="0.25">
      <c r="A14" t="s">
        <v>113</v>
      </c>
      <c r="B14" s="171"/>
      <c r="C14" s="171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71">
        <v>0</v>
      </c>
      <c r="E14" s="171">
        <f t="shared" si="0"/>
        <v>2019</v>
      </c>
      <c r="F14" t="s">
        <v>23</v>
      </c>
      <c r="G14" s="94">
        <f>IF(F14="Vestdanmark",SUMIFS(IF(E14=År1,'Resultater - Vestdanmark'!H$3:H$504,IF(E14=År2,'Resultater - Vestdanmark'!I$3:I$504,'Resultater - Vestdanmark'!J$3:J$504)),'Resultater - Vestdanmark'!$F$3:$F$504,$A14,IF(E14=År1,'Resultater - Vestdanmark'!H$3:H$504,IF(E14=År2,'Resultater - Vestdanmark'!I$3:I$504,'Resultater - Vestdanmark'!J$3:J$504)),"&gt;0"),SUMIFS(IF(E14=År1,'Resultater - Østdanmark'!H$3:H$504,IF(E14=År2,'Resultater - Østdanmark'!I$3:I$504,'Resultater - Østdanmark'!J$3:J$504)),'Resultater - Østdanmark'!$F$3:$F$504,$A14,IF(E14=År1,'Resultater - Østdanmark'!H$3:H$504,IF(E14=År2,'Resultater - Østdanmark'!I$3:I$504,'Resultater - Østdanmark'!J$3:J$504)),"&gt;0"))</f>
        <v>887836.84200071916</v>
      </c>
      <c r="H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forbrug'!H$3,'Forbrug af biomasse'!$B$2:$B$425,$F14)</f>
        <v>0</v>
      </c>
      <c r="I14">
        <f>IF(F14="Vestdanmark",-IF(A14="Halm",SUMIFS(IF(E14=År1,'Resultater - Vestdanmark'!H$3:H$504,IF(E14=År2,'Resultater - Vestdanmark'!I$3:I$504,'Resultater - Vestdanmark'!J$3:J$504)),'Resultater - Vestdanmark'!$F$3:$F$504,$A14,'Resultater - Vestdanmark'!H$3:H$504,"&lt;0"),0),-IF(A14="Halm",SUMIFS(IF(E14=År1,'Resultater - Østdanmark'!H$3:H$504,IF(E14=År2,'Resultater - Østdanmark'!I$3:I$504,'Resultater - Østdanmark'!J$3:J$504)),'Resultater - Østdanmark'!$F$3:$F$504,$A14,'Resultater - Østdanmark'!H$3:H$504,"&lt;0"),0))</f>
        <v>0</v>
      </c>
      <c r="J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forbrug'!J$3,'Forbrug af biomasse'!$B$2:$B$425,$F14)</f>
        <v>0</v>
      </c>
      <c r="K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forbrug'!K$3,'Forbrug af biomasse'!$B$2:$B$425,$F14)</f>
        <v>0</v>
      </c>
      <c r="L14" s="94">
        <f>SUMIFS('Forbrug af biomasse'!$E$2:$E$425,'Forbrug af biomasse'!$C$2:$C$425,'Resultat-Produktion &amp; forbrug'!$A14,'Forbrug af biomasse'!$D$2:$D$425,'Resultat-Produktion &amp; forbrug'!$E14,'Forbrug af biomasse'!$A$2:$A$425,'Resultat-Produktion &amp; forbrug'!L$3,'Forbrug af biomasse'!$B$2:$B$425,$F14)</f>
        <v>0</v>
      </c>
      <c r="M14" s="94">
        <f>IF(A14&lt;&gt;"Biogas",SUMIFS('Forbrug af biomasse'!$E$2:$E$425,'Forbrug af biomasse'!$C$2:$C$425,'Resultat-Produktion &amp; forbrug'!$A14,'Forbrug af biomasse'!$D$2:$D$425,'Resultat-Produktion &amp; forbrug'!$E14,'Forbrug af biomasse'!$A$2:$A$425,'Resultat-Produktion &amp; forbrug'!M$3,'Forbrug af biomasse'!$B$2:$B$425,$F14),G14)</f>
        <v>0</v>
      </c>
      <c r="N14" s="94">
        <f>SUMIFS('Forbrug af biomasse'!E:E,'Forbrug af biomasse'!C:C,'Resultat-Produktion &amp; forbrug'!$A14,'Forbrug af biomasse'!D:D,'Resultat-Produktion &amp; forbrug'!$E14,'Forbrug af biomasse'!G:G,1,'Forbrug af biomasse'!B:B,$F14)</f>
        <v>0</v>
      </c>
      <c r="O14" s="179">
        <f t="shared" si="3"/>
        <v>887836.84200071916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IF(A14&lt;&gt;"Biogas",IFERROR(VLOOKUP(A14,[1]Biogasudbytte!$A$2:$B$18,2,FALSE)*[1]Energiindhold!$C$10,0)*K14*IFERROR(VLOOKUP(A14,Biogasanlæg!$F$3:$G$8,2,FALSE),1)+IFERROR(VLOOKUP(A14,[1]Energiindhold!$A$2:$C$11,3,FALSE),0)*M14+IF(E14&lt;&gt;År1,R14,0),0)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IF(E14=År1,Q14,SUM(P14,Q14))*IFERROR(VLOOKUP(A14,[1]Tørstofindhold!A$2:B$24,2,FALSE),0)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1"/>
        <v>0</v>
      </c>
      <c r="AA14">
        <f t="shared" si="2"/>
        <v>1</v>
      </c>
    </row>
    <row r="15" spans="1:27" x14ac:dyDescent="0.25">
      <c r="A15" t="s">
        <v>54</v>
      </c>
      <c r="B15" s="171"/>
      <c r="C15" s="171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0</v>
      </c>
      <c r="D15" s="171">
        <v>1</v>
      </c>
      <c r="E15" s="171">
        <f t="shared" si="0"/>
        <v>2019</v>
      </c>
      <c r="F15" t="s">
        <v>23</v>
      </c>
      <c r="G15" s="94">
        <f>IF(F15="Vestdanmark",SUMIFS(IF(E15=År1,'Resultater - Vestdanmark'!H$3:H$504,IF(E15=År2,'Resultater - Vestdanmark'!I$3:I$504,'Resultater - Vestdanmark'!J$3:J$504)),'Resultater - Vestdanmark'!$F$3:$F$504,$A15,IF(E15=År1,'Resultater - Vestdanmark'!H$3:H$504,IF(E15=År2,'Resultater - Vestdanmark'!I$3:I$504,'Resultater - Vestdanmark'!J$3:J$504)),"&gt;0"),SUMIFS(IF(E15=År1,'Resultater - Østdanmark'!H$3:H$504,IF(E15=År2,'Resultater - Østdanmark'!I$3:I$504,'Resultater - Østdanmark'!J$3:J$504)),'Resultater - Østdanmark'!$F$3:$F$504,$A15,IF(E15=År1,'Resultater - Østdanmark'!H$3:H$504,IF(E15=År2,'Resultater - Østdanmark'!I$3:I$504,'Resultater - Østdanmark'!J$3:J$504)),"&gt;0"))</f>
        <v>25948.722839676255</v>
      </c>
      <c r="H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forbrug'!H$3,'Forbrug af biomasse'!$B$2:$B$425,$F15)</f>
        <v>0</v>
      </c>
      <c r="I15">
        <f>IF(F15="Vestdanmark",-IF(A15="Halm",SUMIFS(IF(E15=År1,'Resultater - Vestdanmark'!H$3:H$504,IF(E15=År2,'Resultater - Vestdanmark'!I$3:I$504,'Resultater - Vestdanmark'!J$3:J$504)),'Resultater - Vestdanmark'!$F$3:$F$504,$A15,'Resultater - Vestdanmark'!H$3:H$504,"&lt;0"),0),-IF(A15="Halm",SUMIFS(IF(E15=År1,'Resultater - Østdanmark'!H$3:H$504,IF(E15=År2,'Resultater - Østdanmark'!I$3:I$504,'Resultater - Østdanmark'!J$3:J$504)),'Resultater - Østdanmark'!$F$3:$F$504,$A15,'Resultater - Østdanmark'!H$3:H$504,"&lt;0"),0))</f>
        <v>0</v>
      </c>
      <c r="J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forbrug'!J$3,'Forbrug af biomasse'!$B$2:$B$425,$F15)</f>
        <v>249553.58678449702</v>
      </c>
      <c r="K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forbrug'!K$3,'Forbrug af biomasse'!$B$2:$B$425,$F15)</f>
        <v>0</v>
      </c>
      <c r="L15" s="94">
        <f>SUMIFS('Forbrug af biomasse'!$E$2:$E$425,'Forbrug af biomasse'!$C$2:$C$425,'Resultat-Produktion &amp; forbrug'!$A15,'Forbrug af biomasse'!$D$2:$D$425,'Resultat-Produktion &amp; forbrug'!$E15,'Forbrug af biomasse'!$A$2:$A$425,'Resultat-Produktion &amp; forbrug'!L$3,'Forbrug af biomasse'!$B$2:$B$425,$F15)</f>
        <v>0</v>
      </c>
      <c r="M15" s="94">
        <f>IF(A15&lt;&gt;"Biogas",SUMIFS('Forbrug af biomasse'!$E$2:$E$425,'Forbrug af biomasse'!$C$2:$C$425,'Resultat-Produktion &amp; forbrug'!$A15,'Forbrug af biomasse'!$D$2:$D$425,'Resultat-Produktion &amp; forbrug'!$E15,'Forbrug af biomasse'!$A$2:$A$425,'Resultat-Produktion &amp; forbrug'!M$3,'Forbrug af biomasse'!$B$2:$B$425,$F15),G15)</f>
        <v>0</v>
      </c>
      <c r="N15" s="94">
        <f>SUMIFS('Forbrug af biomasse'!E:E,'Forbrug af biomasse'!C:C,'Resultat-Produktion &amp; forbrug'!$A15,'Forbrug af biomasse'!D:D,'Resultat-Produktion &amp; forbrug'!$E15,'Forbrug af biomasse'!G:G,1,'Forbrug af biomasse'!B:B,$F15)</f>
        <v>0</v>
      </c>
      <c r="O15" s="179">
        <f t="shared" si="3"/>
        <v>-223604.86394482077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IF(A15&lt;&gt;"Biogas",IFERROR(VLOOKUP(A15,[1]Biogasudbytte!$A$2:$B$18,2,FALSE)*[1]Energiindhold!$C$10,0)*K15*IFERROR(VLOOKUP(A15,Biogasanlæg!$F$3:$G$8,2,FALSE),1)+IFERROR(VLOOKUP(A15,[1]Energiindhold!$A$2:$C$11,3,FALSE),0)*M15+IF(E15&lt;&gt;År1,R15,0),0)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IF(E15=År1,Q15,SUM(P15,Q15))*IFERROR(VLOOKUP(A15,[1]Tørstofindhold!A$2:B$24,2,FALSE),0)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1"/>
        <v>1</v>
      </c>
      <c r="AA15">
        <f t="shared" si="2"/>
        <v>0</v>
      </c>
    </row>
    <row r="16" spans="1:27" x14ac:dyDescent="0.25">
      <c r="A16" s="171" t="s">
        <v>158</v>
      </c>
      <c r="B16" s="171" t="s">
        <v>158</v>
      </c>
      <c r="C16" s="171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71">
        <v>0</v>
      </c>
      <c r="E16" s="171">
        <f t="shared" si="0"/>
        <v>2019</v>
      </c>
      <c r="F16" t="s">
        <v>23</v>
      </c>
      <c r="G16" s="94">
        <f>IF(F16="Vestdanmark",SUMIFS(IF(E16=År1,'Resultater - Vestdanmark'!H$3:H$504,IF(E16=År2,'Resultater - Vestdanmark'!I$3:I$504,'Resultater - Vestdanmark'!J$3:J$504)),'Resultater - Vestdanmark'!$F$3:$F$504,$A16,IF(E16=År1,'Resultater - Vestdanmark'!H$3:H$504,IF(E16=År2,'Resultater - Vestdanmark'!I$3:I$504,'Resultater - Vestdanmark'!J$3:J$504)),"&gt;0"),SUMIFS(IF(E16=År1,'Resultater - Østdanmark'!H$3:H$504,IF(E16=År2,'Resultater - Østdanmark'!I$3:I$504,'Resultater - Østdanmark'!J$3:J$504)),'Resultater - Østdanmark'!$F$3:$F$504,$A16,IF(E16=År1,'Resultater - Østdanmark'!H$3:H$504,IF(E16=År2,'Resultater - Østdanmark'!I$3:I$504,'Resultater - Østdanmark'!J$3:J$504)),"&gt;0"))</f>
        <v>0</v>
      </c>
      <c r="H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forbrug'!H$3,'Forbrug af biomasse'!$B$2:$B$425,$F16)</f>
        <v>0</v>
      </c>
      <c r="I16">
        <f>IF(F16="Vestdanmark",-IF(A16="Halm",SUMIFS(IF(E16=År1,'Resultater - Vestdanmark'!H$3:H$504,IF(E16=År2,'Resultater - Vestdanmark'!I$3:I$504,'Resultater - Vestdanmark'!J$3:J$504)),'Resultater - Vestdanmark'!$F$3:$F$504,$A16,'Resultater - Vestdanmark'!H$3:H$504,"&lt;0"),0),-IF(A16="Halm",SUMIFS(IF(E16=År1,'Resultater - Østdanmark'!H$3:H$504,IF(E16=År2,'Resultater - Østdanmark'!I$3:I$504,'Resultater - Østdanmark'!J$3:J$504)),'Resultater - Østdanmark'!$F$3:$F$504,$A16,'Resultater - Østdanmark'!H$3:H$504,"&lt;0"),0))</f>
        <v>0</v>
      </c>
      <c r="J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forbrug'!J$3,'Forbrug af biomasse'!$B$2:$B$425,$F16)</f>
        <v>0</v>
      </c>
      <c r="K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forbrug'!K$3,'Forbrug af biomasse'!$B$2:$B$425,$F16)</f>
        <v>114193.60000000001</v>
      </c>
      <c r="L16" s="94">
        <f>SUMIFS('Forbrug af biomasse'!$E$2:$E$425,'Forbrug af biomasse'!$C$2:$C$425,'Resultat-Produktion &amp; forbrug'!$A16,'Forbrug af biomasse'!$D$2:$D$425,'Resultat-Produktion &amp; forbrug'!$E16,'Forbrug af biomasse'!$A$2:$A$425,'Resultat-Produktion &amp; forbrug'!L$3,'Forbrug af biomasse'!$B$2:$B$425,$F16)</f>
        <v>0</v>
      </c>
      <c r="M16" s="94">
        <f>IF(A16&lt;&gt;"Biogas",SUMIFS('Forbrug af biomasse'!$E$2:$E$425,'Forbrug af biomasse'!$C$2:$C$425,'Resultat-Produktion &amp; forbrug'!$A16,'Forbrug af biomasse'!$D$2:$D$425,'Resultat-Produktion &amp; forbrug'!$E16,'Forbrug af biomasse'!$A$2:$A$425,'Resultat-Produktion &amp; forbrug'!M$3,'Forbrug af biomasse'!$B$2:$B$425,$F16),G16)</f>
        <v>0</v>
      </c>
      <c r="N16" s="94">
        <f>SUMIFS('Forbrug af biomasse'!E:E,'Forbrug af biomasse'!C:C,'Resultat-Produktion &amp; forbrug'!$A16,'Forbrug af biomasse'!D:D,'Resultat-Produktion &amp; forbrug'!$E16,'Forbrug af biomasse'!G:G,1,'Forbrug af biomasse'!B:B,$F16)</f>
        <v>0</v>
      </c>
      <c r="O16" s="179">
        <f t="shared" si="3"/>
        <v>-114193.60000000001</v>
      </c>
      <c r="P16" s="94">
        <f t="shared" si="4"/>
        <v>0</v>
      </c>
      <c r="Q16" s="180">
        <f t="shared" si="5"/>
        <v>114193.60000000001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IF(A16&lt;&gt;"Biogas",IFERROR(VLOOKUP(A16,[1]Biogasudbytte!$A$2:$B$18,2,FALSE)*[1]Energiindhold!$C$10,0)*K16*IFERROR(VLOOKUP(A16,Biogasanlæg!$F$3:$G$8,2,FALSE),1)+IFERROR(VLOOKUP(A16,[1]Energiindhold!$A$2:$C$11,3,FALSE),0)*M16+IF(E16&lt;&gt;År1,R16,0),0)</f>
        <v>1.7355855896064003</v>
      </c>
      <c r="T16">
        <f>IFERROR(VLOOKUP(A16,[1]Biogasudbytte!$A$2:$B$18,2,FALSE)*[1]Energiindhold!$C$10,0)*K16*IFERROR(VLOOKUP(A16,Biogasanlæg!$F$3:$G$8,2,FALSE),1)</f>
        <v>1.7355855896064003</v>
      </c>
      <c r="U16" s="170">
        <f t="shared" si="6"/>
        <v>0</v>
      </c>
      <c r="V16" s="169">
        <f>P16*IFERROR(VLOOKUP(A16,[1]Tørstofindhold!A$2:B$24,2,FALSE),0)</f>
        <v>0</v>
      </c>
      <c r="W16">
        <f>IF(E16=År1,Q16,SUM(P16,Q16))*IFERROR(VLOOKUP(A16,[1]Tørstofindhold!A$2:B$24,2,FALSE),0)</f>
        <v>102774.24</v>
      </c>
      <c r="X16">
        <f>K16*IFERROR(VLOOKUP(A16,[1]Tørstofindhold!A$2:B$24,2,FALSE),0)</f>
        <v>102774.24</v>
      </c>
      <c r="Y16" s="170">
        <f t="shared" si="7"/>
        <v>0</v>
      </c>
      <c r="Z16">
        <f t="shared" si="1"/>
        <v>1</v>
      </c>
      <c r="AA16">
        <f t="shared" si="2"/>
        <v>0</v>
      </c>
    </row>
    <row r="17" spans="1:27" x14ac:dyDescent="0.25">
      <c r="A17" s="171" t="s">
        <v>51</v>
      </c>
      <c r="B17" s="171" t="s">
        <v>223</v>
      </c>
      <c r="C17" s="171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1</v>
      </c>
      <c r="D17" s="171">
        <v>0</v>
      </c>
      <c r="E17" s="171">
        <f t="shared" ref="E17:E51" si="8">År1</f>
        <v>2019</v>
      </c>
      <c r="F17" t="s">
        <v>23</v>
      </c>
      <c r="G17" s="94">
        <f>IF(F17="Vestdanmark",SUMIFS(IF(E17=År1,'Resultater - Vestdanmark'!H$3:H$504,IF(E17=År2,'Resultater - Vestdanmark'!I$3:I$504,'Resultater - Vestdanmark'!J$3:J$504)),'Resultater - Vestdanmark'!$F$3:$F$504,$A17,IF(E17=År1,'Resultater - Vestdanmark'!H$3:H$504,IF(E17=År2,'Resultater - Vestdanmark'!I$3:I$504,'Resultater - Vestdanmark'!J$3:J$504)),"&gt;0"),SUMIFS(IF(E17=År1,'Resultater - Østdanmark'!H$3:H$504,IF(E17=År2,'Resultater - Østdanmark'!I$3:I$504,'Resultater - Østdanmark'!J$3:J$504)),'Resultater - Østdanmark'!$F$3:$F$504,$A17,IF(E17=År1,'Resultater - Østdanmark'!H$3:H$504,IF(E17=År2,'Resultater - Østdanmark'!I$3:I$504,'Resultater - Østdanmark'!J$3:J$504)),"&gt;0"))</f>
        <v>15764158.337739769</v>
      </c>
      <c r="H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forbrug'!H$3,'Forbrug af biomasse'!$B$2:$B$425,$F17)</f>
        <v>12237689.9092583</v>
      </c>
      <c r="I17">
        <f>IF(F17="Vestdanmark",-IF(A17="Halm",SUMIFS(IF(E17=År1,'Resultater - Vestdanmark'!H$3:H$504,IF(E17=År2,'Resultater - Vestdanmark'!I$3:I$504,'Resultater - Vestdanmark'!J$3:J$504)),'Resultater - Vestdanmark'!$F$3:$F$504,$A17,'Resultater - Vestdanmark'!H$3:H$504,"&lt;0"),0),-IF(A17="Halm",SUMIFS(IF(E17=År1,'Resultater - Østdanmark'!H$3:H$504,IF(E17=År2,'Resultater - Østdanmark'!I$3:I$504,'Resultater - Østdanmark'!J$3:J$504)),'Resultater - Østdanmark'!$F$3:$F$504,$A17,'Resultater - Østdanmark'!H$3:H$504,"&lt;0"),0))</f>
        <v>0</v>
      </c>
      <c r="J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forbrug'!J$3,'Forbrug af biomasse'!$B$2:$B$425,$F17)</f>
        <v>0</v>
      </c>
      <c r="K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forbrug'!K$3,'Forbrug af biomasse'!$B$2:$B$425,$F17)</f>
        <v>75399.16825098735</v>
      </c>
      <c r="L17" s="94">
        <f>SUMIFS('Forbrug af biomasse'!$E$2:$E$425,'Forbrug af biomasse'!$C$2:$C$425,'Resultat-Produktion &amp; forbrug'!$A17,'Forbrug af biomasse'!$D$2:$D$425,'Resultat-Produktion &amp; forbrug'!$E17,'Forbrug af biomasse'!$A$2:$A$425,'Resultat-Produktion &amp; forbrug'!L$3,'Forbrug af biomasse'!$B$2:$B$425,$F17)</f>
        <v>0</v>
      </c>
      <c r="M17" s="94">
        <f>IF(A17&lt;&gt;"Biogas",SUMIFS('Forbrug af biomasse'!$E$2:$E$425,'Forbrug af biomasse'!$C$2:$C$425,'Resultat-Produktion &amp; forbrug'!$A17,'Forbrug af biomasse'!$D$2:$D$425,'Resultat-Produktion &amp; forbrug'!$E17,'Forbrug af biomasse'!$A$2:$A$425,'Resultat-Produktion &amp; forbrug'!M$3,'Forbrug af biomasse'!$B$2:$B$425,$F17),G17)</f>
        <v>0</v>
      </c>
      <c r="N17" s="94">
        <f>SUMIFS('Forbrug af biomasse'!E:E,'Forbrug af biomasse'!C:C,'Resultat-Produktion &amp; forbrug'!$A17,'Forbrug af biomasse'!D:D,'Resultat-Produktion &amp; forbrug'!$E17,'Forbrug af biomasse'!G:G,1,'Forbrug af biomasse'!B:B,$F17)</f>
        <v>0</v>
      </c>
      <c r="O17" s="179">
        <f t="shared" ref="O17:O82" si="9">G17-SUM(H17:N17)</f>
        <v>3451069.2602304816</v>
      </c>
      <c r="P17" s="94">
        <f t="shared" si="4"/>
        <v>3451069.2602304816</v>
      </c>
      <c r="Q17" s="180">
        <f t="shared" ref="Q17:Q82" si="10">SUM(K17,M17)</f>
        <v>75399.16825098735</v>
      </c>
      <c r="R17">
        <f>IFERROR(VLOOKUP(A17,[1]Energiindhold!$A$2:$C$11,3,FALSE),IFERROR(VLOOKUP(A17,[1]Biogasudbytte!$A$2:$B$18,2,FALSE)*[1]Energiindhold!$C$10,0))*P17</f>
        <v>6.3495360551665581</v>
      </c>
      <c r="S17">
        <f>IF(A17&lt;&gt;"Biogas",IFERROR(VLOOKUP(A17,[1]Biogasudbytte!$A$2:$B$18,2,FALSE)*[1]Energiindhold!$C$10,0)*K17*IFERROR(VLOOKUP(A17,Biogasanlæg!$F$3:$G$8,2,FALSE),1)+IFERROR(VLOOKUP(A17,[1]Energiindhold!$A$2:$C$11,3,FALSE),0)*M17+IF(E17&lt;&gt;År1,R17,0),0)</f>
        <v>0.13872504468578536</v>
      </c>
      <c r="T17">
        <f>IFERROR(VLOOKUP(A17,[1]Biogasudbytte!$A$2:$B$18,2,FALSE)*[1]Energiindhold!$C$10,0)*K17*IFERROR(VLOOKUP(A17,Biogasanlæg!$F$3:$G$8,2,FALSE),1)</f>
        <v>0.13872504468578536</v>
      </c>
      <c r="U17" s="170">
        <f t="shared" ref="U17:U82" si="11">S17-T17</f>
        <v>0</v>
      </c>
      <c r="V17" s="169">
        <f>P17*IFERROR(VLOOKUP(A17,[1]Tørstofindhold!A$2:B$24,2,FALSE),0)</f>
        <v>966299.39286453498</v>
      </c>
      <c r="W17">
        <f>IF(E17=År1,Q17,SUM(P17,Q17))*IFERROR(VLOOKUP(A17,[1]Tørstofindhold!A$2:B$24,2,FALSE),0)</f>
        <v>21111.767110276462</v>
      </c>
      <c r="X17">
        <f>K17*IFERROR(VLOOKUP(A17,[1]Tørstofindhold!A$2:B$24,2,FALSE),0)</f>
        <v>21111.767110276462</v>
      </c>
      <c r="Y17" s="170">
        <f t="shared" ref="Y17:Y82" si="12">W17-X17</f>
        <v>0</v>
      </c>
      <c r="Z17">
        <f t="shared" si="1"/>
        <v>0</v>
      </c>
      <c r="AA17">
        <f t="shared" si="2"/>
        <v>1</v>
      </c>
    </row>
    <row r="18" spans="1:27" x14ac:dyDescent="0.25">
      <c r="A18" s="171" t="s">
        <v>202</v>
      </c>
      <c r="B18" s="171"/>
      <c r="C18" s="171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71">
        <v>0</v>
      </c>
      <c r="E18" s="171">
        <f t="shared" si="8"/>
        <v>2019</v>
      </c>
      <c r="F18" t="s">
        <v>23</v>
      </c>
      <c r="G18" s="94">
        <f>IF(F18="Vestdanmark",SUMIFS(IF(E18=År1,'Resultater - Vestdanmark'!H$3:H$504,IF(E18=År2,'Resultater - Vestdanmark'!I$3:I$504,'Resultater - Vestdanmark'!J$3:J$504)),'Resultater - Vestdanmark'!$F$3:$F$504,$A18,IF(E18=År1,'Resultater - Vestdanmark'!H$3:H$504,IF(E18=År2,'Resultater - Vestdanmark'!I$3:I$504,'Resultater - Vestdanmark'!J$3:J$504)),"&gt;0"),SUMIFS(IF(E18=År1,'Resultater - Østdanmark'!H$3:H$504,IF(E18=År2,'Resultater - Østdanmark'!I$3:I$504,'Resultater - Østdanmark'!J$3:J$504)),'Resultater - Østdanmark'!$F$3:$F$504,$A18,IF(E18=År1,'Resultater - Østdanmark'!H$3:H$504,IF(E18=År2,'Resultater - Østdanmark'!I$3:I$504,'Resultater - Østdanmark'!J$3:J$504)),"&gt;0"))</f>
        <v>0</v>
      </c>
      <c r="H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forbrug'!H$3,'Forbrug af biomasse'!$B$2:$B$425,$F18)</f>
        <v>0</v>
      </c>
      <c r="I18">
        <f>IF(F18="Vestdanmark",-IF(A18="Halm",SUMIFS(IF(E18=År1,'Resultater - Vestdanmark'!H$3:H$504,IF(E18=År2,'Resultater - Vestdanmark'!I$3:I$504,'Resultater - Vestdanmark'!J$3:J$504)),'Resultater - Vestdanmark'!$F$3:$F$504,$A18,'Resultater - Vestdanmark'!H$3:H$504,"&lt;0"),0),-IF(A18="Halm",SUMIFS(IF(E18=År1,'Resultater - Østdanmark'!H$3:H$504,IF(E18=År2,'Resultater - Østdanmark'!I$3:I$504,'Resultater - Østdanmark'!J$3:J$504)),'Resultater - Østdanmark'!$F$3:$F$504,$A18,'Resultater - Østdanmark'!H$3:H$504,"&lt;0"),0))</f>
        <v>0</v>
      </c>
      <c r="J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forbrug'!J$3,'Forbrug af biomasse'!$B$2:$B$425,$F18)</f>
        <v>0</v>
      </c>
      <c r="K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forbrug'!K$3,'Forbrug af biomasse'!$B$2:$B$425,$F18)</f>
        <v>0</v>
      </c>
      <c r="L18" s="94">
        <f>SUMIFS('Forbrug af biomasse'!$E$2:$E$425,'Forbrug af biomasse'!$C$2:$C$425,'Resultat-Produktion &amp; forbrug'!$A18,'Forbrug af biomasse'!$D$2:$D$425,'Resultat-Produktion &amp; forbrug'!$E18,'Forbrug af biomasse'!$A$2:$A$425,'Resultat-Produktion &amp; forbrug'!L$3,'Forbrug af biomasse'!$B$2:$B$425,$F18)</f>
        <v>0</v>
      </c>
      <c r="M18" s="94">
        <f>IF(A18&lt;&gt;"Biogas",SUMIFS('Forbrug af biomasse'!$E$2:$E$425,'Forbrug af biomasse'!$C$2:$C$425,'Resultat-Produktion &amp; forbrug'!$A18,'Forbrug af biomasse'!$D$2:$D$425,'Resultat-Produktion &amp; forbrug'!$E18,'Forbrug af biomasse'!$A$2:$A$425,'Resultat-Produktion &amp; forbrug'!M$3,'Forbrug af biomasse'!$B$2:$B$425,$F18),G18)</f>
        <v>0</v>
      </c>
      <c r="N18" s="94">
        <f>SUMIFS('Forbrug af biomasse'!E:E,'Forbrug af biomasse'!C:C,'Resultat-Produktion &amp; forbrug'!$A18,'Forbrug af biomasse'!D:D,'Resultat-Produktion &amp; forbrug'!$E18,'Forbrug af biomasse'!G:G,1,'Forbrug af biomasse'!B:B,$F18)</f>
        <v>0</v>
      </c>
      <c r="O18" s="179">
        <f t="shared" si="9"/>
        <v>0</v>
      </c>
      <c r="P18" s="94">
        <f t="shared" si="4"/>
        <v>0</v>
      </c>
      <c r="Q18" s="180">
        <f t="shared" si="10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IF(A18&lt;&gt;"Biogas",IFERROR(VLOOKUP(A18,[1]Biogasudbytte!$A$2:$B$18,2,FALSE)*[1]Energiindhold!$C$10,0)*K18*IFERROR(VLOOKUP(A18,Biogasanlæg!$F$3:$G$8,2,FALSE),1)+IFERROR(VLOOKUP(A18,[1]Energiindhold!$A$2:$C$11,3,FALSE),0)*M18+IF(E18&lt;&gt;År1,R18,0),0)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11"/>
        <v>0</v>
      </c>
      <c r="V18" s="169">
        <f>P18*IFERROR(VLOOKUP(A18,[1]Tørstofindhold!A$2:B$24,2,FALSE),0)</f>
        <v>0</v>
      </c>
      <c r="W18">
        <f>IF(E18=År1,Q18,SUM(P18,Q18))*IFERROR(VLOOKUP(A18,[1]Tørstofindhold!A$2:B$24,2,FALSE),0)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12"/>
        <v>0</v>
      </c>
      <c r="Z18">
        <f t="shared" si="1"/>
        <v>0</v>
      </c>
      <c r="AA18">
        <f t="shared" si="2"/>
        <v>0</v>
      </c>
    </row>
    <row r="19" spans="1:27" x14ac:dyDescent="0.25">
      <c r="A19" s="171" t="s">
        <v>6</v>
      </c>
      <c r="B19" s="171"/>
      <c r="C19" s="171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0</v>
      </c>
      <c r="D19" s="171">
        <v>1</v>
      </c>
      <c r="E19" s="171">
        <f t="shared" si="8"/>
        <v>2019</v>
      </c>
      <c r="F19" t="s">
        <v>23</v>
      </c>
      <c r="G19" s="94">
        <f>IF(F19="Vestdanmark",SUMIFS(IF(E19=År1,'Resultater - Vestdanmark'!H$3:H$504,IF(E19=År2,'Resultater - Vestdanmark'!I$3:I$504,'Resultater - Vestdanmark'!J$3:J$504)),'Resultater - Vestdanmark'!$F$3:$F$504,$A19,IF(E19=År1,'Resultater - Vestdanmark'!H$3:H$504,IF(E19=År2,'Resultater - Vestdanmark'!I$3:I$504,'Resultater - Vestdanmark'!J$3:J$504)),"&gt;0"),SUMIFS(IF(E19=År1,'Resultater - Østdanmark'!H$3:H$504,IF(E19=År2,'Resultater - Østdanmark'!I$3:I$504,'Resultater - Østdanmark'!J$3:J$504)),'Resultater - Østdanmark'!$F$3:$F$504,$A19,IF(E19=År1,'Resultater - Østdanmark'!H$3:H$504,IF(E19=År2,'Resultater - Østdanmark'!I$3:I$504,'Resultater - Østdanmark'!J$3:J$504)),"&gt;0"))</f>
        <v>185022.9677154524</v>
      </c>
      <c r="H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forbrug'!H$3,'Forbrug af biomasse'!$B$2:$B$425,$F19)</f>
        <v>0</v>
      </c>
      <c r="I19">
        <f>IF(F19="Vestdanmark",-IF(A19="Halm",SUMIFS(IF(E19=År1,'Resultater - Vestdanmark'!H$3:H$504,IF(E19=År2,'Resultater - Vestdanmark'!I$3:I$504,'Resultater - Vestdanmark'!J$3:J$504)),'Resultater - Vestdanmark'!$F$3:$F$504,$A19,'Resultater - Vestdanmark'!H$3:H$504,"&lt;0"),0),-IF(A19="Halm",SUMIFS(IF(E19=År1,'Resultater - Østdanmark'!H$3:H$504,IF(E19=År2,'Resultater - Østdanmark'!I$3:I$504,'Resultater - Østdanmark'!J$3:J$504)),'Resultater - Østdanmark'!$F$3:$F$504,$A19,'Resultater - Østdanmark'!H$3:H$504,"&lt;0"),0))</f>
        <v>0</v>
      </c>
      <c r="J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forbrug'!J$3,'Forbrug af biomasse'!$B$2:$B$425,$F19)</f>
        <v>261374.54615849949</v>
      </c>
      <c r="K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forbrug'!K$3,'Forbrug af biomasse'!$B$2:$B$425,$F19)</f>
        <v>0</v>
      </c>
      <c r="L19" s="94">
        <f>SUMIFS('Forbrug af biomasse'!$E$2:$E$425,'Forbrug af biomasse'!$C$2:$C$425,'Resultat-Produktion &amp; forbrug'!$A19,'Forbrug af biomasse'!$D$2:$D$425,'Resultat-Produktion &amp; forbrug'!$E19,'Forbrug af biomasse'!$A$2:$A$425,'Resultat-Produktion &amp; forbrug'!L$3,'Forbrug af biomasse'!$B$2:$B$425,$F19)</f>
        <v>0</v>
      </c>
      <c r="M19" s="94">
        <f>IF(A19&lt;&gt;"Biogas",SUMIFS('Forbrug af biomasse'!$E$2:$E$425,'Forbrug af biomasse'!$C$2:$C$425,'Resultat-Produktion &amp; forbrug'!$A19,'Forbrug af biomasse'!$D$2:$D$425,'Resultat-Produktion &amp; forbrug'!$E19,'Forbrug af biomasse'!$A$2:$A$425,'Resultat-Produktion &amp; forbrug'!M$3,'Forbrug af biomasse'!$B$2:$B$425,$F19),G19)</f>
        <v>0</v>
      </c>
      <c r="N19" s="94">
        <f>SUMIFS('Forbrug af biomasse'!E:E,'Forbrug af biomasse'!C:C,'Resultat-Produktion &amp; forbrug'!$A19,'Forbrug af biomasse'!D:D,'Resultat-Produktion &amp; forbrug'!$E19,'Forbrug af biomasse'!G:G,1,'Forbrug af biomasse'!B:B,$F19)</f>
        <v>0</v>
      </c>
      <c r="O19" s="179">
        <f t="shared" si="9"/>
        <v>-76351.578443047096</v>
      </c>
      <c r="P19" s="94">
        <f t="shared" si="4"/>
        <v>0</v>
      </c>
      <c r="Q19" s="180">
        <f t="shared" si="10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IF(A19&lt;&gt;"Biogas",IFERROR(VLOOKUP(A19,[1]Biogasudbytte!$A$2:$B$18,2,FALSE)*[1]Energiindhold!$C$10,0)*K19*IFERROR(VLOOKUP(A19,Biogasanlæg!$F$3:$G$8,2,FALSE),1)+IFERROR(VLOOKUP(A19,[1]Energiindhold!$A$2:$C$11,3,FALSE),0)*M19+IF(E19&lt;&gt;År1,R19,0),0)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11"/>
        <v>0</v>
      </c>
      <c r="V19" s="169">
        <f>P19*IFERROR(VLOOKUP(A19,[1]Tørstofindhold!A$2:B$24,2,FALSE),0)</f>
        <v>0</v>
      </c>
      <c r="W19">
        <f>IF(E19=År1,Q19,SUM(P19,Q19))*IFERROR(VLOOKUP(A19,[1]Tørstofindhold!A$2:B$24,2,FALSE),0)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12"/>
        <v>0</v>
      </c>
      <c r="Z19">
        <f t="shared" si="1"/>
        <v>0</v>
      </c>
      <c r="AA19">
        <f t="shared" si="2"/>
        <v>1</v>
      </c>
    </row>
    <row r="20" spans="1:27" x14ac:dyDescent="0.25">
      <c r="A20" s="171" t="s">
        <v>67</v>
      </c>
      <c r="B20" s="171" t="s">
        <v>226</v>
      </c>
      <c r="C20" s="171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71">
        <v>0</v>
      </c>
      <c r="E20" s="171">
        <f t="shared" si="8"/>
        <v>2019</v>
      </c>
      <c r="F20" t="s">
        <v>23</v>
      </c>
      <c r="G20" s="94">
        <f>IF(F20="Vestdanmark",SUMIFS(IF(E20=År1,'Resultater - Vestdanmark'!H$3:H$504,IF(E20=År2,'Resultater - Vestdanmark'!I$3:I$504,'Resultater - Vestdanmark'!J$3:J$504)),'Resultater - Vestdanmark'!$F$3:$F$504,$A20,IF(E20=År1,'Resultater - Vestdanmark'!H$3:H$504,IF(E20=År2,'Resultater - Vestdanmark'!I$3:I$504,'Resultater - Vestdanmark'!J$3:J$504)),"&gt;0"),SUMIFS(IF(E20=År1,'Resultater - Østdanmark'!H$3:H$504,IF(E20=År2,'Resultater - Østdanmark'!I$3:I$504,'Resultater - Østdanmark'!J$3:J$504)),'Resultater - Østdanmark'!$F$3:$F$504,$A20,IF(E20=År1,'Resultater - Østdanmark'!H$3:H$504,IF(E20=År2,'Resultater - Østdanmark'!I$3:I$504,'Resultater - Østdanmark'!J$3:J$504)),"&gt;0"))</f>
        <v>2717336.5701075909</v>
      </c>
      <c r="H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forbrug'!H$3,'Forbrug af biomasse'!$B$2:$B$425,$F20)</f>
        <v>773085.89354292618</v>
      </c>
      <c r="I20">
        <f>IF(F20="Vestdanmark",-IF(A20="Halm",SUMIFS(IF(E20=År1,'Resultater - Vestdanmark'!H$3:H$504,IF(E20=År2,'Resultater - Vestdanmark'!I$3:I$504,'Resultater - Vestdanmark'!J$3:J$504)),'Resultater - Vestdanmark'!$F$3:$F$504,$A20,'Resultater - Vestdanmark'!H$3:H$504,"&lt;0"),0),-IF(A20="Halm",SUMIFS(IF(E20=År1,'Resultater - Østdanmark'!H$3:H$504,IF(E20=År2,'Resultater - Østdanmark'!I$3:I$504,'Resultater - Østdanmark'!J$3:J$504)),'Resultater - Østdanmark'!$F$3:$F$504,$A20,'Resultater - Østdanmark'!H$3:H$504,"&lt;0"),0))</f>
        <v>728216.84089200001</v>
      </c>
      <c r="J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forbrug'!J$3,'Forbrug af biomasse'!$B$2:$B$425,$F20)</f>
        <v>0</v>
      </c>
      <c r="K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forbrug'!K$3,'Forbrug af biomasse'!$B$2:$B$425,$F20)</f>
        <v>53194.904606816119</v>
      </c>
      <c r="L20" s="94">
        <f>SUMIFS('Forbrug af biomasse'!$E$2:$E$425,'Forbrug af biomasse'!$C$2:$C$425,'Resultat-Produktion &amp; forbrug'!$A20,'Forbrug af biomasse'!$D$2:$D$425,'Resultat-Produktion &amp; forbrug'!$E20,'Forbrug af biomasse'!$A$2:$A$425,'Resultat-Produktion &amp; forbrug'!L$3,'Forbrug af biomasse'!$B$2:$B$425,$F20)</f>
        <v>0</v>
      </c>
      <c r="M20" s="94">
        <f>IF(A20&lt;&gt;"Biogas",SUMIFS('Forbrug af biomasse'!$E$2:$E$425,'Forbrug af biomasse'!$C$2:$C$425,'Resultat-Produktion &amp; forbrug'!$A20,'Forbrug af biomasse'!$D$2:$D$425,'Resultat-Produktion &amp; forbrug'!$E20,'Forbrug af biomasse'!$A$2:$A$425,'Resultat-Produktion &amp; forbrug'!M$3,'Forbrug af biomasse'!$B$2:$B$425,$F20),G20)</f>
        <v>1162838.9310658472</v>
      </c>
      <c r="N20" s="94">
        <f>SUMIFS('Forbrug af biomasse'!E:E,'Forbrug af biomasse'!C:C,'Resultat-Produktion &amp; forbrug'!$A20,'Forbrug af biomasse'!D:D,'Resultat-Produktion &amp; forbrug'!$E20,'Forbrug af biomasse'!G:G,1,'Forbrug af biomasse'!B:B,$F20)</f>
        <v>0</v>
      </c>
      <c r="O20" s="179">
        <f t="shared" si="9"/>
        <v>0</v>
      </c>
      <c r="P20" s="94">
        <f t="shared" si="4"/>
        <v>0</v>
      </c>
      <c r="Q20" s="180">
        <f t="shared" si="10"/>
        <v>1216033.8356726633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IF(A20&lt;&gt;"Biogas",IFERROR(VLOOKUP(A20,[1]Biogasudbytte!$A$2:$B$18,2,FALSE)*[1]Energiindhold!$C$10,0)*K20*IFERROR(VLOOKUP(A20,Biogasanlæg!$F$3:$G$8,2,FALSE),1)+IFERROR(VLOOKUP(A20,[1]Energiindhold!$A$2:$C$11,3,FALSE),0)*M20+IF(E20&lt;&gt;År1,R20,0),0)</f>
        <v>12.325575345409394</v>
      </c>
      <c r="T20">
        <f>IFERROR(VLOOKUP(A20,[1]Biogasudbytte!$A$2:$B$18,2,FALSE)*[1]Energiindhold!$C$10,0)*K20*IFERROR(VLOOKUP(A20,Biogasanlæg!$F$3:$G$8,2,FALSE),1)</f>
        <v>0.30669735030678263</v>
      </c>
      <c r="U20" s="170">
        <f t="shared" si="11"/>
        <v>12.018877995102612</v>
      </c>
      <c r="V20" s="169">
        <f>P20*IFERROR(VLOOKUP(A20,[1]Tørstofindhold!A$2:B$24,2,FALSE),0)</f>
        <v>0</v>
      </c>
      <c r="W20">
        <f>IF(E20=År1,Q20,SUM(P20,Q20))*IFERROR(VLOOKUP(A20,[1]Tørstofindhold!A$2:B$24,2,FALSE),0)</f>
        <v>1033628.7603217638</v>
      </c>
      <c r="X20">
        <f>K20*IFERROR(VLOOKUP(A20,[1]Tørstofindhold!A$2:B$24,2,FALSE),0)</f>
        <v>45215.6689157937</v>
      </c>
      <c r="Y20" s="170">
        <f t="shared" si="12"/>
        <v>988413.09140597016</v>
      </c>
      <c r="Z20">
        <f t="shared" si="1"/>
        <v>0</v>
      </c>
      <c r="AA20">
        <f t="shared" si="2"/>
        <v>0</v>
      </c>
    </row>
    <row r="21" spans="1:27" x14ac:dyDescent="0.25">
      <c r="A21" s="171" t="s">
        <v>162</v>
      </c>
      <c r="B21" s="171" t="s">
        <v>229</v>
      </c>
      <c r="C21" s="171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1</v>
      </c>
      <c r="D21" s="171">
        <v>0</v>
      </c>
      <c r="E21" s="171">
        <f t="shared" si="8"/>
        <v>2019</v>
      </c>
      <c r="F21" t="s">
        <v>23</v>
      </c>
      <c r="G21" s="94">
        <f>IF(F21="Vestdanmark",SUMIFS(IF(E21=År1,'Resultater - Vestdanmark'!H$3:H$504,IF(E21=År2,'Resultater - Vestdanmark'!I$3:I$504,'Resultater - Vestdanmark'!J$3:J$504)),'Resultater - Vestdanmark'!$F$3:$F$504,$A21,IF(E21=År1,'Resultater - Vestdanmark'!H$3:H$504,IF(E21=År2,'Resultater - Vestdanmark'!I$3:I$504,'Resultater - Vestdanmark'!J$3:J$504)),"&gt;0"),SUMIFS(IF(E21=År1,'Resultater - Østdanmark'!H$3:H$504,IF(E21=År2,'Resultater - Østdanmark'!I$3:I$504,'Resultater - Østdanmark'!J$3:J$504)),'Resultater - Østdanmark'!$F$3:$F$504,$A21,IF(E21=År1,'Resultater - Østdanmark'!H$3:H$504,IF(E21=År2,'Resultater - Østdanmark'!I$3:I$504,'Resultater - Østdanmark'!J$3:J$504)),"&gt;0"))</f>
        <v>530462.48766233202</v>
      </c>
      <c r="H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forbrug'!H$3,'Forbrug af biomasse'!$B$2:$B$425,$F21)</f>
        <v>0</v>
      </c>
      <c r="I21">
        <f>IF(F21="Vestdanmark",-IF(A21="Halm",SUMIFS(IF(E21=År1,'Resultater - Vestdanmark'!H$3:H$504,IF(E21=År2,'Resultater - Vestdanmark'!I$3:I$504,'Resultater - Vestdanmark'!J$3:J$504)),'Resultater - Vestdanmark'!$F$3:$F$504,$A21,'Resultater - Vestdanmark'!H$3:H$504,"&lt;0"),0),-IF(A21="Halm",SUMIFS(IF(E21=År1,'Resultater - Østdanmark'!H$3:H$504,IF(E21=År2,'Resultater - Østdanmark'!I$3:I$504,'Resultater - Østdanmark'!J$3:J$504)),'Resultater - Østdanmark'!$F$3:$F$504,$A21,'Resultater - Østdanmark'!H$3:H$504,"&lt;0"),0))</f>
        <v>0</v>
      </c>
      <c r="J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forbrug'!J$3,'Forbrug af biomasse'!$B$2:$B$425,$F21)</f>
        <v>0</v>
      </c>
      <c r="K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forbrug'!K$3,'Forbrug af biomasse'!$B$2:$B$425,$F21)</f>
        <v>42.099811904105366</v>
      </c>
      <c r="L21" s="94">
        <f>SUMIFS('Forbrug af biomasse'!$E$2:$E$425,'Forbrug af biomasse'!$C$2:$C$425,'Resultat-Produktion &amp; forbrug'!$A21,'Forbrug af biomasse'!$D$2:$D$425,'Resultat-Produktion &amp; forbrug'!$E21,'Forbrug af biomasse'!$A$2:$A$425,'Resultat-Produktion &amp; forbrug'!L$3,'Forbrug af biomasse'!$B$2:$B$425,$F21)</f>
        <v>0</v>
      </c>
      <c r="M21" s="94">
        <f>IF(A21&lt;&gt;"Biogas",SUMIFS('Forbrug af biomasse'!$E$2:$E$425,'Forbrug af biomasse'!$C$2:$C$425,'Resultat-Produktion &amp; forbrug'!$A21,'Forbrug af biomasse'!$D$2:$D$425,'Resultat-Produktion &amp; forbrug'!$E21,'Forbrug af biomasse'!$A$2:$A$425,'Resultat-Produktion &amp; forbrug'!M$3,'Forbrug af biomasse'!$B$2:$B$425,$F21),G21)</f>
        <v>530420.38785042788</v>
      </c>
      <c r="N21" s="94">
        <f>SUMIFS('Forbrug af biomasse'!E:E,'Forbrug af biomasse'!C:C,'Resultat-Produktion &amp; forbrug'!$A21,'Forbrug af biomasse'!D:D,'Resultat-Produktion &amp; forbrug'!$E21,'Forbrug af biomasse'!G:G,1,'Forbrug af biomasse'!B:B,$F21)</f>
        <v>0</v>
      </c>
      <c r="O21" s="179">
        <f t="shared" si="9"/>
        <v>0</v>
      </c>
      <c r="P21" s="94">
        <f t="shared" si="4"/>
        <v>0</v>
      </c>
      <c r="Q21" s="180">
        <f t="shared" si="10"/>
        <v>530462.48766233202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IF(A21&lt;&gt;"Biogas",IFERROR(VLOOKUP(A21,[1]Biogasudbytte!$A$2:$B$18,2,FALSE)*[1]Energiindhold!$C$10,0)*K21*IFERROR(VLOOKUP(A21,Biogasanlæg!$F$3:$G$8,2,FALSE),1)+IFERROR(VLOOKUP(A21,[1]Energiindhold!$A$2:$C$11,3,FALSE),0)*M21+IF(E21&lt;&gt;År1,R21,0),0)</f>
        <v>9.4692532209947728</v>
      </c>
      <c r="T21">
        <f>IFERROR(VLOOKUP(A21,[1]Biogasudbytte!$A$2:$B$18,2,FALSE)*[1]Energiindhold!$C$10,0)*K21*IFERROR(VLOOKUP(A21,Biogasanlæg!$F$3:$G$8,2,FALSE),1)</f>
        <v>7.148842760000421E-5</v>
      </c>
      <c r="U21" s="170">
        <f t="shared" si="11"/>
        <v>9.4691817325671721</v>
      </c>
      <c r="V21" s="169">
        <f>P21*IFERROR(VLOOKUP(A21,[1]Tørstofindhold!A$2:B$24,2,FALSE),0)</f>
        <v>0</v>
      </c>
      <c r="W21">
        <f>IF(E21=År1,Q21,SUM(P21,Q21))*IFERROR(VLOOKUP(A21,[1]Tørstofindhold!A$2:B$24,2,FALSE),0)</f>
        <v>159138.74629869961</v>
      </c>
      <c r="X21">
        <f>K21*IFERROR(VLOOKUP(A21,[1]Tørstofindhold!A$2:B$24,2,FALSE),0)</f>
        <v>12.629943571231609</v>
      </c>
      <c r="Y21" s="170">
        <f t="shared" si="12"/>
        <v>159126.11635512838</v>
      </c>
      <c r="Z21">
        <f t="shared" si="1"/>
        <v>0</v>
      </c>
      <c r="AA21">
        <f t="shared" si="2"/>
        <v>0</v>
      </c>
    </row>
    <row r="22" spans="1:27" x14ac:dyDescent="0.25">
      <c r="A22" t="s">
        <v>159</v>
      </c>
      <c r="B22" s="171"/>
      <c r="C22" s="171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0</v>
      </c>
      <c r="D22" s="171">
        <v>1</v>
      </c>
      <c r="E22" s="171">
        <f t="shared" si="8"/>
        <v>2019</v>
      </c>
      <c r="F22" t="s">
        <v>23</v>
      </c>
      <c r="G22" s="94">
        <f>IF(F22="Vestdanmark",SUMIFS(IF(E22=År1,'Resultater - Vestdanmark'!H$3:H$504,IF(E22=År2,'Resultater - Vestdanmark'!I$3:I$504,'Resultater - Vestdanmark'!J$3:J$504)),'Resultater - Vestdanmark'!$F$3:$F$504,$A22,IF(E22=År1,'Resultater - Vestdanmark'!H$3:H$504,IF(E22=År2,'Resultater - Vestdanmark'!I$3:I$504,'Resultater - Vestdanmark'!J$3:J$504)),"&gt;0"),SUMIFS(IF(E22=År1,'Resultater - Østdanmark'!H$3:H$504,IF(E22=År2,'Resultater - Østdanmark'!I$3:I$504,'Resultater - Østdanmark'!J$3:J$504)),'Resultater - Østdanmark'!$F$3:$F$504,$A22,IF(E22=År1,'Resultater - Østdanmark'!H$3:H$504,IF(E22=År2,'Resultater - Østdanmark'!I$3:I$504,'Resultater - Østdanmark'!J$3:J$504)),"&gt;0"))</f>
        <v>0</v>
      </c>
      <c r="H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forbrug'!H$3,'Forbrug af biomasse'!$B$2:$B$425,$F22)</f>
        <v>4828427.5390456235</v>
      </c>
      <c r="I22">
        <f>IF(F22="Vestdanmark",-IF(A22="Halm",SUMIFS(IF(E22=År1,'Resultater - Vestdanmark'!H$3:H$504,IF(E22=År2,'Resultater - Vestdanmark'!I$3:I$504,'Resultater - Vestdanmark'!J$3:J$504)),'Resultater - Vestdanmark'!$F$3:$F$504,$A22,'Resultater - Vestdanmark'!H$3:H$504,"&lt;0"),0),-IF(A22="Halm",SUMIFS(IF(E22=År1,'Resultater - Østdanmark'!H$3:H$504,IF(E22=År2,'Resultater - Østdanmark'!I$3:I$504,'Resultater - Østdanmark'!J$3:J$504)),'Resultater - Østdanmark'!$F$3:$F$504,$A22,'Resultater - Østdanmark'!H$3:H$504,"&lt;0"),0))</f>
        <v>0</v>
      </c>
      <c r="J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forbrug'!J$3,'Forbrug af biomasse'!$B$2:$B$425,$F22)</f>
        <v>0</v>
      </c>
      <c r="K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forbrug'!K$3,'Forbrug af biomasse'!$B$2:$B$425,$F22)</f>
        <v>0</v>
      </c>
      <c r="L22" s="94">
        <f>SUMIFS('Forbrug af biomasse'!$E$2:$E$425,'Forbrug af biomasse'!$C$2:$C$425,'Resultat-Produktion &amp; forbrug'!$A22,'Forbrug af biomasse'!$D$2:$D$425,'Resultat-Produktion &amp; forbrug'!$E22,'Forbrug af biomasse'!$A$2:$A$425,'Resultat-Produktion &amp; forbrug'!L$3,'Forbrug af biomasse'!$B$2:$B$425,$F22)</f>
        <v>0</v>
      </c>
      <c r="M22" s="94">
        <f>IF(A22&lt;&gt;"Biogas",SUMIFS('Forbrug af biomasse'!$E$2:$E$425,'Forbrug af biomasse'!$C$2:$C$425,'Resultat-Produktion &amp; forbrug'!$A22,'Forbrug af biomasse'!$D$2:$D$425,'Resultat-Produktion &amp; forbrug'!$E22,'Forbrug af biomasse'!$A$2:$A$425,'Resultat-Produktion &amp; forbrug'!M$3,'Forbrug af biomasse'!$B$2:$B$425,$F22),G22)</f>
        <v>0</v>
      </c>
      <c r="N22" s="94">
        <f>SUMIFS('Forbrug af biomasse'!E:E,'Forbrug af biomasse'!C:C,'Resultat-Produktion &amp; forbrug'!$A22,'Forbrug af biomasse'!D:D,'Resultat-Produktion &amp; forbrug'!$E22,'Forbrug af biomasse'!G:G,1,'Forbrug af biomasse'!B:B,$F22)</f>
        <v>0</v>
      </c>
      <c r="O22" s="179">
        <f t="shared" si="9"/>
        <v>-4828427.5390456235</v>
      </c>
      <c r="P22" s="94">
        <f t="shared" si="4"/>
        <v>0</v>
      </c>
      <c r="Q22" s="180">
        <f t="shared" si="10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IF(A22&lt;&gt;"Biogas",IFERROR(VLOOKUP(A22,[1]Biogasudbytte!$A$2:$B$18,2,FALSE)*[1]Energiindhold!$C$10,0)*K22*IFERROR(VLOOKUP(A22,Biogasanlæg!$F$3:$G$8,2,FALSE),1)+IFERROR(VLOOKUP(A22,[1]Energiindhold!$A$2:$C$11,3,FALSE),0)*M22+IF(E22&lt;&gt;År1,R22,0),0)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11"/>
        <v>0</v>
      </c>
      <c r="V22" s="169">
        <f>P22*IFERROR(VLOOKUP(A22,[1]Tørstofindhold!A$2:B$24,2,FALSE),0)</f>
        <v>0</v>
      </c>
      <c r="W22">
        <f>IF(E22=År1,Q22,SUM(P22,Q22))*IFERROR(VLOOKUP(A22,[1]Tørstofindhold!A$2:B$24,2,FALSE),0)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12"/>
        <v>0</v>
      </c>
      <c r="Z22">
        <f t="shared" si="1"/>
        <v>1</v>
      </c>
      <c r="AA22">
        <f t="shared" si="2"/>
        <v>0</v>
      </c>
    </row>
    <row r="23" spans="1:27" x14ac:dyDescent="0.25">
      <c r="A23" s="171" t="s">
        <v>103</v>
      </c>
      <c r="B23" s="171" t="s">
        <v>229</v>
      </c>
      <c r="C23" s="171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1</v>
      </c>
      <c r="D23" s="171">
        <v>0</v>
      </c>
      <c r="E23" s="171">
        <f t="shared" si="8"/>
        <v>2019</v>
      </c>
      <c r="F23" t="s">
        <v>23</v>
      </c>
      <c r="G23" s="94">
        <f>IF(F23="Vestdanmark",SUMIFS(IF(E23=År1,'Resultater - Vestdanmark'!H$3:H$504,IF(E23=År2,'Resultater - Vestdanmark'!I$3:I$504,'Resultater - Vestdanmark'!J$3:J$504)),'Resultater - Vestdanmark'!$F$3:$F$504,$A23,IF(E23=År1,'Resultater - Vestdanmark'!H$3:H$504,IF(E23=År2,'Resultater - Vestdanmark'!I$3:I$504,'Resultater - Vestdanmark'!J$3:J$504)),"&gt;0"),SUMIFS(IF(E23=År1,'Resultater - Østdanmark'!H$3:H$504,IF(E23=År2,'Resultater - Østdanmark'!I$3:I$504,'Resultater - Østdanmark'!J$3:J$504)),'Resultater - Østdanmark'!$F$3:$F$504,$A23,IF(E23=År1,'Resultater - Østdanmark'!H$3:H$504,IF(E23=År2,'Resultater - Østdanmark'!I$3:I$504,'Resultater - Østdanmark'!J$3:J$504)),"&gt;0"))</f>
        <v>513042.22037196398</v>
      </c>
      <c r="H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forbrug'!H$3,'Forbrug af biomasse'!$B$2:$B$425,$F23)</f>
        <v>0</v>
      </c>
      <c r="I23">
        <f>IF(F23="Vestdanmark",-IF(A23="Halm",SUMIFS(IF(E23=År1,'Resultater - Vestdanmark'!H$3:H$504,IF(E23=År2,'Resultater - Vestdanmark'!I$3:I$504,'Resultater - Vestdanmark'!J$3:J$504)),'Resultater - Vestdanmark'!$F$3:$F$504,$A23,'Resultater - Vestdanmark'!H$3:H$504,"&lt;0"),0),-IF(A23="Halm",SUMIFS(IF(E23=År1,'Resultater - Østdanmark'!H$3:H$504,IF(E23=År2,'Resultater - Østdanmark'!I$3:I$504,'Resultater - Østdanmark'!J$3:J$504)),'Resultater - Østdanmark'!$F$3:$F$504,$A23,'Resultater - Østdanmark'!H$3:H$504,"&lt;0"),0))</f>
        <v>0</v>
      </c>
      <c r="J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forbrug'!J$3,'Forbrug af biomasse'!$B$2:$B$425,$F23)</f>
        <v>0</v>
      </c>
      <c r="K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forbrug'!K$3,'Forbrug af biomasse'!$B$2:$B$425,$F23)</f>
        <v>716103.75203569303</v>
      </c>
      <c r="L23" s="94">
        <f>SUMIFS('Forbrug af biomasse'!$E$2:$E$425,'Forbrug af biomasse'!$C$2:$C$425,'Resultat-Produktion &amp; forbrug'!$A23,'Forbrug af biomasse'!$D$2:$D$425,'Resultat-Produktion &amp; forbrug'!$E23,'Forbrug af biomasse'!$A$2:$A$425,'Resultat-Produktion &amp; forbrug'!L$3,'Forbrug af biomasse'!$B$2:$B$425,$F23)</f>
        <v>0</v>
      </c>
      <c r="M23" s="94">
        <f>IF(A23&lt;&gt;"Biogas",SUMIFS('Forbrug af biomasse'!$E$2:$E$425,'Forbrug af biomasse'!$C$2:$C$425,'Resultat-Produktion &amp; forbrug'!$A23,'Forbrug af biomasse'!$D$2:$D$425,'Resultat-Produktion &amp; forbrug'!$E23,'Forbrug af biomasse'!$A$2:$A$425,'Resultat-Produktion &amp; forbrug'!M$3,'Forbrug af biomasse'!$B$2:$B$425,$F23),G23)</f>
        <v>0</v>
      </c>
      <c r="N23" s="94">
        <f>SUMIFS('Forbrug af biomasse'!E:E,'Forbrug af biomasse'!C:C,'Resultat-Produktion &amp; forbrug'!$A23,'Forbrug af biomasse'!D:D,'Resultat-Produktion &amp; forbrug'!$E23,'Forbrug af biomasse'!G:G,1,'Forbrug af biomasse'!B:B,$F23)</f>
        <v>0</v>
      </c>
      <c r="O23" s="179">
        <f t="shared" si="9"/>
        <v>-203061.53166372905</v>
      </c>
      <c r="P23" s="94">
        <f t="shared" si="4"/>
        <v>0</v>
      </c>
      <c r="Q23" s="180">
        <f t="shared" si="10"/>
        <v>716103.75203569303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IF(A23&lt;&gt;"Biogas",IFERROR(VLOOKUP(A23,[1]Biogasudbytte!$A$2:$B$18,2,FALSE)*[1]Energiindhold!$C$10,0)*K23*IFERROR(VLOOKUP(A23,Biogasanlæg!$F$3:$G$8,2,FALSE),1)+IFERROR(VLOOKUP(A23,[1]Energiindhold!$A$2:$C$11,3,FALSE),0)*M23+IF(E23&lt;&gt;År1,R23,0),0)</f>
        <v>2.637525053399659</v>
      </c>
      <c r="T23">
        <f>IFERROR(VLOOKUP(A23,[1]Biogasudbytte!$A$2:$B$18,2,FALSE)*[1]Energiindhold!$C$10,0)*K23*IFERROR(VLOOKUP(A23,Biogasanlæg!$F$3:$G$8,2,FALSE),1)</f>
        <v>2.637525053399659</v>
      </c>
      <c r="U23" s="170">
        <f t="shared" si="11"/>
        <v>0</v>
      </c>
      <c r="V23" s="169">
        <f>P23*IFERROR(VLOOKUP(A23,[1]Tørstofindhold!A$2:B$24,2,FALSE),0)</f>
        <v>0</v>
      </c>
      <c r="W23">
        <f>IF(E23=År1,Q23,SUM(P23,Q23))*IFERROR(VLOOKUP(A23,[1]Tørstofindhold!A$2:B$24,2,FALSE),0)</f>
        <v>300763.57585499104</v>
      </c>
      <c r="X23">
        <f>K23*IFERROR(VLOOKUP(A23,[1]Tørstofindhold!A$2:B$24,2,FALSE),0)</f>
        <v>300763.57585499104</v>
      </c>
      <c r="Y23" s="170">
        <f t="shared" si="12"/>
        <v>0</v>
      </c>
      <c r="Z23">
        <f t="shared" si="1"/>
        <v>1</v>
      </c>
      <c r="AA23">
        <f t="shared" si="2"/>
        <v>0</v>
      </c>
    </row>
    <row r="24" spans="1:27" x14ac:dyDescent="0.25">
      <c r="A24" s="171" t="s">
        <v>56</v>
      </c>
      <c r="B24" s="171"/>
      <c r="C24" s="171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71">
        <v>0</v>
      </c>
      <c r="E24" s="171">
        <f t="shared" si="8"/>
        <v>2019</v>
      </c>
      <c r="F24" t="s">
        <v>23</v>
      </c>
      <c r="G24" s="94">
        <f>IF(F24="Vestdanmark",SUMIFS(IF(E24=År1,'Resultater - Vestdanmark'!H$3:H$504,IF(E24=År2,'Resultater - Vestdanmark'!I$3:I$504,'Resultater - Vestdanmark'!J$3:J$504)),'Resultater - Vestdanmark'!$F$3:$F$504,$A24,IF(E24=År1,'Resultater - Vestdanmark'!H$3:H$504,IF(E24=År2,'Resultater - Vestdanmark'!I$3:I$504,'Resultater - Vestdanmark'!J$3:J$504)),"&gt;0"),SUMIFS(IF(E24=År1,'Resultater - Østdanmark'!H$3:H$504,IF(E24=År2,'Resultater - Østdanmark'!I$3:I$504,'Resultater - Østdanmark'!J$3:J$504)),'Resultater - Østdanmark'!$F$3:$F$504,$A24,IF(E24=År1,'Resultater - Østdanmark'!H$3:H$504,IF(E24=År2,'Resultater - Østdanmark'!I$3:I$504,'Resultater - Østdanmark'!J$3:J$504)),"&gt;0"))</f>
        <v>766472.09789043549</v>
      </c>
      <c r="H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forbrug'!H$3,'Forbrug af biomasse'!$B$2:$B$425,$F24)</f>
        <v>0</v>
      </c>
      <c r="I24">
        <f>IF(F24="Vestdanmark",-IF(A24="Halm",SUMIFS(IF(E24=År1,'Resultater - Vestdanmark'!H$3:H$504,IF(E24=År2,'Resultater - Vestdanmark'!I$3:I$504,'Resultater - Vestdanmark'!J$3:J$504)),'Resultater - Vestdanmark'!$F$3:$F$504,$A24,'Resultater - Vestdanmark'!H$3:H$504,"&lt;0"),0),-IF(A24="Halm",SUMIFS(IF(E24=År1,'Resultater - Østdanmark'!H$3:H$504,IF(E24=År2,'Resultater - Østdanmark'!I$3:I$504,'Resultater - Østdanmark'!J$3:J$504)),'Resultater - Østdanmark'!$F$3:$F$504,$A24,'Resultater - Østdanmark'!H$3:H$504,"&lt;0"),0))</f>
        <v>0</v>
      </c>
      <c r="J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forbrug'!J$3,'Forbrug af biomasse'!$B$2:$B$425,$F24)</f>
        <v>0</v>
      </c>
      <c r="K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forbrug'!K$3,'Forbrug af biomasse'!$B$2:$B$425,$F24)</f>
        <v>0</v>
      </c>
      <c r="L24" s="94">
        <f>SUMIFS('Forbrug af biomasse'!$E$2:$E$425,'Forbrug af biomasse'!$C$2:$C$425,'Resultat-Produktion &amp; forbrug'!$A24,'Forbrug af biomasse'!$D$2:$D$425,'Resultat-Produktion &amp; forbrug'!$E24,'Forbrug af biomasse'!$A$2:$A$425,'Resultat-Produktion &amp; forbrug'!L$3,'Forbrug af biomasse'!$B$2:$B$425,$F24)</f>
        <v>0</v>
      </c>
      <c r="M24" s="94">
        <f>IF(A24&lt;&gt;"Biogas",SUMIFS('Forbrug af biomasse'!$E$2:$E$425,'Forbrug af biomasse'!$C$2:$C$425,'Resultat-Produktion &amp; forbrug'!$A24,'Forbrug af biomasse'!$D$2:$D$425,'Resultat-Produktion &amp; forbrug'!$E24,'Forbrug af biomasse'!$A$2:$A$425,'Resultat-Produktion &amp; forbrug'!M$3,'Forbrug af biomasse'!$B$2:$B$425,$F24),G24)</f>
        <v>0</v>
      </c>
      <c r="N24" s="94">
        <f>SUMIFS('Forbrug af biomasse'!E:E,'Forbrug af biomasse'!C:C,'Resultat-Produktion &amp; forbrug'!$A24,'Forbrug af biomasse'!D:D,'Resultat-Produktion &amp; forbrug'!$E24,'Forbrug af biomasse'!G:G,1,'Forbrug af biomasse'!B:B,$F24)</f>
        <v>0</v>
      </c>
      <c r="O24" s="179">
        <f t="shared" si="9"/>
        <v>766472.09789043549</v>
      </c>
      <c r="P24" s="94">
        <f t="shared" si="4"/>
        <v>0</v>
      </c>
      <c r="Q24" s="180">
        <f t="shared" si="10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IF(A24&lt;&gt;"Biogas",IFERROR(VLOOKUP(A24,[1]Biogasudbytte!$A$2:$B$18,2,FALSE)*[1]Energiindhold!$C$10,0)*K24*IFERROR(VLOOKUP(A24,Biogasanlæg!$F$3:$G$8,2,FALSE),1)+IFERROR(VLOOKUP(A24,[1]Energiindhold!$A$2:$C$11,3,FALSE),0)*M24+IF(E24&lt;&gt;År1,R24,0),0)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11"/>
        <v>0</v>
      </c>
      <c r="V24" s="169">
        <f>P24*IFERROR(VLOOKUP(A24,[1]Tørstofindhold!A$2:B$24,2,FALSE),0)</f>
        <v>0</v>
      </c>
      <c r="W24">
        <f>IF(E24=År1,Q24,SUM(P24,Q24))*IFERROR(VLOOKUP(A24,[1]Tørstofindhold!A$2:B$24,2,FALSE),0)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12"/>
        <v>0</v>
      </c>
      <c r="Z24">
        <f t="shared" si="1"/>
        <v>0</v>
      </c>
      <c r="AA24">
        <f t="shared" si="2"/>
        <v>1</v>
      </c>
    </row>
    <row r="25" spans="1:27" x14ac:dyDescent="0.25">
      <c r="A25" s="171" t="s">
        <v>12</v>
      </c>
      <c r="B25" s="171"/>
      <c r="C25" s="171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0</v>
      </c>
      <c r="D25" s="171">
        <v>1</v>
      </c>
      <c r="E25" s="171">
        <f t="shared" si="8"/>
        <v>2019</v>
      </c>
      <c r="F25" t="s">
        <v>23</v>
      </c>
      <c r="G25" s="94">
        <f>IF(F25="Vestdanmark",SUMIFS(IF(E25=År1,'Resultater - Vestdanmark'!H$3:H$504,IF(E25=År2,'Resultater - Vestdanmark'!I$3:I$504,'Resultater - Vestdanmark'!J$3:J$504)),'Resultater - Vestdanmark'!$F$3:$F$504,$A25,IF(E25=År1,'Resultater - Vestdanmark'!H$3:H$504,IF(E25=År2,'Resultater - Vestdanmark'!I$3:I$504,'Resultater - Vestdanmark'!J$3:J$504)),"&gt;0"),SUMIFS(IF(E25=År1,'Resultater - Østdanmark'!H$3:H$504,IF(E25=År2,'Resultater - Østdanmark'!I$3:I$504,'Resultater - Østdanmark'!J$3:J$504)),'Resultater - Østdanmark'!$F$3:$F$504,$A25,IF(E25=År1,'Resultater - Østdanmark'!H$3:H$504,IF(E25=År2,'Resultater - Østdanmark'!I$3:I$504,'Resultater - Østdanmark'!J$3:J$504)),"&gt;0"))</f>
        <v>2146636.3631328358</v>
      </c>
      <c r="H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forbrug'!H$3,'Forbrug af biomasse'!$B$2:$B$425,$F25)</f>
        <v>0</v>
      </c>
      <c r="I25">
        <f>IF(F25="Vestdanmark",-IF(A25="Halm",SUMIFS(IF(E25=År1,'Resultater - Vestdanmark'!H$3:H$504,IF(E25=År2,'Resultater - Vestdanmark'!I$3:I$504,'Resultater - Vestdanmark'!J$3:J$504)),'Resultater - Vestdanmark'!$F$3:$F$504,$A25,'Resultater - Vestdanmark'!H$3:H$504,"&lt;0"),0),-IF(A25="Halm",SUMIFS(IF(E25=År1,'Resultater - Østdanmark'!H$3:H$504,IF(E25=År2,'Resultater - Østdanmark'!I$3:I$504,'Resultater - Østdanmark'!J$3:J$504)),'Resultater - Østdanmark'!$F$3:$F$504,$A25,'Resultater - Østdanmark'!H$3:H$504,"&lt;0"),0))</f>
        <v>0</v>
      </c>
      <c r="J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forbrug'!J$3,'Forbrug af biomasse'!$B$2:$B$425,$F25)</f>
        <v>119523.03367046962</v>
      </c>
      <c r="K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forbrug'!K$3,'Forbrug af biomasse'!$B$2:$B$425,$F25)</f>
        <v>0</v>
      </c>
      <c r="L25" s="94">
        <f>SUMIFS('Forbrug af biomasse'!$E$2:$E$425,'Forbrug af biomasse'!$C$2:$C$425,'Resultat-Produktion &amp; forbrug'!$A25,'Forbrug af biomasse'!$D$2:$D$425,'Resultat-Produktion &amp; forbrug'!$E25,'Forbrug af biomasse'!$A$2:$A$425,'Resultat-Produktion &amp; forbrug'!L$3,'Forbrug af biomasse'!$B$2:$B$425,$F25)</f>
        <v>0</v>
      </c>
      <c r="M25" s="94">
        <f>IF(A25&lt;&gt;"Biogas",SUMIFS('Forbrug af biomasse'!$E$2:$E$425,'Forbrug af biomasse'!$C$2:$C$425,'Resultat-Produktion &amp; forbrug'!$A25,'Forbrug af biomasse'!$D$2:$D$425,'Resultat-Produktion &amp; forbrug'!$E25,'Forbrug af biomasse'!$A$2:$A$425,'Resultat-Produktion &amp; forbrug'!M$3,'Forbrug af biomasse'!$B$2:$B$425,$F25),G25)</f>
        <v>0</v>
      </c>
      <c r="N25" s="94">
        <f>SUMIFS('Forbrug af biomasse'!E:E,'Forbrug af biomasse'!C:C,'Resultat-Produktion &amp; forbrug'!$A25,'Forbrug af biomasse'!D:D,'Resultat-Produktion &amp; forbrug'!$E25,'Forbrug af biomasse'!G:G,1,'Forbrug af biomasse'!B:B,$F25)</f>
        <v>0</v>
      </c>
      <c r="O25" s="179">
        <f t="shared" si="9"/>
        <v>2027113.3294623662</v>
      </c>
      <c r="P25" s="94">
        <f t="shared" si="4"/>
        <v>0</v>
      </c>
      <c r="Q25" s="180">
        <f t="shared" si="10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IF(A25&lt;&gt;"Biogas",IFERROR(VLOOKUP(A25,[1]Biogasudbytte!$A$2:$B$18,2,FALSE)*[1]Energiindhold!$C$10,0)*K25*IFERROR(VLOOKUP(A25,Biogasanlæg!$F$3:$G$8,2,FALSE),1)+IFERROR(VLOOKUP(A25,[1]Energiindhold!$A$2:$C$11,3,FALSE),0)*M25+IF(E25&lt;&gt;År1,R25,0),0)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11"/>
        <v>0</v>
      </c>
      <c r="V25" s="169">
        <f>P25*IFERROR(VLOOKUP(A25,[1]Tørstofindhold!A$2:B$24,2,FALSE),0)</f>
        <v>0</v>
      </c>
      <c r="W25">
        <f>IF(E25=År1,Q25,SUM(P25,Q25))*IFERROR(VLOOKUP(A25,[1]Tørstofindhold!A$2:B$24,2,FALSE),0)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12"/>
        <v>0</v>
      </c>
      <c r="Z25">
        <f t="shared" si="1"/>
        <v>0</v>
      </c>
      <c r="AA25">
        <f t="shared" si="2"/>
        <v>1</v>
      </c>
    </row>
    <row r="26" spans="1:27" x14ac:dyDescent="0.25">
      <c r="A26" s="171" t="s">
        <v>48</v>
      </c>
      <c r="B26" s="171" t="s">
        <v>226</v>
      </c>
      <c r="C26" s="171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1</v>
      </c>
      <c r="D26" s="171">
        <v>1</v>
      </c>
      <c r="E26" s="171">
        <f t="shared" si="8"/>
        <v>2019</v>
      </c>
      <c r="F26" t="s">
        <v>23</v>
      </c>
      <c r="G26" s="94">
        <f>IF(F26="Vestdanmark",SUMIFS(IF(E26=År1,'Resultater - Vestdanmark'!H$3:H$504,IF(E26=År2,'Resultater - Vestdanmark'!I$3:I$504,'Resultater - Vestdanmark'!J$3:J$504)),'Resultater - Vestdanmark'!$F$3:$F$504,$A26,IF(E26=År1,'Resultater - Vestdanmark'!H$3:H$504,IF(E26=År2,'Resultater - Vestdanmark'!I$3:I$504,'Resultater - Vestdanmark'!J$3:J$504)),"&gt;0"),SUMIFS(IF(E26=År1,'Resultater - Østdanmark'!H$3:H$504,IF(E26=År2,'Resultater - Østdanmark'!I$3:I$504,'Resultater - Østdanmark'!J$3:J$504)),'Resultater - Østdanmark'!$F$3:$F$504,$A26,IF(E26=År1,'Resultater - Østdanmark'!H$3:H$504,IF(E26=År2,'Resultater - Østdanmark'!I$3:I$504,'Resultater - Østdanmark'!J$3:J$504)),"&gt;0"))</f>
        <v>6843435.2641521301</v>
      </c>
      <c r="H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forbrug'!H$3,'Forbrug af biomasse'!$B$2:$B$425,$F26)</f>
        <v>5879215.2019956242</v>
      </c>
      <c r="I26">
        <f>IF(F26="Vestdanmark",-IF(A26="Halm",SUMIFS(IF(E26=År1,'Resultater - Vestdanmark'!H$3:H$504,IF(E26=År2,'Resultater - Vestdanmark'!I$3:I$504,'Resultater - Vestdanmark'!J$3:J$504)),'Resultater - Vestdanmark'!$F$3:$F$504,$A26,'Resultater - Vestdanmark'!H$3:H$504,"&lt;0"),0),-IF(A26="Halm",SUMIFS(IF(E26=År1,'Resultater - Østdanmark'!H$3:H$504,IF(E26=År2,'Resultater - Østdanmark'!I$3:I$504,'Resultater - Østdanmark'!J$3:J$504)),'Resultater - Østdanmark'!$F$3:$F$504,$A26,'Resultater - Østdanmark'!H$3:H$504,"&lt;0"),0))</f>
        <v>0</v>
      </c>
      <c r="J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forbrug'!J$3,'Forbrug af biomasse'!$B$2:$B$425,$F26)</f>
        <v>286329.90483694919</v>
      </c>
      <c r="K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forbrug'!K$3,'Forbrug af biomasse'!$B$2:$B$425,$F26)</f>
        <v>2843.3935258054057</v>
      </c>
      <c r="L26" s="94">
        <f>SUMIFS('Forbrug af biomasse'!$E$2:$E$425,'Forbrug af biomasse'!$C$2:$C$425,'Resultat-Produktion &amp; forbrug'!$A26,'Forbrug af biomasse'!$D$2:$D$425,'Resultat-Produktion &amp; forbrug'!$E26,'Forbrug af biomasse'!$A$2:$A$425,'Resultat-Produktion &amp; forbrug'!L$3,'Forbrug af biomasse'!$B$2:$B$425,$F26)</f>
        <v>0</v>
      </c>
      <c r="M26" s="94">
        <f>IF(A26&lt;&gt;"Biogas",SUMIFS('Forbrug af biomasse'!$E$2:$E$425,'Forbrug af biomasse'!$C$2:$C$425,'Resultat-Produktion &amp; forbrug'!$A26,'Forbrug af biomasse'!$D$2:$D$425,'Resultat-Produktion &amp; forbrug'!$E26,'Forbrug af biomasse'!$A$2:$A$425,'Resultat-Produktion &amp; forbrug'!M$3,'Forbrug af biomasse'!$B$2:$B$425,$F26),G26)</f>
        <v>0</v>
      </c>
      <c r="N26" s="94">
        <f>SUMIFS('Forbrug af biomasse'!E:E,'Forbrug af biomasse'!C:C,'Resultat-Produktion &amp; forbrug'!$A26,'Forbrug af biomasse'!D:D,'Resultat-Produktion &amp; forbrug'!$E26,'Forbrug af biomasse'!G:G,1,'Forbrug af biomasse'!B:B,$F26)</f>
        <v>0</v>
      </c>
      <c r="O26" s="179">
        <f t="shared" si="9"/>
        <v>675046.7637937516</v>
      </c>
      <c r="P26" s="94">
        <f t="shared" si="4"/>
        <v>675046.7637937516</v>
      </c>
      <c r="Q26" s="180">
        <f t="shared" si="10"/>
        <v>2843.3935258054057</v>
      </c>
      <c r="R26">
        <f>IFERROR(VLOOKUP(A26,[1]Energiindhold!$A$2:$C$11,3,FALSE),IFERROR(VLOOKUP(A26,[1]Biogasudbytte!$A$2:$B$18,2,FALSE)*[1]Energiindhold!$C$10,0))*P26</f>
        <v>2.3119406594466687</v>
      </c>
      <c r="S26">
        <f>IF(A26&lt;&gt;"Biogas",IFERROR(VLOOKUP(A26,[1]Biogasudbytte!$A$2:$B$18,2,FALSE)*[1]Energiindhold!$C$10,0)*K26*IFERROR(VLOOKUP(A26,Biogasanlæg!$F$3:$G$8,2,FALSE),1)+IFERROR(VLOOKUP(A26,[1]Energiindhold!$A$2:$C$11,3,FALSE),0)*M26+IF(E26&lt;&gt;År1,R26,0),0)</f>
        <v>9.7382247507899044E-3</v>
      </c>
      <c r="T26">
        <f>IFERROR(VLOOKUP(A26,[1]Biogasudbytte!$A$2:$B$18,2,FALSE)*[1]Energiindhold!$C$10,0)*K26*IFERROR(VLOOKUP(A26,Biogasanlæg!$F$3:$G$8,2,FALSE),1)</f>
        <v>9.7382247507899044E-3</v>
      </c>
      <c r="U26" s="170">
        <f t="shared" si="11"/>
        <v>0</v>
      </c>
      <c r="V26" s="169">
        <f>P26*IFERROR(VLOOKUP(A26,[1]Tørstofindhold!A$2:B$24,2,FALSE),0)</f>
        <v>209264.496776063</v>
      </c>
      <c r="W26">
        <f>IF(E26=År1,Q26,SUM(P26,Q26))*IFERROR(VLOOKUP(A26,[1]Tørstofindhold!A$2:B$24,2,FALSE),0)</f>
        <v>881.45199299967578</v>
      </c>
      <c r="X26">
        <f>K26*IFERROR(VLOOKUP(A26,[1]Tørstofindhold!A$2:B$24,2,FALSE),0)</f>
        <v>881.45199299967578</v>
      </c>
      <c r="Y26" s="170">
        <f t="shared" si="12"/>
        <v>0</v>
      </c>
      <c r="Z26">
        <f t="shared" si="1"/>
        <v>0</v>
      </c>
      <c r="AA26">
        <f t="shared" si="2"/>
        <v>1</v>
      </c>
    </row>
    <row r="27" spans="1:27" x14ac:dyDescent="0.25">
      <c r="A27" s="171" t="s">
        <v>115</v>
      </c>
      <c r="B27" s="171"/>
      <c r="C27" s="171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0</v>
      </c>
      <c r="D27" s="171">
        <v>0</v>
      </c>
      <c r="E27" s="171">
        <f t="shared" si="8"/>
        <v>2019</v>
      </c>
      <c r="F27" t="s">
        <v>23</v>
      </c>
      <c r="G27" s="94">
        <f>IF(F27="Vestdanmark",SUMIFS(IF(E27=År1,'Resultater - Vestdanmark'!H$3:H$504,IF(E27=År2,'Resultater - Vestdanmark'!I$3:I$504,'Resultater - Vestdanmark'!J$3:J$504)),'Resultater - Vestdanmark'!$F$3:$F$504,$A27,IF(E27=År1,'Resultater - Vestdanmark'!H$3:H$504,IF(E27=År2,'Resultater - Vestdanmark'!I$3:I$504,'Resultater - Vestdanmark'!J$3:J$504)),"&gt;0"),SUMIFS(IF(E27=År1,'Resultater - Østdanmark'!H$3:H$504,IF(E27=År2,'Resultater - Østdanmark'!I$3:I$504,'Resultater - Østdanmark'!J$3:J$504)),'Resultater - Østdanmark'!$F$3:$F$504,$A27,IF(E27=År1,'Resultater - Østdanmark'!H$3:H$504,IF(E27=År2,'Resultater - Østdanmark'!I$3:I$504,'Resultater - Østdanmark'!J$3:J$504)),"&gt;0"))</f>
        <v>0</v>
      </c>
      <c r="H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forbrug'!H$3,'Forbrug af biomasse'!$B$2:$B$425,$F27)</f>
        <v>0</v>
      </c>
      <c r="I27">
        <f>IF(F27="Vestdanmark",-IF(A27="Halm",SUMIFS(IF(E27=År1,'Resultater - Vestdanmark'!H$3:H$504,IF(E27=År2,'Resultater - Vestdanmark'!I$3:I$504,'Resultater - Vestdanmark'!J$3:J$504)),'Resultater - Vestdanmark'!$F$3:$F$504,$A27,'Resultater - Vestdanmark'!H$3:H$504,"&lt;0"),0),-IF(A27="Halm",SUMIFS(IF(E27=År1,'Resultater - Østdanmark'!H$3:H$504,IF(E27=År2,'Resultater - Østdanmark'!I$3:I$504,'Resultater - Østdanmark'!J$3:J$504)),'Resultater - Østdanmark'!$F$3:$F$504,$A27,'Resultater - Østdanmark'!H$3:H$504,"&lt;0"),0))</f>
        <v>0</v>
      </c>
      <c r="J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forbrug'!J$3,'Forbrug af biomasse'!$B$2:$B$425,$F27)</f>
        <v>0</v>
      </c>
      <c r="K27" s="94">
        <f>SUMIFS('Forbrug af biomasse'!$E$2:$E$425,'Forbrug af biomasse'!$C$2:$C$425,'Resultat-Produktion &amp; forbrug'!$A27,'Forbrug af biomasse'!$D$2:$D$425,'Resultat-Produktion &amp; forbrug'!$E27,'Forbrug af biomasse'!$A$2:$A$425,'Resultat-Produktion &amp; forbrug'!K$3,'Forbrug af biomasse'!$B$2:$B$425,$F27)</f>
        <v>0</v>
      </c>
      <c r="L27" s="94">
        <f ca="1">SUMIFS('Forbrug af biomasse'!$E$2:$E$425,'Forbrug af biomasse'!$C$2:$C$425,'Resultat-Produktion &amp; forbrug'!$A27,'Forbrug af biomasse'!$D$2:$D$425,'Resultat-Produktion &amp; forbrug'!$E27,'Forbrug af biomasse'!$A$2:$A$425,'Resultat-Produktion &amp; forbrug'!L$3,'Forbrug af biomasse'!$B$2:$B$425,$F27)</f>
        <v>569996.93502990273</v>
      </c>
      <c r="M27" s="94">
        <f>IF(A27&lt;&gt;"Biogas",SUMIFS('Forbrug af biomasse'!$E$2:$E$425,'Forbrug af biomasse'!$C$2:$C$425,'Resultat-Produktion &amp; forbrug'!$A27,'Forbrug af biomasse'!$D$2:$D$425,'Resultat-Produktion &amp; forbrug'!$E27,'Forbrug af biomasse'!$A$2:$A$425,'Resultat-Produktion &amp; forbrug'!M$3,'Forbrug af biomasse'!$B$2:$B$425,$F27),G27)</f>
        <v>0</v>
      </c>
      <c r="N27" s="94">
        <f>SUMIFS('Forbrug af biomasse'!E:E,'Forbrug af biomasse'!C:C,'Resultat-Produktion &amp; forbrug'!$A27,'Forbrug af biomasse'!D:D,'Resultat-Produktion &amp; forbrug'!$E27,'Forbrug af biomasse'!G:G,1,'Forbrug af biomasse'!B:B,$F27)</f>
        <v>0</v>
      </c>
      <c r="O27" s="179">
        <f t="shared" ca="1" si="9"/>
        <v>-569996.93502990273</v>
      </c>
      <c r="P27" s="94">
        <f t="shared" si="4"/>
        <v>0</v>
      </c>
      <c r="Q27" s="180">
        <f t="shared" si="10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IF(A27&lt;&gt;"Biogas",IFERROR(VLOOKUP(A27,[1]Biogasudbytte!$A$2:$B$18,2,FALSE)*[1]Energiindhold!$C$10,0)*K27*IFERROR(VLOOKUP(A27,Biogasanlæg!$F$3:$G$8,2,FALSE),1)+IFERROR(VLOOKUP(A27,[1]Energiindhold!$A$2:$C$11,3,FALSE),0)*M27+IF(E27&lt;&gt;År1,R27,0),0)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11"/>
        <v>0</v>
      </c>
      <c r="V27" s="169">
        <f>P27*IFERROR(VLOOKUP(A27,[1]Tørstofindhold!A$2:B$24,2,FALSE),0)</f>
        <v>0</v>
      </c>
      <c r="W27">
        <f>IF(E27=År1,Q27,SUM(P27,Q27))*IFERROR(VLOOKUP(A27,[1]Tørstofindhold!A$2:B$24,2,FALSE),0)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12"/>
        <v>0</v>
      </c>
      <c r="Z27">
        <f t="shared" ca="1" si="1"/>
        <v>1</v>
      </c>
      <c r="AA27">
        <f t="shared" ca="1" si="2"/>
        <v>0</v>
      </c>
    </row>
    <row r="28" spans="1:27" x14ac:dyDescent="0.25">
      <c r="A28" s="171" t="s">
        <v>136</v>
      </c>
      <c r="B28" s="171" t="s">
        <v>221</v>
      </c>
      <c r="C28" s="171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1</v>
      </c>
      <c r="D28" s="171">
        <v>0</v>
      </c>
      <c r="E28" s="171">
        <f t="shared" si="8"/>
        <v>2019</v>
      </c>
      <c r="F28" t="s">
        <v>23</v>
      </c>
      <c r="G28" s="94">
        <f>IF(F28="Vestdanmark",SUMIFS(IF(E28=År1,'Resultater - Vestdanmark'!H$3:H$504,IF(E28=År2,'Resultater - Vestdanmark'!I$3:I$504,'Resultater - Vestdanmark'!J$3:J$504)),'Resultater - Vestdanmark'!$F$3:$F$504,$A28,IF(E28=År1,'Resultater - Vestdanmark'!H$3:H$504,IF(E28=År2,'Resultater - Vestdanmark'!I$3:I$504,'Resultater - Vestdanmark'!J$3:J$504)),"&gt;0"),SUMIFS(IF(E28=År1,'Resultater - Østdanmark'!H$3:H$504,IF(E28=År2,'Resultater - Østdanmark'!I$3:I$504,'Resultater - Østdanmark'!J$3:J$504)),'Resultater - Østdanmark'!$F$3:$F$504,$A28,IF(E28=År1,'Resultater - Østdanmark'!H$3:H$504,IF(E28=År2,'Resultater - Østdanmark'!I$3:I$504,'Resultater - Østdanmark'!J$3:J$504)),"&gt;0"))</f>
        <v>13124915.780770566</v>
      </c>
      <c r="H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forbrug'!H$3,'Forbrug af biomasse'!$B$2:$B$425,$F28)</f>
        <v>0</v>
      </c>
      <c r="I28">
        <f>IF(F28="Vestdanmark",-IF(A28="Halm",SUMIFS(IF(E28=År1,'Resultater - Vestdanmark'!H$3:H$504,IF(E28=År2,'Resultater - Vestdanmark'!I$3:I$504,'Resultater - Vestdanmark'!J$3:J$504)),'Resultater - Vestdanmark'!$F$3:$F$504,$A28,'Resultater - Vestdanmark'!H$3:H$504,"&lt;0"),0),-IF(A28="Halm",SUMIFS(IF(E28=År1,'Resultater - Østdanmark'!H$3:H$504,IF(E28=År2,'Resultater - Østdanmark'!I$3:I$504,'Resultater - Østdanmark'!J$3:J$504)),'Resultater - Østdanmark'!$F$3:$F$504,$A28,'Resultater - Østdanmark'!H$3:H$504,"&lt;0"),0))</f>
        <v>0</v>
      </c>
      <c r="J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forbrug'!J$3,'Forbrug af biomasse'!$B$2:$B$425,$F28)</f>
        <v>0</v>
      </c>
      <c r="K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forbrug'!K$3,'Forbrug af biomasse'!$B$2:$B$425,$F28)</f>
        <v>4066864.6068164087</v>
      </c>
      <c r="L28" s="94">
        <f>SUMIFS('Forbrug af biomasse'!$E$2:$E$425,'Forbrug af biomasse'!$C$2:$C$425,'Resultat-Produktion &amp; forbrug'!$A28,'Forbrug af biomasse'!$D$2:$D$425,'Resultat-Produktion &amp; forbrug'!$E28,'Forbrug af biomasse'!$A$2:$A$425,'Resultat-Produktion &amp; forbrug'!L$3,'Forbrug af biomasse'!$B$2:$B$425,$F28)</f>
        <v>9058051.1739541572</v>
      </c>
      <c r="M28" s="94">
        <f>IF(A28&lt;&gt;"Biogas",SUMIFS('Forbrug af biomasse'!$E$2:$E$425,'Forbrug af biomasse'!$C$2:$C$425,'Resultat-Produktion &amp; forbrug'!$A28,'Forbrug af biomasse'!$D$2:$D$425,'Resultat-Produktion &amp; forbrug'!$E28,'Forbrug af biomasse'!$A$2:$A$425,'Resultat-Produktion &amp; forbrug'!M$3,'Forbrug af biomasse'!$B$2:$B$425,$F28),G28)</f>
        <v>0</v>
      </c>
      <c r="N28" s="94">
        <f>SUMIFS('Forbrug af biomasse'!E:E,'Forbrug af biomasse'!C:C,'Resultat-Produktion &amp; forbrug'!$A28,'Forbrug af biomasse'!D:D,'Resultat-Produktion &amp; forbrug'!$E28,'Forbrug af biomasse'!G:G,1,'Forbrug af biomasse'!B:B,$F28)</f>
        <v>0</v>
      </c>
      <c r="O28" s="179">
        <f t="shared" si="9"/>
        <v>0</v>
      </c>
      <c r="P28" s="94">
        <f t="shared" si="4"/>
        <v>0</v>
      </c>
      <c r="Q28" s="180">
        <f t="shared" si="10"/>
        <v>4066864.6068164087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IF(A28&lt;&gt;"Biogas",IFERROR(VLOOKUP(A28,[1]Biogasudbytte!$A$2:$B$18,2,FALSE)*[1]Energiindhold!$C$10,0)*K28*IFERROR(VLOOKUP(A28,Biogasanlæg!$F$3:$G$8,2,FALSE),1)+IFERROR(VLOOKUP(A28,[1]Energiindhold!$A$2:$C$11,3,FALSE),0)*M28+IF(E28&lt;&gt;År1,R28,0),0)</f>
        <v>2.0586061953243981</v>
      </c>
      <c r="T28">
        <f>IFERROR(VLOOKUP(A28,[1]Biogasudbytte!$A$2:$B$18,2,FALSE)*[1]Energiindhold!$C$10,0)*K28*IFERROR(VLOOKUP(A28,Biogasanlæg!$F$3:$G$8,2,FALSE),1)</f>
        <v>2.0586061953243981</v>
      </c>
      <c r="U28" s="170">
        <f t="shared" si="11"/>
        <v>0</v>
      </c>
      <c r="V28" s="169">
        <f>P28*IFERROR(VLOOKUP(A28,[1]Tørstofindhold!A$2:B$24,2,FALSE),0)</f>
        <v>0</v>
      </c>
      <c r="W28">
        <f>IF(E28=År1,Q28,SUM(P28,Q28))*IFERROR(VLOOKUP(A28,[1]Tørstofindhold!A$2:B$24,2,FALSE),0)</f>
        <v>309081.71011804708</v>
      </c>
      <c r="X28">
        <f>K28*IFERROR(VLOOKUP(A28,[1]Tørstofindhold!A$2:B$24,2,FALSE),0)</f>
        <v>309081.71011804708</v>
      </c>
      <c r="Y28" s="170">
        <f t="shared" si="12"/>
        <v>0</v>
      </c>
      <c r="Z28">
        <f t="shared" si="1"/>
        <v>0</v>
      </c>
      <c r="AA28">
        <f t="shared" si="2"/>
        <v>0</v>
      </c>
    </row>
    <row r="29" spans="1:27" x14ac:dyDescent="0.25">
      <c r="A29" s="171" t="s">
        <v>108</v>
      </c>
      <c r="B29" s="171"/>
      <c r="C29" s="171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0</v>
      </c>
      <c r="D29" s="171">
        <v>0</v>
      </c>
      <c r="E29" s="171">
        <f t="shared" si="8"/>
        <v>2019</v>
      </c>
      <c r="F29" t="s">
        <v>23</v>
      </c>
      <c r="G29" s="94">
        <f>IF(F29="Vestdanmark",SUMIFS(IF(E29=År1,'Resultater - Vestdanmark'!H$3:H$504,IF(E29=År2,'Resultater - Vestdanmark'!I$3:I$504,'Resultater - Vestdanmark'!J$3:J$504)),'Resultater - Vestdanmark'!$F$3:$F$504,$A29,IF(E29=År1,'Resultater - Vestdanmark'!H$3:H$504,IF(E29=År2,'Resultater - Vestdanmark'!I$3:I$504,'Resultater - Vestdanmark'!J$3:J$504)),"&gt;0"),SUMIFS(IF(E29=År1,'Resultater - Østdanmark'!H$3:H$504,IF(E29=År2,'Resultater - Østdanmark'!I$3:I$504,'Resultater - Østdanmark'!J$3:J$504)),'Resultater - Østdanmark'!$F$3:$F$504,$A29,IF(E29=År1,'Resultater - Østdanmark'!H$3:H$504,IF(E29=År2,'Resultater - Østdanmark'!I$3:I$504,'Resultater - Østdanmark'!J$3:J$504)),"&gt;0"))</f>
        <v>1638157.7192038004</v>
      </c>
      <c r="H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forbrug'!H$3,'Forbrug af biomasse'!$B$2:$B$425,$F29)</f>
        <v>1515714.1736670118</v>
      </c>
      <c r="I29">
        <f>IF(F29="Vestdanmark",-IF(A29="Halm",SUMIFS(IF(E29=År1,'Resultater - Vestdanmark'!H$3:H$504,IF(E29=År2,'Resultater - Vestdanmark'!I$3:I$504,'Resultater - Vestdanmark'!J$3:J$504)),'Resultater - Vestdanmark'!$F$3:$F$504,$A29,'Resultater - Vestdanmark'!H$3:H$504,"&lt;0"),0),-IF(A29="Halm",SUMIFS(IF(E29=År1,'Resultater - Østdanmark'!H$3:H$504,IF(E29=År2,'Resultater - Østdanmark'!I$3:I$504,'Resultater - Østdanmark'!J$3:J$504)),'Resultater - Østdanmark'!$F$3:$F$504,$A29,'Resultater - Østdanmark'!H$3:H$504,"&lt;0"),0))</f>
        <v>0</v>
      </c>
      <c r="J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forbrug'!J$3,'Forbrug af biomasse'!$B$2:$B$425,$F29)</f>
        <v>0</v>
      </c>
      <c r="K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forbrug'!K$3,'Forbrug af biomasse'!$B$2:$B$425,$F29)</f>
        <v>0</v>
      </c>
      <c r="L29" s="94">
        <f>SUMIFS('Forbrug af biomasse'!$E$2:$E$425,'Forbrug af biomasse'!$C$2:$C$425,'Resultat-Produktion &amp; forbrug'!$A29,'Forbrug af biomasse'!$D$2:$D$425,'Resultat-Produktion &amp; forbrug'!$E29,'Forbrug af biomasse'!$A$2:$A$425,'Resultat-Produktion &amp; forbrug'!L$3,'Forbrug af biomasse'!$B$2:$B$425,$F29)</f>
        <v>0</v>
      </c>
      <c r="M29" s="94">
        <f>IF(A29&lt;&gt;"Biogas",SUMIFS('Forbrug af biomasse'!$E$2:$E$425,'Forbrug af biomasse'!$C$2:$C$425,'Resultat-Produktion &amp; forbrug'!$A29,'Forbrug af biomasse'!$D$2:$D$425,'Resultat-Produktion &amp; forbrug'!$E29,'Forbrug af biomasse'!$A$2:$A$425,'Resultat-Produktion &amp; forbrug'!M$3,'Forbrug af biomasse'!$B$2:$B$425,$F29),G29)</f>
        <v>0</v>
      </c>
      <c r="N29" s="94">
        <f>SUMIFS('Forbrug af biomasse'!E:E,'Forbrug af biomasse'!C:C,'Resultat-Produktion &amp; forbrug'!$A29,'Forbrug af biomasse'!D:D,'Resultat-Produktion &amp; forbrug'!$E29,'Forbrug af biomasse'!G:G,1,'Forbrug af biomasse'!B:B,$F29)</f>
        <v>0</v>
      </c>
      <c r="O29" s="179">
        <f t="shared" si="9"/>
        <v>122443.54553678865</v>
      </c>
      <c r="P29" s="94">
        <f t="shared" si="4"/>
        <v>0</v>
      </c>
      <c r="Q29" s="180">
        <f t="shared" si="10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IF(A29&lt;&gt;"Biogas",IFERROR(VLOOKUP(A29,[1]Biogasudbytte!$A$2:$B$18,2,FALSE)*[1]Energiindhold!$C$10,0)*K29*IFERROR(VLOOKUP(A29,Biogasanlæg!$F$3:$G$8,2,FALSE),1)+IFERROR(VLOOKUP(A29,[1]Energiindhold!$A$2:$C$11,3,FALSE),0)*M29+IF(E29&lt;&gt;År1,R29,0),0)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11"/>
        <v>0</v>
      </c>
      <c r="V29" s="169">
        <f>P29*IFERROR(VLOOKUP(A29,[1]Tørstofindhold!A$2:B$24,2,FALSE),0)</f>
        <v>0</v>
      </c>
      <c r="W29">
        <f>IF(E29=År1,Q29,SUM(P29,Q29))*IFERROR(VLOOKUP(A29,[1]Tørstofindhold!A$2:B$24,2,FALSE),0)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12"/>
        <v>0</v>
      </c>
      <c r="Z29">
        <f t="shared" si="1"/>
        <v>0</v>
      </c>
      <c r="AA29">
        <f t="shared" si="2"/>
        <v>1</v>
      </c>
    </row>
    <row r="30" spans="1:27" x14ac:dyDescent="0.25">
      <c r="A30" t="s">
        <v>53</v>
      </c>
      <c r="B30" s="171" t="s">
        <v>223</v>
      </c>
      <c r="C30" s="171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1</v>
      </c>
      <c r="D30" s="171">
        <v>1</v>
      </c>
      <c r="E30" s="171">
        <f t="shared" si="8"/>
        <v>2019</v>
      </c>
      <c r="F30" t="s">
        <v>23</v>
      </c>
      <c r="G30" s="94">
        <f>IF(F30="Vestdanmark",SUMIFS(IF(E30=År1,'Resultater - Vestdanmark'!H$3:H$504,IF(E30=År2,'Resultater - Vestdanmark'!I$3:I$504,'Resultater - Vestdanmark'!J$3:J$504)),'Resultater - Vestdanmark'!$F$3:$F$504,$A30,IF(E30=År1,'Resultater - Vestdanmark'!H$3:H$504,IF(E30=År2,'Resultater - Vestdanmark'!I$3:I$504,'Resultater - Vestdanmark'!J$3:J$504)),"&gt;0"),SUMIFS(IF(E30=År1,'Resultater - Østdanmark'!H$3:H$504,IF(E30=År2,'Resultater - Østdanmark'!I$3:I$504,'Resultater - Østdanmark'!J$3:J$504)),'Resultater - Østdanmark'!$F$3:$F$504,$A30,IF(E30=År1,'Resultater - Østdanmark'!H$3:H$504,IF(E30=År2,'Resultater - Østdanmark'!I$3:I$504,'Resultater - Østdanmark'!J$3:J$504)),"&gt;0"))</f>
        <v>7590675.3960505147</v>
      </c>
      <c r="H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forbrug'!H$3,'Forbrug af biomasse'!$B$2:$B$425,$F30)</f>
        <v>5657053.7864699634</v>
      </c>
      <c r="I30">
        <f>IF(F30="Vestdanmark",-IF(A30="Halm",SUMIFS(IF(E30=År1,'Resultater - Vestdanmark'!H$3:H$504,IF(E30=År2,'Resultater - Vestdanmark'!I$3:I$504,'Resultater - Vestdanmark'!J$3:J$504)),'Resultater - Vestdanmark'!$F$3:$F$504,$A30,'Resultater - Vestdanmark'!H$3:H$504,"&lt;0"),0),-IF(A30="Halm",SUMIFS(IF(E30=År1,'Resultater - Østdanmark'!H$3:H$504,IF(E30=År2,'Resultater - Østdanmark'!I$3:I$504,'Resultater - Østdanmark'!J$3:J$504)),'Resultater - Østdanmark'!$F$3:$F$504,$A30,'Resultater - Østdanmark'!H$3:H$504,"&lt;0"),0))</f>
        <v>0</v>
      </c>
      <c r="J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forbrug'!J$3,'Forbrug af biomasse'!$B$2:$B$425,$F30)</f>
        <v>0</v>
      </c>
      <c r="K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forbrug'!K$3,'Forbrug af biomasse'!$B$2:$B$425,$F30)</f>
        <v>314874.94627501385</v>
      </c>
      <c r="L30" s="94">
        <f>SUMIFS('Forbrug af biomasse'!$E$2:$E$425,'Forbrug af biomasse'!$C$2:$C$425,'Resultat-Produktion &amp; forbrug'!$A30,'Forbrug af biomasse'!$D$2:$D$425,'Resultat-Produktion &amp; forbrug'!$E30,'Forbrug af biomasse'!$A$2:$A$425,'Resultat-Produktion &amp; forbrug'!L$3,'Forbrug af biomasse'!$B$2:$B$425,$F30)</f>
        <v>0</v>
      </c>
      <c r="M30" s="94">
        <f>IF(A30&lt;&gt;"Biogas",SUMIFS('Forbrug af biomasse'!$E$2:$E$425,'Forbrug af biomasse'!$C$2:$C$425,'Resultat-Produktion &amp; forbrug'!$A30,'Forbrug af biomasse'!$D$2:$D$425,'Resultat-Produktion &amp; forbrug'!$E30,'Forbrug af biomasse'!$A$2:$A$425,'Resultat-Produktion &amp; forbrug'!M$3,'Forbrug af biomasse'!$B$2:$B$425,$F30),G30)</f>
        <v>0</v>
      </c>
      <c r="N30" s="94">
        <f>SUMIFS('Forbrug af biomasse'!E:E,'Forbrug af biomasse'!C:C,'Resultat-Produktion &amp; forbrug'!$A30,'Forbrug af biomasse'!D:D,'Resultat-Produktion &amp; forbrug'!$E30,'Forbrug af biomasse'!G:G,1,'Forbrug af biomasse'!B:B,$F30)</f>
        <v>0</v>
      </c>
      <c r="O30" s="179">
        <f t="shared" si="9"/>
        <v>1618746.6633055378</v>
      </c>
      <c r="P30" s="94">
        <f t="shared" si="4"/>
        <v>1274488.0820395502</v>
      </c>
      <c r="Q30" s="180">
        <f t="shared" si="10"/>
        <v>314874.94627501385</v>
      </c>
      <c r="R30">
        <f>IFERROR(VLOOKUP(A30,[1]Energiindhold!$A$2:$C$11,3,FALSE),IFERROR(VLOOKUP(A30,[1]Biogasudbytte!$A$2:$B$18,2,FALSE)*[1]Energiindhold!$C$10,0))*P30</f>
        <v>4.575412214521986</v>
      </c>
      <c r="S30">
        <f>IF(A30&lt;&gt;"Biogas",IFERROR(VLOOKUP(A30,[1]Biogasudbytte!$A$2:$B$18,2,FALSE)*[1]Energiindhold!$C$10,0)*K30*IFERROR(VLOOKUP(A30,Biogasanlæg!$F$3:$G$8,2,FALSE),1)+IFERROR(VLOOKUP(A30,[1]Energiindhold!$A$2:$C$11,3,FALSE),0)*M30+IF(E30&lt;&gt;År1,R30,0),0)</f>
        <v>1.1304010571272998</v>
      </c>
      <c r="T30">
        <f>IFERROR(VLOOKUP(A30,[1]Biogasudbytte!$A$2:$B$18,2,FALSE)*[1]Energiindhold!$C$10,0)*K30*IFERROR(VLOOKUP(A30,Biogasanlæg!$F$3:$G$8,2,FALSE),1)</f>
        <v>1.1304010571272998</v>
      </c>
      <c r="U30" s="170">
        <f t="shared" si="11"/>
        <v>0</v>
      </c>
      <c r="V30" s="169">
        <f>P30*IFERROR(VLOOKUP(A30,[1]Tørstofindhold!A$2:B$24,2,FALSE),0)</f>
        <v>382346.42461186502</v>
      </c>
      <c r="W30">
        <f>IF(E30=År1,Q30,SUM(P30,Q30))*IFERROR(VLOOKUP(A30,[1]Tørstofindhold!A$2:B$24,2,FALSE),0)</f>
        <v>94462.483882504152</v>
      </c>
      <c r="X30">
        <f>K30*IFERROR(VLOOKUP(A30,[1]Tørstofindhold!A$2:B$24,2,FALSE),0)</f>
        <v>94462.483882504152</v>
      </c>
      <c r="Y30" s="170">
        <f t="shared" si="12"/>
        <v>0</v>
      </c>
      <c r="Z30">
        <f t="shared" si="1"/>
        <v>0</v>
      </c>
      <c r="AA30">
        <f t="shared" si="2"/>
        <v>1</v>
      </c>
    </row>
    <row r="31" spans="1:27" x14ac:dyDescent="0.25">
      <c r="A31" s="171" t="s">
        <v>116</v>
      </c>
      <c r="B31" s="171"/>
      <c r="C31" s="171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0</v>
      </c>
      <c r="D31" s="171">
        <v>1</v>
      </c>
      <c r="E31" s="171">
        <f t="shared" si="8"/>
        <v>2019</v>
      </c>
      <c r="F31" t="s">
        <v>23</v>
      </c>
      <c r="G31" s="94">
        <f>IF(F31="Vestdanmark",SUMIFS(IF(E31=År1,'Resultater - Vestdanmark'!H$3:H$504,IF(E31=År2,'Resultater - Vestdanmark'!I$3:I$504,'Resultater - Vestdanmark'!J$3:J$504)),'Resultater - Vestdanmark'!$F$3:$F$504,$A31,IF(E31=År1,'Resultater - Vestdanmark'!H$3:H$504,IF(E31=År2,'Resultater - Vestdanmark'!I$3:I$504,'Resultater - Vestdanmark'!J$3:J$504)),"&gt;0"),SUMIFS(IF(E31=År1,'Resultater - Østdanmark'!H$3:H$504,IF(E31=År2,'Resultater - Østdanmark'!I$3:I$504,'Resultater - Østdanmark'!J$3:J$504)),'Resultater - Østdanmark'!$F$3:$F$504,$A31,IF(E31=År1,'Resultater - Østdanmark'!H$3:H$504,IF(E31=År2,'Resultater - Østdanmark'!I$3:I$504,'Resultater - Østdanmark'!J$3:J$504)),"&gt;0"))</f>
        <v>3160794.2116654618</v>
      </c>
      <c r="H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forbrug'!H$3,'Forbrug af biomasse'!$B$2:$B$425,$F31)</f>
        <v>0</v>
      </c>
      <c r="I31">
        <f>IF(F31="Vestdanmark",-IF(A31="Halm",SUMIFS(IF(E31=År1,'Resultater - Vestdanmark'!H$3:H$504,IF(E31=År2,'Resultater - Vestdanmark'!I$3:I$504,'Resultater - Vestdanmark'!J$3:J$504)),'Resultater - Vestdanmark'!$F$3:$F$504,$A31,'Resultater - Vestdanmark'!H$3:H$504,"&lt;0"),0),-IF(A31="Halm",SUMIFS(IF(E31=År1,'Resultater - Østdanmark'!H$3:H$504,IF(E31=År2,'Resultater - Østdanmark'!I$3:I$504,'Resultater - Østdanmark'!J$3:J$504)),'Resultater - Østdanmark'!$F$3:$F$504,$A31,'Resultater - Østdanmark'!H$3:H$504,"&lt;0"),0))</f>
        <v>0</v>
      </c>
      <c r="J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forbrug'!J$3,'Forbrug af biomasse'!$B$2:$B$425,$F31)</f>
        <v>457077.09579476295</v>
      </c>
      <c r="K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forbrug'!K$3,'Forbrug af biomasse'!$B$2:$B$425,$F31)</f>
        <v>0</v>
      </c>
      <c r="L31" s="94">
        <f>SUMIFS('Forbrug af biomasse'!$E$2:$E$425,'Forbrug af biomasse'!$C$2:$C$425,'Resultat-Produktion &amp; forbrug'!$A31,'Forbrug af biomasse'!$D$2:$D$425,'Resultat-Produktion &amp; forbrug'!$E31,'Forbrug af biomasse'!$A$2:$A$425,'Resultat-Produktion &amp; forbrug'!L$3,'Forbrug af biomasse'!$B$2:$B$425,$F31)</f>
        <v>0</v>
      </c>
      <c r="M31" s="94">
        <f>IF(A31&lt;&gt;"Biogas",SUMIFS('Forbrug af biomasse'!$E$2:$E$425,'Forbrug af biomasse'!$C$2:$C$425,'Resultat-Produktion &amp; forbrug'!$A31,'Forbrug af biomasse'!$D$2:$D$425,'Resultat-Produktion &amp; forbrug'!$E31,'Forbrug af biomasse'!$A$2:$A$425,'Resultat-Produktion &amp; forbrug'!M$3,'Forbrug af biomasse'!$B$2:$B$425,$F31),G31)</f>
        <v>0</v>
      </c>
      <c r="N31" s="94">
        <f>SUMIFS('Forbrug af biomasse'!E:E,'Forbrug af biomasse'!C:C,'Resultat-Produktion &amp; forbrug'!$A31,'Forbrug af biomasse'!D:D,'Resultat-Produktion &amp; forbrug'!$E31,'Forbrug af biomasse'!G:G,1,'Forbrug af biomasse'!B:B,$F31)</f>
        <v>0</v>
      </c>
      <c r="O31" s="179">
        <f t="shared" si="9"/>
        <v>2703717.1158706988</v>
      </c>
      <c r="P31" s="94">
        <f t="shared" si="4"/>
        <v>0</v>
      </c>
      <c r="Q31" s="180">
        <f t="shared" si="10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IF(A31&lt;&gt;"Biogas",IFERROR(VLOOKUP(A31,[1]Biogasudbytte!$A$2:$B$18,2,FALSE)*[1]Energiindhold!$C$10,0)*K31*IFERROR(VLOOKUP(A31,Biogasanlæg!$F$3:$G$8,2,FALSE),1)+IFERROR(VLOOKUP(A31,[1]Energiindhold!$A$2:$C$11,3,FALSE),0)*M31+IF(E31&lt;&gt;År1,R31,0),0)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11"/>
        <v>0</v>
      </c>
      <c r="V31" s="169">
        <f>P31*IFERROR(VLOOKUP(A31,[1]Tørstofindhold!A$2:B$24,2,FALSE),0)</f>
        <v>0</v>
      </c>
      <c r="W31">
        <f>IF(E31=År1,Q31,SUM(P31,Q31))*IFERROR(VLOOKUP(A31,[1]Tørstofindhold!A$2:B$24,2,FALSE),0)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12"/>
        <v>0</v>
      </c>
      <c r="Z31">
        <f t="shared" si="1"/>
        <v>0</v>
      </c>
      <c r="AA31">
        <f t="shared" si="2"/>
        <v>1</v>
      </c>
    </row>
    <row r="32" spans="1:27" x14ac:dyDescent="0.25">
      <c r="A32" s="171" t="s">
        <v>106</v>
      </c>
      <c r="B32" s="171" t="s">
        <v>225</v>
      </c>
      <c r="C32" s="171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1</v>
      </c>
      <c r="D32" s="171">
        <v>1</v>
      </c>
      <c r="E32" s="171">
        <f t="shared" si="8"/>
        <v>2019</v>
      </c>
      <c r="F32" t="s">
        <v>23</v>
      </c>
      <c r="G32" s="94">
        <f>IF(F32="Vestdanmark",SUMIFS(IF(E32=År1,'Resultater - Vestdanmark'!H$3:H$504,IF(E32=År2,'Resultater - Vestdanmark'!I$3:I$504,'Resultater - Vestdanmark'!J$3:J$504)),'Resultater - Vestdanmark'!$F$3:$F$504,$A32,IF(E32=År1,'Resultater - Vestdanmark'!H$3:H$504,IF(E32=År2,'Resultater - Vestdanmark'!I$3:I$504,'Resultater - Vestdanmark'!J$3:J$504)),"&gt;0"),SUMIFS(IF(E32=År1,'Resultater - Østdanmark'!H$3:H$504,IF(E32=År2,'Resultater - Østdanmark'!I$3:I$504,'Resultater - Østdanmark'!J$3:J$504)),'Resultater - Østdanmark'!$F$3:$F$504,$A32,IF(E32=År1,'Resultater - Østdanmark'!H$3:H$504,IF(E32=År2,'Resultater - Østdanmark'!I$3:I$504,'Resultater - Østdanmark'!J$3:J$504)),"&gt;0"))</f>
        <v>878.90231344976178</v>
      </c>
      <c r="H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forbrug'!H$3,'Forbrug af biomasse'!$B$2:$B$425,$F32)</f>
        <v>0</v>
      </c>
      <c r="I32">
        <f>IF(F32="Vestdanmark",-IF(A32="Halm",SUMIFS(IF(E32=År1,'Resultater - Vestdanmark'!H$3:H$504,IF(E32=År2,'Resultater - Vestdanmark'!I$3:I$504,'Resultater - Vestdanmark'!J$3:J$504)),'Resultater - Vestdanmark'!$F$3:$F$504,$A32,'Resultater - Vestdanmark'!H$3:H$504,"&lt;0"),0),-IF(A32="Halm",SUMIFS(IF(E32=År1,'Resultater - Østdanmark'!H$3:H$504,IF(E32=År2,'Resultater - Østdanmark'!I$3:I$504,'Resultater - Østdanmark'!J$3:J$504)),'Resultater - Østdanmark'!$F$3:$F$504,$A32,'Resultater - Østdanmark'!H$3:H$504,"&lt;0"),0))</f>
        <v>0</v>
      </c>
      <c r="J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forbrug'!J$3,'Forbrug af biomasse'!$B$2:$B$425,$F32)</f>
        <v>0</v>
      </c>
      <c r="K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forbrug'!K$3,'Forbrug af biomasse'!$B$2:$B$425,$F32)</f>
        <v>0</v>
      </c>
      <c r="L32" s="94">
        <f>SUMIFS('Forbrug af biomasse'!$E$2:$E$425,'Forbrug af biomasse'!$C$2:$C$425,'Resultat-Produktion &amp; forbrug'!$A32,'Forbrug af biomasse'!$D$2:$D$425,'Resultat-Produktion &amp; forbrug'!$E32,'Forbrug af biomasse'!$A$2:$A$425,'Resultat-Produktion &amp; forbrug'!L$3,'Forbrug af biomasse'!$B$2:$B$425,$F32)</f>
        <v>0</v>
      </c>
      <c r="M32" s="94">
        <f>IF(A32&lt;&gt;"Biogas",SUMIFS('Forbrug af biomasse'!$E$2:$E$425,'Forbrug af biomasse'!$C$2:$C$425,'Resultat-Produktion &amp; forbrug'!$A32,'Forbrug af biomasse'!$D$2:$D$425,'Resultat-Produktion &amp; forbrug'!$E32,'Forbrug af biomasse'!$A$2:$A$425,'Resultat-Produktion &amp; forbrug'!M$3,'Forbrug af biomasse'!$B$2:$B$425,$F32),G32)</f>
        <v>0</v>
      </c>
      <c r="N32" s="94">
        <f>SUMIFS('Forbrug af biomasse'!E:E,'Forbrug af biomasse'!C:C,'Resultat-Produktion &amp; forbrug'!$A32,'Forbrug af biomasse'!D:D,'Resultat-Produktion &amp; forbrug'!$E32,'Forbrug af biomasse'!G:G,1,'Forbrug af biomasse'!B:B,$F32)</f>
        <v>0</v>
      </c>
      <c r="O32" s="179">
        <f t="shared" si="9"/>
        <v>878.90231344976178</v>
      </c>
      <c r="P32" s="94">
        <f t="shared" si="4"/>
        <v>878.90231344976178</v>
      </c>
      <c r="Q32" s="180">
        <f t="shared" si="10"/>
        <v>0</v>
      </c>
      <c r="R32">
        <f>IFERROR(VLOOKUP(A32,[1]Energiindhold!$A$2:$C$11,3,FALSE),IFERROR(VLOOKUP(A32,[1]Biogasudbytte!$A$2:$B$18,2,FALSE)*[1]Energiindhold!$C$10,0))*P32</f>
        <v>7.8881482632116122E-4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IF(A32&lt;&gt;"Biogas",IFERROR(VLOOKUP(A32,[1]Biogasudbytte!$A$2:$B$18,2,FALSE)*[1]Energiindhold!$C$10,0)*K32*IFERROR(VLOOKUP(A32,Biogasanlæg!$F$3:$G$8,2,FALSE),1)+IFERROR(VLOOKUP(A32,[1]Energiindhold!$A$2:$C$11,3,FALSE),0)*M32+IF(E32&lt;&gt;År1,R32,0),0)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11"/>
        <v>0</v>
      </c>
      <c r="V32" s="169">
        <f>P32*IFERROR(VLOOKUP(A32,[1]Tørstofindhold!A$2:B$24,2,FALSE),0)</f>
        <v>131.83534701746427</v>
      </c>
      <c r="W32">
        <f>IF(E32=År1,Q32,SUM(P32,Q32))*IFERROR(VLOOKUP(A32,[1]Tørstofindhold!A$2:B$24,2,FALSE),0)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12"/>
        <v>0</v>
      </c>
      <c r="Z32">
        <f t="shared" si="1"/>
        <v>0</v>
      </c>
      <c r="AA32">
        <f t="shared" si="2"/>
        <v>1</v>
      </c>
    </row>
    <row r="33" spans="1:27" x14ac:dyDescent="0.25">
      <c r="A33" s="171" t="s">
        <v>14</v>
      </c>
      <c r="B33" s="171"/>
      <c r="C33" s="171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71">
        <v>1</v>
      </c>
      <c r="E33" s="171">
        <f t="shared" si="8"/>
        <v>2019</v>
      </c>
      <c r="F33" t="s">
        <v>23</v>
      </c>
      <c r="G33" s="94">
        <f>IF(F33="Vestdanmark",SUMIFS(IF(E33=År1,'Resultater - Vestdanmark'!H$3:H$504,IF(E33=År2,'Resultater - Vestdanmark'!I$3:I$504,'Resultater - Vestdanmark'!J$3:J$504)),'Resultater - Vestdanmark'!$F$3:$F$504,$A33,IF(E33=År1,'Resultater - Vestdanmark'!H$3:H$504,IF(E33=År2,'Resultater - Vestdanmark'!I$3:I$504,'Resultater - Vestdanmark'!J$3:J$504)),"&gt;0"),SUMIFS(IF(E33=År1,'Resultater - Østdanmark'!H$3:H$504,IF(E33=År2,'Resultater - Østdanmark'!I$3:I$504,'Resultater - Østdanmark'!J$3:J$504)),'Resultater - Østdanmark'!$F$3:$F$504,$A33,IF(E33=År1,'Resultater - Østdanmark'!H$3:H$504,IF(E33=År2,'Resultater - Østdanmark'!I$3:I$504,'Resultater - Østdanmark'!J$3:J$504)),"&gt;0"))</f>
        <v>108094.85577035608</v>
      </c>
      <c r="H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forbrug'!H$3,'Forbrug af biomasse'!$B$2:$B$425,$F33)</f>
        <v>0</v>
      </c>
      <c r="I33">
        <f>IF(F33="Vestdanmark",-IF(A33="Halm",SUMIFS(IF(E33=År1,'Resultater - Vestdanmark'!H$3:H$504,IF(E33=År2,'Resultater - Vestdanmark'!I$3:I$504,'Resultater - Vestdanmark'!J$3:J$504)),'Resultater - Vestdanmark'!$F$3:$F$504,$A33,'Resultater - Vestdanmark'!H$3:H$504,"&lt;0"),0),-IF(A33="Halm",SUMIFS(IF(E33=År1,'Resultater - Østdanmark'!H$3:H$504,IF(E33=År2,'Resultater - Østdanmark'!I$3:I$504,'Resultater - Østdanmark'!J$3:J$504)),'Resultater - Østdanmark'!$F$3:$F$504,$A33,'Resultater - Østdanmark'!H$3:H$504,"&lt;0"),0))</f>
        <v>0</v>
      </c>
      <c r="J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forbrug'!J$3,'Forbrug af biomasse'!$B$2:$B$425,$F33)</f>
        <v>58080.313724265572</v>
      </c>
      <c r="K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forbrug'!K$3,'Forbrug af biomasse'!$B$2:$B$425,$F33)</f>
        <v>0</v>
      </c>
      <c r="L33" s="94">
        <f>SUMIFS('Forbrug af biomasse'!$E$2:$E$425,'Forbrug af biomasse'!$C$2:$C$425,'Resultat-Produktion &amp; forbrug'!$A33,'Forbrug af biomasse'!$D$2:$D$425,'Resultat-Produktion &amp; forbrug'!$E33,'Forbrug af biomasse'!$A$2:$A$425,'Resultat-Produktion &amp; forbrug'!L$3,'Forbrug af biomasse'!$B$2:$B$425,$F33)</f>
        <v>0</v>
      </c>
      <c r="M33" s="94">
        <f>IF(A33&lt;&gt;"Biogas",SUMIFS('Forbrug af biomasse'!$E$2:$E$425,'Forbrug af biomasse'!$C$2:$C$425,'Resultat-Produktion &amp; forbrug'!$A33,'Forbrug af biomasse'!$D$2:$D$425,'Resultat-Produktion &amp; forbrug'!$E33,'Forbrug af biomasse'!$A$2:$A$425,'Resultat-Produktion &amp; forbrug'!M$3,'Forbrug af biomasse'!$B$2:$B$425,$F33),G33)</f>
        <v>0</v>
      </c>
      <c r="N33" s="94">
        <f>SUMIFS('Forbrug af biomasse'!E:E,'Forbrug af biomasse'!C:C,'Resultat-Produktion &amp; forbrug'!$A33,'Forbrug af biomasse'!D:D,'Resultat-Produktion &amp; forbrug'!$E33,'Forbrug af biomasse'!G:G,1,'Forbrug af biomasse'!B:B,$F33)</f>
        <v>0</v>
      </c>
      <c r="O33" s="179">
        <f t="shared" si="9"/>
        <v>50014.542046090508</v>
      </c>
      <c r="P33" s="94">
        <f t="shared" si="4"/>
        <v>0</v>
      </c>
      <c r="Q33" s="180">
        <f t="shared" si="10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IF(A33&lt;&gt;"Biogas",IFERROR(VLOOKUP(A33,[1]Biogasudbytte!$A$2:$B$18,2,FALSE)*[1]Energiindhold!$C$10,0)*K33*IFERROR(VLOOKUP(A33,Biogasanlæg!$F$3:$G$8,2,FALSE),1)+IFERROR(VLOOKUP(A33,[1]Energiindhold!$A$2:$C$11,3,FALSE),0)*M33+IF(E33&lt;&gt;År1,R33,0),0)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11"/>
        <v>0</v>
      </c>
      <c r="V33" s="169">
        <f>P33*IFERROR(VLOOKUP(A33,[1]Tørstofindhold!A$2:B$24,2,FALSE),0)</f>
        <v>0</v>
      </c>
      <c r="W33">
        <f>IF(E33=År1,Q33,SUM(P33,Q33))*IFERROR(VLOOKUP(A33,[1]Tørstofindhold!A$2:B$24,2,FALSE),0)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12"/>
        <v>0</v>
      </c>
      <c r="Z33">
        <f t="shared" si="1"/>
        <v>0</v>
      </c>
      <c r="AA33">
        <f t="shared" si="2"/>
        <v>1</v>
      </c>
    </row>
    <row r="34" spans="1:27" x14ac:dyDescent="0.25">
      <c r="A34" s="171" t="s">
        <v>55</v>
      </c>
      <c r="B34" s="171"/>
      <c r="C34" s="171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0</v>
      </c>
      <c r="D34" s="171">
        <v>1</v>
      </c>
      <c r="E34" s="171">
        <f t="shared" si="8"/>
        <v>2019</v>
      </c>
      <c r="F34" t="s">
        <v>23</v>
      </c>
      <c r="G34" s="94">
        <f>IF(F34="Vestdanmark",SUMIFS(IF(E34=År1,'Resultater - Vestdanmark'!H$3:H$504,IF(E34=År2,'Resultater - Vestdanmark'!I$3:I$504,'Resultater - Vestdanmark'!J$3:J$504)),'Resultater - Vestdanmark'!$F$3:$F$504,$A34,IF(E34=År1,'Resultater - Vestdanmark'!H$3:H$504,IF(E34=År2,'Resultater - Vestdanmark'!I$3:I$504,'Resultater - Vestdanmark'!J$3:J$504)),"&gt;0"),SUMIFS(IF(E34=År1,'Resultater - Østdanmark'!H$3:H$504,IF(E34=År2,'Resultater - Østdanmark'!I$3:I$504,'Resultater - Østdanmark'!J$3:J$504)),'Resultater - Østdanmark'!$F$3:$F$504,$A34,IF(E34=År1,'Resultater - Østdanmark'!H$3:H$504,IF(E34=År2,'Resultater - Østdanmark'!I$3:I$504,'Resultater - Østdanmark'!J$3:J$504)),"&gt;0"))</f>
        <v>1610618.3345669576</v>
      </c>
      <c r="H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forbrug'!H$3,'Forbrug af biomasse'!$B$2:$B$425,$F34)</f>
        <v>0</v>
      </c>
      <c r="I34">
        <f>IF(F34="Vestdanmark",-IF(A34="Halm",SUMIFS(IF(E34=År1,'Resultater - Vestdanmark'!H$3:H$504,IF(E34=År2,'Resultater - Vestdanmark'!I$3:I$504,'Resultater - Vestdanmark'!J$3:J$504)),'Resultater - Vestdanmark'!$F$3:$F$504,$A34,'Resultater - Vestdanmark'!H$3:H$504,"&lt;0"),0),-IF(A34="Halm",SUMIFS(IF(E34=År1,'Resultater - Østdanmark'!H$3:H$504,IF(E34=År2,'Resultater - Østdanmark'!I$3:I$504,'Resultater - Østdanmark'!J$3:J$504)),'Resultater - Østdanmark'!$F$3:$F$504,$A34,'Resultater - Østdanmark'!H$3:H$504,"&lt;0"),0))</f>
        <v>0</v>
      </c>
      <c r="J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forbrug'!J$3,'Forbrug af biomasse'!$B$2:$B$425,$F34)</f>
        <v>0</v>
      </c>
      <c r="K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forbrug'!K$3,'Forbrug af biomasse'!$B$2:$B$425,$F34)</f>
        <v>0</v>
      </c>
      <c r="L34" s="94">
        <f>SUMIFS('Forbrug af biomasse'!$E$2:$E$425,'Forbrug af biomasse'!$C$2:$C$425,'Resultat-Produktion &amp; forbrug'!$A34,'Forbrug af biomasse'!$D$2:$D$425,'Resultat-Produktion &amp; forbrug'!$E34,'Forbrug af biomasse'!$A$2:$A$425,'Resultat-Produktion &amp; forbrug'!L$3,'Forbrug af biomasse'!$B$2:$B$425,$F34)</f>
        <v>0</v>
      </c>
      <c r="M34" s="94">
        <f>IF(A34&lt;&gt;"Biogas",SUMIFS('Forbrug af biomasse'!$E$2:$E$425,'Forbrug af biomasse'!$C$2:$C$425,'Resultat-Produktion &amp; forbrug'!$A34,'Forbrug af biomasse'!$D$2:$D$425,'Resultat-Produktion &amp; forbrug'!$E34,'Forbrug af biomasse'!$A$2:$A$425,'Resultat-Produktion &amp; forbrug'!M$3,'Forbrug af biomasse'!$B$2:$B$425,$F34),G34)</f>
        <v>0</v>
      </c>
      <c r="N34" s="94">
        <f>SUMIFS('Forbrug af biomasse'!E:E,'Forbrug af biomasse'!C:C,'Resultat-Produktion &amp; forbrug'!$A34,'Forbrug af biomasse'!D:D,'Resultat-Produktion &amp; forbrug'!$E34,'Forbrug af biomasse'!G:G,1,'Forbrug af biomasse'!B:B,$F34)</f>
        <v>0</v>
      </c>
      <c r="O34" s="179">
        <f t="shared" si="9"/>
        <v>1610618.3345669576</v>
      </c>
      <c r="P34" s="94">
        <f t="shared" si="4"/>
        <v>0</v>
      </c>
      <c r="Q34" s="180">
        <f t="shared" si="10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IF(A34&lt;&gt;"Biogas",IFERROR(VLOOKUP(A34,[1]Biogasudbytte!$A$2:$B$18,2,FALSE)*[1]Energiindhold!$C$10,0)*K34*IFERROR(VLOOKUP(A34,Biogasanlæg!$F$3:$G$8,2,FALSE),1)+IFERROR(VLOOKUP(A34,[1]Energiindhold!$A$2:$C$11,3,FALSE),0)*M34+IF(E34&lt;&gt;År1,R34,0),0)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11"/>
        <v>0</v>
      </c>
      <c r="V34" s="169">
        <f>P34*IFERROR(VLOOKUP(A34,[1]Tørstofindhold!A$2:B$24,2,FALSE),0)</f>
        <v>0</v>
      </c>
      <c r="W34">
        <f>IF(E34=År1,Q34,SUM(P34,Q34))*IFERROR(VLOOKUP(A34,[1]Tørstofindhold!A$2:B$24,2,FALSE),0)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12"/>
        <v>0</v>
      </c>
      <c r="Z34">
        <f t="shared" si="1"/>
        <v>0</v>
      </c>
      <c r="AA34">
        <f t="shared" si="2"/>
        <v>1</v>
      </c>
    </row>
    <row r="35" spans="1:27" x14ac:dyDescent="0.25">
      <c r="A35" s="171" t="s">
        <v>95</v>
      </c>
      <c r="B35" s="171" t="s">
        <v>224</v>
      </c>
      <c r="C35" s="171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71">
        <v>0</v>
      </c>
      <c r="E35" s="171">
        <f t="shared" si="8"/>
        <v>2019</v>
      </c>
      <c r="F35" t="s">
        <v>23</v>
      </c>
      <c r="G35" s="94">
        <f>IF(F35="Vestdanmark",SUMIFS(IF(E35=År1,'Resultater - Vestdanmark'!H$3:H$504,IF(E35=År2,'Resultater - Vestdanmark'!I$3:I$504,'Resultater - Vestdanmark'!J$3:J$504)),'Resultater - Vestdanmark'!$F$3:$F$504,$A35,IF(E35=År1,'Resultater - Vestdanmark'!H$3:H$504,IF(E35=År2,'Resultater - Vestdanmark'!I$3:I$504,'Resultater - Vestdanmark'!J$3:J$504)),"&gt;0"),SUMIFS(IF(E35=År1,'Resultater - Østdanmark'!H$3:H$504,IF(E35=År2,'Resultater - Østdanmark'!I$3:I$504,'Resultater - Østdanmark'!J$3:J$504)),'Resultater - Østdanmark'!$F$3:$F$504,$A35,IF(E35=År1,'Resultater - Østdanmark'!H$3:H$504,IF(E35=År2,'Resultater - Østdanmark'!I$3:I$504,'Resultater - Østdanmark'!J$3:J$504)),"&gt;0"))</f>
        <v>171006.78248665464</v>
      </c>
      <c r="H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forbrug'!H$3,'Forbrug af biomasse'!$B$2:$B$425,$F35)</f>
        <v>0</v>
      </c>
      <c r="I35">
        <f>IF(F35="Vestdanmark",-IF(A35="Halm",SUMIFS(IF(E35=År1,'Resultater - Vestdanmark'!H$3:H$504,IF(E35=År2,'Resultater - Vestdanmark'!I$3:I$504,'Resultater - Vestdanmark'!J$3:J$504)),'Resultater - Vestdanmark'!$F$3:$F$504,$A35,'Resultater - Vestdanmark'!H$3:H$504,"&lt;0"),0),-IF(A35="Halm",SUMIFS(IF(E35=År1,'Resultater - Østdanmark'!H$3:H$504,IF(E35=År2,'Resultater - Østdanmark'!I$3:I$504,'Resultater - Østdanmark'!J$3:J$504)),'Resultater - Østdanmark'!$F$3:$F$504,$A35,'Resultater - Østdanmark'!H$3:H$504,"&lt;0"),0))</f>
        <v>0</v>
      </c>
      <c r="J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forbrug'!J$3,'Forbrug af biomasse'!$B$2:$B$425,$F35)</f>
        <v>0</v>
      </c>
      <c r="K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forbrug'!K$3,'Forbrug af biomasse'!$B$2:$B$425,$F35)</f>
        <v>0</v>
      </c>
      <c r="L35" s="94">
        <f>SUMIFS('Forbrug af biomasse'!$E$2:$E$425,'Forbrug af biomasse'!$C$2:$C$425,'Resultat-Produktion &amp; forbrug'!$A35,'Forbrug af biomasse'!$D$2:$D$425,'Resultat-Produktion &amp; forbrug'!$E35,'Forbrug af biomasse'!$A$2:$A$425,'Resultat-Produktion &amp; forbrug'!L$3,'Forbrug af biomasse'!$B$2:$B$425,$F35)</f>
        <v>0</v>
      </c>
      <c r="M35" s="94">
        <f>IF(A35&lt;&gt;"Biogas",SUMIFS('Forbrug af biomasse'!$E$2:$E$425,'Forbrug af biomasse'!$C$2:$C$425,'Resultat-Produktion &amp; forbrug'!$A35,'Forbrug af biomasse'!$D$2:$D$425,'Resultat-Produktion &amp; forbrug'!$E35,'Forbrug af biomasse'!$A$2:$A$425,'Resultat-Produktion &amp; forbrug'!M$3,'Forbrug af biomasse'!$B$2:$B$425,$F35),G35)</f>
        <v>171006.78248665464</v>
      </c>
      <c r="N35" s="94">
        <f>SUMIFS('Forbrug af biomasse'!E:E,'Forbrug af biomasse'!C:C,'Resultat-Produktion &amp; forbrug'!$A35,'Forbrug af biomasse'!D:D,'Resultat-Produktion &amp; forbrug'!$E35,'Forbrug af biomasse'!G:G,1,'Forbrug af biomasse'!B:B,$F35)</f>
        <v>0</v>
      </c>
      <c r="O35" s="179">
        <f t="shared" si="9"/>
        <v>0</v>
      </c>
      <c r="P35" s="94">
        <f t="shared" si="4"/>
        <v>0</v>
      </c>
      <c r="Q35" s="180">
        <f t="shared" si="10"/>
        <v>171006.78248665464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IF(A35&lt;&gt;"Biogas",IFERROR(VLOOKUP(A35,[1]Biogasudbytte!$A$2:$B$18,2,FALSE)*[1]Energiindhold!$C$10,0)*K35*IFERROR(VLOOKUP(A35,Biogasanlæg!$F$3:$G$8,2,FALSE),1)+IFERROR(VLOOKUP(A35,[1]Energiindhold!$A$2:$C$11,3,FALSE),0)*M35+IF(E35&lt;&gt;År1,R35,0),0)</f>
        <v>3.146524797754445</v>
      </c>
      <c r="T35">
        <f>IFERROR(VLOOKUP(A35,[1]Biogasudbytte!$A$2:$B$18,2,FALSE)*[1]Energiindhold!$C$10,0)*K35*IFERROR(VLOOKUP(A35,Biogasanlæg!$F$3:$G$8,2,FALSE),1)</f>
        <v>0</v>
      </c>
      <c r="U35" s="170">
        <f t="shared" si="11"/>
        <v>3.146524797754445</v>
      </c>
      <c r="V35" s="169">
        <f>P35*IFERROR(VLOOKUP(A35,[1]Tørstofindhold!A$2:B$24,2,FALSE),0)</f>
        <v>0</v>
      </c>
      <c r="W35">
        <f>IF(E35=År1,Q35,SUM(P35,Q35))*IFERROR(VLOOKUP(A35,[1]Tørstofindhold!A$2:B$24,2,FALSE),0)</f>
        <v>70967.814731961684</v>
      </c>
      <c r="X35">
        <f>K35*IFERROR(VLOOKUP(A35,[1]Tørstofindhold!A$2:B$24,2,FALSE),0)</f>
        <v>0</v>
      </c>
      <c r="Y35" s="170">
        <f t="shared" si="12"/>
        <v>70967.814731961684</v>
      </c>
      <c r="Z35">
        <f t="shared" si="1"/>
        <v>0</v>
      </c>
      <c r="AA35">
        <f t="shared" si="2"/>
        <v>0</v>
      </c>
    </row>
    <row r="36" spans="1:27" x14ac:dyDescent="0.25">
      <c r="A36" s="171" t="s">
        <v>305</v>
      </c>
      <c r="B36" s="171" t="s">
        <v>311</v>
      </c>
      <c r="C36" s="171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71">
        <v>0</v>
      </c>
      <c r="E36" s="171">
        <f t="shared" si="8"/>
        <v>2019</v>
      </c>
      <c r="F36" t="s">
        <v>23</v>
      </c>
      <c r="G36" s="94">
        <f>IF(F36="Vestdanmark",SUMIFS(IF(E36=År1,'Resultater - Vestdanmark'!H$3:H$504,IF(E36=År2,'Resultater - Vestdanmark'!I$3:I$504,'Resultater - Vestdanmark'!J$3:J$504)),'Resultater - Vestdanmark'!$F$3:$F$504,$A36,IF(E36=År1,'Resultater - Vestdanmark'!H$3:H$504,IF(E36=År2,'Resultater - Vestdanmark'!I$3:I$504,'Resultater - Vestdanmark'!J$3:J$504)),"&gt;0"),SUMIFS(IF(E36=År1,'Resultater - Østdanmark'!H$3:H$504,IF(E36=År2,'Resultater - Østdanmark'!I$3:I$504,'Resultater - Østdanmark'!J$3:J$504)),'Resultater - Østdanmark'!$F$3:$F$504,$A36,IF(E36=År1,'Resultater - Østdanmark'!H$3:H$504,IF(E36=År2,'Resultater - Østdanmark'!I$3:I$504,'Resultater - Østdanmark'!J$3:J$504)),"&gt;0"))</f>
        <v>0</v>
      </c>
      <c r="H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forbrug'!H$3,'Forbrug af biomasse'!$B$2:$B$425,$F36)</f>
        <v>0</v>
      </c>
      <c r="I36">
        <f>IF(F36="Vestdanmark",-IF(A36="Halm",SUMIFS(IF(E36=År1,'Resultater - Vestdanmark'!H$3:H$504,IF(E36=År2,'Resultater - Vestdanmark'!I$3:I$504,'Resultater - Vestdanmark'!J$3:J$504)),'Resultater - Vestdanmark'!$F$3:$F$504,$A36,'Resultater - Vestdanmark'!H$3:H$504,"&lt;0"),0),-IF(A36="Halm",SUMIFS(IF(E36=År1,'Resultater - Østdanmark'!H$3:H$504,IF(E36=År2,'Resultater - Østdanmark'!I$3:I$504,'Resultater - Østdanmark'!J$3:J$504)),'Resultater - Østdanmark'!$F$3:$F$504,$A36,'Resultater - Østdanmark'!H$3:H$504,"&lt;0"),0))</f>
        <v>0</v>
      </c>
      <c r="J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forbrug'!J$3,'Forbrug af biomasse'!$B$2:$B$425,$F36)</f>
        <v>0</v>
      </c>
      <c r="K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forbrug'!K$3,'Forbrug af biomasse'!$B$2:$B$425,$F36)</f>
        <v>0</v>
      </c>
      <c r="L36" s="94">
        <f>SUMIFS('Forbrug af biomasse'!$E$2:$E$425,'Forbrug af biomasse'!$C$2:$C$425,'Resultat-Produktion &amp; forbrug'!$A36,'Forbrug af biomasse'!$D$2:$D$425,'Resultat-Produktion &amp; forbrug'!$E36,'Forbrug af biomasse'!$A$2:$A$425,'Resultat-Produktion &amp; forbrug'!L$3,'Forbrug af biomasse'!$B$2:$B$425,$F36)</f>
        <v>0</v>
      </c>
      <c r="M36" s="94">
        <f>IF(A36&lt;&gt;"Biogas",SUMIFS('Forbrug af biomasse'!$E$2:$E$425,'Forbrug af biomasse'!$C$2:$C$425,'Resultat-Produktion &amp; forbrug'!$A36,'Forbrug af biomasse'!$D$2:$D$425,'Resultat-Produktion &amp; forbrug'!$E36,'Forbrug af biomasse'!$A$2:$A$425,'Resultat-Produktion &amp; forbrug'!M$3,'Forbrug af biomasse'!$B$2:$B$425,$F36),G36)</f>
        <v>0</v>
      </c>
      <c r="N36" s="94">
        <f>SUMIFS('Forbrug af biomasse'!E:E,'Forbrug af biomasse'!C:C,'Resultat-Produktion &amp; forbrug'!$A36,'Forbrug af biomasse'!D:D,'Resultat-Produktion &amp; forbrug'!$E36,'Forbrug af biomasse'!G:G,1,'Forbrug af biomasse'!B:B,$F36)</f>
        <v>0</v>
      </c>
      <c r="O36" s="179">
        <f>G36-SUM(H36:N36)</f>
        <v>0</v>
      </c>
      <c r="P36" s="94">
        <f t="shared" si="4"/>
        <v>0</v>
      </c>
      <c r="Q36" s="180">
        <f>SUM(K36,M36)</f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IF(A36&lt;&gt;"Biogas",IFERROR(VLOOKUP(A36,[1]Biogasudbytte!$A$2:$B$18,2,FALSE)*[1]Energiindhold!$C$10,0)*K36*IFERROR(VLOOKUP(A36,Biogasanlæg!$F$3:$G$8,2,FALSE),1)+IFERROR(VLOOKUP(A36,[1]Energiindhold!$A$2:$C$11,3,FALSE),0)*M36+IF(E36&lt;&gt;År1,R36,0),0)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>S36-T36</f>
        <v>0</v>
      </c>
      <c r="V36" s="169">
        <f>P36*IFERROR(VLOOKUP(A36,[1]Tørstofindhold!A$2:B$24,2,FALSE),0)</f>
        <v>0</v>
      </c>
      <c r="W36">
        <f>IF(E36=År1,Q36,SUM(P36,Q36))*IFERROR(VLOOKUP(A36,[1]Tørstofindhold!A$2:B$24,2,FALSE),0)</f>
        <v>0</v>
      </c>
      <c r="X36">
        <f>K36*IFERROR(VLOOKUP(A36,[1]Tørstofindhold!A$2:B$24,2,FALSE),0)</f>
        <v>0</v>
      </c>
      <c r="Y36" s="170">
        <f>W36-X36</f>
        <v>0</v>
      </c>
      <c r="Z36">
        <f t="shared" si="1"/>
        <v>0</v>
      </c>
      <c r="AA36">
        <f t="shared" si="2"/>
        <v>0</v>
      </c>
    </row>
    <row r="37" spans="1:27" x14ac:dyDescent="0.25">
      <c r="A37" s="171" t="s">
        <v>306</v>
      </c>
      <c r="B37" s="171" t="s">
        <v>311</v>
      </c>
      <c r="C37" s="171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1</v>
      </c>
      <c r="D37" s="171">
        <v>0</v>
      </c>
      <c r="E37" s="171">
        <f t="shared" si="8"/>
        <v>2019</v>
      </c>
      <c r="F37" t="s">
        <v>23</v>
      </c>
      <c r="G37" s="94">
        <f>IF(F37="Vestdanmark",SUMIFS(IF(E37=År1,'Resultater - Vestdanmark'!H$3:H$504,IF(E37=År2,'Resultater - Vestdanmark'!I$3:I$504,'Resultater - Vestdanmark'!J$3:J$504)),'Resultater - Vestdanmark'!$F$3:$F$504,$A37,IF(E37=År1,'Resultater - Vestdanmark'!H$3:H$504,IF(E37=År2,'Resultater - Vestdanmark'!I$3:I$504,'Resultater - Vestdanmark'!J$3:J$504)),"&gt;0"),SUMIFS(IF(E37=År1,'Resultater - Østdanmark'!H$3:H$504,IF(E37=År2,'Resultater - Østdanmark'!I$3:I$504,'Resultater - Østdanmark'!J$3:J$504)),'Resultater - Østdanmark'!$F$3:$F$504,$A37,IF(E37=År1,'Resultater - Østdanmark'!H$3:H$504,IF(E37=År2,'Resultater - Østdanmark'!I$3:I$504,'Resultater - Østdanmark'!J$3:J$504)),"&gt;0"))</f>
        <v>0</v>
      </c>
      <c r="H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forbrug'!H$3,'Forbrug af biomasse'!$B$2:$B$425,$F37)</f>
        <v>0</v>
      </c>
      <c r="I37">
        <f>IF(F37="Vestdanmark",-IF(A37="Halm",SUMIFS(IF(E37=År1,'Resultater - Vestdanmark'!H$3:H$504,IF(E37=År2,'Resultater - Vestdanmark'!I$3:I$504,'Resultater - Vestdanmark'!J$3:J$504)),'Resultater - Vestdanmark'!$F$3:$F$504,$A37,'Resultater - Vestdanmark'!H$3:H$504,"&lt;0"),0),-IF(A37="Halm",SUMIFS(IF(E37=År1,'Resultater - Østdanmark'!H$3:H$504,IF(E37=År2,'Resultater - Østdanmark'!I$3:I$504,'Resultater - Østdanmark'!J$3:J$504)),'Resultater - Østdanmark'!$F$3:$F$504,$A37,'Resultater - Østdanmark'!H$3:H$504,"&lt;0"),0))</f>
        <v>0</v>
      </c>
      <c r="J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forbrug'!J$3,'Forbrug af biomasse'!$B$2:$B$425,$F37)</f>
        <v>0</v>
      </c>
      <c r="K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forbrug'!K$3,'Forbrug af biomasse'!$B$2:$B$425,$F37)</f>
        <v>0</v>
      </c>
      <c r="L37" s="94">
        <f>SUMIFS('Forbrug af biomasse'!$E$2:$E$425,'Forbrug af biomasse'!$C$2:$C$425,'Resultat-Produktion &amp; forbrug'!$A37,'Forbrug af biomasse'!$D$2:$D$425,'Resultat-Produktion &amp; forbrug'!$E37,'Forbrug af biomasse'!$A$2:$A$425,'Resultat-Produktion &amp; forbrug'!L$3,'Forbrug af biomasse'!$B$2:$B$425,$F37)</f>
        <v>0</v>
      </c>
      <c r="M37" s="94">
        <f>IF(A37&lt;&gt;"Biogas",SUMIFS('Forbrug af biomasse'!$E$2:$E$425,'Forbrug af biomasse'!$C$2:$C$425,'Resultat-Produktion &amp; forbrug'!$A37,'Forbrug af biomasse'!$D$2:$D$425,'Resultat-Produktion &amp; forbrug'!$E37,'Forbrug af biomasse'!$A$2:$A$425,'Resultat-Produktion &amp; forbrug'!M$3,'Forbrug af biomasse'!$B$2:$B$425,$F37),G37)</f>
        <v>0</v>
      </c>
      <c r="N37" s="94">
        <f>SUMIFS('Forbrug af biomasse'!E:E,'Forbrug af biomasse'!C:C,'Resultat-Produktion &amp; forbrug'!$A37,'Forbrug af biomasse'!D:D,'Resultat-Produktion &amp; forbrug'!$E37,'Forbrug af biomasse'!G:G,1,'Forbrug af biomasse'!B:B,$F37)</f>
        <v>0</v>
      </c>
      <c r="O37" s="179">
        <f>G37-SUM(H37:N37)</f>
        <v>0</v>
      </c>
      <c r="P37" s="94">
        <f t="shared" si="4"/>
        <v>0</v>
      </c>
      <c r="Q37" s="180">
        <f>SUM(K37,M37)</f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IF(A37&lt;&gt;"Biogas",IFERROR(VLOOKUP(A37,[1]Biogasudbytte!$A$2:$B$18,2,FALSE)*[1]Energiindhold!$C$10,0)*K37*IFERROR(VLOOKUP(A37,Biogasanlæg!$F$3:$G$8,2,FALSE),1)+IFERROR(VLOOKUP(A37,[1]Energiindhold!$A$2:$C$11,3,FALSE),0)*M37+IF(E37&lt;&gt;År1,R37,0),0)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>S37-T37</f>
        <v>0</v>
      </c>
      <c r="V37" s="169">
        <f>P37*IFERROR(VLOOKUP(A37,[1]Tørstofindhold!A$2:B$24,2,FALSE),0)</f>
        <v>0</v>
      </c>
      <c r="W37">
        <f>IF(E37=År1,Q37,SUM(P37,Q37))*IFERROR(VLOOKUP(A37,[1]Tørstofindhold!A$2:B$24,2,FALSE),0)</f>
        <v>0</v>
      </c>
      <c r="X37">
        <f>K37*IFERROR(VLOOKUP(A37,[1]Tørstofindhold!A$2:B$24,2,FALSE),0)</f>
        <v>0</v>
      </c>
      <c r="Y37" s="170">
        <f>W37-X37</f>
        <v>0</v>
      </c>
      <c r="Z37">
        <f t="shared" si="1"/>
        <v>0</v>
      </c>
      <c r="AA37">
        <f t="shared" si="2"/>
        <v>0</v>
      </c>
    </row>
    <row r="38" spans="1:27" x14ac:dyDescent="0.25">
      <c r="A38" s="171" t="s">
        <v>117</v>
      </c>
      <c r="B38" s="171"/>
      <c r="C38" s="171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71">
        <v>0</v>
      </c>
      <c r="E38" s="171">
        <f t="shared" si="8"/>
        <v>2019</v>
      </c>
      <c r="F38" t="s">
        <v>23</v>
      </c>
      <c r="G38" s="94">
        <f>IF(F38="Vestdanmark",SUMIFS(IF(E38=År1,'Resultater - Vestdanmark'!H$3:H$504,IF(E38=År2,'Resultater - Vestdanmark'!I$3:I$504,'Resultater - Vestdanmark'!J$3:J$504)),'Resultater - Vestdanmark'!$F$3:$F$504,$A38,IF(E38=År1,'Resultater - Vestdanmark'!H$3:H$504,IF(E38=År2,'Resultater - Vestdanmark'!I$3:I$504,'Resultater - Vestdanmark'!J$3:J$504)),"&gt;0"),SUMIFS(IF(E38=År1,'Resultater - Østdanmark'!H$3:H$504,IF(E38=År2,'Resultater - Østdanmark'!I$3:I$504,'Resultater - Østdanmark'!J$3:J$504)),'Resultater - Østdanmark'!$F$3:$F$504,$A38,IF(E38=År1,'Resultater - Østdanmark'!H$3:H$504,IF(E38=År2,'Resultater - Østdanmark'!I$3:I$504,'Resultater - Østdanmark'!J$3:J$504)),"&gt;0"))</f>
        <v>4922001.9803787302</v>
      </c>
      <c r="H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forbrug'!H$3,'Forbrug af biomasse'!$B$2:$B$425,$F38)</f>
        <v>0</v>
      </c>
      <c r="I38">
        <f>IF(F38="Vestdanmark",-IF(A38="Halm",SUMIFS(IF(E38=År1,'Resultater - Vestdanmark'!H$3:H$504,IF(E38=År2,'Resultater - Vestdanmark'!I$3:I$504,'Resultater - Vestdanmark'!J$3:J$504)),'Resultater - Vestdanmark'!$F$3:$F$504,$A38,'Resultater - Vestdanmark'!H$3:H$504,"&lt;0"),0),-IF(A38="Halm",SUMIFS(IF(E38=År1,'Resultater - Østdanmark'!H$3:H$504,IF(E38=År2,'Resultater - Østdanmark'!I$3:I$504,'Resultater - Østdanmark'!J$3:J$504)),'Resultater - Østdanmark'!$F$3:$F$504,$A38,'Resultater - Østdanmark'!H$3:H$504,"&lt;0"),0))</f>
        <v>0</v>
      </c>
      <c r="J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forbrug'!J$3,'Forbrug af biomasse'!$B$2:$B$425,$F38)</f>
        <v>0</v>
      </c>
      <c r="K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forbrug'!K$3,'Forbrug af biomasse'!$B$2:$B$425,$F38)</f>
        <v>0</v>
      </c>
      <c r="L38" s="94">
        <f>SUMIFS('Forbrug af biomasse'!$E$2:$E$425,'Forbrug af biomasse'!$C$2:$C$425,'Resultat-Produktion &amp; forbrug'!$A38,'Forbrug af biomasse'!$D$2:$D$425,'Resultat-Produktion &amp; forbrug'!$E38,'Forbrug af biomasse'!$A$2:$A$425,'Resultat-Produktion &amp; forbrug'!L$3,'Forbrug af biomasse'!$B$2:$B$425,$F38)</f>
        <v>0</v>
      </c>
      <c r="M38" s="94">
        <f>IF(A38&lt;&gt;"Biogas",SUMIFS('Forbrug af biomasse'!$E$2:$E$425,'Forbrug af biomasse'!$C$2:$C$425,'Resultat-Produktion &amp; forbrug'!$A38,'Forbrug af biomasse'!$D$2:$D$425,'Resultat-Produktion &amp; forbrug'!$E38,'Forbrug af biomasse'!$A$2:$A$425,'Resultat-Produktion &amp; forbrug'!M$3,'Forbrug af biomasse'!$B$2:$B$425,$F38),G38)</f>
        <v>0</v>
      </c>
      <c r="N38" s="94">
        <f>SUMIFS('Forbrug af biomasse'!E:E,'Forbrug af biomasse'!C:C,'Resultat-Produktion &amp; forbrug'!$A38,'Forbrug af biomasse'!D:D,'Resultat-Produktion &amp; forbrug'!$E38,'Forbrug af biomasse'!G:G,1,'Forbrug af biomasse'!B:B,$F38)</f>
        <v>0</v>
      </c>
      <c r="O38" s="179">
        <f t="shared" si="9"/>
        <v>4922001.9803787302</v>
      </c>
      <c r="P38" s="94">
        <f t="shared" si="4"/>
        <v>0</v>
      </c>
      <c r="Q38" s="180">
        <f t="shared" si="10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IF(A38&lt;&gt;"Biogas",IFERROR(VLOOKUP(A38,[1]Biogasudbytte!$A$2:$B$18,2,FALSE)*[1]Energiindhold!$C$10,0)*K38*IFERROR(VLOOKUP(A38,Biogasanlæg!$F$3:$G$8,2,FALSE),1)+IFERROR(VLOOKUP(A38,[1]Energiindhold!$A$2:$C$11,3,FALSE),0)*M38+IF(E38&lt;&gt;År1,R38,0),0)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11"/>
        <v>0</v>
      </c>
      <c r="V38" s="169">
        <f>P38*IFERROR(VLOOKUP(A38,[1]Tørstofindhold!A$2:B$24,2,FALSE),0)</f>
        <v>0</v>
      </c>
      <c r="W38">
        <f>IF(E38=År1,Q38,SUM(P38,Q38))*IFERROR(VLOOKUP(A38,[1]Tørstofindhold!A$2:B$24,2,FALSE),0)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12"/>
        <v>0</v>
      </c>
      <c r="Z38">
        <f t="shared" si="1"/>
        <v>0</v>
      </c>
      <c r="AA38">
        <f t="shared" si="2"/>
        <v>1</v>
      </c>
    </row>
    <row r="39" spans="1:27" x14ac:dyDescent="0.25">
      <c r="A39" t="s">
        <v>50</v>
      </c>
      <c r="B39" s="171"/>
      <c r="C39" s="171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71">
        <v>0</v>
      </c>
      <c r="E39" s="171">
        <f t="shared" si="8"/>
        <v>2019</v>
      </c>
      <c r="F39" t="s">
        <v>23</v>
      </c>
      <c r="G39" s="94">
        <f>IF(F39="Vestdanmark",SUMIFS(IF(E39=År1,'Resultater - Vestdanmark'!H$3:H$504,IF(E39=År2,'Resultater - Vestdanmark'!I$3:I$504,'Resultater - Vestdanmark'!J$3:J$504)),'Resultater - Vestdanmark'!$F$3:$F$504,$A39,IF(E39=År1,'Resultater - Vestdanmark'!H$3:H$504,IF(E39=År2,'Resultater - Vestdanmark'!I$3:I$504,'Resultater - Vestdanmark'!J$3:J$504)),"&gt;0"),SUMIFS(IF(E39=År1,'Resultater - Østdanmark'!H$3:H$504,IF(E39=År2,'Resultater - Østdanmark'!I$3:I$504,'Resultater - Østdanmark'!J$3:J$504)),'Resultater - Østdanmark'!$F$3:$F$504,$A39,IF(E39=År1,'Resultater - Østdanmark'!H$3:H$504,IF(E39=År2,'Resultater - Østdanmark'!I$3:I$504,'Resultater - Østdanmark'!J$3:J$504)),"&gt;0"))</f>
        <v>485762.00237315823</v>
      </c>
      <c r="H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forbrug'!H$3,'Forbrug af biomasse'!$B$2:$B$425,$F39)</f>
        <v>0</v>
      </c>
      <c r="I39">
        <f>IF(F39="Vestdanmark",-IF(A39="Halm",SUMIFS(IF(E39=År1,'Resultater - Vestdanmark'!H$3:H$504,IF(E39=År2,'Resultater - Vestdanmark'!I$3:I$504,'Resultater - Vestdanmark'!J$3:J$504)),'Resultater - Vestdanmark'!$F$3:$F$504,$A39,'Resultater - Vestdanmark'!H$3:H$504,"&lt;0"),0),-IF(A39="Halm",SUMIFS(IF(E39=År1,'Resultater - Østdanmark'!H$3:H$504,IF(E39=År2,'Resultater - Østdanmark'!I$3:I$504,'Resultater - Østdanmark'!J$3:J$504)),'Resultater - Østdanmark'!$F$3:$F$504,$A39,'Resultater - Østdanmark'!H$3:H$504,"&lt;0"),0))</f>
        <v>0</v>
      </c>
      <c r="J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forbrug'!J$3,'Forbrug af biomasse'!$B$2:$B$425,$F39)</f>
        <v>0</v>
      </c>
      <c r="K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forbrug'!K$3,'Forbrug af biomasse'!$B$2:$B$425,$F39)</f>
        <v>0</v>
      </c>
      <c r="L39" s="94">
        <f>SUMIFS('Forbrug af biomasse'!$E$2:$E$425,'Forbrug af biomasse'!$C$2:$C$425,'Resultat-Produktion &amp; forbrug'!$A39,'Forbrug af biomasse'!$D$2:$D$425,'Resultat-Produktion &amp; forbrug'!$E39,'Forbrug af biomasse'!$A$2:$A$425,'Resultat-Produktion &amp; forbrug'!L$3,'Forbrug af biomasse'!$B$2:$B$425,$F39)</f>
        <v>0</v>
      </c>
      <c r="M39" s="94">
        <f>IF(A39&lt;&gt;"Biogas",SUMIFS('Forbrug af biomasse'!$E$2:$E$425,'Forbrug af biomasse'!$C$2:$C$425,'Resultat-Produktion &amp; forbrug'!$A39,'Forbrug af biomasse'!$D$2:$D$425,'Resultat-Produktion &amp; forbrug'!$E39,'Forbrug af biomasse'!$A$2:$A$425,'Resultat-Produktion &amp; forbrug'!M$3,'Forbrug af biomasse'!$B$2:$B$425,$F39),G39)</f>
        <v>0</v>
      </c>
      <c r="N39" s="94">
        <f>SUMIFS('Forbrug af biomasse'!E:E,'Forbrug af biomasse'!C:C,'Resultat-Produktion &amp; forbrug'!$A39,'Forbrug af biomasse'!D:D,'Resultat-Produktion &amp; forbrug'!$E39,'Forbrug af biomasse'!G:G,1,'Forbrug af biomasse'!B:B,$F39)</f>
        <v>485762.00237315823</v>
      </c>
      <c r="O39" s="179">
        <f t="shared" si="9"/>
        <v>0</v>
      </c>
      <c r="P39" s="94">
        <f t="shared" si="4"/>
        <v>0</v>
      </c>
      <c r="Q39" s="180">
        <f t="shared" si="10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IF(A39&lt;&gt;"Biogas",IFERROR(VLOOKUP(A39,[1]Biogasudbytte!$A$2:$B$18,2,FALSE)*[1]Energiindhold!$C$10,0)*K39*IFERROR(VLOOKUP(A39,Biogasanlæg!$F$3:$G$8,2,FALSE),1)+IFERROR(VLOOKUP(A39,[1]Energiindhold!$A$2:$C$11,3,FALSE),0)*M39+IF(E39&lt;&gt;År1,R39,0),0)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11"/>
        <v>0</v>
      </c>
      <c r="V39" s="169">
        <f>P39*IFERROR(VLOOKUP(A39,[1]Tørstofindhold!A$2:B$24,2,FALSE),0)</f>
        <v>0</v>
      </c>
      <c r="W39">
        <f>IF(E39=År1,Q39,SUM(P39,Q39))*IFERROR(VLOOKUP(A39,[1]Tørstofindhold!A$2:B$24,2,FALSE),0)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12"/>
        <v>0</v>
      </c>
      <c r="Z39">
        <f t="shared" si="1"/>
        <v>0</v>
      </c>
      <c r="AA39">
        <f t="shared" si="2"/>
        <v>0</v>
      </c>
    </row>
    <row r="40" spans="1:27" x14ac:dyDescent="0.25">
      <c r="A40" t="s">
        <v>237</v>
      </c>
      <c r="B40" s="171"/>
      <c r="C40" s="171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0</v>
      </c>
      <c r="D40" s="171">
        <v>0</v>
      </c>
      <c r="E40" s="171">
        <f t="shared" si="8"/>
        <v>2019</v>
      </c>
      <c r="F40" t="s">
        <v>23</v>
      </c>
      <c r="G40" s="94">
        <f>IF(F40="Vestdanmark",SUMIFS(IF(E40=År1,'Resultater - Vestdanmark'!H$3:H$504,IF(E40=År2,'Resultater - Vestdanmark'!I$3:I$504,'Resultater - Vestdanmark'!J$3:J$504)),'Resultater - Vestdanmark'!$F$3:$F$504,$A40,IF(E40=År1,'Resultater - Vestdanmark'!H$3:H$504,IF(E40=År2,'Resultater - Vestdanmark'!I$3:I$504,'Resultater - Vestdanmark'!J$3:J$504)),"&gt;0"),SUMIFS(IF(E40=År1,'Resultater - Østdanmark'!H$3:H$504,IF(E40=År2,'Resultater - Østdanmark'!I$3:I$504,'Resultater - Østdanmark'!J$3:J$504)),'Resultater - Østdanmark'!$F$3:$F$504,$A40,IF(E40=År1,'Resultater - Østdanmark'!H$3:H$504,IF(E40=År2,'Resultater - Østdanmark'!I$3:I$504,'Resultater - Østdanmark'!J$3:J$504)),"&gt;0"))</f>
        <v>242881.00118657912</v>
      </c>
      <c r="H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forbrug'!H$3,'Forbrug af biomasse'!$B$2:$B$425,$F40)</f>
        <v>214099.10609126228</v>
      </c>
      <c r="I40">
        <f>IF(F40="Vestdanmark",-IF(A40="Halm",SUMIFS(IF(E40=År1,'Resultater - Vestdanmark'!H$3:H$504,IF(E40=År2,'Resultater - Vestdanmark'!I$3:I$504,'Resultater - Vestdanmark'!J$3:J$504)),'Resultater - Vestdanmark'!$F$3:$F$504,$A40,'Resultater - Vestdanmark'!H$3:H$504,"&lt;0"),0),-IF(A40="Halm",SUMIFS(IF(E40=År1,'Resultater - Østdanmark'!H$3:H$504,IF(E40=År2,'Resultater - Østdanmark'!I$3:I$504,'Resultater - Østdanmark'!J$3:J$504)),'Resultater - Østdanmark'!$F$3:$F$504,$A40,'Resultater - Østdanmark'!H$3:H$504,"&lt;0"),0))</f>
        <v>0</v>
      </c>
      <c r="J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forbrug'!J$3,'Forbrug af biomasse'!$B$2:$B$425,$F40)</f>
        <v>0</v>
      </c>
      <c r="K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forbrug'!K$3,'Forbrug af biomasse'!$B$2:$B$425,$F40)</f>
        <v>0</v>
      </c>
      <c r="L40" s="94">
        <f>SUMIFS('Forbrug af biomasse'!$E$2:$E$425,'Forbrug af biomasse'!$C$2:$C$425,'Resultat-Produktion &amp; forbrug'!$A40,'Forbrug af biomasse'!$D$2:$D$425,'Resultat-Produktion &amp; forbrug'!$E40,'Forbrug af biomasse'!$A$2:$A$425,'Resultat-Produktion &amp; forbrug'!L$3,'Forbrug af biomasse'!$B$2:$B$425,$F40)</f>
        <v>0</v>
      </c>
      <c r="M40" s="94">
        <f>IF(A40&lt;&gt;"Biogas",SUMIFS('Forbrug af biomasse'!$E$2:$E$425,'Forbrug af biomasse'!$C$2:$C$425,'Resultat-Produktion &amp; forbrug'!$A40,'Forbrug af biomasse'!$D$2:$D$425,'Resultat-Produktion &amp; forbrug'!$E40,'Forbrug af biomasse'!$A$2:$A$425,'Resultat-Produktion &amp; forbrug'!M$3,'Forbrug af biomasse'!$B$2:$B$425,$F40),G40)</f>
        <v>0</v>
      </c>
      <c r="N40" s="94">
        <f>SUMIFS('Forbrug af biomasse'!E:E,'Forbrug af biomasse'!C:C,'Resultat-Produktion &amp; forbrug'!$A40,'Forbrug af biomasse'!D:D,'Resultat-Produktion &amp; forbrug'!$E40,'Forbrug af biomasse'!G:G,1,'Forbrug af biomasse'!B:B,$F40)</f>
        <v>0</v>
      </c>
      <c r="O40" s="179">
        <f t="shared" si="9"/>
        <v>28781.895095316839</v>
      </c>
      <c r="P40" s="94">
        <f t="shared" si="4"/>
        <v>0</v>
      </c>
      <c r="Q40" s="180">
        <f t="shared" si="10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IF(A40&lt;&gt;"Biogas",IFERROR(VLOOKUP(A40,[1]Biogasudbytte!$A$2:$B$18,2,FALSE)*[1]Energiindhold!$C$10,0)*K40*IFERROR(VLOOKUP(A40,Biogasanlæg!$F$3:$G$8,2,FALSE),1)+IFERROR(VLOOKUP(A40,[1]Energiindhold!$A$2:$C$11,3,FALSE),0)*M40+IF(E40&lt;&gt;År1,R40,0),0)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11"/>
        <v>0</v>
      </c>
      <c r="V40" s="169">
        <f>P40*IFERROR(VLOOKUP(A40,[1]Tørstofindhold!A$2:B$24,2,FALSE),0)</f>
        <v>0</v>
      </c>
      <c r="W40">
        <f>IF(E40=År1,Q40,SUM(P40,Q40))*IFERROR(VLOOKUP(A40,[1]Tørstofindhold!A$2:B$24,2,FALSE),0)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12"/>
        <v>0</v>
      </c>
      <c r="Z40">
        <f t="shared" si="1"/>
        <v>0</v>
      </c>
      <c r="AA40">
        <f t="shared" si="2"/>
        <v>1</v>
      </c>
    </row>
    <row r="41" spans="1:27" x14ac:dyDescent="0.25">
      <c r="A41" t="s">
        <v>230</v>
      </c>
      <c r="B41" s="171" t="s">
        <v>230</v>
      </c>
      <c r="C41" s="171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71">
        <v>1</v>
      </c>
      <c r="E41" s="171">
        <f t="shared" si="8"/>
        <v>2019</v>
      </c>
      <c r="F41" t="s">
        <v>23</v>
      </c>
      <c r="G41" s="94">
        <f>IF(F41="Vestdanmark",SUMIFS(IF(E41=År1,'Resultater - Vestdanmark'!H$3:H$504,IF(E41=År2,'Resultater - Vestdanmark'!I$3:I$504,'Resultater - Vestdanmark'!J$3:J$504)),'Resultater - Vestdanmark'!$F$3:$F$504,$A41,IF(E41=År1,'Resultater - Vestdanmark'!H$3:H$504,IF(E41=År2,'Resultater - Vestdanmark'!I$3:I$504,'Resultater - Vestdanmark'!J$3:J$504)),"&gt;0"),SUMIFS(IF(E41=År1,'Resultater - Østdanmark'!H$3:H$504,IF(E41=År2,'Resultater - Østdanmark'!I$3:I$504,'Resultater - Østdanmark'!J$3:J$504)),'Resultater - Østdanmark'!$F$3:$F$504,$A41,IF(E41=År1,'Resultater - Østdanmark'!H$3:H$504,IF(E41=År2,'Resultater - Østdanmark'!I$3:I$504,'Resultater - Østdanmark'!J$3:J$504)),"&gt;0"))</f>
        <v>155443.84075941064</v>
      </c>
      <c r="H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forbrug'!H$3,'Forbrug af biomasse'!$B$2:$B$425,$F41)</f>
        <v>0</v>
      </c>
      <c r="I41">
        <f>IF(F41="Vestdanmark",-IF(A41="Halm",SUMIFS(IF(E41=År1,'Resultater - Vestdanmark'!H$3:H$504,IF(E41=År2,'Resultater - Vestdanmark'!I$3:I$504,'Resultater - Vestdanmark'!J$3:J$504)),'Resultater - Vestdanmark'!$F$3:$F$504,$A41,'Resultater - Vestdanmark'!H$3:H$504,"&lt;0"),0),-IF(A41="Halm",SUMIFS(IF(E41=År1,'Resultater - Østdanmark'!H$3:H$504,IF(E41=År2,'Resultater - Østdanmark'!I$3:I$504,'Resultater - Østdanmark'!J$3:J$504)),'Resultater - Østdanmark'!$F$3:$F$504,$A41,'Resultater - Østdanmark'!H$3:H$504,"&lt;0"),0))</f>
        <v>0</v>
      </c>
      <c r="J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forbrug'!J$3,'Forbrug af biomasse'!$B$2:$B$425,$F41)</f>
        <v>0</v>
      </c>
      <c r="K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forbrug'!K$3,'Forbrug af biomasse'!$B$2:$B$425,$F41)</f>
        <v>0</v>
      </c>
      <c r="L41" s="94">
        <f>SUMIFS('Forbrug af biomasse'!$E$2:$E$425,'Forbrug af biomasse'!$C$2:$C$425,'Resultat-Produktion &amp; forbrug'!$A41,'Forbrug af biomasse'!$D$2:$D$425,'Resultat-Produktion &amp; forbrug'!$E41,'Forbrug af biomasse'!$A$2:$A$425,'Resultat-Produktion &amp; forbrug'!L$3,'Forbrug af biomasse'!$B$2:$B$425,$F41)</f>
        <v>0</v>
      </c>
      <c r="M41" s="94">
        <f>IF(A41&lt;&gt;"Biogas",SUMIFS('Forbrug af biomasse'!$E$2:$E$425,'Forbrug af biomasse'!$C$2:$C$425,'Resultat-Produktion &amp; forbrug'!$A41,'Forbrug af biomasse'!$D$2:$D$425,'Resultat-Produktion &amp; forbrug'!$E41,'Forbrug af biomasse'!$A$2:$A$425,'Resultat-Produktion &amp; forbrug'!M$3,'Forbrug af biomasse'!$B$2:$B$425,$F41),G41)</f>
        <v>80830.79719489353</v>
      </c>
      <c r="N41" s="94">
        <f>SUMIFS('Forbrug af biomasse'!E:E,'Forbrug af biomasse'!C:C,'Resultat-Produktion &amp; forbrug'!$A41,'Forbrug af biomasse'!D:D,'Resultat-Produktion &amp; forbrug'!$E41,'Forbrug af biomasse'!G:G,1,'Forbrug af biomasse'!B:B,$F41)</f>
        <v>74613.043564517109</v>
      </c>
      <c r="O41" s="179">
        <f t="shared" si="9"/>
        <v>0</v>
      </c>
      <c r="P41" s="94">
        <f t="shared" si="4"/>
        <v>0</v>
      </c>
      <c r="Q41" s="180">
        <f t="shared" si="10"/>
        <v>80830.79719489353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IF(A41&lt;&gt;"Biogas",IFERROR(VLOOKUP(A41,[1]Biogasudbytte!$A$2:$B$18,2,FALSE)*[1]Energiindhold!$C$10,0)*K41*IFERROR(VLOOKUP(A41,Biogasanlæg!$F$3:$G$8,2,FALSE),1)+IFERROR(VLOOKUP(A41,[1]Energiindhold!$A$2:$C$11,3,FALSE),0)*M41+IF(E41&lt;&gt;År1,R41,0),0)</f>
        <v>2.8290779018212735</v>
      </c>
      <c r="T41">
        <f>IFERROR(VLOOKUP(A41,[1]Biogasudbytte!$A$2:$B$18,2,FALSE)*[1]Energiindhold!$C$10,0)*K41*IFERROR(VLOOKUP(A41,Biogasanlæg!$F$3:$G$8,2,FALSE),1)</f>
        <v>0</v>
      </c>
      <c r="U41" s="170">
        <f t="shared" si="11"/>
        <v>2.8290779018212735</v>
      </c>
      <c r="V41" s="169">
        <f>P41*IFERROR(VLOOKUP(A41,[1]Tørstofindhold!A$2:B$24,2,FALSE),0)</f>
        <v>0</v>
      </c>
      <c r="W41">
        <f>IF(E41=År1,Q41,SUM(P41,Q41))*IFERROR(VLOOKUP(A41,[1]Tørstofindhold!A$2:B$24,2,FALSE),0)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12"/>
        <v>0</v>
      </c>
      <c r="Z41">
        <f t="shared" si="1"/>
        <v>0</v>
      </c>
      <c r="AA41">
        <f t="shared" si="2"/>
        <v>0</v>
      </c>
    </row>
    <row r="42" spans="1:27" x14ac:dyDescent="0.25">
      <c r="A42" t="s">
        <v>52</v>
      </c>
      <c r="B42" s="171" t="s">
        <v>223</v>
      </c>
      <c r="C42" s="171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1</v>
      </c>
      <c r="D42" s="171">
        <v>1</v>
      </c>
      <c r="E42" s="171">
        <f t="shared" si="8"/>
        <v>2019</v>
      </c>
      <c r="F42" t="s">
        <v>23</v>
      </c>
      <c r="G42" s="94">
        <f>IF(F42="Vestdanmark",SUMIFS(IF(E42=År1,'Resultater - Vestdanmark'!H$3:H$504,IF(E42=År2,'Resultater - Vestdanmark'!I$3:I$504,'Resultater - Vestdanmark'!J$3:J$504)),'Resultater - Vestdanmark'!$F$3:$F$504,$A42,IF(E42=År1,'Resultater - Vestdanmark'!H$3:H$504,IF(E42=År2,'Resultater - Vestdanmark'!I$3:I$504,'Resultater - Vestdanmark'!J$3:J$504)),"&gt;0"),SUMIFS(IF(E42=År1,'Resultater - Østdanmark'!H$3:H$504,IF(E42=År2,'Resultater - Østdanmark'!I$3:I$504,'Resultater - Østdanmark'!J$3:J$504)),'Resultater - Østdanmark'!$F$3:$F$504,$A42,IF(E42=År1,'Resultater - Østdanmark'!H$3:H$504,IF(E42=År2,'Resultater - Østdanmark'!I$3:I$504,'Resultater - Østdanmark'!J$3:J$504)),"&gt;0"))</f>
        <v>377517.57644613879</v>
      </c>
      <c r="H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forbrug'!H$3,'Forbrug af biomasse'!$B$2:$B$425,$F42)</f>
        <v>841167.61765562883</v>
      </c>
      <c r="I42">
        <f>IF(F42="Vestdanmark",-IF(A42="Halm",SUMIFS(IF(E42=År1,'Resultater - Vestdanmark'!H$3:H$504,IF(E42=År2,'Resultater - Vestdanmark'!I$3:I$504,'Resultater - Vestdanmark'!J$3:J$504)),'Resultater - Vestdanmark'!$F$3:$F$504,$A42,'Resultater - Vestdanmark'!H$3:H$504,"&lt;0"),0),-IF(A42="Halm",SUMIFS(IF(E42=År1,'Resultater - Østdanmark'!H$3:H$504,IF(E42=År2,'Resultater - Østdanmark'!I$3:I$504,'Resultater - Østdanmark'!J$3:J$504)),'Resultater - Østdanmark'!$F$3:$F$504,$A42,'Resultater - Østdanmark'!H$3:H$504,"&lt;0"),0))</f>
        <v>0</v>
      </c>
      <c r="J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forbrug'!J$3,'Forbrug af biomasse'!$B$2:$B$425,$F42)</f>
        <v>0</v>
      </c>
      <c r="K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forbrug'!K$3,'Forbrug af biomasse'!$B$2:$B$425,$F42)</f>
        <v>4141.9679702877811</v>
      </c>
      <c r="L42" s="94">
        <f>SUMIFS('Forbrug af biomasse'!$E$2:$E$425,'Forbrug af biomasse'!$C$2:$C$425,'Resultat-Produktion &amp; forbrug'!$A42,'Forbrug af biomasse'!$D$2:$D$425,'Resultat-Produktion &amp; forbrug'!$E42,'Forbrug af biomasse'!$A$2:$A$425,'Resultat-Produktion &amp; forbrug'!L$3,'Forbrug af biomasse'!$B$2:$B$425,$F42)</f>
        <v>0</v>
      </c>
      <c r="M42" s="94">
        <f>IF(A42&lt;&gt;"Biogas",SUMIFS('Forbrug af biomasse'!$E$2:$E$425,'Forbrug af biomasse'!$C$2:$C$425,'Resultat-Produktion &amp; forbrug'!$A42,'Forbrug af biomasse'!$D$2:$D$425,'Resultat-Produktion &amp; forbrug'!$E42,'Forbrug af biomasse'!$A$2:$A$425,'Resultat-Produktion &amp; forbrug'!M$3,'Forbrug af biomasse'!$B$2:$B$425,$F42),G42)</f>
        <v>0</v>
      </c>
      <c r="N42" s="94">
        <f>SUMIFS('Forbrug af biomasse'!E:E,'Forbrug af biomasse'!C:C,'Resultat-Produktion &amp; forbrug'!$A42,'Forbrug af biomasse'!D:D,'Resultat-Produktion &amp; forbrug'!$E42,'Forbrug af biomasse'!G:G,1,'Forbrug af biomasse'!B:B,$F42)</f>
        <v>0</v>
      </c>
      <c r="O42" s="179">
        <f t="shared" si="9"/>
        <v>-467792.00917977782</v>
      </c>
      <c r="P42" s="94">
        <f t="shared" si="4"/>
        <v>0</v>
      </c>
      <c r="Q42" s="180">
        <f t="shared" si="10"/>
        <v>4141.9679702877811</v>
      </c>
      <c r="R42">
        <f>IFERROR(VLOOKUP(A42,[1]Energiindhold!$A$2:$C$11,3,FALSE),IFERROR(VLOOKUP(A42,[1]Biogasudbytte!$A$2:$B$18,2,FALSE)*[1]Energiindhold!$C$10,0))*P42</f>
        <v>0</v>
      </c>
      <c r="S42">
        <f>IF(A42&lt;&gt;"Biogas",IFERROR(VLOOKUP(A42,[1]Biogasudbytte!$A$2:$B$18,2,FALSE)*[1]Energiindhold!$C$10,0)*K42*IFERROR(VLOOKUP(A42,Biogasanlæg!$F$3:$G$8,2,FALSE),1)+IFERROR(VLOOKUP(A42,[1]Energiindhold!$A$2:$C$11,3,FALSE),0)*M42+IF(E42&lt;&gt;År1,R42,0),0)</f>
        <v>1.1241466750079849E-2</v>
      </c>
      <c r="T42">
        <f>IFERROR(VLOOKUP(A42,[1]Biogasudbytte!$A$2:$B$18,2,FALSE)*[1]Energiindhold!$C$10,0)*K42*IFERROR(VLOOKUP(A42,Biogasanlæg!$F$3:$G$8,2,FALSE),1)</f>
        <v>1.1241466750079849E-2</v>
      </c>
      <c r="U42" s="170">
        <f t="shared" si="11"/>
        <v>0</v>
      </c>
      <c r="V42" s="169">
        <f>P42*IFERROR(VLOOKUP(A42,[1]Tørstofindhold!A$2:B$24,2,FALSE),0)</f>
        <v>0</v>
      </c>
      <c r="W42">
        <f>IF(E42=År1,Q42,SUM(P42,Q42))*IFERROR(VLOOKUP(A42,[1]Tørstofindhold!A$2:B$24,2,FALSE),0)</f>
        <v>828.39359405755624</v>
      </c>
      <c r="X42">
        <f>K42*IFERROR(VLOOKUP(A42,[1]Tørstofindhold!A$2:B$24,2,FALSE),0)</f>
        <v>828.39359405755624</v>
      </c>
      <c r="Y42" s="170">
        <f t="shared" si="12"/>
        <v>0</v>
      </c>
      <c r="Z42">
        <f t="shared" si="1"/>
        <v>0</v>
      </c>
      <c r="AA42">
        <f t="shared" si="2"/>
        <v>1</v>
      </c>
    </row>
    <row r="43" spans="1:27" x14ac:dyDescent="0.25">
      <c r="A43" t="s">
        <v>121</v>
      </c>
      <c r="B43" s="171"/>
      <c r="C43" s="171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71">
        <v>0</v>
      </c>
      <c r="E43" s="171">
        <f t="shared" si="8"/>
        <v>2019</v>
      </c>
      <c r="F43" t="s">
        <v>23</v>
      </c>
      <c r="G43" s="94">
        <f>IF(F43="Vestdanmark",SUMIFS(IF(E43=År1,'Resultater - Vestdanmark'!H$3:H$504,IF(E43=År2,'Resultater - Vestdanmark'!I$3:I$504,'Resultater - Vestdanmark'!J$3:J$504)),'Resultater - Vestdanmark'!$F$3:$F$504,$A43,IF(E43=År1,'Resultater - Vestdanmark'!H$3:H$504,IF(E43=År2,'Resultater - Vestdanmark'!I$3:I$504,'Resultater - Vestdanmark'!J$3:J$504)),"&gt;0"),SUMIFS(IF(E43=År1,'Resultater - Østdanmark'!H$3:H$504,IF(E43=År2,'Resultater - Østdanmark'!I$3:I$504,'Resultater - Østdanmark'!J$3:J$504)),'Resultater - Østdanmark'!$F$3:$F$504,$A43,IF(E43=År1,'Resultater - Østdanmark'!H$3:H$504,IF(E43=År2,'Resultater - Østdanmark'!I$3:I$504,'Resultater - Østdanmark'!J$3:J$504)),"&gt;0"))</f>
        <v>193830.89221723122</v>
      </c>
      <c r="H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forbrug'!H$3,'Forbrug af biomasse'!$B$2:$B$425,$F43)</f>
        <v>0</v>
      </c>
      <c r="I43">
        <f>IF(F43="Vestdanmark",-IF(A43="Halm",SUMIFS(IF(E43=År1,'Resultater - Vestdanmark'!H$3:H$504,IF(E43=År2,'Resultater - Vestdanmark'!I$3:I$504,'Resultater - Vestdanmark'!J$3:J$504)),'Resultater - Vestdanmark'!$F$3:$F$504,$A43,'Resultater - Vestdanmark'!H$3:H$504,"&lt;0"),0),-IF(A43="Halm",SUMIFS(IF(E43=År1,'Resultater - Østdanmark'!H$3:H$504,IF(E43=År2,'Resultater - Østdanmark'!I$3:I$504,'Resultater - Østdanmark'!J$3:J$504)),'Resultater - Østdanmark'!$F$3:$F$504,$A43,'Resultater - Østdanmark'!H$3:H$504,"&lt;0"),0))</f>
        <v>0</v>
      </c>
      <c r="J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forbrug'!J$3,'Forbrug af biomasse'!$B$2:$B$425,$F43)</f>
        <v>0</v>
      </c>
      <c r="K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forbrug'!K$3,'Forbrug af biomasse'!$B$2:$B$425,$F43)</f>
        <v>0</v>
      </c>
      <c r="L43" s="94">
        <f>SUMIFS('Forbrug af biomasse'!$E$2:$E$425,'Forbrug af biomasse'!$C$2:$C$425,'Resultat-Produktion &amp; forbrug'!$A43,'Forbrug af biomasse'!$D$2:$D$425,'Resultat-Produktion &amp; forbrug'!$E43,'Forbrug af biomasse'!$A$2:$A$425,'Resultat-Produktion &amp; forbrug'!L$3,'Forbrug af biomasse'!$B$2:$B$425,$F43)</f>
        <v>0</v>
      </c>
      <c r="M43" s="94">
        <f>IF(A43&lt;&gt;"Biogas",SUMIFS('Forbrug af biomasse'!$E$2:$E$425,'Forbrug af biomasse'!$C$2:$C$425,'Resultat-Produktion &amp; forbrug'!$A43,'Forbrug af biomasse'!$D$2:$D$425,'Resultat-Produktion &amp; forbrug'!$E43,'Forbrug af biomasse'!$A$2:$A$425,'Resultat-Produktion &amp; forbrug'!M$3,'Forbrug af biomasse'!$B$2:$B$425,$F43),G43)</f>
        <v>0</v>
      </c>
      <c r="N43" s="94">
        <f>SUMIFS('Forbrug af biomasse'!E:E,'Forbrug af biomasse'!C:C,'Resultat-Produktion &amp; forbrug'!$A43,'Forbrug af biomasse'!D:D,'Resultat-Produktion &amp; forbrug'!$E43,'Forbrug af biomasse'!G:G,1,'Forbrug af biomasse'!B:B,$F43)</f>
        <v>0</v>
      </c>
      <c r="O43" s="179">
        <f t="shared" si="9"/>
        <v>193830.89221723122</v>
      </c>
      <c r="P43" s="94">
        <f t="shared" si="4"/>
        <v>0</v>
      </c>
      <c r="Q43" s="180">
        <f t="shared" si="10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IF(A43&lt;&gt;"Biogas",IFERROR(VLOOKUP(A43,[1]Biogasudbytte!$A$2:$B$18,2,FALSE)*[1]Energiindhold!$C$10,0)*K43*IFERROR(VLOOKUP(A43,Biogasanlæg!$F$3:$G$8,2,FALSE),1)+IFERROR(VLOOKUP(A43,[1]Energiindhold!$A$2:$C$11,3,FALSE),0)*M43+IF(E43&lt;&gt;År1,R43,0),0)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11"/>
        <v>0</v>
      </c>
      <c r="V43" s="169">
        <f>P43*IFERROR(VLOOKUP(A43,[1]Tørstofindhold!A$2:B$24,2,FALSE),0)</f>
        <v>0</v>
      </c>
      <c r="W43">
        <f>IF(E43=År1,Q43,SUM(P43,Q43))*IFERROR(VLOOKUP(A43,[1]Tørstofindhold!A$2:B$24,2,FALSE),0)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12"/>
        <v>0</v>
      </c>
      <c r="Z43">
        <f t="shared" si="1"/>
        <v>0</v>
      </c>
      <c r="AA43">
        <f t="shared" si="2"/>
        <v>1</v>
      </c>
    </row>
    <row r="44" spans="1:27" x14ac:dyDescent="0.25">
      <c r="A44" t="s">
        <v>107</v>
      </c>
      <c r="B44" s="171"/>
      <c r="C44" s="171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0</v>
      </c>
      <c r="D44" s="171">
        <v>0</v>
      </c>
      <c r="E44" s="171">
        <f t="shared" si="8"/>
        <v>2019</v>
      </c>
      <c r="F44" t="s">
        <v>23</v>
      </c>
      <c r="G44" s="94">
        <f>IF(F44="Vestdanmark",SUMIFS(IF(E44=År1,'Resultater - Vestdanmark'!H$3:H$504,IF(E44=År2,'Resultater - Vestdanmark'!I$3:I$504,'Resultater - Vestdanmark'!J$3:J$504)),'Resultater - Vestdanmark'!$F$3:$F$504,$A44,IF(E44=År1,'Resultater - Vestdanmark'!H$3:H$504,IF(E44=År2,'Resultater - Vestdanmark'!I$3:I$504,'Resultater - Vestdanmark'!J$3:J$504)),"&gt;0"),SUMIFS(IF(E44=År1,'Resultater - Østdanmark'!H$3:H$504,IF(E44=År2,'Resultater - Østdanmark'!I$3:I$504,'Resultater - Østdanmark'!J$3:J$504)),'Resultater - Østdanmark'!$F$3:$F$504,$A44,IF(E44=År1,'Resultater - Østdanmark'!H$3:H$504,IF(E44=År2,'Resultater - Østdanmark'!I$3:I$504,'Resultater - Østdanmark'!J$3:J$504)),"&gt;0"))</f>
        <v>131276.07587880219</v>
      </c>
      <c r="H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forbrug'!H$3,'Forbrug af biomasse'!$B$2:$B$425,$F44)</f>
        <v>39415.735012617326</v>
      </c>
      <c r="I44">
        <f>IF(F44="Vestdanmark",-IF(A44="Halm",SUMIFS(IF(E44=År1,'Resultater - Vestdanmark'!H$3:H$504,IF(E44=År2,'Resultater - Vestdanmark'!I$3:I$504,'Resultater - Vestdanmark'!J$3:J$504)),'Resultater - Vestdanmark'!$F$3:$F$504,$A44,'Resultater - Vestdanmark'!H$3:H$504,"&lt;0"),0),-IF(A44="Halm",SUMIFS(IF(E44=År1,'Resultater - Østdanmark'!H$3:H$504,IF(E44=År2,'Resultater - Østdanmark'!I$3:I$504,'Resultater - Østdanmark'!J$3:J$504)),'Resultater - Østdanmark'!$F$3:$F$504,$A44,'Resultater - Østdanmark'!H$3:H$504,"&lt;0"),0))</f>
        <v>0</v>
      </c>
      <c r="J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forbrug'!J$3,'Forbrug af biomasse'!$B$2:$B$425,$F44)</f>
        <v>0</v>
      </c>
      <c r="K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forbrug'!K$3,'Forbrug af biomasse'!$B$2:$B$425,$F44)</f>
        <v>0</v>
      </c>
      <c r="L44" s="94">
        <f>SUMIFS('Forbrug af biomasse'!$E$2:$E$425,'Forbrug af biomasse'!$C$2:$C$425,'Resultat-Produktion &amp; forbrug'!$A44,'Forbrug af biomasse'!$D$2:$D$425,'Resultat-Produktion &amp; forbrug'!$E44,'Forbrug af biomasse'!$A$2:$A$425,'Resultat-Produktion &amp; forbrug'!L$3,'Forbrug af biomasse'!$B$2:$B$425,$F44)</f>
        <v>0</v>
      </c>
      <c r="M44" s="94">
        <f>IF(A44&lt;&gt;"Biogas",SUMIFS('Forbrug af biomasse'!$E$2:$E$425,'Forbrug af biomasse'!$C$2:$C$425,'Resultat-Produktion &amp; forbrug'!$A44,'Forbrug af biomasse'!$D$2:$D$425,'Resultat-Produktion &amp; forbrug'!$E44,'Forbrug af biomasse'!$A$2:$A$425,'Resultat-Produktion &amp; forbrug'!M$3,'Forbrug af biomasse'!$B$2:$B$425,$F44),G44)</f>
        <v>0</v>
      </c>
      <c r="N44" s="94">
        <f>SUMIFS('Forbrug af biomasse'!E:E,'Forbrug af biomasse'!C:C,'Resultat-Produktion &amp; forbrug'!$A44,'Forbrug af biomasse'!D:D,'Resultat-Produktion &amp; forbrug'!$E44,'Forbrug af biomasse'!G:G,1,'Forbrug af biomasse'!B:B,$F44)</f>
        <v>0</v>
      </c>
      <c r="O44" s="179">
        <f t="shared" si="9"/>
        <v>91860.340866184866</v>
      </c>
      <c r="P44" s="94">
        <f t="shared" si="4"/>
        <v>0</v>
      </c>
      <c r="Q44" s="180">
        <f t="shared" si="10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IF(A44&lt;&gt;"Biogas",IFERROR(VLOOKUP(A44,[1]Biogasudbytte!$A$2:$B$18,2,FALSE)*[1]Energiindhold!$C$10,0)*K44*IFERROR(VLOOKUP(A44,Biogasanlæg!$F$3:$G$8,2,FALSE),1)+IFERROR(VLOOKUP(A44,[1]Energiindhold!$A$2:$C$11,3,FALSE),0)*M44+IF(E44&lt;&gt;År1,R44,0),0)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11"/>
        <v>0</v>
      </c>
      <c r="V44" s="169">
        <f>P44*IFERROR(VLOOKUP(A44,[1]Tørstofindhold!A$2:B$24,2,FALSE),0)</f>
        <v>0</v>
      </c>
      <c r="W44">
        <f>IF(E44=År1,Q44,SUM(P44,Q44))*IFERROR(VLOOKUP(A44,[1]Tørstofindhold!A$2:B$24,2,FALSE),0)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12"/>
        <v>0</v>
      </c>
      <c r="Z44">
        <f t="shared" si="1"/>
        <v>0</v>
      </c>
      <c r="AA44">
        <f t="shared" si="2"/>
        <v>1</v>
      </c>
    </row>
    <row r="45" spans="1:27" x14ac:dyDescent="0.25">
      <c r="A45" s="171" t="s">
        <v>140</v>
      </c>
      <c r="B45" s="171" t="s">
        <v>229</v>
      </c>
      <c r="C45" s="171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71">
        <v>0</v>
      </c>
      <c r="E45" s="171">
        <f t="shared" si="8"/>
        <v>2019</v>
      </c>
      <c r="F45" t="s">
        <v>23</v>
      </c>
      <c r="G45" s="94">
        <f>IF(F45="Vestdanmark",SUMIFS(IF(E45=År1,'Resultater - Vestdanmark'!H$3:H$504,IF(E45=År2,'Resultater - Vestdanmark'!I$3:I$504,'Resultater - Vestdanmark'!J$3:J$504)),'Resultater - Vestdanmark'!$F$3:$F$504,$A45,IF(E45=År1,'Resultater - Vestdanmark'!H$3:H$504,IF(E45=År2,'Resultater - Vestdanmark'!I$3:I$504,'Resultater - Vestdanmark'!J$3:J$504)),"&gt;0"),SUMIFS(IF(E45=År1,'Resultater - Østdanmark'!H$3:H$504,IF(E45=År2,'Resultater - Østdanmark'!I$3:I$504,'Resultater - Østdanmark'!J$3:J$504)),'Resultater - Østdanmark'!$F$3:$F$504,$A45,IF(E45=År1,'Resultater - Østdanmark'!H$3:H$504,IF(E45=År2,'Resultater - Østdanmark'!I$3:I$504,'Resultater - Østdanmark'!J$3:J$504)),"&gt;0"))</f>
        <v>3850196.5402414175</v>
      </c>
      <c r="H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forbrug'!H$3,'Forbrug af biomasse'!$B$2:$B$425,$F45)</f>
        <v>0</v>
      </c>
      <c r="I45">
        <f>IF(F45="Vestdanmark",-IF(A45="Halm",SUMIFS(IF(E45=År1,'Resultater - Vestdanmark'!H$3:H$504,IF(E45=År2,'Resultater - Vestdanmark'!I$3:I$504,'Resultater - Vestdanmark'!J$3:J$504)),'Resultater - Vestdanmark'!$F$3:$F$504,$A45,'Resultater - Vestdanmark'!H$3:H$504,"&lt;0"),0),-IF(A45="Halm",SUMIFS(IF(E45=År1,'Resultater - Østdanmark'!H$3:H$504,IF(E45=År2,'Resultater - Østdanmark'!I$3:I$504,'Resultater - Østdanmark'!J$3:J$504)),'Resultater - Østdanmark'!$F$3:$F$504,$A45,'Resultater - Østdanmark'!H$3:H$504,"&lt;0"),0))</f>
        <v>0</v>
      </c>
      <c r="J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forbrug'!J$3,'Forbrug af biomasse'!$B$2:$B$425,$F45)</f>
        <v>0</v>
      </c>
      <c r="K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forbrug'!K$3,'Forbrug af biomasse'!$B$2:$B$425,$F45)</f>
        <v>1460182.5874658169</v>
      </c>
      <c r="L45" s="94">
        <f>SUMIFS('Forbrug af biomasse'!$E$2:$E$425,'Forbrug af biomasse'!$C$2:$C$425,'Resultat-Produktion &amp; forbrug'!$A45,'Forbrug af biomasse'!$D$2:$D$425,'Resultat-Produktion &amp; forbrug'!$E45,'Forbrug af biomasse'!$A$2:$A$425,'Resultat-Produktion &amp; forbrug'!L$3,'Forbrug af biomasse'!$B$2:$B$425,$F45)</f>
        <v>0</v>
      </c>
      <c r="M45" s="94">
        <f>IF(A45&lt;&gt;"Biogas",SUMIFS('Forbrug af biomasse'!$E$2:$E$425,'Forbrug af biomasse'!$C$2:$C$425,'Resultat-Produktion &amp; forbrug'!$A45,'Forbrug af biomasse'!$D$2:$D$425,'Resultat-Produktion &amp; forbrug'!$E45,'Forbrug af biomasse'!$A$2:$A$425,'Resultat-Produktion &amp; forbrug'!M$3,'Forbrug af biomasse'!$B$2:$B$425,$F45),G45)</f>
        <v>0</v>
      </c>
      <c r="N45" s="94">
        <f>SUMIFS('Forbrug af biomasse'!E:E,'Forbrug af biomasse'!C:C,'Resultat-Produktion &amp; forbrug'!$A45,'Forbrug af biomasse'!D:D,'Resultat-Produktion &amp; forbrug'!$E45,'Forbrug af biomasse'!G:G,1,'Forbrug af biomasse'!B:B,$F45)</f>
        <v>0</v>
      </c>
      <c r="O45" s="179">
        <f t="shared" si="9"/>
        <v>2390013.9527756004</v>
      </c>
      <c r="P45" s="94">
        <f t="shared" si="4"/>
        <v>2390013.9527756004</v>
      </c>
      <c r="Q45" s="180">
        <f t="shared" si="10"/>
        <v>1460182.5874658169</v>
      </c>
      <c r="R45">
        <f>IFERROR(VLOOKUP(A45,[1]Energiindhold!$A$2:$C$11,3,FALSE),IFERROR(VLOOKUP(A45,[1]Biogasudbytte!$A$2:$B$18,2,FALSE)*[1]Energiindhold!$C$10,0))*P45</f>
        <v>1.1926408625745526</v>
      </c>
      <c r="S45">
        <f>IF(A45&lt;&gt;"Biogas",IFERROR(VLOOKUP(A45,[1]Biogasudbytte!$A$2:$B$18,2,FALSE)*[1]Energiindhold!$C$10,0)*K45*IFERROR(VLOOKUP(A45,Biogasanlæg!$F$3:$G$8,2,FALSE),1)+IFERROR(VLOOKUP(A45,[1]Energiindhold!$A$2:$C$11,3,FALSE),0)*M45+IF(E45&lt;&gt;År1,R45,0),0)</f>
        <v>0.72864571297131742</v>
      </c>
      <c r="T45">
        <f>IFERROR(VLOOKUP(A45,[1]Biogasudbytte!$A$2:$B$18,2,FALSE)*[1]Energiindhold!$C$10,0)*K45*IFERROR(VLOOKUP(A45,Biogasanlæg!$F$3:$G$8,2,FALSE),1)</f>
        <v>0.72864571297131742</v>
      </c>
      <c r="U45" s="170">
        <f t="shared" si="11"/>
        <v>0</v>
      </c>
      <c r="V45" s="169">
        <f>P45*IFERROR(VLOOKUP(A45,[1]Tørstofindhold!A$2:B$24,2,FALSE),0)</f>
        <v>143400.83716653602</v>
      </c>
      <c r="W45">
        <f>IF(E45=År1,Q45,SUM(P45,Q45))*IFERROR(VLOOKUP(A45,[1]Tørstofindhold!A$2:B$24,2,FALSE),0)</f>
        <v>87610.955247949008</v>
      </c>
      <c r="X45">
        <f>K45*IFERROR(VLOOKUP(A45,[1]Tørstofindhold!A$2:B$24,2,FALSE),0)</f>
        <v>87610.955247949008</v>
      </c>
      <c r="Y45" s="170">
        <f t="shared" si="12"/>
        <v>0</v>
      </c>
      <c r="Z45">
        <f t="shared" si="1"/>
        <v>0</v>
      </c>
      <c r="AA45">
        <f t="shared" si="2"/>
        <v>1</v>
      </c>
    </row>
    <row r="46" spans="1:27" x14ac:dyDescent="0.25">
      <c r="A46" s="171" t="s">
        <v>135</v>
      </c>
      <c r="B46" s="171" t="s">
        <v>221</v>
      </c>
      <c r="C46" s="171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1</v>
      </c>
      <c r="D46" s="171">
        <v>0</v>
      </c>
      <c r="E46" s="171">
        <f t="shared" si="8"/>
        <v>2019</v>
      </c>
      <c r="F46" t="s">
        <v>23</v>
      </c>
      <c r="G46" s="94">
        <f>IF(F46="Vestdanmark",SUMIFS(IF(E46=År1,'Resultater - Vestdanmark'!H$3:H$504,IF(E46=År2,'Resultater - Vestdanmark'!I$3:I$504,'Resultater - Vestdanmark'!J$3:J$504)),'Resultater - Vestdanmark'!$F$3:$F$504,$A46,IF(E46=År1,'Resultater - Vestdanmark'!H$3:H$504,IF(E46=År2,'Resultater - Vestdanmark'!I$3:I$504,'Resultater - Vestdanmark'!J$3:J$504)),"&gt;0"),SUMIFS(IF(E46=År1,'Resultater - Østdanmark'!H$3:H$504,IF(E46=År2,'Resultater - Østdanmark'!I$3:I$504,'Resultater - Østdanmark'!J$3:J$504)),'Resultater - Østdanmark'!$F$3:$F$504,$A46,IF(E46=År1,'Resultater - Østdanmark'!H$3:H$504,IF(E46=År2,'Resultater - Østdanmark'!I$3:I$504,'Resultater - Østdanmark'!J$3:J$504)),"&gt;0"))</f>
        <v>15352538.506892066</v>
      </c>
      <c r="H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forbrug'!H$3,'Forbrug af biomasse'!$B$2:$B$425,$F46)</f>
        <v>0</v>
      </c>
      <c r="I46">
        <f>IF(F46="Vestdanmark",-IF(A46="Halm",SUMIFS(IF(E46=År1,'Resultater - Vestdanmark'!H$3:H$504,IF(E46=År2,'Resultater - Vestdanmark'!I$3:I$504,'Resultater - Vestdanmark'!J$3:J$504)),'Resultater - Vestdanmark'!$F$3:$F$504,$A46,'Resultater - Vestdanmark'!H$3:H$504,"&lt;0"),0),-IF(A46="Halm",SUMIFS(IF(E46=År1,'Resultater - Østdanmark'!H$3:H$504,IF(E46=År2,'Resultater - Østdanmark'!I$3:I$504,'Resultater - Østdanmark'!J$3:J$504)),'Resultater - Østdanmark'!$F$3:$F$504,$A46,'Resultater - Østdanmark'!H$3:H$504,"&lt;0"),0))</f>
        <v>0</v>
      </c>
      <c r="J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forbrug'!J$3,'Forbrug af biomasse'!$B$2:$B$425,$F46)</f>
        <v>0</v>
      </c>
      <c r="K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forbrug'!K$3,'Forbrug af biomasse'!$B$2:$B$425,$F46)</f>
        <v>2534442.072977222</v>
      </c>
      <c r="L46" s="94">
        <f>SUMIFS('Forbrug af biomasse'!$E$2:$E$425,'Forbrug af biomasse'!$C$2:$C$425,'Resultat-Produktion &amp; forbrug'!$A46,'Forbrug af biomasse'!$D$2:$D$425,'Resultat-Produktion &amp; forbrug'!$E46,'Forbrug af biomasse'!$A$2:$A$425,'Resultat-Produktion &amp; forbrug'!L$3,'Forbrug af biomasse'!$B$2:$B$425,$F46)</f>
        <v>12818096.433914844</v>
      </c>
      <c r="M46" s="94">
        <f>IF(A46&lt;&gt;"Biogas",SUMIFS('Forbrug af biomasse'!$E$2:$E$425,'Forbrug af biomasse'!$C$2:$C$425,'Resultat-Produktion &amp; forbrug'!$A46,'Forbrug af biomasse'!$D$2:$D$425,'Resultat-Produktion &amp; forbrug'!$E46,'Forbrug af biomasse'!$A$2:$A$425,'Resultat-Produktion &amp; forbrug'!M$3,'Forbrug af biomasse'!$B$2:$B$425,$F46),G46)</f>
        <v>0</v>
      </c>
      <c r="N46" s="94">
        <f>SUMIFS('Forbrug af biomasse'!E:E,'Forbrug af biomasse'!C:C,'Resultat-Produktion &amp; forbrug'!$A46,'Forbrug af biomasse'!D:D,'Resultat-Produktion &amp; forbrug'!$E46,'Forbrug af biomasse'!G:G,1,'Forbrug af biomasse'!B:B,$F46)</f>
        <v>0</v>
      </c>
      <c r="O46" s="179">
        <f t="shared" si="9"/>
        <v>0</v>
      </c>
      <c r="P46" s="94">
        <f t="shared" si="4"/>
        <v>0</v>
      </c>
      <c r="Q46" s="180">
        <f t="shared" si="10"/>
        <v>2534442.072977222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IF(A46&lt;&gt;"Biogas",IFERROR(VLOOKUP(A46,[1]Biogasudbytte!$A$2:$B$18,2,FALSE)*[1]Energiindhold!$C$10,0)*K46*IFERROR(VLOOKUP(A46,Biogasanlæg!$F$3:$G$8,2,FALSE),1)+IFERROR(VLOOKUP(A46,[1]Energiindhold!$A$2:$C$11,3,FALSE),0)*M46+IF(E46&lt;&gt;År1,R46,0),0)</f>
        <v>1.0918376450385874</v>
      </c>
      <c r="T46">
        <f>IFERROR(VLOOKUP(A46,[1]Biogasudbytte!$A$2:$B$18,2,FALSE)*[1]Energiindhold!$C$10,0)*K46*IFERROR(VLOOKUP(A46,Biogasanlæg!$F$3:$G$8,2,FALSE),1)</f>
        <v>1.0918376450385874</v>
      </c>
      <c r="U46" s="170">
        <f t="shared" si="11"/>
        <v>0</v>
      </c>
      <c r="V46" s="169">
        <f>P46*IFERROR(VLOOKUP(A46,[1]Tørstofindhold!A$2:B$24,2,FALSE),0)</f>
        <v>0</v>
      </c>
      <c r="W46">
        <f>IF(E46=År1,Q46,SUM(P46,Q46))*IFERROR(VLOOKUP(A46,[1]Tørstofindhold!A$2:B$24,2,FALSE),0)</f>
        <v>126722.10364886111</v>
      </c>
      <c r="X46">
        <f>K46*IFERROR(VLOOKUP(A46,[1]Tørstofindhold!A$2:B$24,2,FALSE),0)</f>
        <v>126722.10364886111</v>
      </c>
      <c r="Y46" s="170">
        <f t="shared" si="12"/>
        <v>0</v>
      </c>
      <c r="Z46">
        <f t="shared" si="1"/>
        <v>0</v>
      </c>
      <c r="AA46">
        <f t="shared" si="2"/>
        <v>0</v>
      </c>
    </row>
    <row r="47" spans="1:27" x14ac:dyDescent="0.25">
      <c r="A47" s="171" t="s">
        <v>13</v>
      </c>
      <c r="B47" s="171"/>
      <c r="C47" s="171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0</v>
      </c>
      <c r="D47" s="171">
        <v>1</v>
      </c>
      <c r="E47" s="171">
        <f t="shared" si="8"/>
        <v>2019</v>
      </c>
      <c r="F47" t="s">
        <v>23</v>
      </c>
      <c r="G47" s="94">
        <f>IF(F47="Vestdanmark",SUMIFS(IF(E47=År1,'Resultater - Vestdanmark'!H$3:H$504,IF(E47=År2,'Resultater - Vestdanmark'!I$3:I$504,'Resultater - Vestdanmark'!J$3:J$504)),'Resultater - Vestdanmark'!$F$3:$F$504,$A47,IF(E47=År1,'Resultater - Vestdanmark'!H$3:H$504,IF(E47=År2,'Resultater - Vestdanmark'!I$3:I$504,'Resultater - Vestdanmark'!J$3:J$504)),"&gt;0"),SUMIFS(IF(E47=År1,'Resultater - Østdanmark'!H$3:H$504,IF(E47=År2,'Resultater - Østdanmark'!I$3:I$504,'Resultater - Østdanmark'!J$3:J$504)),'Resultater - Østdanmark'!$F$3:$F$504,$A47,IF(E47=År1,'Resultater - Østdanmark'!H$3:H$504,IF(E47=År2,'Resultater - Østdanmark'!I$3:I$504,'Resultater - Østdanmark'!J$3:J$504)),"&gt;0"))</f>
        <v>1394376.9846055224</v>
      </c>
      <c r="H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forbrug'!H$3,'Forbrug af biomasse'!$B$2:$B$425,$F47)</f>
        <v>0</v>
      </c>
      <c r="I47">
        <f>IF(F47="Vestdanmark",-IF(A47="Halm",SUMIFS(IF(E47=År1,'Resultater - Vestdanmark'!H$3:H$504,IF(E47=År2,'Resultater - Vestdanmark'!I$3:I$504,'Resultater - Vestdanmark'!J$3:J$504)),'Resultater - Vestdanmark'!$F$3:$F$504,$A47,'Resultater - Vestdanmark'!H$3:H$504,"&lt;0"),0),-IF(A47="Halm",SUMIFS(IF(E47=År1,'Resultater - Østdanmark'!H$3:H$504,IF(E47=År2,'Resultater - Østdanmark'!I$3:I$504,'Resultater - Østdanmark'!J$3:J$504)),'Resultater - Østdanmark'!$F$3:$F$504,$A47,'Resultater - Østdanmark'!H$3:H$504,"&lt;0"),0))</f>
        <v>0</v>
      </c>
      <c r="J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forbrug'!J$3,'Forbrug af biomasse'!$B$2:$B$425,$F47)</f>
        <v>117920.63695532705</v>
      </c>
      <c r="K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forbrug'!K$3,'Forbrug af biomasse'!$B$2:$B$425,$F47)</f>
        <v>0</v>
      </c>
      <c r="L47" s="94">
        <f>SUMIFS('Forbrug af biomasse'!$E$2:$E$425,'Forbrug af biomasse'!$C$2:$C$425,'Resultat-Produktion &amp; forbrug'!$A47,'Forbrug af biomasse'!$D$2:$D$425,'Resultat-Produktion &amp; forbrug'!$E47,'Forbrug af biomasse'!$A$2:$A$425,'Resultat-Produktion &amp; forbrug'!L$3,'Forbrug af biomasse'!$B$2:$B$425,$F47)</f>
        <v>0</v>
      </c>
      <c r="M47" s="94">
        <f>IF(A47&lt;&gt;"Biogas",SUMIFS('Forbrug af biomasse'!$E$2:$E$425,'Forbrug af biomasse'!$C$2:$C$425,'Resultat-Produktion &amp; forbrug'!$A47,'Forbrug af biomasse'!$D$2:$D$425,'Resultat-Produktion &amp; forbrug'!$E47,'Forbrug af biomasse'!$A$2:$A$425,'Resultat-Produktion &amp; forbrug'!M$3,'Forbrug af biomasse'!$B$2:$B$425,$F47),G47)</f>
        <v>0</v>
      </c>
      <c r="N47" s="94">
        <f>SUMIFS('Forbrug af biomasse'!E:E,'Forbrug af biomasse'!C:C,'Resultat-Produktion &amp; forbrug'!$A47,'Forbrug af biomasse'!D:D,'Resultat-Produktion &amp; forbrug'!$E47,'Forbrug af biomasse'!G:G,1,'Forbrug af biomasse'!B:B,$F47)</f>
        <v>0</v>
      </c>
      <c r="O47" s="179">
        <f t="shared" si="9"/>
        <v>1276456.3476501952</v>
      </c>
      <c r="P47" s="94">
        <f t="shared" si="4"/>
        <v>0</v>
      </c>
      <c r="Q47" s="180">
        <f t="shared" si="10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IF(A47&lt;&gt;"Biogas",IFERROR(VLOOKUP(A47,[1]Biogasudbytte!$A$2:$B$18,2,FALSE)*[1]Energiindhold!$C$10,0)*K47*IFERROR(VLOOKUP(A47,Biogasanlæg!$F$3:$G$8,2,FALSE),1)+IFERROR(VLOOKUP(A47,[1]Energiindhold!$A$2:$C$11,3,FALSE),0)*M47+IF(E47&lt;&gt;År1,R47,0),0)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11"/>
        <v>0</v>
      </c>
      <c r="V47" s="169">
        <f>P47*IFERROR(VLOOKUP(A47,[1]Tørstofindhold!A$2:B$24,2,FALSE),0)</f>
        <v>0</v>
      </c>
      <c r="W47">
        <f>IF(E47=År1,Q47,SUM(P47,Q47))*IFERROR(VLOOKUP(A47,[1]Tørstofindhold!A$2:B$24,2,FALSE),0)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12"/>
        <v>0</v>
      </c>
      <c r="Z47">
        <f t="shared" si="1"/>
        <v>0</v>
      </c>
      <c r="AA47">
        <f t="shared" si="2"/>
        <v>1</v>
      </c>
    </row>
    <row r="48" spans="1:27" x14ac:dyDescent="0.25">
      <c r="A48" s="171" t="s">
        <v>99</v>
      </c>
      <c r="B48" s="171" t="s">
        <v>225</v>
      </c>
      <c r="C48" s="171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71">
        <v>1</v>
      </c>
      <c r="E48" s="171">
        <f t="shared" si="8"/>
        <v>2019</v>
      </c>
      <c r="F48" t="s">
        <v>23</v>
      </c>
      <c r="G48" s="94">
        <f>IF(F48="Vestdanmark",SUMIFS(IF(E48=År1,'Resultater - Vestdanmark'!H$3:H$504,IF(E48=År2,'Resultater - Vestdanmark'!I$3:I$504,'Resultater - Vestdanmark'!J$3:J$504)),'Resultater - Vestdanmark'!$F$3:$F$504,$A48,IF(E48=År1,'Resultater - Vestdanmark'!H$3:H$504,IF(E48=År2,'Resultater - Vestdanmark'!I$3:I$504,'Resultater - Vestdanmark'!J$3:J$504)),"&gt;0"),SUMIFS(IF(E48=År1,'Resultater - Østdanmark'!H$3:H$504,IF(E48=År2,'Resultater - Østdanmark'!I$3:I$504,'Resultater - Østdanmark'!J$3:J$504)),'Resultater - Østdanmark'!$F$3:$F$504,$A48,IF(E48=År1,'Resultater - Østdanmark'!H$3:H$504,IF(E48=År2,'Resultater - Østdanmark'!I$3:I$504,'Resultater - Østdanmark'!J$3:J$504)),"&gt;0"))</f>
        <v>76.5</v>
      </c>
      <c r="H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forbrug'!H$3,'Forbrug af biomasse'!$B$2:$B$425,$F48)</f>
        <v>0</v>
      </c>
      <c r="I48">
        <f>IF(F48="Vestdanmark",-IF(A48="Halm",SUMIFS(IF(E48=År1,'Resultater - Vestdanmark'!H$3:H$504,IF(E48=År2,'Resultater - Vestdanmark'!I$3:I$504,'Resultater - Vestdanmark'!J$3:J$504)),'Resultater - Vestdanmark'!$F$3:$F$504,$A48,'Resultater - Vestdanmark'!H$3:H$504,"&lt;0"),0),-IF(A48="Halm",SUMIFS(IF(E48=År1,'Resultater - Østdanmark'!H$3:H$504,IF(E48=År2,'Resultater - Østdanmark'!I$3:I$504,'Resultater - Østdanmark'!J$3:J$504)),'Resultater - Østdanmark'!$F$3:$F$504,$A48,'Resultater - Østdanmark'!H$3:H$504,"&lt;0"),0))</f>
        <v>0</v>
      </c>
      <c r="J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forbrug'!J$3,'Forbrug af biomasse'!$B$2:$B$425,$F48)</f>
        <v>0</v>
      </c>
      <c r="K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forbrug'!K$3,'Forbrug af biomasse'!$B$2:$B$425,$F48)</f>
        <v>0</v>
      </c>
      <c r="L48" s="94">
        <f>SUMIFS('Forbrug af biomasse'!$E$2:$E$425,'Forbrug af biomasse'!$C$2:$C$425,'Resultat-Produktion &amp; forbrug'!$A48,'Forbrug af biomasse'!$D$2:$D$425,'Resultat-Produktion &amp; forbrug'!$E48,'Forbrug af biomasse'!$A$2:$A$425,'Resultat-Produktion &amp; forbrug'!L$3,'Forbrug af biomasse'!$B$2:$B$425,$F48)</f>
        <v>0</v>
      </c>
      <c r="M48" s="94">
        <f>IF(A48&lt;&gt;"Biogas",SUMIFS('Forbrug af biomasse'!$E$2:$E$425,'Forbrug af biomasse'!$C$2:$C$425,'Resultat-Produktion &amp; forbrug'!$A48,'Forbrug af biomasse'!$D$2:$D$425,'Resultat-Produktion &amp; forbrug'!$E48,'Forbrug af biomasse'!$A$2:$A$425,'Resultat-Produktion &amp; forbrug'!M$3,'Forbrug af biomasse'!$B$2:$B$425,$F48),G48)</f>
        <v>0</v>
      </c>
      <c r="N48" s="94">
        <f>SUMIFS('Forbrug af biomasse'!E:E,'Forbrug af biomasse'!C:C,'Resultat-Produktion &amp; forbrug'!$A48,'Forbrug af biomasse'!D:D,'Resultat-Produktion &amp; forbrug'!$E48,'Forbrug af biomasse'!G:G,1,'Forbrug af biomasse'!B:B,$F48)</f>
        <v>0</v>
      </c>
      <c r="O48" s="179">
        <f t="shared" si="9"/>
        <v>76.5</v>
      </c>
      <c r="P48" s="94">
        <f t="shared" si="4"/>
        <v>76.5</v>
      </c>
      <c r="Q48" s="180">
        <f t="shared" si="10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IF(A48&lt;&gt;"Biogas",IFERROR(VLOOKUP(A48,[1]Biogasudbytte!$A$2:$B$18,2,FALSE)*[1]Energiindhold!$C$10,0)*K48*IFERROR(VLOOKUP(A48,Biogasanlæg!$F$3:$G$8,2,FALSE),1)+IFERROR(VLOOKUP(A48,[1]Energiindhold!$A$2:$C$11,3,FALSE),0)*M48+IF(E48&lt;&gt;År1,R48,0),0)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11"/>
        <v>0</v>
      </c>
      <c r="V48" s="169">
        <f>P48*IFERROR(VLOOKUP(A48,[1]Tørstofindhold!A$2:B$24,2,FALSE),0)</f>
        <v>11.475</v>
      </c>
      <c r="W48">
        <f>IF(E48=År1,Q48,SUM(P48,Q48))*IFERROR(VLOOKUP(A48,[1]Tørstofindhold!A$2:B$24,2,FALSE),0)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12"/>
        <v>0</v>
      </c>
      <c r="Z48">
        <f t="shared" si="1"/>
        <v>0</v>
      </c>
      <c r="AA48">
        <f t="shared" si="2"/>
        <v>1</v>
      </c>
    </row>
    <row r="49" spans="1:27" x14ac:dyDescent="0.25">
      <c r="A49" s="171" t="s">
        <v>104</v>
      </c>
      <c r="B49" s="171"/>
      <c r="C49" s="171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71">
        <v>0</v>
      </c>
      <c r="E49" s="171">
        <f t="shared" si="8"/>
        <v>2019</v>
      </c>
      <c r="F49" t="s">
        <v>23</v>
      </c>
      <c r="G49" s="94">
        <f>IF(F49="Vestdanmark",SUMIFS(IF(E49=År1,'Resultater - Vestdanmark'!H$3:H$504,IF(E49=År2,'Resultater - Vestdanmark'!I$3:I$504,'Resultater - Vestdanmark'!J$3:J$504)),'Resultater - Vestdanmark'!$F$3:$F$504,$A49,IF(E49=År1,'Resultater - Vestdanmark'!H$3:H$504,IF(E49=År2,'Resultater - Vestdanmark'!I$3:I$504,'Resultater - Vestdanmark'!J$3:J$504)),"&gt;0"),SUMIFS(IF(E49=År1,'Resultater - Østdanmark'!H$3:H$504,IF(E49=År2,'Resultater - Østdanmark'!I$3:I$504,'Resultater - Østdanmark'!J$3:J$504)),'Resultater - Østdanmark'!$F$3:$F$504,$A49,IF(E49=År1,'Resultater - Østdanmark'!H$3:H$504,IF(E49=År2,'Resultater - Østdanmark'!I$3:I$504,'Resultater - Østdanmark'!J$3:J$504)),"&gt;0"))</f>
        <v>0</v>
      </c>
      <c r="H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forbrug'!H$3,'Forbrug af biomasse'!$B$2:$B$425,$F49)</f>
        <v>0</v>
      </c>
      <c r="I49">
        <f>IF(F49="Vestdanmark",-IF(A49="Halm",SUMIFS(IF(E49=År1,'Resultater - Vestdanmark'!H$3:H$504,IF(E49=År2,'Resultater - Vestdanmark'!I$3:I$504,'Resultater - Vestdanmark'!J$3:J$504)),'Resultater - Vestdanmark'!$F$3:$F$504,$A49,'Resultater - Vestdanmark'!H$3:H$504,"&lt;0"),0),-IF(A49="Halm",SUMIFS(IF(E49=År1,'Resultater - Østdanmark'!H$3:H$504,IF(E49=År2,'Resultater - Østdanmark'!I$3:I$504,'Resultater - Østdanmark'!J$3:J$504)),'Resultater - Østdanmark'!$F$3:$F$504,$A49,'Resultater - Østdanmark'!H$3:H$504,"&lt;0"),0))</f>
        <v>0</v>
      </c>
      <c r="J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forbrug'!J$3,'Forbrug af biomasse'!$B$2:$B$425,$F49)</f>
        <v>0</v>
      </c>
      <c r="K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forbrug'!K$3,'Forbrug af biomasse'!$B$2:$B$425,$F49)</f>
        <v>0</v>
      </c>
      <c r="L49" s="94">
        <f>SUMIFS('Forbrug af biomasse'!$E$2:$E$425,'Forbrug af biomasse'!$C$2:$C$425,'Resultat-Produktion &amp; forbrug'!$A49,'Forbrug af biomasse'!$D$2:$D$425,'Resultat-Produktion &amp; forbrug'!$E49,'Forbrug af biomasse'!$A$2:$A$425,'Resultat-Produktion &amp; forbrug'!L$3,'Forbrug af biomasse'!$B$2:$B$425,$F49)</f>
        <v>0</v>
      </c>
      <c r="M49" s="94">
        <f>IF(A49&lt;&gt;"Biogas",SUMIFS('Forbrug af biomasse'!$E$2:$E$425,'Forbrug af biomasse'!$C$2:$C$425,'Resultat-Produktion &amp; forbrug'!$A49,'Forbrug af biomasse'!$D$2:$D$425,'Resultat-Produktion &amp; forbrug'!$E49,'Forbrug af biomasse'!$A$2:$A$425,'Resultat-Produktion &amp; forbrug'!M$3,'Forbrug af biomasse'!$B$2:$B$425,$F49),G49)</f>
        <v>0</v>
      </c>
      <c r="N49" s="94">
        <f>SUMIFS('Forbrug af biomasse'!E:E,'Forbrug af biomasse'!C:C,'Resultat-Produktion &amp; forbrug'!$A49,'Forbrug af biomasse'!D:D,'Resultat-Produktion &amp; forbrug'!$E49,'Forbrug af biomasse'!G:G,1,'Forbrug af biomasse'!B:B,$F49)</f>
        <v>0</v>
      </c>
      <c r="O49" s="179">
        <f t="shared" si="9"/>
        <v>0</v>
      </c>
      <c r="P49" s="94">
        <f t="shared" si="4"/>
        <v>0</v>
      </c>
      <c r="Q49" s="180">
        <f t="shared" si="10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IF(A49&lt;&gt;"Biogas",IFERROR(VLOOKUP(A49,[1]Biogasudbytte!$A$2:$B$18,2,FALSE)*[1]Energiindhold!$C$10,0)*K49*IFERROR(VLOOKUP(A49,Biogasanlæg!$F$3:$G$8,2,FALSE),1)+IFERROR(VLOOKUP(A49,[1]Energiindhold!$A$2:$C$11,3,FALSE),0)*M49+IF(E49&lt;&gt;År1,R49,0),0)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11"/>
        <v>0</v>
      </c>
      <c r="V49" s="169">
        <f>P49*IFERROR(VLOOKUP(A49,[1]Tørstofindhold!A$2:B$24,2,FALSE),0)</f>
        <v>0</v>
      </c>
      <c r="W49">
        <f>IF(E49=År1,Q49,SUM(P49,Q49))*IFERROR(VLOOKUP(A49,[1]Tørstofindhold!A$2:B$24,2,FALSE),0)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12"/>
        <v>0</v>
      </c>
      <c r="Z49">
        <f t="shared" si="1"/>
        <v>0</v>
      </c>
      <c r="AA49">
        <f t="shared" si="2"/>
        <v>0</v>
      </c>
    </row>
    <row r="50" spans="1:27" x14ac:dyDescent="0.25">
      <c r="A50" s="171" t="s">
        <v>119</v>
      </c>
      <c r="B50" s="171" t="s">
        <v>224</v>
      </c>
      <c r="C50" s="171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1</v>
      </c>
      <c r="D50" s="171">
        <v>0</v>
      </c>
      <c r="E50" s="171">
        <f t="shared" si="8"/>
        <v>2019</v>
      </c>
      <c r="F50" t="s">
        <v>23</v>
      </c>
      <c r="G50" s="94">
        <f>IF(F50="Vestdanmark",SUMIFS(IF(E50=År1,'Resultater - Vestdanmark'!H$3:H$504,IF(E50=År2,'Resultater - Vestdanmark'!I$3:I$504,'Resultater - Vestdanmark'!J$3:J$504)),'Resultater - Vestdanmark'!$F$3:$F$504,$A50,IF(E50=År1,'Resultater - Vestdanmark'!H$3:H$504,IF(E50=År2,'Resultater - Vestdanmark'!I$3:I$504,'Resultater - Vestdanmark'!J$3:J$504)),"&gt;0"),SUMIFS(IF(E50=År1,'Resultater - Østdanmark'!H$3:H$504,IF(E50=År2,'Resultater - Østdanmark'!I$3:I$504,'Resultater - Østdanmark'!J$3:J$504)),'Resultater - Østdanmark'!$F$3:$F$504,$A50,IF(E50=År1,'Resultater - Østdanmark'!H$3:H$504,IF(E50=År2,'Resultater - Østdanmark'!I$3:I$504,'Resultater - Østdanmark'!J$3:J$504)),"&gt;0"))</f>
        <v>2328677.081002241</v>
      </c>
      <c r="H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forbrug'!H$3,'Forbrug af biomasse'!$B$2:$B$425,$F50)</f>
        <v>0</v>
      </c>
      <c r="I50">
        <f>IF(F50="Vestdanmark",-IF(A50="Halm",SUMIFS(IF(E50=År1,'Resultater - Vestdanmark'!H$3:H$504,IF(E50=År2,'Resultater - Vestdanmark'!I$3:I$504,'Resultater - Vestdanmark'!J$3:J$504)),'Resultater - Vestdanmark'!$F$3:$F$504,$A50,'Resultater - Vestdanmark'!H$3:H$504,"&lt;0"),0),-IF(A50="Halm",SUMIFS(IF(E50=År1,'Resultater - Østdanmark'!H$3:H$504,IF(E50=År2,'Resultater - Østdanmark'!I$3:I$504,'Resultater - Østdanmark'!J$3:J$504)),'Resultater - Østdanmark'!$F$3:$F$504,$A50,'Resultater - Østdanmark'!H$3:H$504,"&lt;0"),0))</f>
        <v>0</v>
      </c>
      <c r="J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forbrug'!J$3,'Forbrug af biomasse'!$B$2:$B$425,$F50)</f>
        <v>0</v>
      </c>
      <c r="K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forbrug'!K$3,'Forbrug af biomasse'!$B$2:$B$425,$F50)</f>
        <v>0</v>
      </c>
      <c r="L50" s="94">
        <f>SUMIFS('Forbrug af biomasse'!$E$2:$E$425,'Forbrug af biomasse'!$C$2:$C$425,'Resultat-Produktion &amp; forbrug'!$A50,'Forbrug af biomasse'!$D$2:$D$425,'Resultat-Produktion &amp; forbrug'!$E50,'Forbrug af biomasse'!$A$2:$A$425,'Resultat-Produktion &amp; forbrug'!L$3,'Forbrug af biomasse'!$B$2:$B$425,$F50)</f>
        <v>0</v>
      </c>
      <c r="M50" s="94">
        <f ca="1">IF(A50&lt;&gt;"Biogas",SUMIFS('Forbrug af biomasse'!$E$2:$E$425,'Forbrug af biomasse'!$C$2:$C$425,'Resultat-Produktion &amp; forbrug'!$A50,'Forbrug af biomasse'!$D$2:$D$425,'Resultat-Produktion &amp; forbrug'!$E50,'Forbrug af biomasse'!$A$2:$A$425,'Resultat-Produktion &amp; forbrug'!M$3,'Forbrug af biomasse'!$B$2:$B$425,$F50),G50)</f>
        <v>2328677.081002241</v>
      </c>
      <c r="N50" s="94">
        <f>SUMIFS('Forbrug af biomasse'!E:E,'Forbrug af biomasse'!C:C,'Resultat-Produktion &amp; forbrug'!$A50,'Forbrug af biomasse'!D:D,'Resultat-Produktion &amp; forbrug'!$E50,'Forbrug af biomasse'!G:G,1,'Forbrug af biomasse'!B:B,$F50)</f>
        <v>0</v>
      </c>
      <c r="O50" s="179">
        <f t="shared" ca="1" si="9"/>
        <v>0</v>
      </c>
      <c r="P50" s="94">
        <f t="shared" ca="1" si="4"/>
        <v>0</v>
      </c>
      <c r="Q50" s="180">
        <f t="shared" ca="1" si="10"/>
        <v>2328677.081002241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IF(A50&lt;&gt;"Biogas",IFERROR(VLOOKUP(A50,[1]Biogasudbytte!$A$2:$B$18,2,FALSE)*[1]Energiindhold!$C$10,0)*K50*IFERROR(VLOOKUP(A50,Biogasanlæg!$F$3:$G$8,2,FALSE),1)+IFERROR(VLOOKUP(A50,[1]Energiindhold!$A$2:$C$11,3,FALSE),0)*M50+IF(E50&lt;&gt;År1,R50,0),0)</f>
        <v>33.750841721162331</v>
      </c>
      <c r="T50">
        <f>IFERROR(VLOOKUP(A50,[1]Biogasudbytte!$A$2:$B$18,2,FALSE)*[1]Energiindhold!$C$10,0)*K50*IFERROR(VLOOKUP(A50,Biogasanlæg!$F$3:$G$8,2,FALSE),1)</f>
        <v>0</v>
      </c>
      <c r="U50" s="170">
        <f t="shared" ca="1" si="11"/>
        <v>33.750841721162331</v>
      </c>
      <c r="V50" s="169">
        <f ca="1">P50*IFERROR(VLOOKUP(A50,[1]Tørstofindhold!A$2:B$24,2,FALSE),0)</f>
        <v>0</v>
      </c>
      <c r="W50">
        <f ca="1">IF(E50=År1,Q50,SUM(P50,Q50))*IFERROR(VLOOKUP(A50,[1]Tørstofindhold!A$2:B$24,2,FALSE),0)</f>
        <v>1151724.8729790249</v>
      </c>
      <c r="X50">
        <f>K50*IFERROR(VLOOKUP(A50,[1]Tørstofindhold!A$2:B$24,2,FALSE),0)</f>
        <v>0</v>
      </c>
      <c r="Y50" s="170">
        <f t="shared" ca="1" si="12"/>
        <v>1151724.8729790249</v>
      </c>
      <c r="Z50">
        <f t="shared" ca="1" si="1"/>
        <v>0</v>
      </c>
      <c r="AA50">
        <f t="shared" ca="1" si="2"/>
        <v>0</v>
      </c>
    </row>
    <row r="51" spans="1:27" x14ac:dyDescent="0.25">
      <c r="A51" s="171" t="s">
        <v>118</v>
      </c>
      <c r="B51" s="171"/>
      <c r="C51" s="171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71">
        <v>0</v>
      </c>
      <c r="E51" s="171">
        <f t="shared" si="8"/>
        <v>2019</v>
      </c>
      <c r="F51" t="s">
        <v>23</v>
      </c>
      <c r="G51" s="94">
        <f>IF(F51="Vestdanmark",SUMIFS(IF(E51=År1,'Resultater - Vestdanmark'!H$3:H$504,IF(E51=År2,'Resultater - Vestdanmark'!I$3:I$504,'Resultater - Vestdanmark'!J$3:J$504)),'Resultater - Vestdanmark'!$F$3:$F$504,$A51,IF(E51=År1,'Resultater - Vestdanmark'!H$3:H$504,IF(E51=År2,'Resultater - Vestdanmark'!I$3:I$504,'Resultater - Vestdanmark'!J$3:J$504)),"&gt;0"),SUMIFS(IF(E51=År1,'Resultater - Østdanmark'!H$3:H$504,IF(E51=År2,'Resultater - Østdanmark'!I$3:I$504,'Resultater - Østdanmark'!J$3:J$504)),'Resultater - Østdanmark'!$F$3:$F$504,$A51,IF(E51=År1,'Resultater - Østdanmark'!H$3:H$504,IF(E51=År2,'Resultater - Østdanmark'!I$3:I$504,'Resultater - Østdanmark'!J$3:J$504)),"&gt;0"))</f>
        <v>640291.52551137318</v>
      </c>
      <c r="H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forbrug'!H$3,'Forbrug af biomasse'!$B$2:$B$425,$F51)</f>
        <v>0</v>
      </c>
      <c r="I51">
        <f>IF(F51="Vestdanmark",-IF(A51="Halm",SUMIFS(IF(E51=År1,'Resultater - Vestdanmark'!H$3:H$504,IF(E51=År2,'Resultater - Vestdanmark'!I$3:I$504,'Resultater - Vestdanmark'!J$3:J$504)),'Resultater - Vestdanmark'!$F$3:$F$504,$A51,'Resultater - Vestdanmark'!H$3:H$504,"&lt;0"),0),-IF(A51="Halm",SUMIFS(IF(E51=År1,'Resultater - Østdanmark'!H$3:H$504,IF(E51=År2,'Resultater - Østdanmark'!I$3:I$504,'Resultater - Østdanmark'!J$3:J$504)),'Resultater - Østdanmark'!$F$3:$F$504,$A51,'Resultater - Østdanmark'!H$3:H$504,"&lt;0"),0))</f>
        <v>0</v>
      </c>
      <c r="J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forbrug'!J$3,'Forbrug af biomasse'!$B$2:$B$425,$F51)</f>
        <v>0</v>
      </c>
      <c r="K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forbrug'!K$3,'Forbrug af biomasse'!$B$2:$B$425,$F51)</f>
        <v>0</v>
      </c>
      <c r="L51" s="94">
        <f>SUMIFS('Forbrug af biomasse'!$E$2:$E$425,'Forbrug af biomasse'!$C$2:$C$425,'Resultat-Produktion &amp; forbrug'!$A51,'Forbrug af biomasse'!$D$2:$D$425,'Resultat-Produktion &amp; forbrug'!$E51,'Forbrug af biomasse'!$A$2:$A$425,'Resultat-Produktion &amp; forbrug'!L$3,'Forbrug af biomasse'!$B$2:$B$425,$F51)</f>
        <v>0</v>
      </c>
      <c r="M51" s="94">
        <f>IF(A51&lt;&gt;"Biogas",SUMIFS('Forbrug af biomasse'!$E$2:$E$425,'Forbrug af biomasse'!$C$2:$C$425,'Resultat-Produktion &amp; forbrug'!$A51,'Forbrug af biomasse'!$D$2:$D$425,'Resultat-Produktion &amp; forbrug'!$E51,'Forbrug af biomasse'!$A$2:$A$425,'Resultat-Produktion &amp; forbrug'!M$3,'Forbrug af biomasse'!$B$2:$B$425,$F51),G51)</f>
        <v>0</v>
      </c>
      <c r="N51" s="94">
        <f>SUMIFS('Forbrug af biomasse'!E:E,'Forbrug af biomasse'!C:C,'Resultat-Produktion &amp; forbrug'!$A51,'Forbrug af biomasse'!D:D,'Resultat-Produktion &amp; forbrug'!$E51,'Forbrug af biomasse'!G:G,1,'Forbrug af biomasse'!B:B,$F51)</f>
        <v>640291.52551137318</v>
      </c>
      <c r="O51" s="179">
        <f t="shared" si="9"/>
        <v>0</v>
      </c>
      <c r="P51" s="94">
        <f t="shared" si="4"/>
        <v>0</v>
      </c>
      <c r="Q51" s="180">
        <f t="shared" si="10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IF(A51&lt;&gt;"Biogas",IFERROR(VLOOKUP(A51,[1]Biogasudbytte!$A$2:$B$18,2,FALSE)*[1]Energiindhold!$C$10,0)*K51*IFERROR(VLOOKUP(A51,Biogasanlæg!$F$3:$G$8,2,FALSE),1)+IFERROR(VLOOKUP(A51,[1]Energiindhold!$A$2:$C$11,3,FALSE),0)*M51+IF(E51&lt;&gt;År1,R51,0),0)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11"/>
        <v>0</v>
      </c>
      <c r="V51" s="169">
        <f>P51*IFERROR(VLOOKUP(A51,[1]Tørstofindhold!A$2:B$24,2,FALSE),0)</f>
        <v>0</v>
      </c>
      <c r="W51">
        <f>IF(E51=År1,Q51,SUM(P51,Q51))*IFERROR(VLOOKUP(A51,[1]Tørstofindhold!A$2:B$24,2,FALSE),0)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12"/>
        <v>0</v>
      </c>
      <c r="Z51">
        <f t="shared" ca="1" si="1"/>
        <v>0</v>
      </c>
      <c r="AA51">
        <f t="shared" ca="1" si="2"/>
        <v>0</v>
      </c>
    </row>
    <row r="52" spans="1:27" x14ac:dyDescent="0.25">
      <c r="A52" s="171" t="str">
        <f t="shared" ref="A52:A83" si="13">A4</f>
        <v>Æg</v>
      </c>
      <c r="B52" s="171" t="str">
        <f t="shared" ref="B52:B83" si="14">IF(B4&lt;&gt;"",B4,"")</f>
        <v/>
      </c>
      <c r="C52" s="171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71">
        <f>D4</f>
        <v>1</v>
      </c>
      <c r="E52" s="171">
        <f t="shared" ref="E52:E99" si="15">År2</f>
        <v>2030</v>
      </c>
      <c r="F52" t="s">
        <v>23</v>
      </c>
      <c r="G52" s="94">
        <f>IF(F52="Vestdanmark",SUMIFS(IF(E52=År1,'Resultater - Vestdanmark'!H$3:H$504,IF(E52=År2,'Resultater - Vestdanmark'!I$3:I$504,'Resultater - Vestdanmark'!J$3:J$504)),'Resultater - Vestdanmark'!$F$3:$F$504,$A52,IF(E52=År1,'Resultater - Vestdanmark'!H$3:H$504,IF(E52=År2,'Resultater - Vestdanmark'!I$3:I$504,'Resultater - Vestdanmark'!J$3:J$504)),"&gt;0"),SUMIFS(IF(E52=År1,'Resultater - Østdanmark'!H$3:H$504,IF(E52=År2,'Resultater - Østdanmark'!I$3:I$504,'Resultater - Østdanmark'!J$3:J$504)),'Resultater - Østdanmark'!$F$3:$F$504,$A52,IF(E52=År1,'Resultater - Østdanmark'!H$3:H$504,IF(E52=År2,'Resultater - Østdanmark'!I$3:I$504,'Resultater - Østdanmark'!J$3:J$504)),"&gt;0"))</f>
        <v>216803.74196206822</v>
      </c>
      <c r="H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forbrug'!H$3,'Forbrug af biomasse'!$B$2:$B$425,$F52)</f>
        <v>0</v>
      </c>
      <c r="I52">
        <f>IF(F52="Vestdanmark",-IF(A52="Halm",SUMIFS(IF(E52=År1,'Resultater - Vestdanmark'!H$3:H$504,IF(E52=År2,'Resultater - Vestdanmark'!I$3:I$504,'Resultater - Vestdanmark'!J$3:J$504)),'Resultater - Vestdanmark'!$F$3:$F$504,$A52,'Resultater - Vestdanmark'!H$3:H$504,"&lt;0"),0),-IF(A52="Halm",SUMIFS(IF(E52=År1,'Resultater - Østdanmark'!H$3:H$504,IF(E52=År2,'Resultater - Østdanmark'!I$3:I$504,'Resultater - Østdanmark'!J$3:J$504)),'Resultater - Østdanmark'!$F$3:$F$504,$A52,'Resultater - Østdanmark'!H$3:H$504,"&lt;0"),0))</f>
        <v>0</v>
      </c>
      <c r="J52" s="94"/>
      <c r="K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forbrug'!K$3,'Forbrug af biomasse'!$B$2:$B$425,$F52)</f>
        <v>0</v>
      </c>
      <c r="L52" s="94">
        <f>SUMIFS('Forbrug af biomasse'!$E$2:$E$425,'Forbrug af biomasse'!$C$2:$C$425,'Resultat-Produktion &amp; forbrug'!$A52,'Forbrug af biomasse'!$D$2:$D$425,'Resultat-Produktion &amp; forbrug'!$E52,'Forbrug af biomasse'!$A$2:$A$425,'Resultat-Produktion &amp; forbrug'!L$3,'Forbrug af biomasse'!$B$2:$B$425,$F52)</f>
        <v>0</v>
      </c>
      <c r="M52" s="94">
        <f>IF(A52&lt;&gt;"Biogas",SUMIFS('Forbrug af biomasse'!$E$2:$E$425,'Forbrug af biomasse'!$C$2:$C$425,'Resultat-Produktion &amp; forbrug'!$A52,'Forbrug af biomasse'!$D$2:$D$425,'Resultat-Produktion &amp; forbrug'!$E52,'Forbrug af biomasse'!$A$2:$A$425,'Resultat-Produktion &amp; forbrug'!M$3,'Forbrug af biomasse'!$B$2:$B$425,$F52),G52)</f>
        <v>0</v>
      </c>
      <c r="N52" s="94">
        <f>SUMIFS('Forbrug af biomasse'!E:E,'Forbrug af biomasse'!C:C,'Resultat-Produktion &amp; forbrug'!$A52,'Forbrug af biomasse'!D:D,'Resultat-Produktion &amp; forbrug'!$E52,'Forbrug af biomasse'!G:G,1,'Forbrug af biomasse'!B:B,$F52)</f>
        <v>0</v>
      </c>
      <c r="O52" s="179">
        <f t="shared" si="9"/>
        <v>216803.74196206822</v>
      </c>
      <c r="P52" s="94">
        <f t="shared" si="4"/>
        <v>0</v>
      </c>
      <c r="Q52" s="180">
        <f t="shared" si="10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IF(A52&lt;&gt;"Biogas",IFERROR(VLOOKUP(A52,[1]Biogasudbytte!$A$2:$B$18,2,FALSE)*[1]Energiindhold!$C$10,0)*K52*IFERROR(VLOOKUP(A52,Biogasanlæg!$F$3:$G$8,2,FALSE),1)+IFERROR(VLOOKUP(A52,[1]Energiindhold!$A$2:$C$11,3,FALSE),0)*M52+IF(E52&lt;&gt;År1,R52,0),0)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11"/>
        <v>0</v>
      </c>
      <c r="V52" s="169">
        <f>P52*IFERROR(VLOOKUP(A52,[1]Tørstofindhold!A$2:B$24,2,FALSE),0)</f>
        <v>0</v>
      </c>
      <c r="W52">
        <f>IF(E52=År1,Q52,SUM(P52,Q52))*IFERROR(VLOOKUP(A52,[1]Tørstofindhold!A$2:B$24,2,FALSE),0)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12"/>
        <v>0</v>
      </c>
      <c r="Z52">
        <f t="shared" si="1"/>
        <v>0</v>
      </c>
      <c r="AA52">
        <f t="shared" si="2"/>
        <v>1</v>
      </c>
    </row>
    <row r="53" spans="1:27" x14ac:dyDescent="0.25">
      <c r="A53" s="171" t="str">
        <f t="shared" si="13"/>
        <v>Bælgsæd</v>
      </c>
      <c r="B53" s="171" t="str">
        <f t="shared" si="14"/>
        <v/>
      </c>
      <c r="C53" s="171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0</v>
      </c>
      <c r="D53" s="171">
        <f t="shared" ref="D53:D116" si="16">D5</f>
        <v>1</v>
      </c>
      <c r="E53" s="171">
        <f t="shared" si="15"/>
        <v>2030</v>
      </c>
      <c r="F53" t="s">
        <v>23</v>
      </c>
      <c r="G53" s="94">
        <f>IF(F53="Vestdanmark",SUMIFS(IF(E53=År1,'Resultater - Vestdanmark'!H$3:H$504,IF(E53=År2,'Resultater - Vestdanmark'!I$3:I$504,'Resultater - Vestdanmark'!J$3:J$504)),'Resultater - Vestdanmark'!$F$3:$F$504,$A53,IF(E53=År1,'Resultater - Vestdanmark'!H$3:H$504,IF(E53=År2,'Resultater - Vestdanmark'!I$3:I$504,'Resultater - Vestdanmark'!J$3:J$504)),"&gt;0"),SUMIFS(IF(E53=År1,'Resultater - Østdanmark'!H$3:H$504,IF(E53=År2,'Resultater - Østdanmark'!I$3:I$504,'Resultater - Østdanmark'!J$3:J$504)),'Resultater - Østdanmark'!$F$3:$F$504,$A53,IF(E53=År1,'Resultater - Østdanmark'!H$3:H$504,IF(E53=År2,'Resultater - Østdanmark'!I$3:I$504,'Resultater - Østdanmark'!J$3:J$504)),"&gt;0"))</f>
        <v>545577.01129372371</v>
      </c>
      <c r="H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forbrug'!H$3,'Forbrug af biomasse'!$B$2:$B$425,$F53)</f>
        <v>51766.523378049998</v>
      </c>
      <c r="I53">
        <f>IF(F53="Vestdanmark",-IF(A53="Halm",SUMIFS(IF(E53=År1,'Resultater - Vestdanmark'!H$3:H$504,IF(E53=År2,'Resultater - Vestdanmark'!I$3:I$504,'Resultater - Vestdanmark'!J$3:J$504)),'Resultater - Vestdanmark'!$F$3:$F$504,$A53,'Resultater - Vestdanmark'!H$3:H$504,"&lt;0"),0),-IF(A53="Halm",SUMIFS(IF(E53=År1,'Resultater - Østdanmark'!H$3:H$504,IF(E53=År2,'Resultater - Østdanmark'!I$3:I$504,'Resultater - Østdanmark'!J$3:J$504)),'Resultater - Østdanmark'!$F$3:$F$504,$A53,'Resultater - Østdanmark'!H$3:H$504,"&lt;0"),0))</f>
        <v>0</v>
      </c>
      <c r="J53" s="94"/>
      <c r="K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forbrug'!K$3,'Forbrug af biomasse'!$B$2:$B$425,$F53)</f>
        <v>0</v>
      </c>
      <c r="L53" s="94">
        <f>SUMIFS('Forbrug af biomasse'!$E$2:$E$425,'Forbrug af biomasse'!$C$2:$C$425,'Resultat-Produktion &amp; forbrug'!$A53,'Forbrug af biomasse'!$D$2:$D$425,'Resultat-Produktion &amp; forbrug'!$E53,'Forbrug af biomasse'!$A$2:$A$425,'Resultat-Produktion &amp; forbrug'!L$3,'Forbrug af biomasse'!$B$2:$B$425,$F53)</f>
        <v>0</v>
      </c>
      <c r="M53" s="94">
        <f>IF(A53&lt;&gt;"Biogas",SUMIFS('Forbrug af biomasse'!$E$2:$E$425,'Forbrug af biomasse'!$C$2:$C$425,'Resultat-Produktion &amp; forbrug'!$A53,'Forbrug af biomasse'!$D$2:$D$425,'Resultat-Produktion &amp; forbrug'!$E53,'Forbrug af biomasse'!$A$2:$A$425,'Resultat-Produktion &amp; forbrug'!M$3,'Forbrug af biomasse'!$B$2:$B$425,$F53),G53)</f>
        <v>0</v>
      </c>
      <c r="N53" s="94">
        <f>SUMIFS('Forbrug af biomasse'!E:E,'Forbrug af biomasse'!C:C,'Resultat-Produktion &amp; forbrug'!$A53,'Forbrug af biomasse'!D:D,'Resultat-Produktion &amp; forbrug'!$E53,'Forbrug af biomasse'!G:G,1,'Forbrug af biomasse'!B:B,$F53)</f>
        <v>0</v>
      </c>
      <c r="O53" s="179">
        <f t="shared" si="9"/>
        <v>493810.4879156737</v>
      </c>
      <c r="P53" s="94">
        <f t="shared" si="4"/>
        <v>0</v>
      </c>
      <c r="Q53" s="180">
        <f t="shared" si="10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IF(A53&lt;&gt;"Biogas",IFERROR(VLOOKUP(A53,[1]Biogasudbytte!$A$2:$B$18,2,FALSE)*[1]Energiindhold!$C$10,0)*K53*IFERROR(VLOOKUP(A53,Biogasanlæg!$F$3:$G$8,2,FALSE),1)+IFERROR(VLOOKUP(A53,[1]Energiindhold!$A$2:$C$11,3,FALSE),0)*M53+IF(E53&lt;&gt;År1,R53,0),0)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11"/>
        <v>0</v>
      </c>
      <c r="V53" s="169">
        <f>P53*IFERROR(VLOOKUP(A53,[1]Tørstofindhold!A$2:B$24,2,FALSE),0)</f>
        <v>0</v>
      </c>
      <c r="W53">
        <f>IF(E53=År1,Q53,SUM(P53,Q53))*IFERROR(VLOOKUP(A53,[1]Tørstofindhold!A$2:B$24,2,FALSE),0)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12"/>
        <v>0</v>
      </c>
      <c r="Z53">
        <f t="shared" si="1"/>
        <v>0</v>
      </c>
      <c r="AA53">
        <f t="shared" si="2"/>
        <v>1</v>
      </c>
    </row>
    <row r="54" spans="1:27" x14ac:dyDescent="0.25">
      <c r="A54" s="171" t="str">
        <f t="shared" si="13"/>
        <v>Bioaffald</v>
      </c>
      <c r="B54" s="171" t="str">
        <f t="shared" si="14"/>
        <v>Bionedbrydeligt affald</v>
      </c>
      <c r="C54" s="171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71">
        <f t="shared" si="16"/>
        <v>0</v>
      </c>
      <c r="E54" s="171">
        <f t="shared" si="15"/>
        <v>2030</v>
      </c>
      <c r="F54" t="s">
        <v>23</v>
      </c>
      <c r="G54" s="94">
        <f ca="1">IF(F54="Vestdanmark",SUMIFS(IF(E54=År1,'Resultater - Vestdanmark'!H$3:H$504,IF(E54=År2,'Resultater - Vestdanmark'!I$3:I$504,'Resultater - Vestdanmark'!J$3:J$504)),'Resultater - Vestdanmark'!$F$3:$F$504,$A54,IF(E54=År1,'Resultater - Vestdanmark'!H$3:H$504,IF(E54=År2,'Resultater - Vestdanmark'!I$3:I$504,'Resultater - Vestdanmark'!J$3:J$504)),"&gt;0"),SUMIFS(IF(E54=År1,'Resultater - Østdanmark'!H$3:H$504,IF(E54=År2,'Resultater - Østdanmark'!I$3:I$504,'Resultater - Østdanmark'!J$3:J$504)),'Resultater - Østdanmark'!$F$3:$F$504,$A54,IF(E54=År1,'Resultater - Østdanmark'!H$3:H$504,IF(E54=År2,'Resultater - Østdanmark'!I$3:I$504,'Resultater - Østdanmark'!J$3:J$504)),"&gt;0"))</f>
        <v>195082.22598438186</v>
      </c>
      <c r="H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forbrug'!H$3,'Forbrug af biomasse'!$B$2:$B$425,$F54)</f>
        <v>0</v>
      </c>
      <c r="I54">
        <f>IF(F54="Vestdanmark",-IF(A54="Halm",SUMIFS(IF(E54=År1,'Resultater - Vestdanmark'!H$3:H$504,IF(E54=År2,'Resultater - Vestdanmark'!I$3:I$504,'Resultater - Vestdanmark'!J$3:J$504)),'Resultater - Vestdanmark'!$F$3:$F$504,$A54,'Resultater - Vestdanmark'!H$3:H$504,"&lt;0"),0),-IF(A54="Halm",SUMIFS(IF(E54=År1,'Resultater - Østdanmark'!H$3:H$504,IF(E54=År2,'Resultater - Østdanmark'!I$3:I$504,'Resultater - Østdanmark'!J$3:J$504)),'Resultater - Østdanmark'!$F$3:$F$504,$A54,'Resultater - Østdanmark'!H$3:H$504,"&lt;0"),0))</f>
        <v>0</v>
      </c>
      <c r="J54" s="94"/>
      <c r="K54" s="94">
        <f ca="1">SUMIFS('Forbrug af biomasse'!$E$2:$E$425,'Forbrug af biomasse'!$C$2:$C$425,'Resultat-Produktion &amp; forbrug'!$A54,'Forbrug af biomasse'!$D$2:$D$425,'Resultat-Produktion &amp; forbrug'!$E54,'Forbrug af biomasse'!$A$2:$A$425,'Resultat-Produktion &amp; forbrug'!K$3,'Forbrug af biomasse'!$B$2:$B$425,$F54)</f>
        <v>0</v>
      </c>
      <c r="L54" s="94">
        <f>SUMIFS('Forbrug af biomasse'!$E$2:$E$425,'Forbrug af biomasse'!$C$2:$C$425,'Resultat-Produktion &amp; forbrug'!$A54,'Forbrug af biomasse'!$D$2:$D$425,'Resultat-Produktion &amp; forbrug'!$E54,'Forbrug af biomasse'!$A$2:$A$425,'Resultat-Produktion &amp; forbrug'!L$3,'Forbrug af biomasse'!$B$2:$B$425,$F54)</f>
        <v>0</v>
      </c>
      <c r="M54" s="94">
        <f ca="1">IF(A54&lt;&gt;"Biogas",SUMIFS('Forbrug af biomasse'!$E$2:$E$425,'Forbrug af biomasse'!$C$2:$C$425,'Resultat-Produktion &amp; forbrug'!$A54,'Forbrug af biomasse'!$D$2:$D$425,'Resultat-Produktion &amp; forbrug'!$E54,'Forbrug af biomasse'!$A$2:$A$425,'Resultat-Produktion &amp; forbrug'!M$3,'Forbrug af biomasse'!$B$2:$B$425,$F54),G54)</f>
        <v>195082.22598438186</v>
      </c>
      <c r="N54" s="94">
        <f ca="1">SUMIFS('Forbrug af biomasse'!E:E,'Forbrug af biomasse'!C:C,'Resultat-Produktion &amp; forbrug'!$A54,'Forbrug af biomasse'!D:D,'Resultat-Produktion &amp; forbrug'!$E54,'Forbrug af biomasse'!G:G,1,'Forbrug af biomasse'!B:B,$F54)</f>
        <v>0</v>
      </c>
      <c r="O54" s="179">
        <f t="shared" ca="1" si="9"/>
        <v>0</v>
      </c>
      <c r="P54" s="94">
        <f t="shared" ca="1" si="4"/>
        <v>0</v>
      </c>
      <c r="Q54" s="180">
        <f t="shared" ca="1" si="10"/>
        <v>195082.22598438186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IF(A54&lt;&gt;"Biogas",IFERROR(VLOOKUP(A54,[1]Biogasudbytte!$A$2:$B$18,2,FALSE)*[1]Energiindhold!$C$10,0)*K54*IFERROR(VLOOKUP(A54,Biogasanlæg!$F$3:$G$8,2,FALSE),1)+IFERROR(VLOOKUP(A54,[1]Energiindhold!$A$2:$C$11,3,FALSE),0)*M54+IF(E54&lt;&gt;År1,R54,0),0)</f>
        <v>3.4826509179371086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11"/>
        <v>3.4826509179371086</v>
      </c>
      <c r="V54" s="169">
        <f ca="1">P54*IFERROR(VLOOKUP(A54,[1]Tørstofindhold!A$2:B$24,2,FALSE),0)</f>
        <v>0</v>
      </c>
      <c r="W54">
        <f ca="1">IF(E54=År1,Q54,SUM(P54,Q54))*IFERROR(VLOOKUP(A54,[1]Tørstofindhold!A$2:B$24,2,FALSE),0)</f>
        <v>54623.023275626925</v>
      </c>
      <c r="X54">
        <f ca="1">K54*IFERROR(VLOOKUP(A54,[1]Tørstofindhold!A$2:B$24,2,FALSE),0)</f>
        <v>0</v>
      </c>
      <c r="Y54" s="170">
        <f t="shared" ca="1" si="12"/>
        <v>54623.023275626925</v>
      </c>
      <c r="Z54">
        <f t="shared" ca="1" si="1"/>
        <v>0</v>
      </c>
      <c r="AA54">
        <f t="shared" ca="1" si="2"/>
        <v>0</v>
      </c>
    </row>
    <row r="55" spans="1:27" x14ac:dyDescent="0.25">
      <c r="A55" s="171" t="str">
        <f t="shared" si="13"/>
        <v>Biogas</v>
      </c>
      <c r="B55" s="171" t="str">
        <f t="shared" si="14"/>
        <v/>
      </c>
      <c r="C55" s="171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1</v>
      </c>
      <c r="D55" s="171">
        <f t="shared" si="16"/>
        <v>0</v>
      </c>
      <c r="E55" s="171">
        <f t="shared" si="15"/>
        <v>2030</v>
      </c>
      <c r="F55" t="s">
        <v>23</v>
      </c>
      <c r="G55" s="94">
        <f ca="1">IF(F55="Vestdanmark",SUMIFS(IF(E55=År1,'Resultater - Vestdanmark'!H$3:H$504,IF(E55=År2,'Resultater - Vestdanmark'!I$3:I$504,'Resultater - Vestdanmark'!J$3:J$504)),'Resultater - Vestdanmark'!$F$3:$F$504,$A55,IF(E55=År1,'Resultater - Vestdanmark'!H$3:H$504,IF(E55=År2,'Resultater - Vestdanmark'!I$3:I$504,'Resultater - Vestdanmark'!J$3:J$504)),"&gt;0"),SUMIFS(IF(E55=År1,'Resultater - Østdanmark'!H$3:H$504,IF(E55=År2,'Resultater - Østdanmark'!I$3:I$504,'Resultater - Østdanmark'!J$3:J$504)),'Resultater - Østdanmark'!$F$3:$F$504,$A55,IF(E55=År1,'Resultater - Østdanmark'!H$3:H$504,IF(E55=År2,'Resultater - Østdanmark'!I$3:I$504,'Resultater - Østdanmark'!J$3:J$504)),"&gt;0"))</f>
        <v>380214878.24169075</v>
      </c>
      <c r="H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forbrug'!H$3,'Forbrug af biomasse'!$B$2:$B$425,$F55)</f>
        <v>0</v>
      </c>
      <c r="I55">
        <f>IF(F55="Vestdanmark",-IF(A55="Halm",SUMIFS(IF(E55=År1,'Resultater - Vestdanmark'!H$3:H$504,IF(E55=År2,'Resultater - Vestdanmark'!I$3:I$504,'Resultater - Vestdanmark'!J$3:J$504)),'Resultater - Vestdanmark'!$F$3:$F$504,$A55,'Resultater - Vestdanmark'!H$3:H$504,"&lt;0"),0),-IF(A55="Halm",SUMIFS(IF(E55=År1,'Resultater - Østdanmark'!H$3:H$504,IF(E55=År2,'Resultater - Østdanmark'!I$3:I$504,'Resultater - Østdanmark'!J$3:J$504)),'Resultater - Østdanmark'!$F$3:$F$504,$A55,'Resultater - Østdanmark'!H$3:H$504,"&lt;0"),0))</f>
        <v>0</v>
      </c>
      <c r="J55" s="94"/>
      <c r="K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forbrug'!K$3,'Forbrug af biomasse'!$B$2:$B$425,$F55)</f>
        <v>0</v>
      </c>
      <c r="L55" s="94">
        <f>SUMIFS('Forbrug af biomasse'!$E$2:$E$425,'Forbrug af biomasse'!$C$2:$C$425,'Resultat-Produktion &amp; forbrug'!$A55,'Forbrug af biomasse'!$D$2:$D$425,'Resultat-Produktion &amp; forbrug'!$E55,'Forbrug af biomasse'!$A$2:$A$425,'Resultat-Produktion &amp; forbrug'!L$3,'Forbrug af biomasse'!$B$2:$B$425,$F55)</f>
        <v>0</v>
      </c>
      <c r="M55" s="94">
        <f ca="1">IF(A55&lt;&gt;"Biogas",SUMIFS('Forbrug af biomasse'!$E$2:$E$425,'Forbrug af biomasse'!$C$2:$C$425,'Resultat-Produktion &amp; forbrug'!$A55,'Forbrug af biomasse'!$D$2:$D$425,'Resultat-Produktion &amp; forbrug'!$E55,'Forbrug af biomasse'!$A$2:$A$425,'Resultat-Produktion &amp; forbrug'!M$3,'Forbrug af biomasse'!$B$2:$B$425,$F55),G55)</f>
        <v>380214878.24169075</v>
      </c>
      <c r="N55" s="94">
        <f>SUMIFS('Forbrug af biomasse'!E:E,'Forbrug af biomasse'!C:C,'Resultat-Produktion &amp; forbrug'!$A55,'Forbrug af biomasse'!D:D,'Resultat-Produktion &amp; forbrug'!$E55,'Forbrug af biomasse'!G:G,1,'Forbrug af biomasse'!B:B,$F55)</f>
        <v>0</v>
      </c>
      <c r="O55" s="179">
        <f t="shared" ca="1" si="9"/>
        <v>0</v>
      </c>
      <c r="P55" s="94">
        <f t="shared" ca="1" si="4"/>
        <v>0</v>
      </c>
      <c r="Q55" s="180">
        <f t="shared" ca="1" si="10"/>
        <v>380214878.24169075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IF(A55&lt;&gt;"Biogas",IFERROR(VLOOKUP(A55,[1]Biogasudbytte!$A$2:$B$18,2,FALSE)*[1]Energiindhold!$C$10,0)*K55*IFERROR(VLOOKUP(A55,Biogasanlæg!$F$3:$G$8,2,FALSE),1)+IFERROR(VLOOKUP(A55,[1]Energiindhold!$A$2:$C$11,3,FALSE),0)*M55+IF(E55&lt;&gt;År1,R55,0),0)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11"/>
        <v>0</v>
      </c>
      <c r="V55" s="169">
        <f ca="1">P55*IFERROR(VLOOKUP(A55,[1]Tørstofindhold!A$2:B$24,2,FALSE),0)</f>
        <v>0</v>
      </c>
      <c r="W55">
        <f ca="1">IF(E55=År1,Q55,SUM(P55,Q55))*IFERROR(VLOOKUP(A55,[1]Tørstofindhold!A$2:B$24,2,FALSE),0)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12"/>
        <v>0</v>
      </c>
      <c r="Z55">
        <f t="shared" ca="1" si="1"/>
        <v>0</v>
      </c>
      <c r="AA55">
        <f t="shared" ca="1" si="2"/>
        <v>0</v>
      </c>
    </row>
    <row r="56" spans="1:27" x14ac:dyDescent="0.25">
      <c r="A56" s="171" t="str">
        <f t="shared" si="13"/>
        <v>Biogasgylle</v>
      </c>
      <c r="B56" s="171" t="str">
        <f t="shared" si="14"/>
        <v/>
      </c>
      <c r="C56" s="171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0</v>
      </c>
      <c r="D56" s="171">
        <f t="shared" si="16"/>
        <v>0</v>
      </c>
      <c r="E56" s="171">
        <f t="shared" si="15"/>
        <v>2030</v>
      </c>
      <c r="F56" t="s">
        <v>23</v>
      </c>
      <c r="G56" s="94">
        <f ca="1">IF(F56="Vestdanmark",SUMIFS(IF(E56=År1,'Resultater - Vestdanmark'!H$3:H$504,IF(E56=År2,'Resultater - Vestdanmark'!I$3:I$504,'Resultater - Vestdanmark'!J$3:J$504)),'Resultater - Vestdanmark'!$F$3:$F$504,$A56,IF(E56=År1,'Resultater - Vestdanmark'!H$3:H$504,IF(E56=År2,'Resultater - Vestdanmark'!I$3:I$504,'Resultater - Vestdanmark'!J$3:J$504)),"&gt;0"),SUMIFS(IF(E56=År1,'Resultater - Østdanmark'!H$3:H$504,IF(E56=År2,'Resultater - Østdanmark'!I$3:I$504,'Resultater - Østdanmark'!J$3:J$504)),'Resultater - Østdanmark'!$F$3:$F$504,$A56,IF(E56=År1,'Resultater - Østdanmark'!H$3:H$504,IF(E56=År2,'Resultater - Østdanmark'!I$3:I$504,'Resultater - Østdanmark'!J$3:J$504)),"&gt;0"))</f>
        <v>20577787.082851764</v>
      </c>
      <c r="H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forbrug'!H$3,'Forbrug af biomasse'!$B$2:$B$425,$F56)</f>
        <v>0</v>
      </c>
      <c r="I56">
        <f>IF(F56="Vestdanmark",-IF(A56="Halm",SUMIFS(IF(E56=År1,'Resultater - Vestdanmark'!H$3:H$504,IF(E56=År2,'Resultater - Vestdanmark'!I$3:I$504,'Resultater - Vestdanmark'!J$3:J$504)),'Resultater - Vestdanmark'!$F$3:$F$504,$A56,'Resultater - Vestdanmark'!H$3:H$504,"&lt;0"),0),-IF(A56="Halm",SUMIFS(IF(E56=År1,'Resultater - Østdanmark'!H$3:H$504,IF(E56=År2,'Resultater - Østdanmark'!I$3:I$504,'Resultater - Østdanmark'!J$3:J$504)),'Resultater - Østdanmark'!$F$3:$F$504,$A56,'Resultater - Østdanmark'!H$3:H$504,"&lt;0"),0))</f>
        <v>0</v>
      </c>
      <c r="J56" s="94"/>
      <c r="K56" s="94">
        <f>SUMIFS('Forbrug af biomasse'!$E$2:$E$425,'Forbrug af biomasse'!$C$2:$C$425,'Resultat-Produktion &amp; forbrug'!$A56,'Forbrug af biomasse'!$D$2:$D$425,'Resultat-Produktion &amp; forbrug'!$E56,'Forbrug af biomasse'!$A$2:$A$425,'Resultat-Produktion &amp; forbrug'!K$3,'Forbrug af biomasse'!$B$2:$B$425,$F56)</f>
        <v>0</v>
      </c>
      <c r="L56" s="94">
        <f ca="1">SUMIFS('Forbrug af biomasse'!$E$2:$E$425,'Forbrug af biomasse'!$C$2:$C$425,'Resultat-Produktion &amp; forbrug'!$A56,'Forbrug af biomasse'!$D$2:$D$425,'Resultat-Produktion &amp; forbrug'!$E56,'Forbrug af biomasse'!$A$2:$A$425,'Resultat-Produktion &amp; forbrug'!L$3,'Forbrug af biomasse'!$B$2:$B$425,$F56)</f>
        <v>17741283.594546799</v>
      </c>
      <c r="M56" s="94">
        <f>IF(A56&lt;&gt;"Biogas",SUMIFS('Forbrug af biomasse'!$E$2:$E$425,'Forbrug af biomasse'!$C$2:$C$425,'Resultat-Produktion &amp; forbrug'!$A56,'Forbrug af biomasse'!$D$2:$D$425,'Resultat-Produktion &amp; forbrug'!$E56,'Forbrug af biomasse'!$A$2:$A$425,'Resultat-Produktion &amp; forbrug'!M$3,'Forbrug af biomasse'!$B$2:$B$425,$F56),G56)</f>
        <v>0</v>
      </c>
      <c r="N56" s="94">
        <f>SUMIFS('Forbrug af biomasse'!E:E,'Forbrug af biomasse'!C:C,'Resultat-Produktion &amp; forbrug'!$A56,'Forbrug af biomasse'!D:D,'Resultat-Produktion &amp; forbrug'!$E56,'Forbrug af biomasse'!G:G,1,'Forbrug af biomasse'!B:B,$F56)</f>
        <v>0</v>
      </c>
      <c r="O56" s="179">
        <f t="shared" ca="1" si="9"/>
        <v>2836503.4883049652</v>
      </c>
      <c r="P56" s="94">
        <f t="shared" si="4"/>
        <v>0</v>
      </c>
      <c r="Q56" s="180">
        <f t="shared" si="10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IF(A56&lt;&gt;"Biogas",IFERROR(VLOOKUP(A56,[1]Biogasudbytte!$A$2:$B$18,2,FALSE)*[1]Energiindhold!$C$10,0)*K56*IFERROR(VLOOKUP(A56,Biogasanlæg!$F$3:$G$8,2,FALSE),1)+IFERROR(VLOOKUP(A56,[1]Energiindhold!$A$2:$C$11,3,FALSE),0)*M56+IF(E56&lt;&gt;År1,R56,0),0)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11"/>
        <v>0</v>
      </c>
      <c r="V56" s="169">
        <f>P56*IFERROR(VLOOKUP(A56,[1]Tørstofindhold!A$2:B$24,2,FALSE),0)</f>
        <v>0</v>
      </c>
      <c r="W56">
        <f>IF(E56=År1,Q56,SUM(P56,Q56))*IFERROR(VLOOKUP(A56,[1]Tørstofindhold!A$2:B$24,2,FALSE),0)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12"/>
        <v>0</v>
      </c>
      <c r="Z56">
        <f t="shared" ca="1" si="1"/>
        <v>0</v>
      </c>
      <c r="AA56">
        <f t="shared" ca="1" si="2"/>
        <v>1</v>
      </c>
    </row>
    <row r="57" spans="1:27" x14ac:dyDescent="0.25">
      <c r="A57" s="171" t="str">
        <f t="shared" si="13"/>
        <v>Brun saft</v>
      </c>
      <c r="B57" s="171" t="str">
        <f t="shared" si="14"/>
        <v>Bionedbrydeligt affald</v>
      </c>
      <c r="C57" s="171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71">
        <f t="shared" si="16"/>
        <v>0</v>
      </c>
      <c r="E57" s="171">
        <f t="shared" si="15"/>
        <v>2030</v>
      </c>
      <c r="F57" t="s">
        <v>23</v>
      </c>
      <c r="G57" s="94">
        <f>IF(F57="Vestdanmark",SUMIFS(IF(E57=År1,'Resultater - Vestdanmark'!H$3:H$504,IF(E57=År2,'Resultater - Vestdanmark'!I$3:I$504,'Resultater - Vestdanmark'!J$3:J$504)),'Resultater - Vestdanmark'!$F$3:$F$504,$A57,IF(E57=År1,'Resultater - Vestdanmark'!H$3:H$504,IF(E57=År2,'Resultater - Vestdanmark'!I$3:I$504,'Resultater - Vestdanmark'!J$3:J$504)),"&gt;0"),SUMIFS(IF(E57=År1,'Resultater - Østdanmark'!H$3:H$504,IF(E57=År2,'Resultater - Østdanmark'!I$3:I$504,'Resultater - Østdanmark'!J$3:J$504)),'Resultater - Østdanmark'!$F$3:$F$504,$A57,IF(E57=År1,'Resultater - Østdanmark'!H$3:H$504,IF(E57=År2,'Resultater - Østdanmark'!I$3:I$504,'Resultater - Østdanmark'!J$3:J$504)),"&gt;0"))</f>
        <v>5117942.4076080145</v>
      </c>
      <c r="H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forbrug'!H$3,'Forbrug af biomasse'!$B$2:$B$425,$F57)</f>
        <v>0</v>
      </c>
      <c r="I57">
        <f>IF(F57="Vestdanmark",-IF(A57="Halm",SUMIFS(IF(E57=År1,'Resultater - Vestdanmark'!H$3:H$504,IF(E57=År2,'Resultater - Vestdanmark'!I$3:I$504,'Resultater - Vestdanmark'!J$3:J$504)),'Resultater - Vestdanmark'!$F$3:$F$504,$A57,'Resultater - Vestdanmark'!H$3:H$504,"&lt;0"),0),-IF(A57="Halm",SUMIFS(IF(E57=År1,'Resultater - Østdanmark'!H$3:H$504,IF(E57=År2,'Resultater - Østdanmark'!I$3:I$504,'Resultater - Østdanmark'!J$3:J$504)),'Resultater - Østdanmark'!$F$3:$F$504,$A57,'Resultater - Østdanmark'!H$3:H$504,"&lt;0"),0))</f>
        <v>0</v>
      </c>
      <c r="J57" s="94"/>
      <c r="K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forbrug'!K$3,'Forbrug af biomasse'!$B$2:$B$425,$F57)</f>
        <v>3838456.8057060111</v>
      </c>
      <c r="L57" s="94">
        <f>SUMIFS('Forbrug af biomasse'!$E$2:$E$425,'Forbrug af biomasse'!$C$2:$C$425,'Resultat-Produktion &amp; forbrug'!$A57,'Forbrug af biomasse'!$D$2:$D$425,'Resultat-Produktion &amp; forbrug'!$E57,'Forbrug af biomasse'!$A$2:$A$425,'Resultat-Produktion &amp; forbrug'!L$3,'Forbrug af biomasse'!$B$2:$B$425,$F57)</f>
        <v>0</v>
      </c>
      <c r="M57" s="94">
        <f>IF(A57&lt;&gt;"Biogas",SUMIFS('Forbrug af biomasse'!$E$2:$E$425,'Forbrug af biomasse'!$C$2:$C$425,'Resultat-Produktion &amp; forbrug'!$A57,'Forbrug af biomasse'!$D$2:$D$425,'Resultat-Produktion &amp; forbrug'!$E57,'Forbrug af biomasse'!$A$2:$A$425,'Resultat-Produktion &amp; forbrug'!M$3,'Forbrug af biomasse'!$B$2:$B$425,$F57),G57)</f>
        <v>0</v>
      </c>
      <c r="N57" s="94">
        <f>SUMIFS('Forbrug af biomasse'!E:E,'Forbrug af biomasse'!C:C,'Resultat-Produktion &amp; forbrug'!$A57,'Forbrug af biomasse'!D:D,'Resultat-Produktion &amp; forbrug'!$E57,'Forbrug af biomasse'!G:G,1,'Forbrug af biomasse'!B:B,$F57)</f>
        <v>0</v>
      </c>
      <c r="O57" s="179">
        <f t="shared" si="9"/>
        <v>1279485.6019020034</v>
      </c>
      <c r="P57" s="94">
        <f t="shared" si="4"/>
        <v>1279485.6019020034</v>
      </c>
      <c r="Q57" s="180">
        <f t="shared" si="10"/>
        <v>3838456.8057060111</v>
      </c>
      <c r="R57">
        <f>IFERROR(VLOOKUP(A57,[1]Energiindhold!$A$2:$C$11,3,FALSE),IFERROR(VLOOKUP(A57,[1]Biogasudbytte!$A$2:$B$18,2,FALSE)*[1]Energiindhold!$C$10,0))*P57</f>
        <v>0.72678118694857163</v>
      </c>
      <c r="S57">
        <f>IF(A57&lt;&gt;"Biogas",IFERROR(VLOOKUP(A57,[1]Biogasudbytte!$A$2:$B$18,2,FALSE)*[1]Energiindhold!$C$10,0)*K57*IFERROR(VLOOKUP(A57,Biogasanlæg!$F$3:$G$8,2,FALSE),1)+IFERROR(VLOOKUP(A57,[1]Energiindhold!$A$2:$C$11,3,FALSE),0)*M57+IF(E57&lt;&gt;År1,R57,0),0)</f>
        <v>2.907124747794287</v>
      </c>
      <c r="T57">
        <f>IFERROR(VLOOKUP(A57,[1]Biogasudbytte!$A$2:$B$18,2,FALSE)*[1]Energiindhold!$C$10,0)*K57*IFERROR(VLOOKUP(A57,Biogasanlæg!$F$3:$G$8,2,FALSE),1)</f>
        <v>2.1803435608457153</v>
      </c>
      <c r="U57" s="170">
        <f t="shared" si="11"/>
        <v>0.72678118694857163</v>
      </c>
      <c r="V57" s="169">
        <f>P57*IFERROR(VLOOKUP(A57,[1]Tørstofindhold!A$2:B$24,2,FALSE),0)</f>
        <v>54715.138669620683</v>
      </c>
      <c r="W57">
        <f>IF(E57=År1,Q57,SUM(P57,Q57))*IFERROR(VLOOKUP(A57,[1]Tørstofindhold!A$2:B$24,2,FALSE),0)</f>
        <v>218860.55467848279</v>
      </c>
      <c r="X57">
        <f>K57*IFERROR(VLOOKUP(A57,[1]Tørstofindhold!A$2:B$24,2,FALSE),0)</f>
        <v>164145.41600886208</v>
      </c>
      <c r="Y57" s="170">
        <f t="shared" si="12"/>
        <v>54715.138669620705</v>
      </c>
      <c r="Z57">
        <f t="shared" si="1"/>
        <v>0</v>
      </c>
      <c r="AA57">
        <f t="shared" si="2"/>
        <v>1</v>
      </c>
    </row>
    <row r="58" spans="1:27" x14ac:dyDescent="0.25">
      <c r="A58" s="171" t="str">
        <f t="shared" si="13"/>
        <v>Dybstrøelse</v>
      </c>
      <c r="B58" s="171" t="str">
        <f t="shared" si="14"/>
        <v>Husdyrgødning</v>
      </c>
      <c r="C58" s="171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1</v>
      </c>
      <c r="D58" s="171">
        <f t="shared" si="16"/>
        <v>0</v>
      </c>
      <c r="E58" s="171">
        <f t="shared" si="15"/>
        <v>2030</v>
      </c>
      <c r="F58" t="s">
        <v>23</v>
      </c>
      <c r="G58" s="94">
        <f>IF(F58="Vestdanmark",SUMIFS(IF(E58=År1,'Resultater - Vestdanmark'!H$3:H$504,IF(E58=År2,'Resultater - Vestdanmark'!I$3:I$504,'Resultater - Vestdanmark'!J$3:J$504)),'Resultater - Vestdanmark'!$F$3:$F$504,$A58,IF(E58=År1,'Resultater - Vestdanmark'!H$3:H$504,IF(E58=År2,'Resultater - Vestdanmark'!I$3:I$504,'Resultater - Vestdanmark'!J$3:J$504)),"&gt;0"),SUMIFS(IF(E58=År1,'Resultater - Østdanmark'!H$3:H$504,IF(E58=År2,'Resultater - Østdanmark'!I$3:I$504,'Resultater - Østdanmark'!J$3:J$504)),'Resultater - Østdanmark'!$F$3:$F$504,$A58,IF(E58=År1,'Resultater - Østdanmark'!H$3:H$504,IF(E58=År2,'Resultater - Østdanmark'!I$3:I$504,'Resultater - Østdanmark'!J$3:J$504)),"&gt;0"))</f>
        <v>2348727.6697282116</v>
      </c>
      <c r="H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forbrug'!H$3,'Forbrug af biomasse'!$B$2:$B$425,$F58)</f>
        <v>0</v>
      </c>
      <c r="I58">
        <f>IF(F58="Vestdanmark",-IF(A58="Halm",SUMIFS(IF(E58=År1,'Resultater - Vestdanmark'!H$3:H$504,IF(E58=År2,'Resultater - Vestdanmark'!I$3:I$504,'Resultater - Vestdanmark'!J$3:J$504)),'Resultater - Vestdanmark'!$F$3:$F$504,$A58,'Resultater - Vestdanmark'!H$3:H$504,"&lt;0"),0),-IF(A58="Halm",SUMIFS(IF(E58=År1,'Resultater - Østdanmark'!H$3:H$504,IF(E58=År2,'Resultater - Østdanmark'!I$3:I$504,'Resultater - Østdanmark'!J$3:J$504)),'Resultater - Østdanmark'!$F$3:$F$504,$A58,'Resultater - Østdanmark'!H$3:H$504,"&lt;0"),0))</f>
        <v>0</v>
      </c>
      <c r="J58" s="94"/>
      <c r="K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forbrug'!K$3,'Forbrug af biomasse'!$B$2:$B$425,$F58)</f>
        <v>1761545.7522961586</v>
      </c>
      <c r="L58" s="94">
        <f>SUMIFS('Forbrug af biomasse'!$E$2:$E$425,'Forbrug af biomasse'!$C$2:$C$425,'Resultat-Produktion &amp; forbrug'!$A58,'Forbrug af biomasse'!$D$2:$D$425,'Resultat-Produktion &amp; forbrug'!$E58,'Forbrug af biomasse'!$A$2:$A$425,'Resultat-Produktion &amp; forbrug'!L$3,'Forbrug af biomasse'!$B$2:$B$425,$F58)</f>
        <v>222290.29731356286</v>
      </c>
      <c r="M58" s="94">
        <f>IF(A58&lt;&gt;"Biogas",SUMIFS('Forbrug af biomasse'!$E$2:$E$425,'Forbrug af biomasse'!$C$2:$C$425,'Resultat-Produktion &amp; forbrug'!$A58,'Forbrug af biomasse'!$D$2:$D$425,'Resultat-Produktion &amp; forbrug'!$E58,'Forbrug af biomasse'!$A$2:$A$425,'Resultat-Produktion &amp; forbrug'!M$3,'Forbrug af biomasse'!$B$2:$B$425,$F58),G58)</f>
        <v>0</v>
      </c>
      <c r="N58" s="94">
        <f>SUMIFS('Forbrug af biomasse'!E:E,'Forbrug af biomasse'!C:C,'Resultat-Produktion &amp; forbrug'!$A58,'Forbrug af biomasse'!D:D,'Resultat-Produktion &amp; forbrug'!$E58,'Forbrug af biomasse'!G:G,1,'Forbrug af biomasse'!B:B,$F58)</f>
        <v>0</v>
      </c>
      <c r="O58" s="179">
        <f t="shared" si="9"/>
        <v>364891.62011849019</v>
      </c>
      <c r="P58" s="94">
        <f t="shared" si="4"/>
        <v>364891.62011849019</v>
      </c>
      <c r="Q58" s="180">
        <f t="shared" si="10"/>
        <v>1761545.7522961586</v>
      </c>
      <c r="R58">
        <f>IFERROR(VLOOKUP(A58,[1]Energiindhold!$A$2:$C$11,3,FALSE),IFERROR(VLOOKUP(A58,[1]Biogasudbytte!$A$2:$B$18,2,FALSE)*[1]Energiindhold!$C$10,0))*P58</f>
        <v>0.7859765497352279</v>
      </c>
      <c r="S58">
        <f>IF(A58&lt;&gt;"Biogas",IFERROR(VLOOKUP(A58,[1]Biogasudbytte!$A$2:$B$18,2,FALSE)*[1]Energiindhold!$C$10,0)*K58*IFERROR(VLOOKUP(A58,Biogasanlæg!$F$3:$G$8,2,FALSE),1)+IFERROR(VLOOKUP(A58,[1]Energiindhold!$A$2:$C$11,3,FALSE),0)*M58+IF(E58&lt;&gt;År1,R58,0),0)</f>
        <v>4.5803461001811536</v>
      </c>
      <c r="T58">
        <f>IFERROR(VLOOKUP(A58,[1]Biogasudbytte!$A$2:$B$18,2,FALSE)*[1]Energiindhold!$C$10,0)*K58*IFERROR(VLOOKUP(A58,Biogasanlæg!$F$3:$G$8,2,FALSE),1)</f>
        <v>3.7943695504459258</v>
      </c>
      <c r="U58" s="170">
        <f t="shared" si="11"/>
        <v>0.78597654973522779</v>
      </c>
      <c r="V58" s="169">
        <f>P58*IFERROR(VLOOKUP(A58,[1]Tørstofindhold!A$2:B$24,2,FALSE),0)</f>
        <v>109467.48603554706</v>
      </c>
      <c r="W58">
        <f>IF(E58=År1,Q58,SUM(P58,Q58))*IFERROR(VLOOKUP(A58,[1]Tørstofindhold!A$2:B$24,2,FALSE),0)</f>
        <v>637931.21172439458</v>
      </c>
      <c r="X58">
        <f>K58*IFERROR(VLOOKUP(A58,[1]Tørstofindhold!A$2:B$24,2,FALSE),0)</f>
        <v>528463.7256888476</v>
      </c>
      <c r="Y58" s="170">
        <f t="shared" si="12"/>
        <v>109467.48603554699</v>
      </c>
      <c r="Z58">
        <f t="shared" si="1"/>
        <v>0</v>
      </c>
      <c r="AA58">
        <f t="shared" si="2"/>
        <v>1</v>
      </c>
    </row>
    <row r="59" spans="1:27" x14ac:dyDescent="0.25">
      <c r="A59" s="171" t="str">
        <f t="shared" si="13"/>
        <v>Fiberfraktion</v>
      </c>
      <c r="B59" s="171" t="str">
        <f t="shared" si="14"/>
        <v/>
      </c>
      <c r="C59" s="171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0</v>
      </c>
      <c r="D59" s="171">
        <f t="shared" si="16"/>
        <v>0</v>
      </c>
      <c r="E59" s="171">
        <f t="shared" si="15"/>
        <v>2030</v>
      </c>
      <c r="F59" t="s">
        <v>23</v>
      </c>
      <c r="G59" s="94">
        <f>IF(F59="Vestdanmark",SUMIFS(IF(E59=År1,'Resultater - Vestdanmark'!H$3:H$504,IF(E59=År2,'Resultater - Vestdanmark'!I$3:I$504,'Resultater - Vestdanmark'!J$3:J$504)),'Resultater - Vestdanmark'!$F$3:$F$504,$A59,IF(E59=År1,'Resultater - Vestdanmark'!H$3:H$504,IF(E59=År2,'Resultater - Vestdanmark'!I$3:I$504,'Resultater - Vestdanmark'!J$3:J$504)),"&gt;0"),SUMIFS(IF(E59=År1,'Resultater - Østdanmark'!H$3:H$504,IF(E59=År2,'Resultater - Østdanmark'!I$3:I$504,'Resultater - Østdanmark'!J$3:J$504)),'Resultater - Østdanmark'!$F$3:$F$504,$A59,IF(E59=År1,'Resultater - Østdanmark'!H$3:H$504,IF(E59=År2,'Resultater - Østdanmark'!I$3:I$504,'Resultater - Østdanmark'!J$3:J$504)),"&gt;0"))</f>
        <v>3604762.0770573635</v>
      </c>
      <c r="H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forbrug'!H$3,'Forbrug af biomasse'!$B$2:$B$425,$F59)</f>
        <v>3603112.0414954</v>
      </c>
      <c r="I59">
        <f>IF(F59="Vestdanmark",-IF(A59="Halm",SUMIFS(IF(E59=År1,'Resultater - Vestdanmark'!H$3:H$504,IF(E59=År2,'Resultater - Vestdanmark'!I$3:I$504,'Resultater - Vestdanmark'!J$3:J$504)),'Resultater - Vestdanmark'!$F$3:$F$504,$A59,'Resultater - Vestdanmark'!H$3:H$504,"&lt;0"),0),-IF(A59="Halm",SUMIFS(IF(E59=År1,'Resultater - Østdanmark'!H$3:H$504,IF(E59=År2,'Resultater - Østdanmark'!I$3:I$504,'Resultater - Østdanmark'!J$3:J$504)),'Resultater - Østdanmark'!$F$3:$F$504,$A59,'Resultater - Østdanmark'!H$3:H$504,"&lt;0"),0))</f>
        <v>0</v>
      </c>
      <c r="J59" s="94"/>
      <c r="K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forbrug'!K$3,'Forbrug af biomasse'!$B$2:$B$425,$F59)</f>
        <v>0</v>
      </c>
      <c r="L59" s="94">
        <f>SUMIFS('Forbrug af biomasse'!$E$2:$E$425,'Forbrug af biomasse'!$C$2:$C$425,'Resultat-Produktion &amp; forbrug'!$A59,'Forbrug af biomasse'!$D$2:$D$425,'Resultat-Produktion &amp; forbrug'!$E59,'Forbrug af biomasse'!$A$2:$A$425,'Resultat-Produktion &amp; forbrug'!L$3,'Forbrug af biomasse'!$B$2:$B$425,$F59)</f>
        <v>0</v>
      </c>
      <c r="M59" s="94">
        <f>IF(A59&lt;&gt;"Biogas",SUMIFS('Forbrug af biomasse'!$E$2:$E$425,'Forbrug af biomasse'!$C$2:$C$425,'Resultat-Produktion &amp; forbrug'!$A59,'Forbrug af biomasse'!$D$2:$D$425,'Resultat-Produktion &amp; forbrug'!$E59,'Forbrug af biomasse'!$A$2:$A$425,'Resultat-Produktion &amp; forbrug'!M$3,'Forbrug af biomasse'!$B$2:$B$425,$F59),G59)</f>
        <v>0</v>
      </c>
      <c r="N59" s="94">
        <f>SUMIFS('Forbrug af biomasse'!E:E,'Forbrug af biomasse'!C:C,'Resultat-Produktion &amp; forbrug'!$A59,'Forbrug af biomasse'!D:D,'Resultat-Produktion &amp; forbrug'!$E59,'Forbrug af biomasse'!G:G,1,'Forbrug af biomasse'!B:B,$F59)</f>
        <v>0</v>
      </c>
      <c r="O59" s="179">
        <f t="shared" si="9"/>
        <v>1650.0355619634502</v>
      </c>
      <c r="P59" s="94">
        <f t="shared" si="4"/>
        <v>0</v>
      </c>
      <c r="Q59" s="180">
        <f t="shared" si="10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IF(A59&lt;&gt;"Biogas",IFERROR(VLOOKUP(A59,[1]Biogasudbytte!$A$2:$B$18,2,FALSE)*[1]Energiindhold!$C$10,0)*K59*IFERROR(VLOOKUP(A59,Biogasanlæg!$F$3:$G$8,2,FALSE),1)+IFERROR(VLOOKUP(A59,[1]Energiindhold!$A$2:$C$11,3,FALSE),0)*M59+IF(E59&lt;&gt;År1,R59,0),0)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11"/>
        <v>0</v>
      </c>
      <c r="V59" s="169">
        <f>P59*IFERROR(VLOOKUP(A59,[1]Tørstofindhold!A$2:B$24,2,FALSE),0)</f>
        <v>0</v>
      </c>
      <c r="W59">
        <f>IF(E59=År1,Q59,SUM(P59,Q59))*IFERROR(VLOOKUP(A59,[1]Tørstofindhold!A$2:B$24,2,FALSE),0)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12"/>
        <v>0</v>
      </c>
      <c r="Z59">
        <f t="shared" si="1"/>
        <v>0</v>
      </c>
      <c r="AA59">
        <f t="shared" si="2"/>
        <v>1</v>
      </c>
    </row>
    <row r="60" spans="1:27" x14ac:dyDescent="0.25">
      <c r="A60" s="171" t="str">
        <f t="shared" si="13"/>
        <v>Fjerkrægylle</v>
      </c>
      <c r="B60" s="171" t="str">
        <f t="shared" si="14"/>
        <v>Husdyrgødning</v>
      </c>
      <c r="C60" s="171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1</v>
      </c>
      <c r="D60" s="171">
        <f t="shared" si="16"/>
        <v>0</v>
      </c>
      <c r="E60" s="171">
        <f t="shared" si="15"/>
        <v>2030</v>
      </c>
      <c r="F60" t="s">
        <v>23</v>
      </c>
      <c r="G60" s="94">
        <f>IF(F60="Vestdanmark",SUMIFS(IF(E60=År1,'Resultater - Vestdanmark'!H$3:H$504,IF(E60=År2,'Resultater - Vestdanmark'!I$3:I$504,'Resultater - Vestdanmark'!J$3:J$504)),'Resultater - Vestdanmark'!$F$3:$F$504,$A60,IF(E60=År1,'Resultater - Vestdanmark'!H$3:H$504,IF(E60=År2,'Resultater - Vestdanmark'!I$3:I$504,'Resultater - Vestdanmark'!J$3:J$504)),"&gt;0"),SUMIFS(IF(E60=År1,'Resultater - Østdanmark'!H$3:H$504,IF(E60=År2,'Resultater - Østdanmark'!I$3:I$504,'Resultater - Østdanmark'!J$3:J$504)),'Resultater - Østdanmark'!$F$3:$F$504,$A60,IF(E60=År1,'Resultater - Østdanmark'!H$3:H$504,IF(E60=År2,'Resultater - Østdanmark'!I$3:I$504,'Resultater - Østdanmark'!J$3:J$504)),"&gt;0"))</f>
        <v>8195.1814461661797</v>
      </c>
      <c r="H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forbrug'!H$3,'Forbrug af biomasse'!$B$2:$B$425,$F60)</f>
        <v>0</v>
      </c>
      <c r="I60">
        <f>IF(F60="Vestdanmark",-IF(A60="Halm",SUMIFS(IF(E60=År1,'Resultater - Vestdanmark'!H$3:H$504,IF(E60=År2,'Resultater - Vestdanmark'!I$3:I$504,'Resultater - Vestdanmark'!J$3:J$504)),'Resultater - Vestdanmark'!$F$3:$F$504,$A60,'Resultater - Vestdanmark'!H$3:H$504,"&lt;0"),0),-IF(A60="Halm",SUMIFS(IF(E60=År1,'Resultater - Østdanmark'!H$3:H$504,IF(E60=År2,'Resultater - Østdanmark'!I$3:I$504,'Resultater - Østdanmark'!J$3:J$504)),'Resultater - Østdanmark'!$F$3:$F$504,$A60,'Resultater - Østdanmark'!H$3:H$504,"&lt;0"),0))</f>
        <v>0</v>
      </c>
      <c r="J60" s="94"/>
      <c r="K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forbrug'!K$3,'Forbrug af biomasse'!$B$2:$B$425,$F60)</f>
        <v>6146.3860846246353</v>
      </c>
      <c r="L60" s="94">
        <f>SUMIFS('Forbrug af biomasse'!$E$2:$E$425,'Forbrug af biomasse'!$C$2:$C$425,'Resultat-Produktion &amp; forbrug'!$A60,'Forbrug af biomasse'!$D$2:$D$425,'Resultat-Produktion &amp; forbrug'!$E60,'Forbrug af biomasse'!$A$2:$A$425,'Resultat-Produktion &amp; forbrug'!L$3,'Forbrug af biomasse'!$B$2:$B$425,$F60)</f>
        <v>2048.7953615415449</v>
      </c>
      <c r="M60" s="94">
        <f>IF(A60&lt;&gt;"Biogas",SUMIFS('Forbrug af biomasse'!$E$2:$E$425,'Forbrug af biomasse'!$C$2:$C$425,'Resultat-Produktion &amp; forbrug'!$A60,'Forbrug af biomasse'!$D$2:$D$425,'Resultat-Produktion &amp; forbrug'!$E60,'Forbrug af biomasse'!$A$2:$A$425,'Resultat-Produktion &amp; forbrug'!M$3,'Forbrug af biomasse'!$B$2:$B$425,$F60),G60)</f>
        <v>0</v>
      </c>
      <c r="N60" s="94">
        <f>SUMIFS('Forbrug af biomasse'!E:E,'Forbrug af biomasse'!C:C,'Resultat-Produktion &amp; forbrug'!$A60,'Forbrug af biomasse'!D:D,'Resultat-Produktion &amp; forbrug'!$E60,'Forbrug af biomasse'!G:G,1,'Forbrug af biomasse'!B:B,$F60)</f>
        <v>0</v>
      </c>
      <c r="O60" s="179">
        <f t="shared" si="9"/>
        <v>0</v>
      </c>
      <c r="P60" s="94">
        <f t="shared" si="4"/>
        <v>0</v>
      </c>
      <c r="Q60" s="180">
        <f t="shared" si="10"/>
        <v>6146.3860846246353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IF(A60&lt;&gt;"Biogas",IFERROR(VLOOKUP(A60,[1]Biogasudbytte!$A$2:$B$18,2,FALSE)*[1]Energiindhold!$C$10,0)*K60*IFERROR(VLOOKUP(A60,Biogasanlæg!$F$3:$G$8,2,FALSE),1)+IFERROR(VLOOKUP(A60,[1]Energiindhold!$A$2:$C$11,3,FALSE),0)*M60+IF(E60&lt;&gt;År1,R60,0),0)</f>
        <v>2.8905839117381199E-3</v>
      </c>
      <c r="T60">
        <f>IFERROR(VLOOKUP(A60,[1]Biogasudbytte!$A$2:$B$18,2,FALSE)*[1]Energiindhold!$C$10,0)*K60*IFERROR(VLOOKUP(A60,Biogasanlæg!$F$3:$G$8,2,FALSE),1)</f>
        <v>2.8905839117381199E-3</v>
      </c>
      <c r="U60" s="170">
        <f t="shared" si="11"/>
        <v>0</v>
      </c>
      <c r="V60" s="169">
        <f>P60*IFERROR(VLOOKUP(A60,[1]Tørstofindhold!A$2:B$24,2,FALSE),0)</f>
        <v>0</v>
      </c>
      <c r="W60">
        <f>IF(E60=År1,Q60,SUM(P60,Q60))*IFERROR(VLOOKUP(A60,[1]Tørstofindhold!A$2:B$24,2,FALSE),0)</f>
        <v>387.22232333135202</v>
      </c>
      <c r="X60">
        <f>K60*IFERROR(VLOOKUP(A60,[1]Tørstofindhold!A$2:B$24,2,FALSE),0)</f>
        <v>387.22232333135202</v>
      </c>
      <c r="Y60" s="170">
        <f t="shared" si="12"/>
        <v>0</v>
      </c>
      <c r="Z60">
        <f t="shared" si="1"/>
        <v>0</v>
      </c>
      <c r="AA60">
        <f t="shared" si="2"/>
        <v>0</v>
      </c>
    </row>
    <row r="61" spans="1:27" x14ac:dyDescent="0.25">
      <c r="A61" s="171" t="str">
        <f t="shared" si="13"/>
        <v>Fjerkrækød</v>
      </c>
      <c r="B61" s="171" t="str">
        <f t="shared" si="14"/>
        <v/>
      </c>
      <c r="C61" s="171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71">
        <f t="shared" si="16"/>
        <v>1</v>
      </c>
      <c r="E61" s="171">
        <f t="shared" si="15"/>
        <v>2030</v>
      </c>
      <c r="F61" t="s">
        <v>23</v>
      </c>
      <c r="G61" s="94">
        <f>IF(F61="Vestdanmark",SUMIFS(IF(E61=År1,'Resultater - Vestdanmark'!H$3:H$504,IF(E61=År2,'Resultater - Vestdanmark'!I$3:I$504,'Resultater - Vestdanmark'!J$3:J$504)),'Resultater - Vestdanmark'!$F$3:$F$504,$A61,IF(E61=År1,'Resultater - Vestdanmark'!H$3:H$504,IF(E61=År2,'Resultater - Vestdanmark'!I$3:I$504,'Resultater - Vestdanmark'!J$3:J$504)),"&gt;0"),SUMIFS(IF(E61=År1,'Resultater - Østdanmark'!H$3:H$504,IF(E61=År2,'Resultater - Østdanmark'!I$3:I$504,'Resultater - Østdanmark'!J$3:J$504)),'Resultater - Østdanmark'!$F$3:$F$504,$A61,IF(E61=År1,'Resultater - Østdanmark'!H$3:H$504,IF(E61=År2,'Resultater - Østdanmark'!I$3:I$504,'Resultater - Østdanmark'!J$3:J$504)),"&gt;0"))</f>
        <v>185939.47423661887</v>
      </c>
      <c r="H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forbrug'!H$3,'Forbrug af biomasse'!$B$2:$B$425,$F61)</f>
        <v>0</v>
      </c>
      <c r="I61">
        <f>IF(F61="Vestdanmark",-IF(A61="Halm",SUMIFS(IF(E61=År1,'Resultater - Vestdanmark'!H$3:H$504,IF(E61=År2,'Resultater - Vestdanmark'!I$3:I$504,'Resultater - Vestdanmark'!J$3:J$504)),'Resultater - Vestdanmark'!$F$3:$F$504,$A61,'Resultater - Vestdanmark'!H$3:H$504,"&lt;0"),0),-IF(A61="Halm",SUMIFS(IF(E61=År1,'Resultater - Østdanmark'!H$3:H$504,IF(E61=År2,'Resultater - Østdanmark'!I$3:I$504,'Resultater - Østdanmark'!J$3:J$504)),'Resultater - Østdanmark'!$F$3:$F$504,$A61,'Resultater - Østdanmark'!H$3:H$504,"&lt;0"),0))</f>
        <v>0</v>
      </c>
      <c r="J61" s="94"/>
      <c r="K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forbrug'!K$3,'Forbrug af biomasse'!$B$2:$B$425,$F61)</f>
        <v>0</v>
      </c>
      <c r="L61" s="94">
        <f>SUMIFS('Forbrug af biomasse'!$E$2:$E$425,'Forbrug af biomasse'!$C$2:$C$425,'Resultat-Produktion &amp; forbrug'!$A61,'Forbrug af biomasse'!$D$2:$D$425,'Resultat-Produktion &amp; forbrug'!$E61,'Forbrug af biomasse'!$A$2:$A$425,'Resultat-Produktion &amp; forbrug'!L$3,'Forbrug af biomasse'!$B$2:$B$425,$F61)</f>
        <v>0</v>
      </c>
      <c r="M61" s="94">
        <f>IF(A61&lt;&gt;"Biogas",SUMIFS('Forbrug af biomasse'!$E$2:$E$425,'Forbrug af biomasse'!$C$2:$C$425,'Resultat-Produktion &amp; forbrug'!$A61,'Forbrug af biomasse'!$D$2:$D$425,'Resultat-Produktion &amp; forbrug'!$E61,'Forbrug af biomasse'!$A$2:$A$425,'Resultat-Produktion &amp; forbrug'!M$3,'Forbrug af biomasse'!$B$2:$B$425,$F61),G61)</f>
        <v>0</v>
      </c>
      <c r="N61" s="94">
        <f>SUMIFS('Forbrug af biomasse'!E:E,'Forbrug af biomasse'!C:C,'Resultat-Produktion &amp; forbrug'!$A61,'Forbrug af biomasse'!D:D,'Resultat-Produktion &amp; forbrug'!$E61,'Forbrug af biomasse'!G:G,1,'Forbrug af biomasse'!B:B,$F61)</f>
        <v>0</v>
      </c>
      <c r="O61" s="179">
        <f t="shared" si="9"/>
        <v>185939.47423661887</v>
      </c>
      <c r="P61" s="94">
        <f t="shared" si="4"/>
        <v>0</v>
      </c>
      <c r="Q61" s="180">
        <f t="shared" si="10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IF(A61&lt;&gt;"Biogas",IFERROR(VLOOKUP(A61,[1]Biogasudbytte!$A$2:$B$18,2,FALSE)*[1]Energiindhold!$C$10,0)*K61*IFERROR(VLOOKUP(A61,Biogasanlæg!$F$3:$G$8,2,FALSE),1)+IFERROR(VLOOKUP(A61,[1]Energiindhold!$A$2:$C$11,3,FALSE),0)*M61+IF(E61&lt;&gt;År1,R61,0),0)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11"/>
        <v>0</v>
      </c>
      <c r="V61" s="169">
        <f>P61*IFERROR(VLOOKUP(A61,[1]Tørstofindhold!A$2:B$24,2,FALSE),0)</f>
        <v>0</v>
      </c>
      <c r="W61">
        <f>IF(E61=År1,Q61,SUM(P61,Q61))*IFERROR(VLOOKUP(A61,[1]Tørstofindhold!A$2:B$24,2,FALSE),0)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12"/>
        <v>0</v>
      </c>
      <c r="Z61">
        <f t="shared" si="1"/>
        <v>0</v>
      </c>
      <c r="AA61">
        <f t="shared" si="2"/>
        <v>1</v>
      </c>
    </row>
    <row r="62" spans="1:27" x14ac:dyDescent="0.25">
      <c r="A62" s="171" t="str">
        <f t="shared" si="13"/>
        <v>Frø</v>
      </c>
      <c r="B62" s="171" t="str">
        <f t="shared" si="14"/>
        <v/>
      </c>
      <c r="C62" s="171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71">
        <f t="shared" si="16"/>
        <v>0</v>
      </c>
      <c r="E62" s="171">
        <f t="shared" si="15"/>
        <v>2030</v>
      </c>
      <c r="F62" t="s">
        <v>23</v>
      </c>
      <c r="G62" s="94">
        <f>IF(F62="Vestdanmark",SUMIFS(IF(E62=År1,'Resultater - Vestdanmark'!H$3:H$504,IF(E62=År2,'Resultater - Vestdanmark'!I$3:I$504,'Resultater - Vestdanmark'!J$3:J$504)),'Resultater - Vestdanmark'!$F$3:$F$504,$A62,IF(E62=År1,'Resultater - Vestdanmark'!H$3:H$504,IF(E62=År2,'Resultater - Vestdanmark'!I$3:I$504,'Resultater - Vestdanmark'!J$3:J$504)),"&gt;0"),SUMIFS(IF(E62=År1,'Resultater - Østdanmark'!H$3:H$504,IF(E62=År2,'Resultater - Østdanmark'!I$3:I$504,'Resultater - Østdanmark'!J$3:J$504)),'Resultater - Østdanmark'!$F$3:$F$504,$A62,IF(E62=År1,'Resultater - Østdanmark'!H$3:H$504,IF(E62=År2,'Resultater - Østdanmark'!I$3:I$504,'Resultater - Østdanmark'!J$3:J$504)),"&gt;0"))</f>
        <v>749561.48395824642</v>
      </c>
      <c r="H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forbrug'!H$3,'Forbrug af biomasse'!$B$2:$B$425,$F62)</f>
        <v>0</v>
      </c>
      <c r="I62">
        <f>IF(F62="Vestdanmark",-IF(A62="Halm",SUMIFS(IF(E62=År1,'Resultater - Vestdanmark'!H$3:H$504,IF(E62=År2,'Resultater - Vestdanmark'!I$3:I$504,'Resultater - Vestdanmark'!J$3:J$504)),'Resultater - Vestdanmark'!$F$3:$F$504,$A62,'Resultater - Vestdanmark'!H$3:H$504,"&lt;0"),0),-IF(A62="Halm",SUMIFS(IF(E62=År1,'Resultater - Østdanmark'!H$3:H$504,IF(E62=År2,'Resultater - Østdanmark'!I$3:I$504,'Resultater - Østdanmark'!J$3:J$504)),'Resultater - Østdanmark'!$F$3:$F$504,$A62,'Resultater - Østdanmark'!H$3:H$504,"&lt;0"),0))</f>
        <v>0</v>
      </c>
      <c r="J62" s="94"/>
      <c r="K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forbrug'!K$3,'Forbrug af biomasse'!$B$2:$B$425,$F62)</f>
        <v>0</v>
      </c>
      <c r="L62" s="94">
        <f>SUMIFS('Forbrug af biomasse'!$E$2:$E$425,'Forbrug af biomasse'!$C$2:$C$425,'Resultat-Produktion &amp; forbrug'!$A62,'Forbrug af biomasse'!$D$2:$D$425,'Resultat-Produktion &amp; forbrug'!$E62,'Forbrug af biomasse'!$A$2:$A$425,'Resultat-Produktion &amp; forbrug'!L$3,'Forbrug af biomasse'!$B$2:$B$425,$F62)</f>
        <v>0</v>
      </c>
      <c r="M62" s="94">
        <f>IF(A62&lt;&gt;"Biogas",SUMIFS('Forbrug af biomasse'!$E$2:$E$425,'Forbrug af biomasse'!$C$2:$C$425,'Resultat-Produktion &amp; forbrug'!$A62,'Forbrug af biomasse'!$D$2:$D$425,'Resultat-Produktion &amp; forbrug'!$E62,'Forbrug af biomasse'!$A$2:$A$425,'Resultat-Produktion &amp; forbrug'!M$3,'Forbrug af biomasse'!$B$2:$B$425,$F62),G62)</f>
        <v>0</v>
      </c>
      <c r="N62" s="94">
        <f>SUMIFS('Forbrug af biomasse'!E:E,'Forbrug af biomasse'!C:C,'Resultat-Produktion &amp; forbrug'!$A62,'Forbrug af biomasse'!D:D,'Resultat-Produktion &amp; forbrug'!$E62,'Forbrug af biomasse'!G:G,1,'Forbrug af biomasse'!B:B,$F62)</f>
        <v>0</v>
      </c>
      <c r="O62" s="179">
        <f t="shared" si="9"/>
        <v>749561.48395824642</v>
      </c>
      <c r="P62" s="94">
        <f t="shared" si="4"/>
        <v>0</v>
      </c>
      <c r="Q62" s="180">
        <f t="shared" si="10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IF(A62&lt;&gt;"Biogas",IFERROR(VLOOKUP(A62,[1]Biogasudbytte!$A$2:$B$18,2,FALSE)*[1]Energiindhold!$C$10,0)*K62*IFERROR(VLOOKUP(A62,Biogasanlæg!$F$3:$G$8,2,FALSE),1)+IFERROR(VLOOKUP(A62,[1]Energiindhold!$A$2:$C$11,3,FALSE),0)*M62+IF(E62&lt;&gt;År1,R62,0),0)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11"/>
        <v>0</v>
      </c>
      <c r="V62" s="169">
        <f>P62*IFERROR(VLOOKUP(A62,[1]Tørstofindhold!A$2:B$24,2,FALSE),0)</f>
        <v>0</v>
      </c>
      <c r="W62">
        <f>IF(E62=År1,Q62,SUM(P62,Q62))*IFERROR(VLOOKUP(A62,[1]Tørstofindhold!A$2:B$24,2,FALSE),0)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12"/>
        <v>0</v>
      </c>
      <c r="Z62">
        <f t="shared" si="1"/>
        <v>0</v>
      </c>
      <c r="AA62">
        <f t="shared" si="2"/>
        <v>1</v>
      </c>
    </row>
    <row r="63" spans="1:27" x14ac:dyDescent="0.25">
      <c r="A63" s="171" t="str">
        <f t="shared" si="13"/>
        <v>Frugt</v>
      </c>
      <c r="B63" s="171" t="str">
        <f t="shared" si="14"/>
        <v/>
      </c>
      <c r="C63" s="171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0</v>
      </c>
      <c r="D63" s="171">
        <f t="shared" si="16"/>
        <v>1</v>
      </c>
      <c r="E63" s="171">
        <f t="shared" si="15"/>
        <v>2030</v>
      </c>
      <c r="F63" t="s">
        <v>23</v>
      </c>
      <c r="G63" s="94">
        <f>IF(F63="Vestdanmark",SUMIFS(IF(E63=År1,'Resultater - Vestdanmark'!H$3:H$504,IF(E63=År2,'Resultater - Vestdanmark'!I$3:I$504,'Resultater - Vestdanmark'!J$3:J$504)),'Resultater - Vestdanmark'!$F$3:$F$504,$A63,IF(E63=År1,'Resultater - Vestdanmark'!H$3:H$504,IF(E63=År2,'Resultater - Vestdanmark'!I$3:I$504,'Resultater - Vestdanmark'!J$3:J$504)),"&gt;0"),SUMIFS(IF(E63=År1,'Resultater - Østdanmark'!H$3:H$504,IF(E63=År2,'Resultater - Østdanmark'!I$3:I$504,'Resultater - Østdanmark'!J$3:J$504)),'Resultater - Østdanmark'!$F$3:$F$504,$A63,IF(E63=År1,'Resultater - Østdanmark'!H$3:H$504,IF(E63=År2,'Resultater - Østdanmark'!I$3:I$504,'Resultater - Østdanmark'!J$3:J$504)),"&gt;0"))</f>
        <v>488405.10801459721</v>
      </c>
      <c r="H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forbrug'!H$3,'Forbrug af biomasse'!$B$2:$B$425,$F63)</f>
        <v>0</v>
      </c>
      <c r="I63">
        <f>IF(F63="Vestdanmark",-IF(A63="Halm",SUMIFS(IF(E63=År1,'Resultater - Vestdanmark'!H$3:H$504,IF(E63=År2,'Resultater - Vestdanmark'!I$3:I$504,'Resultater - Vestdanmark'!J$3:J$504)),'Resultater - Vestdanmark'!$F$3:$F$504,$A63,'Resultater - Vestdanmark'!H$3:H$504,"&lt;0"),0),-IF(A63="Halm",SUMIFS(IF(E63=År1,'Resultater - Østdanmark'!H$3:H$504,IF(E63=År2,'Resultater - Østdanmark'!I$3:I$504,'Resultater - Østdanmark'!J$3:J$504)),'Resultater - Østdanmark'!$F$3:$F$504,$A63,'Resultater - Østdanmark'!H$3:H$504,"&lt;0"),0))</f>
        <v>0</v>
      </c>
      <c r="J63" s="94"/>
      <c r="K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forbrug'!K$3,'Forbrug af biomasse'!$B$2:$B$425,$F63)</f>
        <v>0</v>
      </c>
      <c r="L63" s="94">
        <f>SUMIFS('Forbrug af biomasse'!$E$2:$E$425,'Forbrug af biomasse'!$C$2:$C$425,'Resultat-Produktion &amp; forbrug'!$A63,'Forbrug af biomasse'!$D$2:$D$425,'Resultat-Produktion &amp; forbrug'!$E63,'Forbrug af biomasse'!$A$2:$A$425,'Resultat-Produktion &amp; forbrug'!L$3,'Forbrug af biomasse'!$B$2:$B$425,$F63)</f>
        <v>0</v>
      </c>
      <c r="M63" s="94">
        <f>IF(A63&lt;&gt;"Biogas",SUMIFS('Forbrug af biomasse'!$E$2:$E$425,'Forbrug af biomasse'!$C$2:$C$425,'Resultat-Produktion &amp; forbrug'!$A63,'Forbrug af biomasse'!$D$2:$D$425,'Resultat-Produktion &amp; forbrug'!$E63,'Forbrug af biomasse'!$A$2:$A$425,'Resultat-Produktion &amp; forbrug'!M$3,'Forbrug af biomasse'!$B$2:$B$425,$F63),G63)</f>
        <v>0</v>
      </c>
      <c r="N63" s="94">
        <f>SUMIFS('Forbrug af biomasse'!E:E,'Forbrug af biomasse'!C:C,'Resultat-Produktion &amp; forbrug'!$A63,'Forbrug af biomasse'!D:D,'Resultat-Produktion &amp; forbrug'!$E63,'Forbrug af biomasse'!G:G,1,'Forbrug af biomasse'!B:B,$F63)</f>
        <v>0</v>
      </c>
      <c r="O63" s="179">
        <f t="shared" si="9"/>
        <v>488405.10801459721</v>
      </c>
      <c r="P63" s="94">
        <f t="shared" si="4"/>
        <v>0</v>
      </c>
      <c r="Q63" s="180">
        <f t="shared" si="10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IF(A63&lt;&gt;"Biogas",IFERROR(VLOOKUP(A63,[1]Biogasudbytte!$A$2:$B$18,2,FALSE)*[1]Energiindhold!$C$10,0)*K63*IFERROR(VLOOKUP(A63,Biogasanlæg!$F$3:$G$8,2,FALSE),1)+IFERROR(VLOOKUP(A63,[1]Energiindhold!$A$2:$C$11,3,FALSE),0)*M63+IF(E63&lt;&gt;År1,R63,0),0)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11"/>
        <v>0</v>
      </c>
      <c r="V63" s="169">
        <f>P63*IFERROR(VLOOKUP(A63,[1]Tørstofindhold!A$2:B$24,2,FALSE),0)</f>
        <v>0</v>
      </c>
      <c r="W63">
        <f>IF(E63=År1,Q63,SUM(P63,Q63))*IFERROR(VLOOKUP(A63,[1]Tørstofindhold!A$2:B$24,2,FALSE),0)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12"/>
        <v>0</v>
      </c>
      <c r="Z63">
        <f t="shared" si="1"/>
        <v>0</v>
      </c>
      <c r="AA63">
        <f t="shared" si="2"/>
        <v>1</v>
      </c>
    </row>
    <row r="64" spans="1:27" x14ac:dyDescent="0.25">
      <c r="A64" s="171" t="str">
        <f t="shared" si="13"/>
        <v>Glycerin</v>
      </c>
      <c r="B64" s="171" t="str">
        <f t="shared" si="14"/>
        <v>Glycerin</v>
      </c>
      <c r="C64" s="171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71">
        <f t="shared" si="16"/>
        <v>0</v>
      </c>
      <c r="E64" s="171">
        <f t="shared" si="15"/>
        <v>2030</v>
      </c>
      <c r="F64" t="s">
        <v>23</v>
      </c>
      <c r="G64" s="94">
        <f>IF(F64="Vestdanmark",SUMIFS(IF(E64=År1,'Resultater - Vestdanmark'!H$3:H$504,IF(E64=År2,'Resultater - Vestdanmark'!I$3:I$504,'Resultater - Vestdanmark'!J$3:J$504)),'Resultater - Vestdanmark'!$F$3:$F$504,$A64,IF(E64=År1,'Resultater - Vestdanmark'!H$3:H$504,IF(E64=År2,'Resultater - Vestdanmark'!I$3:I$504,'Resultater - Vestdanmark'!J$3:J$504)),"&gt;0"),SUMIFS(IF(E64=År1,'Resultater - Østdanmark'!H$3:H$504,IF(E64=År2,'Resultater - Østdanmark'!I$3:I$504,'Resultater - Østdanmark'!J$3:J$504)),'Resultater - Østdanmark'!$F$3:$F$504,$A64,IF(E64=År1,'Resultater - Østdanmark'!H$3:H$504,IF(E64=År2,'Resultater - Østdanmark'!I$3:I$504,'Resultater - Østdanmark'!J$3:J$504)),"&gt;0"))</f>
        <v>0</v>
      </c>
      <c r="H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forbrug'!H$3,'Forbrug af biomasse'!$B$2:$B$425,$F64)</f>
        <v>0</v>
      </c>
      <c r="I64">
        <f>IF(F64="Vestdanmark",-IF(A64="Halm",SUMIFS(IF(E64=År1,'Resultater - Vestdanmark'!H$3:H$504,IF(E64=År2,'Resultater - Vestdanmark'!I$3:I$504,'Resultater - Vestdanmark'!J$3:J$504)),'Resultater - Vestdanmark'!$F$3:$F$504,$A64,'Resultater - Vestdanmark'!H$3:H$504,"&lt;0"),0),-IF(A64="Halm",SUMIFS(IF(E64=År1,'Resultater - Østdanmark'!H$3:H$504,IF(E64=År2,'Resultater - Østdanmark'!I$3:I$504,'Resultater - Østdanmark'!J$3:J$504)),'Resultater - Østdanmark'!$F$3:$F$504,$A64,'Resultater - Østdanmark'!H$3:H$504,"&lt;0"),0))</f>
        <v>0</v>
      </c>
      <c r="J64" s="94"/>
      <c r="K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forbrug'!K$3,'Forbrug af biomasse'!$B$2:$B$425,$F64)</f>
        <v>0</v>
      </c>
      <c r="L64" s="94">
        <f>SUMIFS('Forbrug af biomasse'!$E$2:$E$425,'Forbrug af biomasse'!$C$2:$C$425,'Resultat-Produktion &amp; forbrug'!$A64,'Forbrug af biomasse'!$D$2:$D$425,'Resultat-Produktion &amp; forbrug'!$E64,'Forbrug af biomasse'!$A$2:$A$425,'Resultat-Produktion &amp; forbrug'!L$3,'Forbrug af biomasse'!$B$2:$B$425,$F64)</f>
        <v>0</v>
      </c>
      <c r="M64" s="94">
        <f>IF(A64&lt;&gt;"Biogas",SUMIFS('Forbrug af biomasse'!$E$2:$E$425,'Forbrug af biomasse'!$C$2:$C$425,'Resultat-Produktion &amp; forbrug'!$A64,'Forbrug af biomasse'!$D$2:$D$425,'Resultat-Produktion &amp; forbrug'!$E64,'Forbrug af biomasse'!$A$2:$A$425,'Resultat-Produktion &amp; forbrug'!M$3,'Forbrug af biomasse'!$B$2:$B$425,$F64),G64)</f>
        <v>0</v>
      </c>
      <c r="N64" s="94">
        <f>SUMIFS('Forbrug af biomasse'!E:E,'Forbrug af biomasse'!C:C,'Resultat-Produktion &amp; forbrug'!$A64,'Forbrug af biomasse'!D:D,'Resultat-Produktion &amp; forbrug'!$E64,'Forbrug af biomasse'!G:G,1,'Forbrug af biomasse'!B:B,$F64)</f>
        <v>0</v>
      </c>
      <c r="O64" s="179">
        <f t="shared" si="9"/>
        <v>0</v>
      </c>
      <c r="P64" s="94">
        <f t="shared" si="4"/>
        <v>0</v>
      </c>
      <c r="Q64" s="180">
        <f t="shared" si="10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IF(A64&lt;&gt;"Biogas",IFERROR(VLOOKUP(A64,[1]Biogasudbytte!$A$2:$B$18,2,FALSE)*[1]Energiindhold!$C$10,0)*K64*IFERROR(VLOOKUP(A64,Biogasanlæg!$F$3:$G$8,2,FALSE),1)+IFERROR(VLOOKUP(A64,[1]Energiindhold!$A$2:$C$11,3,FALSE),0)*M64+IF(E64&lt;&gt;År1,R64,0),0)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11"/>
        <v>0</v>
      </c>
      <c r="V64" s="169">
        <f>P64*IFERROR(VLOOKUP(A64,[1]Tørstofindhold!A$2:B$24,2,FALSE),0)</f>
        <v>0</v>
      </c>
      <c r="W64">
        <f>IF(E64=År1,Q64,SUM(P64,Q64))*IFERROR(VLOOKUP(A64,[1]Tørstofindhold!A$2:B$24,2,FALSE),0)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12"/>
        <v>0</v>
      </c>
      <c r="Z64">
        <f t="shared" si="1"/>
        <v>0</v>
      </c>
      <c r="AA64">
        <f t="shared" si="2"/>
        <v>0</v>
      </c>
    </row>
    <row r="65" spans="1:27" x14ac:dyDescent="0.25">
      <c r="A65" s="171" t="str">
        <f t="shared" si="13"/>
        <v>Græs</v>
      </c>
      <c r="B65" s="171" t="str">
        <f t="shared" si="14"/>
        <v>Græs og urter</v>
      </c>
      <c r="C65" s="171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1</v>
      </c>
      <c r="D65" s="171">
        <f t="shared" si="16"/>
        <v>0</v>
      </c>
      <c r="E65" s="171">
        <f t="shared" si="15"/>
        <v>2030</v>
      </c>
      <c r="F65" t="s">
        <v>23</v>
      </c>
      <c r="G65" s="94">
        <f>IF(F65="Vestdanmark",SUMIFS(IF(E65=År1,'Resultater - Vestdanmark'!H$3:H$504,IF(E65=År2,'Resultater - Vestdanmark'!I$3:I$504,'Resultater - Vestdanmark'!J$3:J$504)),'Resultater - Vestdanmark'!$F$3:$F$504,$A65,IF(E65=År1,'Resultater - Vestdanmark'!H$3:H$504,IF(E65=År2,'Resultater - Vestdanmark'!I$3:I$504,'Resultater - Vestdanmark'!J$3:J$504)),"&gt;0"),SUMIFS(IF(E65=År1,'Resultater - Østdanmark'!H$3:H$504,IF(E65=År2,'Resultater - Østdanmark'!I$3:I$504,'Resultater - Østdanmark'!J$3:J$504)),'Resultater - Østdanmark'!$F$3:$F$504,$A65,IF(E65=År1,'Resultater - Østdanmark'!H$3:H$504,IF(E65=År2,'Resultater - Østdanmark'!I$3:I$504,'Resultater - Østdanmark'!J$3:J$504)),"&gt;0"))</f>
        <v>23233296.600181103</v>
      </c>
      <c r="H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forbrug'!H$3,'Forbrug af biomasse'!$B$2:$B$425,$F65)</f>
        <v>9821978.8314936236</v>
      </c>
      <c r="I65">
        <f>IF(F65="Vestdanmark",-IF(A65="Halm",SUMIFS(IF(E65=År1,'Resultater - Vestdanmark'!H$3:H$504,IF(E65=År2,'Resultater - Vestdanmark'!I$3:I$504,'Resultater - Vestdanmark'!J$3:J$504)),'Resultater - Vestdanmark'!$F$3:$F$504,$A65,'Resultater - Vestdanmark'!H$3:H$504,"&lt;0"),0),-IF(A65="Halm",SUMIFS(IF(E65=År1,'Resultater - Østdanmark'!H$3:H$504,IF(E65=År2,'Resultater - Østdanmark'!I$3:I$504,'Resultater - Østdanmark'!J$3:J$504)),'Resultater - Østdanmark'!$F$3:$F$504,$A65,'Resultater - Østdanmark'!H$3:H$504,"&lt;0"),0))</f>
        <v>0</v>
      </c>
      <c r="J65" s="94"/>
      <c r="K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forbrug'!K$3,'Forbrug af biomasse'!$B$2:$B$425,$F65)</f>
        <v>0</v>
      </c>
      <c r="L65" s="94">
        <f>SUMIFS('Forbrug af biomasse'!$E$2:$E$425,'Forbrug af biomasse'!$C$2:$C$425,'Resultat-Produktion &amp; forbrug'!$A65,'Forbrug af biomasse'!$D$2:$D$425,'Resultat-Produktion &amp; forbrug'!$E65,'Forbrug af biomasse'!$A$2:$A$425,'Resultat-Produktion &amp; forbrug'!L$3,'Forbrug af biomasse'!$B$2:$B$425,$F65)</f>
        <v>0</v>
      </c>
      <c r="M65" s="94">
        <f>IF(A65&lt;&gt;"Biogas",SUMIFS('Forbrug af biomasse'!$E$2:$E$425,'Forbrug af biomasse'!$C$2:$C$425,'Resultat-Produktion &amp; forbrug'!$A65,'Forbrug af biomasse'!$D$2:$D$425,'Resultat-Produktion &amp; forbrug'!$E65,'Forbrug af biomasse'!$A$2:$A$425,'Resultat-Produktion &amp; forbrug'!M$3,'Forbrug af biomasse'!$B$2:$B$425,$F65),G65)</f>
        <v>0</v>
      </c>
      <c r="N65" s="94">
        <f>SUMIFS('Forbrug af biomasse'!E:E,'Forbrug af biomasse'!C:C,'Resultat-Produktion &amp; forbrug'!$A65,'Forbrug af biomasse'!D:D,'Resultat-Produktion &amp; forbrug'!$E65,'Forbrug af biomasse'!G:G,1,'Forbrug af biomasse'!B:B,$F65)</f>
        <v>10473588.922093241</v>
      </c>
      <c r="O65" s="179">
        <f t="shared" si="9"/>
        <v>2937728.8465942368</v>
      </c>
      <c r="P65" s="94">
        <f t="shared" si="4"/>
        <v>2937728.8465942368</v>
      </c>
      <c r="Q65" s="180">
        <f t="shared" si="10"/>
        <v>0</v>
      </c>
      <c r="R65">
        <f>IFERROR(VLOOKUP(A65,[1]Energiindhold!$A$2:$C$11,3,FALSE),IFERROR(VLOOKUP(A65,[1]Biogasudbytte!$A$2:$B$18,2,FALSE)*[1]Energiindhold!$C$10,0))*P65</f>
        <v>5.4050538616275716</v>
      </c>
      <c r="S65">
        <f>IF(A65&lt;&gt;"Biogas",IFERROR(VLOOKUP(A65,[1]Biogasudbytte!$A$2:$B$18,2,FALSE)*[1]Energiindhold!$C$10,0)*K65*IFERROR(VLOOKUP(A65,Biogasanlæg!$F$3:$G$8,2,FALSE),1)+IFERROR(VLOOKUP(A65,[1]Energiindhold!$A$2:$C$11,3,FALSE),0)*M65+IF(E65&lt;&gt;År1,R65,0),0)</f>
        <v>5.4050538616275716</v>
      </c>
      <c r="T65">
        <f>IFERROR(VLOOKUP(A65,[1]Biogasudbytte!$A$2:$B$18,2,FALSE)*[1]Energiindhold!$C$10,0)*K65*IFERROR(VLOOKUP(A65,Biogasanlæg!$F$3:$G$8,2,FALSE),1)</f>
        <v>0</v>
      </c>
      <c r="U65" s="170">
        <f t="shared" si="11"/>
        <v>5.4050538616275716</v>
      </c>
      <c r="V65" s="169">
        <f>P65*IFERROR(VLOOKUP(A65,[1]Tørstofindhold!A$2:B$24,2,FALSE),0)</f>
        <v>822564.07704638643</v>
      </c>
      <c r="W65">
        <f>IF(E65=År1,Q65,SUM(P65,Q65))*IFERROR(VLOOKUP(A65,[1]Tørstofindhold!A$2:B$24,2,FALSE),0)</f>
        <v>822564.07704638643</v>
      </c>
      <c r="X65">
        <f>K65*IFERROR(VLOOKUP(A65,[1]Tørstofindhold!A$2:B$24,2,FALSE),0)</f>
        <v>0</v>
      </c>
      <c r="Y65" s="170">
        <f t="shared" si="12"/>
        <v>822564.07704638643</v>
      </c>
      <c r="Z65">
        <f t="shared" si="1"/>
        <v>0</v>
      </c>
      <c r="AA65">
        <f t="shared" si="2"/>
        <v>1</v>
      </c>
    </row>
    <row r="66" spans="1:27" x14ac:dyDescent="0.25">
      <c r="A66" s="171" t="str">
        <f t="shared" si="13"/>
        <v>Græsprotein</v>
      </c>
      <c r="B66" s="171" t="str">
        <f t="shared" si="14"/>
        <v/>
      </c>
      <c r="C66" s="171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71">
        <f t="shared" si="16"/>
        <v>0</v>
      </c>
      <c r="E66" s="171">
        <f t="shared" si="15"/>
        <v>2030</v>
      </c>
      <c r="F66" t="s">
        <v>23</v>
      </c>
      <c r="G66" s="94">
        <f>IF(F66="Vestdanmark",SUMIFS(IF(E66=År1,'Resultater - Vestdanmark'!H$3:H$504,IF(E66=År2,'Resultater - Vestdanmark'!I$3:I$504,'Resultater - Vestdanmark'!J$3:J$504)),'Resultater - Vestdanmark'!$F$3:$F$504,$A66,IF(E66=År1,'Resultater - Vestdanmark'!H$3:H$504,IF(E66=År2,'Resultater - Vestdanmark'!I$3:I$504,'Resultater - Vestdanmark'!J$3:J$504)),"&gt;0"),SUMIFS(IF(E66=År1,'Resultater - Østdanmark'!H$3:H$504,IF(E66=År2,'Resultater - Østdanmark'!I$3:I$504,'Resultater - Østdanmark'!J$3:J$504)),'Resultater - Østdanmark'!$F$3:$F$504,$A66,IF(E66=År1,'Resultater - Østdanmark'!H$3:H$504,IF(E66=År2,'Resultater - Østdanmark'!I$3:I$504,'Resultater - Østdanmark'!J$3:J$504)),"&gt;0"))</f>
        <v>1750884.4374278621</v>
      </c>
      <c r="H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forbrug'!H$3,'Forbrug af biomasse'!$B$2:$B$425,$F66)</f>
        <v>1750884.4374278623</v>
      </c>
      <c r="I66">
        <f>IF(F66="Vestdanmark",-IF(A66="Halm",SUMIFS(IF(E66=År1,'Resultater - Vestdanmark'!H$3:H$504,IF(E66=År2,'Resultater - Vestdanmark'!I$3:I$504,'Resultater - Vestdanmark'!J$3:J$504)),'Resultater - Vestdanmark'!$F$3:$F$504,$A66,'Resultater - Vestdanmark'!H$3:H$504,"&lt;0"),0),-IF(A66="Halm",SUMIFS(IF(E66=År1,'Resultater - Østdanmark'!H$3:H$504,IF(E66=År2,'Resultater - Østdanmark'!I$3:I$504,'Resultater - Østdanmark'!J$3:J$504)),'Resultater - Østdanmark'!$F$3:$F$504,$A66,'Resultater - Østdanmark'!H$3:H$504,"&lt;0"),0))</f>
        <v>0</v>
      </c>
      <c r="J66" s="94"/>
      <c r="K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forbrug'!K$3,'Forbrug af biomasse'!$B$2:$B$425,$F66)</f>
        <v>0</v>
      </c>
      <c r="L66" s="94">
        <f>SUMIFS('Forbrug af biomasse'!$E$2:$E$425,'Forbrug af biomasse'!$C$2:$C$425,'Resultat-Produktion &amp; forbrug'!$A66,'Forbrug af biomasse'!$D$2:$D$425,'Resultat-Produktion &amp; forbrug'!$E66,'Forbrug af biomasse'!$A$2:$A$425,'Resultat-Produktion &amp; forbrug'!L$3,'Forbrug af biomasse'!$B$2:$B$425,$F66)</f>
        <v>0</v>
      </c>
      <c r="M66" s="94">
        <f>IF(A66&lt;&gt;"Biogas",SUMIFS('Forbrug af biomasse'!$E$2:$E$425,'Forbrug af biomasse'!$C$2:$C$425,'Resultat-Produktion &amp; forbrug'!$A66,'Forbrug af biomasse'!$D$2:$D$425,'Resultat-Produktion &amp; forbrug'!$E66,'Forbrug af biomasse'!$A$2:$A$425,'Resultat-Produktion &amp; forbrug'!M$3,'Forbrug af biomasse'!$B$2:$B$425,$F66),G66)</f>
        <v>0</v>
      </c>
      <c r="N66" s="94">
        <f>SUMIFS('Forbrug af biomasse'!E:E,'Forbrug af biomasse'!C:C,'Resultat-Produktion &amp; forbrug'!$A66,'Forbrug af biomasse'!D:D,'Resultat-Produktion &amp; forbrug'!$E66,'Forbrug af biomasse'!G:G,1,'Forbrug af biomasse'!B:B,$F66)</f>
        <v>0</v>
      </c>
      <c r="O66" s="179">
        <f t="shared" si="9"/>
        <v>0</v>
      </c>
      <c r="P66" s="94">
        <f t="shared" si="4"/>
        <v>0</v>
      </c>
      <c r="Q66" s="180">
        <f t="shared" si="10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IF(A66&lt;&gt;"Biogas",IFERROR(VLOOKUP(A66,[1]Biogasudbytte!$A$2:$B$18,2,FALSE)*[1]Energiindhold!$C$10,0)*K66*IFERROR(VLOOKUP(A66,Biogasanlæg!$F$3:$G$8,2,FALSE),1)+IFERROR(VLOOKUP(A66,[1]Energiindhold!$A$2:$C$11,3,FALSE),0)*M66+IF(E66&lt;&gt;År1,R66,0),0)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11"/>
        <v>0</v>
      </c>
      <c r="V66" s="169">
        <f>P66*IFERROR(VLOOKUP(A66,[1]Tørstofindhold!A$2:B$24,2,FALSE),0)</f>
        <v>0</v>
      </c>
      <c r="W66">
        <f>IF(E66=År1,Q66,SUM(P66,Q66))*IFERROR(VLOOKUP(A66,[1]Tørstofindhold!A$2:B$24,2,FALSE),0)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12"/>
        <v>0</v>
      </c>
      <c r="Z66">
        <f t="shared" si="1"/>
        <v>0</v>
      </c>
      <c r="AA66">
        <f t="shared" si="2"/>
        <v>0</v>
      </c>
    </row>
    <row r="67" spans="1:27" x14ac:dyDescent="0.25">
      <c r="A67" s="171" t="str">
        <f t="shared" si="13"/>
        <v>Grøntsager</v>
      </c>
      <c r="B67" s="171" t="str">
        <f t="shared" si="14"/>
        <v/>
      </c>
      <c r="C67" s="171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0</v>
      </c>
      <c r="D67" s="171">
        <f t="shared" si="16"/>
        <v>1</v>
      </c>
      <c r="E67" s="171">
        <f t="shared" si="15"/>
        <v>2030</v>
      </c>
      <c r="F67" t="s">
        <v>23</v>
      </c>
      <c r="G67" s="94">
        <f>IF(F67="Vestdanmark",SUMIFS(IF(E67=År1,'Resultater - Vestdanmark'!H$3:H$504,IF(E67=År2,'Resultater - Vestdanmark'!I$3:I$504,'Resultater - Vestdanmark'!J$3:J$504)),'Resultater - Vestdanmark'!$F$3:$F$504,$A67,IF(E67=År1,'Resultater - Vestdanmark'!H$3:H$504,IF(E67=År2,'Resultater - Vestdanmark'!I$3:I$504,'Resultater - Vestdanmark'!J$3:J$504)),"&gt;0"),SUMIFS(IF(E67=År1,'Resultater - Østdanmark'!H$3:H$504,IF(E67=År2,'Resultater - Østdanmark'!I$3:I$504,'Resultater - Østdanmark'!J$3:J$504)),'Resultater - Østdanmark'!$F$3:$F$504,$A67,IF(E67=År1,'Resultater - Østdanmark'!H$3:H$504,IF(E67=År2,'Resultater - Østdanmark'!I$3:I$504,'Resultater - Østdanmark'!J$3:J$504)),"&gt;0"))</f>
        <v>318920.65280775877</v>
      </c>
      <c r="H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forbrug'!H$3,'Forbrug af biomasse'!$B$2:$B$425,$F67)</f>
        <v>0</v>
      </c>
      <c r="I67">
        <f>IF(F67="Vestdanmark",-IF(A67="Halm",SUMIFS(IF(E67=År1,'Resultater - Vestdanmark'!H$3:H$504,IF(E67=År2,'Resultater - Vestdanmark'!I$3:I$504,'Resultater - Vestdanmark'!J$3:J$504)),'Resultater - Vestdanmark'!$F$3:$F$504,$A67,'Resultater - Vestdanmark'!H$3:H$504,"&lt;0"),0),-IF(A67="Halm",SUMIFS(IF(E67=År1,'Resultater - Østdanmark'!H$3:H$504,IF(E67=År2,'Resultater - Østdanmark'!I$3:I$504,'Resultater - Østdanmark'!J$3:J$504)),'Resultater - Østdanmark'!$F$3:$F$504,$A67,'Resultater - Østdanmark'!H$3:H$504,"&lt;0"),0))</f>
        <v>0</v>
      </c>
      <c r="J67" s="94"/>
      <c r="K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forbrug'!K$3,'Forbrug af biomasse'!$B$2:$B$425,$F67)</f>
        <v>0</v>
      </c>
      <c r="L67" s="94">
        <f>SUMIFS('Forbrug af biomasse'!$E$2:$E$425,'Forbrug af biomasse'!$C$2:$C$425,'Resultat-Produktion &amp; forbrug'!$A67,'Forbrug af biomasse'!$D$2:$D$425,'Resultat-Produktion &amp; forbrug'!$E67,'Forbrug af biomasse'!$A$2:$A$425,'Resultat-Produktion &amp; forbrug'!L$3,'Forbrug af biomasse'!$B$2:$B$425,$F67)</f>
        <v>0</v>
      </c>
      <c r="M67" s="94">
        <f>IF(A67&lt;&gt;"Biogas",SUMIFS('Forbrug af biomasse'!$E$2:$E$425,'Forbrug af biomasse'!$C$2:$C$425,'Resultat-Produktion &amp; forbrug'!$A67,'Forbrug af biomasse'!$D$2:$D$425,'Resultat-Produktion &amp; forbrug'!$E67,'Forbrug af biomasse'!$A$2:$A$425,'Resultat-Produktion &amp; forbrug'!M$3,'Forbrug af biomasse'!$B$2:$B$425,$F67),G67)</f>
        <v>0</v>
      </c>
      <c r="N67" s="94">
        <f>SUMIFS('Forbrug af biomasse'!E:E,'Forbrug af biomasse'!C:C,'Resultat-Produktion &amp; forbrug'!$A67,'Forbrug af biomasse'!D:D,'Resultat-Produktion &amp; forbrug'!$E67,'Forbrug af biomasse'!G:G,1,'Forbrug af biomasse'!B:B,$F67)</f>
        <v>0</v>
      </c>
      <c r="O67" s="179">
        <f t="shared" si="9"/>
        <v>318920.65280775877</v>
      </c>
      <c r="P67" s="94">
        <f t="shared" si="4"/>
        <v>0</v>
      </c>
      <c r="Q67" s="180">
        <f t="shared" si="10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IF(A67&lt;&gt;"Biogas",IFERROR(VLOOKUP(A67,[1]Biogasudbytte!$A$2:$B$18,2,FALSE)*[1]Energiindhold!$C$10,0)*K67*IFERROR(VLOOKUP(A67,Biogasanlæg!$F$3:$G$8,2,FALSE),1)+IFERROR(VLOOKUP(A67,[1]Energiindhold!$A$2:$C$11,3,FALSE),0)*M67+IF(E67&lt;&gt;År1,R67,0),0)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11"/>
        <v>0</v>
      </c>
      <c r="V67" s="169">
        <f>P67*IFERROR(VLOOKUP(A67,[1]Tørstofindhold!A$2:B$24,2,FALSE),0)</f>
        <v>0</v>
      </c>
      <c r="W67">
        <f>IF(E67=År1,Q67,SUM(P67,Q67))*IFERROR(VLOOKUP(A67,[1]Tørstofindhold!A$2:B$24,2,FALSE),0)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12"/>
        <v>0</v>
      </c>
      <c r="Z67">
        <f t="shared" si="1"/>
        <v>0</v>
      </c>
      <c r="AA67">
        <f t="shared" si="2"/>
        <v>1</v>
      </c>
    </row>
    <row r="68" spans="1:27" x14ac:dyDescent="0.25">
      <c r="A68" s="171" t="str">
        <f t="shared" si="13"/>
        <v>Halm</v>
      </c>
      <c r="B68" s="171" t="str">
        <f t="shared" si="14"/>
        <v>Halm og strå</v>
      </c>
      <c r="C68" s="171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71">
        <f t="shared" si="16"/>
        <v>0</v>
      </c>
      <c r="E68" s="171">
        <f t="shared" si="15"/>
        <v>2030</v>
      </c>
      <c r="F68" t="s">
        <v>23</v>
      </c>
      <c r="G68" s="94">
        <f>IF(F68="Vestdanmark",SUMIFS(IF(E68=År1,'Resultater - Vestdanmark'!H$3:H$504,IF(E68=År2,'Resultater - Vestdanmark'!I$3:I$504,'Resultater - Vestdanmark'!J$3:J$504)),'Resultater - Vestdanmark'!$F$3:$F$504,$A68,IF(E68=År1,'Resultater - Vestdanmark'!H$3:H$504,IF(E68=År2,'Resultater - Vestdanmark'!I$3:I$504,'Resultater - Vestdanmark'!J$3:J$504)),"&gt;0"),SUMIFS(IF(E68=År1,'Resultater - Østdanmark'!H$3:H$504,IF(E68=År2,'Resultater - Østdanmark'!I$3:I$504,'Resultater - Østdanmark'!J$3:J$504)),'Resultater - Østdanmark'!$F$3:$F$504,$A68,IF(E68=År1,'Resultater - Østdanmark'!H$3:H$504,IF(E68=År2,'Resultater - Østdanmark'!I$3:I$504,'Resultater - Østdanmark'!J$3:J$504)),"&gt;0"))</f>
        <v>2213317.1484140675</v>
      </c>
      <c r="H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forbrug'!H$3,'Forbrug af biomasse'!$B$2:$B$425,$F68)</f>
        <v>499432.74755070958</v>
      </c>
      <c r="I68" s="390">
        <f>IF(F68="Vestdanmark",-IF(A68="Halm",SUMIFS(IF(E68=År1,'Resultater - Vestdanmark'!H$3:H$504,IF(E68=År2,'Resultater - Vestdanmark'!I$3:I$504,'Resultater - Vestdanmark'!J$3:J$504)),'Resultater - Vestdanmark'!$F$3:$F$504,$A68,'Resultater - Vestdanmark'!H$3:H$504,"&lt;0"),0),-IF(A68="Halm",SUMIFS(IF(E68=År1,'Resultater - Østdanmark'!H$3:H$504,IF(E68=År2,'Resultater - Østdanmark'!I$3:I$504,'Resultater - Østdanmark'!J$3:J$504)),'Resultater - Østdanmark'!$F$3:$F$504,$A68,'Resultater - Østdanmark'!H$3:H$504,"&lt;0"),0))</f>
        <v>673527.39565992262</v>
      </c>
      <c r="J68" s="390"/>
      <c r="K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forbrug'!K$3,'Forbrug af biomasse'!$B$2:$B$425,$F68)</f>
        <v>0</v>
      </c>
      <c r="L68" s="390">
        <f>SUMIFS('Forbrug af biomasse'!$E$2:$E$425,'Forbrug af biomasse'!$C$2:$C$425,'Resultat-Produktion &amp; forbrug'!$A68,'Forbrug af biomasse'!$D$2:$D$425,'Resultat-Produktion &amp; forbrug'!$E68,'Forbrug af biomasse'!$A$2:$A$425,'Resultat-Produktion &amp; forbrug'!L$3,'Forbrug af biomasse'!$B$2:$B$425,$F68)</f>
        <v>0</v>
      </c>
      <c r="M68" s="390">
        <f>IF(A68&lt;&gt;"Biogas",SUMIFS('Forbrug af biomasse'!$E$2:$E$425,'Forbrug af biomasse'!$C$2:$C$425,'Resultat-Produktion &amp; forbrug'!$A68,'Forbrug af biomasse'!$D$2:$D$425,'Resultat-Produktion &amp; forbrug'!$E68,'Forbrug af biomasse'!$A$2:$A$425,'Resultat-Produktion &amp; forbrug'!M$3,'Forbrug af biomasse'!$B$2:$B$425,$F68),G68)</f>
        <v>1040357.0052034357</v>
      </c>
      <c r="N68" s="391">
        <f>SUMIFS('Forbrug af biomasse'!E:E,'Forbrug af biomasse'!C:C,'Resultat-Produktion &amp; forbrug'!$A68,'Forbrug af biomasse'!D:D,'Resultat-Produktion &amp; forbrug'!$E68,'Forbrug af biomasse'!G:G,1,'Forbrug af biomasse'!B:B,$F68)</f>
        <v>0</v>
      </c>
      <c r="O68" s="179">
        <f t="shared" si="9"/>
        <v>0</v>
      </c>
      <c r="P68" s="94">
        <f t="shared" ref="P68:P131" si="17">IF(C68=1,IF(O68+IF(SUMIFS($O$4:$O$291,$A$4:$A$291,A68,$E$4:$E$291,E68,$F$4:$F$291,"&lt;&gt;"&amp;F68)&lt;0,SUMIFS($O$4:$O$291,$A$4:$A$291,A68,$E$4:$E$291,E68,$F$4:$F$291,"&lt;&gt;"&amp;F68),0)&gt;0,O68+IF(SUMIFS($O$4:$O$291,$A$4:$A$291,A68,$E$4:$E$291,E68,$F$4:$F$291,"&lt;&gt;"&amp;F68)&lt;0,SUMIFS($O$4:$O$291,$A$4:$A$291,A68,$E$4:$E$291,E68,$F$4:$F$291,"&lt;&gt;"&amp;F68),0),0),0)</f>
        <v>0</v>
      </c>
      <c r="Q68" s="180">
        <f t="shared" si="10"/>
        <v>1040357.0052034357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IF(A68&lt;&gt;"Biogas",IFERROR(VLOOKUP(A68,[1]Biogasudbytte!$A$2:$B$18,2,FALSE)*[1]Energiindhold!$C$10,0)*K68*IFERROR(VLOOKUP(A68,Biogasanlæg!$F$3:$G$8,2,FALSE),1)+IFERROR(VLOOKUP(A68,[1]Energiindhold!$A$2:$C$11,3,FALSE),0)*M68+IF(E68&lt;&gt;År1,R68,0),0)</f>
        <v>10.752928529344514</v>
      </c>
      <c r="T68">
        <f>IFERROR(VLOOKUP(A68,[1]Biogasudbytte!$A$2:$B$18,2,FALSE)*[1]Energiindhold!$C$10,0)*K68*IFERROR(VLOOKUP(A68,Biogasanlæg!$F$3:$G$8,2,FALSE),1)</f>
        <v>0</v>
      </c>
      <c r="U68" s="170">
        <f t="shared" si="11"/>
        <v>10.752928529344514</v>
      </c>
      <c r="V68" s="169">
        <f>P68*IFERROR(VLOOKUP(A68,[1]Tørstofindhold!A$2:B$24,2,FALSE),0)</f>
        <v>0</v>
      </c>
      <c r="W68">
        <f>IF(E68=År1,Q68,SUM(P68,Q68))*IFERROR(VLOOKUP(A68,[1]Tørstofindhold!A$2:B$24,2,FALSE),0)</f>
        <v>884303.45442292024</v>
      </c>
      <c r="X68">
        <f>K68*IFERROR(VLOOKUP(A68,[1]Tørstofindhold!A$2:B$24,2,FALSE),0)</f>
        <v>0</v>
      </c>
      <c r="Y68" s="170">
        <f t="shared" si="12"/>
        <v>884303.45442292024</v>
      </c>
      <c r="Z68">
        <f t="shared" ref="Z68:Z131" si="18">IF(SUMIFS($O$4:$O$291,$A$4:$A$291,A68,$E$4:$E$291,E68)&lt;0,1,0)</f>
        <v>0</v>
      </c>
      <c r="AA68">
        <f t="shared" ref="AA68:AA131" si="19">IF(SUMIFS($O$4:$O$291,$A$4:$A$291,A68,$E$4:$E$291,E68)&gt;0,1,0)</f>
        <v>0</v>
      </c>
    </row>
    <row r="69" spans="1:27" x14ac:dyDescent="0.25">
      <c r="A69" s="171" t="str">
        <f t="shared" si="13"/>
        <v>Have/parkaffald</v>
      </c>
      <c r="B69" s="171" t="str">
        <f t="shared" si="14"/>
        <v>Bionedbrydeligt affald</v>
      </c>
      <c r="C69" s="171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1</v>
      </c>
      <c r="D69" s="171">
        <f t="shared" si="16"/>
        <v>0</v>
      </c>
      <c r="E69" s="171">
        <f t="shared" si="15"/>
        <v>2030</v>
      </c>
      <c r="F69" t="s">
        <v>23</v>
      </c>
      <c r="G69" s="94">
        <f>IF(F69="Vestdanmark",SUMIFS(IF(E69=År1,'Resultater - Vestdanmark'!H$3:H$504,IF(E69=År2,'Resultater - Vestdanmark'!I$3:I$504,'Resultater - Vestdanmark'!J$3:J$504)),'Resultater - Vestdanmark'!$F$3:$F$504,$A69,IF(E69=År1,'Resultater - Vestdanmark'!H$3:H$504,IF(E69=År2,'Resultater - Vestdanmark'!I$3:I$504,'Resultater - Vestdanmark'!J$3:J$504)),"&gt;0"),SUMIFS(IF(E69=År1,'Resultater - Østdanmark'!H$3:H$504,IF(E69=År2,'Resultater - Østdanmark'!I$3:I$504,'Resultater - Østdanmark'!J$3:J$504)),'Resultater - Østdanmark'!$F$3:$F$504,$A69,IF(E69=År1,'Resultater - Østdanmark'!H$3:H$504,IF(E69=År2,'Resultater - Østdanmark'!I$3:I$504,'Resultater - Østdanmark'!J$3:J$504)),"&gt;0"))</f>
        <v>526734.10986839118</v>
      </c>
      <c r="H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forbrug'!H$3,'Forbrug af biomasse'!$B$2:$B$425,$F69)</f>
        <v>0</v>
      </c>
      <c r="I69">
        <f>IF(F69="Vestdanmark",-IF(A69="Halm",SUMIFS(IF(E69=År1,'Resultater - Vestdanmark'!H$3:H$504,IF(E69=År2,'Resultater - Vestdanmark'!I$3:I$504,'Resultater - Vestdanmark'!J$3:J$504)),'Resultater - Vestdanmark'!$F$3:$F$504,$A69,'Resultater - Vestdanmark'!H$3:H$504,"&lt;0"),0),-IF(A69="Halm",SUMIFS(IF(E69=År1,'Resultater - Østdanmark'!H$3:H$504,IF(E69=År2,'Resultater - Østdanmark'!I$3:I$504,'Resultater - Østdanmark'!J$3:J$504)),'Resultater - Østdanmark'!$F$3:$F$504,$A69,'Resultater - Østdanmark'!H$3:H$504,"&lt;0"),0))</f>
        <v>0</v>
      </c>
      <c r="J69" s="94"/>
      <c r="K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forbrug'!K$3,'Forbrug af biomasse'!$B$2:$B$425,$F69)</f>
        <v>0</v>
      </c>
      <c r="L69" s="94">
        <f>SUMIFS('Forbrug af biomasse'!$E$2:$E$425,'Forbrug af biomasse'!$C$2:$C$425,'Resultat-Produktion &amp; forbrug'!$A69,'Forbrug af biomasse'!$D$2:$D$425,'Resultat-Produktion &amp; forbrug'!$E69,'Forbrug af biomasse'!$A$2:$A$425,'Resultat-Produktion &amp; forbrug'!L$3,'Forbrug af biomasse'!$B$2:$B$425,$F69)</f>
        <v>0</v>
      </c>
      <c r="M69" s="94">
        <f>IF(A69&lt;&gt;"Biogas",SUMIFS('Forbrug af biomasse'!$E$2:$E$425,'Forbrug af biomasse'!$C$2:$C$425,'Resultat-Produktion &amp; forbrug'!$A69,'Forbrug af biomasse'!$D$2:$D$425,'Resultat-Produktion &amp; forbrug'!$E69,'Forbrug af biomasse'!$A$2:$A$425,'Resultat-Produktion &amp; forbrug'!M$3,'Forbrug af biomasse'!$B$2:$B$425,$F69),G69)</f>
        <v>526734.10986839118</v>
      </c>
      <c r="N69" s="94">
        <f>SUMIFS('Forbrug af biomasse'!E:E,'Forbrug af biomasse'!C:C,'Resultat-Produktion &amp; forbrug'!$A69,'Forbrug af biomasse'!D:D,'Resultat-Produktion &amp; forbrug'!$E69,'Forbrug af biomasse'!G:G,1,'Forbrug af biomasse'!B:B,$F69)</f>
        <v>0</v>
      </c>
      <c r="O69" s="179">
        <f t="shared" si="9"/>
        <v>0</v>
      </c>
      <c r="P69" s="94">
        <f t="shared" si="17"/>
        <v>0</v>
      </c>
      <c r="Q69" s="180">
        <f t="shared" si="10"/>
        <v>526734.10986839118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IF(A69&lt;&gt;"Biogas",IFERROR(VLOOKUP(A69,[1]Biogasudbytte!$A$2:$B$18,2,FALSE)*[1]Energiindhold!$C$10,0)*K69*IFERROR(VLOOKUP(A69,Biogasanlæg!$F$3:$G$8,2,FALSE),1)+IFERROR(VLOOKUP(A69,[1]Energiindhold!$A$2:$C$11,3,FALSE),0)*M69+IF(E69&lt;&gt;År1,R69,0),0)</f>
        <v>9.4033734851313486</v>
      </c>
      <c r="T69">
        <f>IFERROR(VLOOKUP(A69,[1]Biogasudbytte!$A$2:$B$18,2,FALSE)*[1]Energiindhold!$C$10,0)*K69*IFERROR(VLOOKUP(A69,Biogasanlæg!$F$3:$G$8,2,FALSE),1)</f>
        <v>0</v>
      </c>
      <c r="U69" s="170">
        <f t="shared" si="11"/>
        <v>9.4033734851313486</v>
      </c>
      <c r="V69" s="169">
        <f>P69*IFERROR(VLOOKUP(A69,[1]Tørstofindhold!A$2:B$24,2,FALSE),0)</f>
        <v>0</v>
      </c>
      <c r="W69">
        <f>IF(E69=År1,Q69,SUM(P69,Q69))*IFERROR(VLOOKUP(A69,[1]Tørstofindhold!A$2:B$24,2,FALSE),0)</f>
        <v>158020.23296051734</v>
      </c>
      <c r="X69">
        <f>K69*IFERROR(VLOOKUP(A69,[1]Tørstofindhold!A$2:B$24,2,FALSE),0)</f>
        <v>0</v>
      </c>
      <c r="Y69" s="170">
        <f t="shared" si="12"/>
        <v>158020.23296051734</v>
      </c>
      <c r="Z69">
        <f t="shared" si="18"/>
        <v>0</v>
      </c>
      <c r="AA69">
        <f t="shared" si="19"/>
        <v>0</v>
      </c>
    </row>
    <row r="70" spans="1:27" x14ac:dyDescent="0.25">
      <c r="A70" s="171" t="str">
        <f t="shared" si="13"/>
        <v>Import af foder</v>
      </c>
      <c r="B70" s="171" t="str">
        <f t="shared" si="14"/>
        <v/>
      </c>
      <c r="C70" s="171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0</v>
      </c>
      <c r="D70" s="171">
        <f t="shared" si="16"/>
        <v>1</v>
      </c>
      <c r="E70" s="171">
        <f t="shared" si="15"/>
        <v>2030</v>
      </c>
      <c r="F70" t="s">
        <v>23</v>
      </c>
      <c r="G70" s="94">
        <f>IF(F70="Vestdanmark",SUMIFS(IF(E70=År1,'Resultater - Vestdanmark'!H$3:H$504,IF(E70=År2,'Resultater - Vestdanmark'!I$3:I$504,'Resultater - Vestdanmark'!J$3:J$504)),'Resultater - Vestdanmark'!$F$3:$F$504,$A70,IF(E70=År1,'Resultater - Vestdanmark'!H$3:H$504,IF(E70=År2,'Resultater - Vestdanmark'!I$3:I$504,'Resultater - Vestdanmark'!J$3:J$504)),"&gt;0"),SUMIFS(IF(E70=År1,'Resultater - Østdanmark'!H$3:H$504,IF(E70=År2,'Resultater - Østdanmark'!I$3:I$504,'Resultater - Østdanmark'!J$3:J$504)),'Resultater - Østdanmark'!$F$3:$F$504,$A70,IF(E70=År1,'Resultater - Østdanmark'!H$3:H$504,IF(E70=År2,'Resultater - Østdanmark'!I$3:I$504,'Resultater - Østdanmark'!J$3:J$504)),"&gt;0"))</f>
        <v>0</v>
      </c>
      <c r="H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forbrug'!H$3,'Forbrug af biomasse'!$B$2:$B$425,$F70)</f>
        <v>2500193.1989936335</v>
      </c>
      <c r="I70">
        <f>IF(F70="Vestdanmark",-IF(A70="Halm",SUMIFS(IF(E70=År1,'Resultater - Vestdanmark'!H$3:H$504,IF(E70=År2,'Resultater - Vestdanmark'!I$3:I$504,'Resultater - Vestdanmark'!J$3:J$504)),'Resultater - Vestdanmark'!$F$3:$F$504,$A70,'Resultater - Vestdanmark'!H$3:H$504,"&lt;0"),0),-IF(A70="Halm",SUMIFS(IF(E70=År1,'Resultater - Østdanmark'!H$3:H$504,IF(E70=År2,'Resultater - Østdanmark'!I$3:I$504,'Resultater - Østdanmark'!J$3:J$504)),'Resultater - Østdanmark'!$F$3:$F$504,$A70,'Resultater - Østdanmark'!H$3:H$504,"&lt;0"),0))</f>
        <v>0</v>
      </c>
      <c r="J70" s="94"/>
      <c r="K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forbrug'!K$3,'Forbrug af biomasse'!$B$2:$B$425,$F70)</f>
        <v>0</v>
      </c>
      <c r="L70" s="94">
        <f>SUMIFS('Forbrug af biomasse'!$E$2:$E$425,'Forbrug af biomasse'!$C$2:$C$425,'Resultat-Produktion &amp; forbrug'!$A70,'Forbrug af biomasse'!$D$2:$D$425,'Resultat-Produktion &amp; forbrug'!$E70,'Forbrug af biomasse'!$A$2:$A$425,'Resultat-Produktion &amp; forbrug'!L$3,'Forbrug af biomasse'!$B$2:$B$425,$F70)</f>
        <v>0</v>
      </c>
      <c r="M70" s="94">
        <f>IF(A70&lt;&gt;"Biogas",SUMIFS('Forbrug af biomasse'!$E$2:$E$425,'Forbrug af biomasse'!$C$2:$C$425,'Resultat-Produktion &amp; forbrug'!$A70,'Forbrug af biomasse'!$D$2:$D$425,'Resultat-Produktion &amp; forbrug'!$E70,'Forbrug af biomasse'!$A$2:$A$425,'Resultat-Produktion &amp; forbrug'!M$3,'Forbrug af biomasse'!$B$2:$B$425,$F70),G70)</f>
        <v>0</v>
      </c>
      <c r="N70" s="94">
        <f>SUMIFS('Forbrug af biomasse'!E:E,'Forbrug af biomasse'!C:C,'Resultat-Produktion &amp; forbrug'!$A70,'Forbrug af biomasse'!D:D,'Resultat-Produktion &amp; forbrug'!$E70,'Forbrug af biomasse'!G:G,1,'Forbrug af biomasse'!B:B,$F70)</f>
        <v>0</v>
      </c>
      <c r="O70" s="179">
        <f t="shared" si="9"/>
        <v>-2500193.1989936335</v>
      </c>
      <c r="P70" s="94">
        <f t="shared" si="17"/>
        <v>0</v>
      </c>
      <c r="Q70" s="180">
        <f t="shared" si="1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IF(A70&lt;&gt;"Biogas",IFERROR(VLOOKUP(A70,[1]Biogasudbytte!$A$2:$B$18,2,FALSE)*[1]Energiindhold!$C$10,0)*K70*IFERROR(VLOOKUP(A70,Biogasanlæg!$F$3:$G$8,2,FALSE),1)+IFERROR(VLOOKUP(A70,[1]Energiindhold!$A$2:$C$11,3,FALSE),0)*M70+IF(E70&lt;&gt;År1,R70,0),0)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11"/>
        <v>0</v>
      </c>
      <c r="V70" s="169">
        <f>P70*IFERROR(VLOOKUP(A70,[1]Tørstofindhold!A$2:B$24,2,FALSE),0)</f>
        <v>0</v>
      </c>
      <c r="W70">
        <f>IF(E70=År1,Q70,SUM(P70,Q70))*IFERROR(VLOOKUP(A70,[1]Tørstofindhold!A$2:B$24,2,FALSE),0)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12"/>
        <v>0</v>
      </c>
      <c r="Z70">
        <f t="shared" si="18"/>
        <v>1</v>
      </c>
      <c r="AA70">
        <f t="shared" si="19"/>
        <v>0</v>
      </c>
    </row>
    <row r="71" spans="1:27" x14ac:dyDescent="0.25">
      <c r="A71" s="171" t="str">
        <f t="shared" si="13"/>
        <v>Industriaffald</v>
      </c>
      <c r="B71" s="171" t="str">
        <f t="shared" si="14"/>
        <v>Bionedbrydeligt affald</v>
      </c>
      <c r="C71" s="171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1</v>
      </c>
      <c r="D71" s="171">
        <f t="shared" si="16"/>
        <v>0</v>
      </c>
      <c r="E71" s="171">
        <f t="shared" si="15"/>
        <v>2030</v>
      </c>
      <c r="F71" t="s">
        <v>23</v>
      </c>
      <c r="G71" s="94">
        <f>IF(F71="Vestdanmark",SUMIFS(IF(E71=År1,'Resultater - Vestdanmark'!H$3:H$504,IF(E71=År2,'Resultater - Vestdanmark'!I$3:I$504,'Resultater - Vestdanmark'!J$3:J$504)),'Resultater - Vestdanmark'!$F$3:$F$504,$A71,IF(E71=År1,'Resultater - Vestdanmark'!H$3:H$504,IF(E71=År2,'Resultater - Vestdanmark'!I$3:I$504,'Resultater - Vestdanmark'!J$3:J$504)),"&gt;0"),SUMIFS(IF(E71=År1,'Resultater - Østdanmark'!H$3:H$504,IF(E71=År2,'Resultater - Østdanmark'!I$3:I$504,'Resultater - Østdanmark'!J$3:J$504)),'Resultater - Østdanmark'!$F$3:$F$504,$A71,IF(E71=År1,'Resultater - Østdanmark'!H$3:H$504,IF(E71=År2,'Resultater - Østdanmark'!I$3:I$504,'Resultater - Østdanmark'!J$3:J$504)),"&gt;0"))</f>
        <v>471923.7302437154</v>
      </c>
      <c r="H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forbrug'!H$3,'Forbrug af biomasse'!$B$2:$B$425,$F71)</f>
        <v>0</v>
      </c>
      <c r="I71">
        <f>IF(F71="Vestdanmark",-IF(A71="Halm",SUMIFS(IF(E71=År1,'Resultater - Vestdanmark'!H$3:H$504,IF(E71=År2,'Resultater - Vestdanmark'!I$3:I$504,'Resultater - Vestdanmark'!J$3:J$504)),'Resultater - Vestdanmark'!$F$3:$F$504,$A71,'Resultater - Vestdanmark'!H$3:H$504,"&lt;0"),0),-IF(A71="Halm",SUMIFS(IF(E71=År1,'Resultater - Østdanmark'!H$3:H$504,IF(E71=År2,'Resultater - Østdanmark'!I$3:I$504,'Resultater - Østdanmark'!J$3:J$504)),'Resultater - Østdanmark'!$F$3:$F$504,$A71,'Resultater - Østdanmark'!H$3:H$504,"&lt;0"),0))</f>
        <v>0</v>
      </c>
      <c r="J71" s="94"/>
      <c r="K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forbrug'!K$3,'Forbrug af biomasse'!$B$2:$B$425,$F71)</f>
        <v>0</v>
      </c>
      <c r="L71" s="94">
        <f>SUMIFS('Forbrug af biomasse'!$E$2:$E$425,'Forbrug af biomasse'!$C$2:$C$425,'Resultat-Produktion &amp; forbrug'!$A71,'Forbrug af biomasse'!$D$2:$D$425,'Resultat-Produktion &amp; forbrug'!$E71,'Forbrug af biomasse'!$A$2:$A$425,'Resultat-Produktion &amp; forbrug'!L$3,'Forbrug af biomasse'!$B$2:$B$425,$F71)</f>
        <v>0</v>
      </c>
      <c r="M71" s="94">
        <f>IF(A71&lt;&gt;"Biogas",SUMIFS('Forbrug af biomasse'!$E$2:$E$425,'Forbrug af biomasse'!$C$2:$C$425,'Resultat-Produktion &amp; forbrug'!$A71,'Forbrug af biomasse'!$D$2:$D$425,'Resultat-Produktion &amp; forbrug'!$E71,'Forbrug af biomasse'!$A$2:$A$425,'Resultat-Produktion &amp; forbrug'!M$3,'Forbrug af biomasse'!$B$2:$B$425,$F71),G71)</f>
        <v>0</v>
      </c>
      <c r="N71" s="94">
        <f>SUMIFS('Forbrug af biomasse'!E:E,'Forbrug af biomasse'!C:C,'Resultat-Produktion &amp; forbrug'!$A71,'Forbrug af biomasse'!D:D,'Resultat-Produktion &amp; forbrug'!$E71,'Forbrug af biomasse'!G:G,1,'Forbrug af biomasse'!B:B,$F71)</f>
        <v>0</v>
      </c>
      <c r="O71" s="179">
        <f t="shared" si="9"/>
        <v>471923.7302437154</v>
      </c>
      <c r="P71" s="94">
        <f t="shared" si="17"/>
        <v>471923.7302437154</v>
      </c>
      <c r="Q71" s="180">
        <f t="shared" si="10"/>
        <v>0</v>
      </c>
      <c r="R71">
        <f>IFERROR(VLOOKUP(A71,[1]Energiindhold!$A$2:$C$11,3,FALSE),IFERROR(VLOOKUP(A71,[1]Biogasudbytte!$A$2:$B$18,2,FALSE)*[1]Energiindhold!$C$10,0))*P71</f>
        <v>2.0449068732309508</v>
      </c>
      <c r="S71">
        <f>IF(A71&lt;&gt;"Biogas",IFERROR(VLOOKUP(A71,[1]Biogasudbytte!$A$2:$B$18,2,FALSE)*[1]Energiindhold!$C$10,0)*K71*IFERROR(VLOOKUP(A71,Biogasanlæg!$F$3:$G$8,2,FALSE),1)+IFERROR(VLOOKUP(A71,[1]Energiindhold!$A$2:$C$11,3,FALSE),0)*M71+IF(E71&lt;&gt;År1,R71,0),0)</f>
        <v>2.0449068732309508</v>
      </c>
      <c r="T71">
        <f>IFERROR(VLOOKUP(A71,[1]Biogasudbytte!$A$2:$B$18,2,FALSE)*[1]Energiindhold!$C$10,0)*K71*IFERROR(VLOOKUP(A71,Biogasanlæg!$F$3:$G$8,2,FALSE),1)</f>
        <v>0</v>
      </c>
      <c r="U71" s="170">
        <f t="shared" si="11"/>
        <v>2.0449068732309508</v>
      </c>
      <c r="V71" s="169">
        <f>P71*IFERROR(VLOOKUP(A71,[1]Tørstofindhold!A$2:B$24,2,FALSE),0)</f>
        <v>198207.96670236046</v>
      </c>
      <c r="W71">
        <f>IF(E71=År1,Q71,SUM(P71,Q71))*IFERROR(VLOOKUP(A71,[1]Tørstofindhold!A$2:B$24,2,FALSE),0)</f>
        <v>198207.96670236046</v>
      </c>
      <c r="X71">
        <f>K71*IFERROR(VLOOKUP(A71,[1]Tørstofindhold!A$2:B$24,2,FALSE),0)</f>
        <v>0</v>
      </c>
      <c r="Y71" s="170">
        <f t="shared" si="12"/>
        <v>198207.96670236046</v>
      </c>
      <c r="Z71">
        <f t="shared" si="18"/>
        <v>0</v>
      </c>
      <c r="AA71">
        <f t="shared" si="19"/>
        <v>1</v>
      </c>
    </row>
    <row r="72" spans="1:27" x14ac:dyDescent="0.25">
      <c r="A72" s="171" t="str">
        <f t="shared" si="13"/>
        <v>Juletræer</v>
      </c>
      <c r="B72" s="171" t="str">
        <f t="shared" si="14"/>
        <v/>
      </c>
      <c r="C72" s="171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71">
        <f t="shared" si="16"/>
        <v>0</v>
      </c>
      <c r="E72" s="171">
        <f t="shared" si="15"/>
        <v>2030</v>
      </c>
      <c r="F72" t="s">
        <v>23</v>
      </c>
      <c r="G72" s="94">
        <f>IF(F72="Vestdanmark",SUMIFS(IF(E72=År1,'Resultater - Vestdanmark'!H$3:H$504,IF(E72=År2,'Resultater - Vestdanmark'!I$3:I$504,'Resultater - Vestdanmark'!J$3:J$504)),'Resultater - Vestdanmark'!$F$3:$F$504,$A72,IF(E72=År1,'Resultater - Vestdanmark'!H$3:H$504,IF(E72=År2,'Resultater - Vestdanmark'!I$3:I$504,'Resultater - Vestdanmark'!J$3:J$504)),"&gt;0"),SUMIFS(IF(E72=År1,'Resultater - Østdanmark'!H$3:H$504,IF(E72=År2,'Resultater - Østdanmark'!I$3:I$504,'Resultater - Østdanmark'!J$3:J$504)),'Resultater - Østdanmark'!$F$3:$F$504,$A72,IF(E72=År1,'Resultater - Østdanmark'!H$3:H$504,IF(E72=År2,'Resultater - Østdanmark'!I$3:I$504,'Resultater - Østdanmark'!J$3:J$504)),"&gt;0"))</f>
        <v>682243.34675238712</v>
      </c>
      <c r="H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forbrug'!H$3,'Forbrug af biomasse'!$B$2:$B$425,$F72)</f>
        <v>0</v>
      </c>
      <c r="I72">
        <f>IF(F72="Vestdanmark",-IF(A72="Halm",SUMIFS(IF(E72=År1,'Resultater - Vestdanmark'!H$3:H$504,IF(E72=År2,'Resultater - Vestdanmark'!I$3:I$504,'Resultater - Vestdanmark'!J$3:J$504)),'Resultater - Vestdanmark'!$F$3:$F$504,$A72,'Resultater - Vestdanmark'!H$3:H$504,"&lt;0"),0),-IF(A72="Halm",SUMIFS(IF(E72=År1,'Resultater - Østdanmark'!H$3:H$504,IF(E72=År2,'Resultater - Østdanmark'!I$3:I$504,'Resultater - Østdanmark'!J$3:J$504)),'Resultater - Østdanmark'!$F$3:$F$504,$A72,'Resultater - Østdanmark'!H$3:H$504,"&lt;0"),0))</f>
        <v>0</v>
      </c>
      <c r="J72" s="94"/>
      <c r="K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forbrug'!K$3,'Forbrug af biomasse'!$B$2:$B$425,$F72)</f>
        <v>0</v>
      </c>
      <c r="L72" s="94">
        <f>SUMIFS('Forbrug af biomasse'!$E$2:$E$425,'Forbrug af biomasse'!$C$2:$C$425,'Resultat-Produktion &amp; forbrug'!$A72,'Forbrug af biomasse'!$D$2:$D$425,'Resultat-Produktion &amp; forbrug'!$E72,'Forbrug af biomasse'!$A$2:$A$425,'Resultat-Produktion &amp; forbrug'!L$3,'Forbrug af biomasse'!$B$2:$B$425,$F72)</f>
        <v>0</v>
      </c>
      <c r="M72" s="94">
        <f>IF(A72&lt;&gt;"Biogas",SUMIFS('Forbrug af biomasse'!$E$2:$E$425,'Forbrug af biomasse'!$C$2:$C$425,'Resultat-Produktion &amp; forbrug'!$A72,'Forbrug af biomasse'!$D$2:$D$425,'Resultat-Produktion &amp; forbrug'!$E72,'Forbrug af biomasse'!$A$2:$A$425,'Resultat-Produktion &amp; forbrug'!M$3,'Forbrug af biomasse'!$B$2:$B$425,$F72),G72)</f>
        <v>0</v>
      </c>
      <c r="N72" s="94">
        <f>SUMIFS('Forbrug af biomasse'!E:E,'Forbrug af biomasse'!C:C,'Resultat-Produktion &amp; forbrug'!$A72,'Forbrug af biomasse'!D:D,'Resultat-Produktion &amp; forbrug'!$E72,'Forbrug af biomasse'!G:G,1,'Forbrug af biomasse'!B:B,$F72)</f>
        <v>0</v>
      </c>
      <c r="O72" s="179">
        <f t="shared" si="9"/>
        <v>682243.34675238712</v>
      </c>
      <c r="P72" s="94">
        <f t="shared" si="17"/>
        <v>0</v>
      </c>
      <c r="Q72" s="180">
        <f t="shared" si="1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IF(A72&lt;&gt;"Biogas",IFERROR(VLOOKUP(A72,[1]Biogasudbytte!$A$2:$B$18,2,FALSE)*[1]Energiindhold!$C$10,0)*K72*IFERROR(VLOOKUP(A72,Biogasanlæg!$F$3:$G$8,2,FALSE),1)+IFERROR(VLOOKUP(A72,[1]Energiindhold!$A$2:$C$11,3,FALSE),0)*M72+IF(E72&lt;&gt;År1,R72,0),0)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11"/>
        <v>0</v>
      </c>
      <c r="V72" s="169">
        <f>P72*IFERROR(VLOOKUP(A72,[1]Tørstofindhold!A$2:B$24,2,FALSE),0)</f>
        <v>0</v>
      </c>
      <c r="W72">
        <f>IF(E72=År1,Q72,SUM(P72,Q72))*IFERROR(VLOOKUP(A72,[1]Tørstofindhold!A$2:B$24,2,FALSE),0)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12"/>
        <v>0</v>
      </c>
      <c r="Z72">
        <f t="shared" si="18"/>
        <v>0</v>
      </c>
      <c r="AA72">
        <f t="shared" si="19"/>
        <v>1</v>
      </c>
    </row>
    <row r="73" spans="1:27" x14ac:dyDescent="0.25">
      <c r="A73" s="171" t="str">
        <f t="shared" si="13"/>
        <v>Kartofler</v>
      </c>
      <c r="B73" s="171" t="str">
        <f t="shared" si="14"/>
        <v/>
      </c>
      <c r="C73" s="171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0</v>
      </c>
      <c r="D73" s="171">
        <f t="shared" si="16"/>
        <v>1</v>
      </c>
      <c r="E73" s="171">
        <f t="shared" si="15"/>
        <v>2030</v>
      </c>
      <c r="F73" t="s">
        <v>23</v>
      </c>
      <c r="G73" s="94">
        <f>IF(F73="Vestdanmark",SUMIFS(IF(E73=År1,'Resultater - Vestdanmark'!H$3:H$504,IF(E73=År2,'Resultater - Vestdanmark'!I$3:I$504,'Resultater - Vestdanmark'!J$3:J$504)),'Resultater - Vestdanmark'!$F$3:$F$504,$A73,IF(E73=År1,'Resultater - Vestdanmark'!H$3:H$504,IF(E73=År2,'Resultater - Vestdanmark'!I$3:I$504,'Resultater - Vestdanmark'!J$3:J$504)),"&gt;0"),SUMIFS(IF(E73=År1,'Resultater - Østdanmark'!H$3:H$504,IF(E73=År2,'Resultater - Østdanmark'!I$3:I$504,'Resultater - Østdanmark'!J$3:J$504)),'Resultater - Østdanmark'!$F$3:$F$504,$A73,IF(E73=År1,'Resultater - Østdanmark'!H$3:H$504,IF(E73=År2,'Resultater - Østdanmark'!I$3:I$504,'Resultater - Østdanmark'!J$3:J$504)),"&gt;0"))</f>
        <v>2537122.9309529141</v>
      </c>
      <c r="H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forbrug'!H$3,'Forbrug af biomasse'!$B$2:$B$425,$F73)</f>
        <v>753476.59121508116</v>
      </c>
      <c r="I73">
        <f>IF(F73="Vestdanmark",-IF(A73="Halm",SUMIFS(IF(E73=År1,'Resultater - Vestdanmark'!H$3:H$504,IF(E73=År2,'Resultater - Vestdanmark'!I$3:I$504,'Resultater - Vestdanmark'!J$3:J$504)),'Resultater - Vestdanmark'!$F$3:$F$504,$A73,'Resultater - Vestdanmark'!H$3:H$504,"&lt;0"),0),-IF(A73="Halm",SUMIFS(IF(E73=År1,'Resultater - Østdanmark'!H$3:H$504,IF(E73=År2,'Resultater - Østdanmark'!I$3:I$504,'Resultater - Østdanmark'!J$3:J$504)),'Resultater - Østdanmark'!$F$3:$F$504,$A73,'Resultater - Østdanmark'!H$3:H$504,"&lt;0"),0))</f>
        <v>0</v>
      </c>
      <c r="J73" s="94"/>
      <c r="K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forbrug'!K$3,'Forbrug af biomasse'!$B$2:$B$425,$F73)</f>
        <v>0</v>
      </c>
      <c r="L73" s="94">
        <f>SUMIFS('Forbrug af biomasse'!$E$2:$E$425,'Forbrug af biomasse'!$C$2:$C$425,'Resultat-Produktion &amp; forbrug'!$A73,'Forbrug af biomasse'!$D$2:$D$425,'Resultat-Produktion &amp; forbrug'!$E73,'Forbrug af biomasse'!$A$2:$A$425,'Resultat-Produktion &amp; forbrug'!L$3,'Forbrug af biomasse'!$B$2:$B$425,$F73)</f>
        <v>0</v>
      </c>
      <c r="M73" s="94">
        <f>IF(A73&lt;&gt;"Biogas",SUMIFS('Forbrug af biomasse'!$E$2:$E$425,'Forbrug af biomasse'!$C$2:$C$425,'Resultat-Produktion &amp; forbrug'!$A73,'Forbrug af biomasse'!$D$2:$D$425,'Resultat-Produktion &amp; forbrug'!$E73,'Forbrug af biomasse'!$A$2:$A$425,'Resultat-Produktion &amp; forbrug'!M$3,'Forbrug af biomasse'!$B$2:$B$425,$F73),G73)</f>
        <v>0</v>
      </c>
      <c r="N73" s="94">
        <f>SUMIFS('Forbrug af biomasse'!E:E,'Forbrug af biomasse'!C:C,'Resultat-Produktion &amp; forbrug'!$A73,'Forbrug af biomasse'!D:D,'Resultat-Produktion &amp; forbrug'!$E73,'Forbrug af biomasse'!G:G,1,'Forbrug af biomasse'!B:B,$F73)</f>
        <v>0</v>
      </c>
      <c r="O73" s="179">
        <f t="shared" si="9"/>
        <v>1783646.339737833</v>
      </c>
      <c r="P73" s="94">
        <f t="shared" si="17"/>
        <v>0</v>
      </c>
      <c r="Q73" s="180">
        <f t="shared" si="1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IF(A73&lt;&gt;"Biogas",IFERROR(VLOOKUP(A73,[1]Biogasudbytte!$A$2:$B$18,2,FALSE)*[1]Energiindhold!$C$10,0)*K73*IFERROR(VLOOKUP(A73,Biogasanlæg!$F$3:$G$8,2,FALSE),1)+IFERROR(VLOOKUP(A73,[1]Energiindhold!$A$2:$C$11,3,FALSE),0)*M73+IF(E73&lt;&gt;År1,R73,0),0)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11"/>
        <v>0</v>
      </c>
      <c r="V73" s="169">
        <f>P73*IFERROR(VLOOKUP(A73,[1]Tørstofindhold!A$2:B$24,2,FALSE),0)</f>
        <v>0</v>
      </c>
      <c r="W73">
        <f>IF(E73=År1,Q73,SUM(P73,Q73))*IFERROR(VLOOKUP(A73,[1]Tørstofindhold!A$2:B$24,2,FALSE),0)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12"/>
        <v>0</v>
      </c>
      <c r="Z73">
        <f t="shared" si="18"/>
        <v>0</v>
      </c>
      <c r="AA73">
        <f t="shared" si="19"/>
        <v>1</v>
      </c>
    </row>
    <row r="74" spans="1:27" x14ac:dyDescent="0.25">
      <c r="A74" s="171" t="str">
        <f t="shared" si="13"/>
        <v>Korn</v>
      </c>
      <c r="B74" s="171" t="str">
        <f t="shared" si="14"/>
        <v>Halm og strå</v>
      </c>
      <c r="C74" s="171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1</v>
      </c>
      <c r="D74" s="171">
        <f t="shared" si="16"/>
        <v>1</v>
      </c>
      <c r="E74" s="171">
        <f t="shared" si="15"/>
        <v>2030</v>
      </c>
      <c r="F74" t="s">
        <v>23</v>
      </c>
      <c r="G74" s="94">
        <f>IF(F74="Vestdanmark",SUMIFS(IF(E74=År1,'Resultater - Vestdanmark'!H$3:H$504,IF(E74=År2,'Resultater - Vestdanmark'!I$3:I$504,'Resultater - Vestdanmark'!J$3:J$504)),'Resultater - Vestdanmark'!$F$3:$F$504,$A74,IF(E74=År1,'Resultater - Vestdanmark'!H$3:H$504,IF(E74=År2,'Resultater - Vestdanmark'!I$3:I$504,'Resultater - Vestdanmark'!J$3:J$504)),"&gt;0"),SUMIFS(IF(E74=År1,'Resultater - Østdanmark'!H$3:H$504,IF(E74=År2,'Resultater - Østdanmark'!I$3:I$504,'Resultater - Østdanmark'!J$3:J$504)),'Resultater - Østdanmark'!$F$3:$F$504,$A74,IF(E74=År1,'Resultater - Østdanmark'!H$3:H$504,IF(E74=År2,'Resultater - Østdanmark'!I$3:I$504,'Resultater - Østdanmark'!J$3:J$504)),"&gt;0"))</f>
        <v>4698307.4709618408</v>
      </c>
      <c r="H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forbrug'!H$3,'Forbrug af biomasse'!$B$2:$B$425,$F74)</f>
        <v>3213850.6503298059</v>
      </c>
      <c r="I74">
        <f>IF(F74="Vestdanmark",-IF(A74="Halm",SUMIFS(IF(E74=År1,'Resultater - Vestdanmark'!H$3:H$504,IF(E74=År2,'Resultater - Vestdanmark'!I$3:I$504,'Resultater - Vestdanmark'!J$3:J$504)),'Resultater - Vestdanmark'!$F$3:$F$504,$A74,'Resultater - Vestdanmark'!H$3:H$504,"&lt;0"),0),-IF(A74="Halm",SUMIFS(IF(E74=År1,'Resultater - Østdanmark'!H$3:H$504,IF(E74=År2,'Resultater - Østdanmark'!I$3:I$504,'Resultater - Østdanmark'!J$3:J$504)),'Resultater - Østdanmark'!$F$3:$F$504,$A74,'Resultater - Østdanmark'!H$3:H$504,"&lt;0"),0))</f>
        <v>0</v>
      </c>
      <c r="J74" s="94"/>
      <c r="K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forbrug'!K$3,'Forbrug af biomasse'!$B$2:$B$425,$F74)</f>
        <v>0</v>
      </c>
      <c r="L74" s="94">
        <f>SUMIFS('Forbrug af biomasse'!$E$2:$E$425,'Forbrug af biomasse'!$C$2:$C$425,'Resultat-Produktion &amp; forbrug'!$A74,'Forbrug af biomasse'!$D$2:$D$425,'Resultat-Produktion &amp; forbrug'!$E74,'Forbrug af biomasse'!$A$2:$A$425,'Resultat-Produktion &amp; forbrug'!L$3,'Forbrug af biomasse'!$B$2:$B$425,$F74)</f>
        <v>0</v>
      </c>
      <c r="M74" s="94">
        <f>IF(A74&lt;&gt;"Biogas",SUMIFS('Forbrug af biomasse'!$E$2:$E$425,'Forbrug af biomasse'!$C$2:$C$425,'Resultat-Produktion &amp; forbrug'!$A74,'Forbrug af biomasse'!$D$2:$D$425,'Resultat-Produktion &amp; forbrug'!$E74,'Forbrug af biomasse'!$A$2:$A$425,'Resultat-Produktion &amp; forbrug'!M$3,'Forbrug af biomasse'!$B$2:$B$425,$F74),G74)</f>
        <v>0</v>
      </c>
      <c r="N74" s="94">
        <f>SUMIFS('Forbrug af biomasse'!E:E,'Forbrug af biomasse'!C:C,'Resultat-Produktion &amp; forbrug'!$A74,'Forbrug af biomasse'!D:D,'Resultat-Produktion &amp; forbrug'!$E74,'Forbrug af biomasse'!G:G,1,'Forbrug af biomasse'!B:B,$F74)</f>
        <v>0</v>
      </c>
      <c r="O74" s="179">
        <f t="shared" si="9"/>
        <v>1484456.8206320349</v>
      </c>
      <c r="P74" s="94">
        <f t="shared" si="17"/>
        <v>1484456.8206320349</v>
      </c>
      <c r="Q74" s="180">
        <f t="shared" si="10"/>
        <v>0</v>
      </c>
      <c r="R74">
        <f>IFERROR(VLOOKUP(A74,[1]Energiindhold!$A$2:$C$11,3,FALSE),IFERROR(VLOOKUP(A74,[1]Biogasudbytte!$A$2:$B$18,2,FALSE)*[1]Energiindhold!$C$10,0))*P74</f>
        <v>5.0840567867098319</v>
      </c>
      <c r="S74">
        <f>IF(A74&lt;&gt;"Biogas",IFERROR(VLOOKUP(A74,[1]Biogasudbytte!$A$2:$B$18,2,FALSE)*[1]Energiindhold!$C$10,0)*K74*IFERROR(VLOOKUP(A74,Biogasanlæg!$F$3:$G$8,2,FALSE),1)+IFERROR(VLOOKUP(A74,[1]Energiindhold!$A$2:$C$11,3,FALSE),0)*M74+IF(E74&lt;&gt;År1,R74,0),0)</f>
        <v>5.0840567867098319</v>
      </c>
      <c r="T74">
        <f>IFERROR(VLOOKUP(A74,[1]Biogasudbytte!$A$2:$B$18,2,FALSE)*[1]Energiindhold!$C$10,0)*K74*IFERROR(VLOOKUP(A74,Biogasanlæg!$F$3:$G$8,2,FALSE),1)</f>
        <v>0</v>
      </c>
      <c r="U74" s="170">
        <f t="shared" si="11"/>
        <v>5.0840567867098319</v>
      </c>
      <c r="V74" s="169">
        <f>P74*IFERROR(VLOOKUP(A74,[1]Tørstofindhold!A$2:B$24,2,FALSE),0)</f>
        <v>460181.61439593084</v>
      </c>
      <c r="W74">
        <f>IF(E74=År1,Q74,SUM(P74,Q74))*IFERROR(VLOOKUP(A74,[1]Tørstofindhold!A$2:B$24,2,FALSE),0)</f>
        <v>460181.61439593084</v>
      </c>
      <c r="X74">
        <f>K74*IFERROR(VLOOKUP(A74,[1]Tørstofindhold!A$2:B$24,2,FALSE),0)</f>
        <v>0</v>
      </c>
      <c r="Y74" s="170">
        <f t="shared" si="12"/>
        <v>460181.61439593084</v>
      </c>
      <c r="Z74">
        <f t="shared" si="18"/>
        <v>0</v>
      </c>
      <c r="AA74">
        <f t="shared" si="19"/>
        <v>1</v>
      </c>
    </row>
    <row r="75" spans="1:27" x14ac:dyDescent="0.25">
      <c r="A75" s="171" t="str">
        <f t="shared" si="13"/>
        <v>Kunstgødning</v>
      </c>
      <c r="B75" s="171" t="str">
        <f t="shared" si="14"/>
        <v/>
      </c>
      <c r="C75" s="171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0</v>
      </c>
      <c r="D75" s="171">
        <f t="shared" si="16"/>
        <v>0</v>
      </c>
      <c r="E75" s="171">
        <f t="shared" si="15"/>
        <v>2030</v>
      </c>
      <c r="F75" t="s">
        <v>23</v>
      </c>
      <c r="G75" s="94">
        <f>IF(F75="Vestdanmark",SUMIFS(IF(E75=År1,'Resultater - Vestdanmark'!H$3:H$504,IF(E75=År2,'Resultater - Vestdanmark'!I$3:I$504,'Resultater - Vestdanmark'!J$3:J$504)),'Resultater - Vestdanmark'!$F$3:$F$504,$A75,IF(E75=År1,'Resultater - Vestdanmark'!H$3:H$504,IF(E75=År2,'Resultater - Vestdanmark'!I$3:I$504,'Resultater - Vestdanmark'!J$3:J$504)),"&gt;0"),SUMIFS(IF(E75=År1,'Resultater - Østdanmark'!H$3:H$504,IF(E75=År2,'Resultater - Østdanmark'!I$3:I$504,'Resultater - Østdanmark'!J$3:J$504)),'Resultater - Østdanmark'!$F$3:$F$504,$A75,IF(E75=År1,'Resultater - Østdanmark'!H$3:H$504,IF(E75=År2,'Resultater - Østdanmark'!I$3:I$504,'Resultater - Østdanmark'!J$3:J$504)),"&gt;0"))</f>
        <v>0</v>
      </c>
      <c r="H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forbrug'!H$3,'Forbrug af biomasse'!$B$2:$B$425,$F75)</f>
        <v>0</v>
      </c>
      <c r="I75">
        <f>IF(F75="Vestdanmark",-IF(A75="Halm",SUMIFS(IF(E75=År1,'Resultater - Vestdanmark'!H$3:H$504,IF(E75=År2,'Resultater - Vestdanmark'!I$3:I$504,'Resultater - Vestdanmark'!J$3:J$504)),'Resultater - Vestdanmark'!$F$3:$F$504,$A75,'Resultater - Vestdanmark'!H$3:H$504,"&lt;0"),0),-IF(A75="Halm",SUMIFS(IF(E75=År1,'Resultater - Østdanmark'!H$3:H$504,IF(E75=År2,'Resultater - Østdanmark'!I$3:I$504,'Resultater - Østdanmark'!J$3:J$504)),'Resultater - Østdanmark'!$F$3:$F$504,$A75,'Resultater - Østdanmark'!H$3:H$504,"&lt;0"),0))</f>
        <v>0</v>
      </c>
      <c r="J75" s="94"/>
      <c r="K75" s="94">
        <f>SUMIFS('Forbrug af biomasse'!$E$2:$E$425,'Forbrug af biomasse'!$C$2:$C$425,'Resultat-Produktion &amp; forbrug'!$A75,'Forbrug af biomasse'!$D$2:$D$425,'Resultat-Produktion &amp; forbrug'!$E75,'Forbrug af biomasse'!$A$2:$A$425,'Resultat-Produktion &amp; forbrug'!K$3,'Forbrug af biomasse'!$B$2:$B$425,$F75)</f>
        <v>0</v>
      </c>
      <c r="L75" s="94">
        <f ca="1">SUMIFS('Forbrug af biomasse'!$E$2:$E$425,'Forbrug af biomasse'!$C$2:$C$425,'Resultat-Produktion &amp; forbrug'!$A75,'Forbrug af biomasse'!$D$2:$D$425,'Resultat-Produktion &amp; forbrug'!$E75,'Forbrug af biomasse'!$A$2:$A$425,'Resultat-Produktion &amp; forbrug'!L$3,'Forbrug af biomasse'!$B$2:$B$425,$F75)</f>
        <v>708590.7242708815</v>
      </c>
      <c r="M75" s="94">
        <f>IF(A75&lt;&gt;"Biogas",SUMIFS('Forbrug af biomasse'!$E$2:$E$425,'Forbrug af biomasse'!$C$2:$C$425,'Resultat-Produktion &amp; forbrug'!$A75,'Forbrug af biomasse'!$D$2:$D$425,'Resultat-Produktion &amp; forbrug'!$E75,'Forbrug af biomasse'!$A$2:$A$425,'Resultat-Produktion &amp; forbrug'!M$3,'Forbrug af biomasse'!$B$2:$B$425,$F75),G75)</f>
        <v>0</v>
      </c>
      <c r="N75" s="94">
        <f>SUMIFS('Forbrug af biomasse'!E:E,'Forbrug af biomasse'!C:C,'Resultat-Produktion &amp; forbrug'!$A75,'Forbrug af biomasse'!D:D,'Resultat-Produktion &amp; forbrug'!$E75,'Forbrug af biomasse'!G:G,1,'Forbrug af biomasse'!B:B,$F75)</f>
        <v>0</v>
      </c>
      <c r="O75" s="179">
        <f t="shared" ca="1" si="9"/>
        <v>-708590.7242708815</v>
      </c>
      <c r="P75" s="94">
        <f t="shared" si="17"/>
        <v>0</v>
      </c>
      <c r="Q75" s="180">
        <f t="shared" si="1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IF(A75&lt;&gt;"Biogas",IFERROR(VLOOKUP(A75,[1]Biogasudbytte!$A$2:$B$18,2,FALSE)*[1]Energiindhold!$C$10,0)*K75*IFERROR(VLOOKUP(A75,Biogasanlæg!$F$3:$G$8,2,FALSE),1)+IFERROR(VLOOKUP(A75,[1]Energiindhold!$A$2:$C$11,3,FALSE),0)*M75+IF(E75&lt;&gt;År1,R75,0),0)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11"/>
        <v>0</v>
      </c>
      <c r="V75" s="169">
        <f>P75*IFERROR(VLOOKUP(A75,[1]Tørstofindhold!A$2:B$24,2,FALSE),0)</f>
        <v>0</v>
      </c>
      <c r="W75">
        <f>IF(E75=År1,Q75,SUM(P75,Q75))*IFERROR(VLOOKUP(A75,[1]Tørstofindhold!A$2:B$24,2,FALSE),0)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12"/>
        <v>0</v>
      </c>
      <c r="Z75">
        <f t="shared" ca="1" si="18"/>
        <v>1</v>
      </c>
      <c r="AA75">
        <f t="shared" ca="1" si="19"/>
        <v>0</v>
      </c>
    </row>
    <row r="76" spans="1:27" x14ac:dyDescent="0.25">
      <c r="A76" s="171" t="str">
        <f t="shared" si="13"/>
        <v>Kvæggylle</v>
      </c>
      <c r="B76" s="171" t="str">
        <f t="shared" si="14"/>
        <v>Husdyrgødning</v>
      </c>
      <c r="C76" s="171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1</v>
      </c>
      <c r="D76" s="171">
        <f t="shared" si="16"/>
        <v>0</v>
      </c>
      <c r="E76" s="171">
        <f t="shared" si="15"/>
        <v>2030</v>
      </c>
      <c r="F76" t="s">
        <v>23</v>
      </c>
      <c r="G76" s="94">
        <f>IF(F76="Vestdanmark",SUMIFS(IF(E76=År1,'Resultater - Vestdanmark'!H$3:H$504,IF(E76=År2,'Resultater - Vestdanmark'!I$3:I$504,'Resultater - Vestdanmark'!J$3:J$504)),'Resultater - Vestdanmark'!$F$3:$F$504,$A76,IF(E76=År1,'Resultater - Vestdanmark'!H$3:H$504,IF(E76=År2,'Resultater - Vestdanmark'!I$3:I$504,'Resultater - Vestdanmark'!J$3:J$504)),"&gt;0"),SUMIFS(IF(E76=År1,'Resultater - Østdanmark'!H$3:H$504,IF(E76=År2,'Resultater - Østdanmark'!I$3:I$504,'Resultater - Østdanmark'!J$3:J$504)),'Resultater - Østdanmark'!$F$3:$F$504,$A76,IF(E76=År1,'Resultater - Østdanmark'!H$3:H$504,IF(E76=År2,'Resultater - Østdanmark'!I$3:I$504,'Resultater - Østdanmark'!J$3:J$504)),"&gt;0"))</f>
        <v>6068128.1928290678</v>
      </c>
      <c r="H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forbrug'!H$3,'Forbrug af biomasse'!$B$2:$B$425,$F76)</f>
        <v>0</v>
      </c>
      <c r="I76">
        <f>IF(F76="Vestdanmark",-IF(A76="Halm",SUMIFS(IF(E76=År1,'Resultater - Vestdanmark'!H$3:H$504,IF(E76=År2,'Resultater - Vestdanmark'!I$3:I$504,'Resultater - Vestdanmark'!J$3:J$504)),'Resultater - Vestdanmark'!$F$3:$F$504,$A76,'Resultater - Vestdanmark'!H$3:H$504,"&lt;0"),0),-IF(A76="Halm",SUMIFS(IF(E76=År1,'Resultater - Østdanmark'!H$3:H$504,IF(E76=År2,'Resultater - Østdanmark'!I$3:I$504,'Resultater - Østdanmark'!J$3:J$504)),'Resultater - Østdanmark'!$F$3:$F$504,$A76,'Resultater - Østdanmark'!H$3:H$504,"&lt;0"),0))</f>
        <v>0</v>
      </c>
      <c r="J76" s="94"/>
      <c r="K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forbrug'!K$3,'Forbrug af biomasse'!$B$2:$B$425,$F76)</f>
        <v>4551096.1446218006</v>
      </c>
      <c r="L76" s="94">
        <f>SUMIFS('Forbrug af biomasse'!$E$2:$E$425,'Forbrug af biomasse'!$C$2:$C$425,'Resultat-Produktion &amp; forbrug'!$A76,'Forbrug af biomasse'!$D$2:$D$425,'Resultat-Produktion &amp; forbrug'!$E76,'Forbrug af biomasse'!$A$2:$A$425,'Resultat-Produktion &amp; forbrug'!L$3,'Forbrug af biomasse'!$B$2:$B$425,$F76)</f>
        <v>1517032.048207267</v>
      </c>
      <c r="M76" s="94">
        <f>IF(A76&lt;&gt;"Biogas",SUMIFS('Forbrug af biomasse'!$E$2:$E$425,'Forbrug af biomasse'!$C$2:$C$425,'Resultat-Produktion &amp; forbrug'!$A76,'Forbrug af biomasse'!$D$2:$D$425,'Resultat-Produktion &amp; forbrug'!$E76,'Forbrug af biomasse'!$A$2:$A$425,'Resultat-Produktion &amp; forbrug'!M$3,'Forbrug af biomasse'!$B$2:$B$425,$F76),G76)</f>
        <v>0</v>
      </c>
      <c r="N76" s="94">
        <f>SUMIFS('Forbrug af biomasse'!E:E,'Forbrug af biomasse'!C:C,'Resultat-Produktion &amp; forbrug'!$A76,'Forbrug af biomasse'!D:D,'Resultat-Produktion &amp; forbrug'!$E76,'Forbrug af biomasse'!G:G,1,'Forbrug af biomasse'!B:B,$F76)</f>
        <v>0</v>
      </c>
      <c r="O76" s="179">
        <f t="shared" si="9"/>
        <v>0</v>
      </c>
      <c r="P76" s="94">
        <f t="shared" si="17"/>
        <v>0</v>
      </c>
      <c r="Q76" s="180">
        <f t="shared" si="10"/>
        <v>4551096.1446218006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IF(A76&lt;&gt;"Biogas",IFERROR(VLOOKUP(A76,[1]Biogasudbytte!$A$2:$B$18,2,FALSE)*[1]Energiindhold!$C$10,0)*K76*IFERROR(VLOOKUP(A76,Biogasanlæg!$F$3:$G$8,2,FALSE),1)+IFERROR(VLOOKUP(A76,[1]Energiindhold!$A$2:$C$11,3,FALSE),0)*M76+IF(E76&lt;&gt;År1,R76,0),0)</f>
        <v>2.3037193574461097</v>
      </c>
      <c r="T76">
        <f>IFERROR(VLOOKUP(A76,[1]Biogasudbytte!$A$2:$B$18,2,FALSE)*[1]Energiindhold!$C$10,0)*K76*IFERROR(VLOOKUP(A76,Biogasanlæg!$F$3:$G$8,2,FALSE),1)</f>
        <v>2.3037193574461097</v>
      </c>
      <c r="U76" s="170">
        <f t="shared" si="11"/>
        <v>0</v>
      </c>
      <c r="V76" s="169">
        <f>P76*IFERROR(VLOOKUP(A76,[1]Tørstofindhold!A$2:B$24,2,FALSE),0)</f>
        <v>0</v>
      </c>
      <c r="W76">
        <f>IF(E76=År1,Q76,SUM(P76,Q76))*IFERROR(VLOOKUP(A76,[1]Tørstofindhold!A$2:B$24,2,FALSE),0)</f>
        <v>345883.30699125683</v>
      </c>
      <c r="X76">
        <f>K76*IFERROR(VLOOKUP(A76,[1]Tørstofindhold!A$2:B$24,2,FALSE),0)</f>
        <v>345883.30699125683</v>
      </c>
      <c r="Y76" s="170">
        <f t="shared" si="12"/>
        <v>0</v>
      </c>
      <c r="Z76">
        <f t="shared" si="18"/>
        <v>0</v>
      </c>
      <c r="AA76">
        <f t="shared" si="19"/>
        <v>0</v>
      </c>
    </row>
    <row r="77" spans="1:27" x14ac:dyDescent="0.25">
      <c r="A77" s="171" t="str">
        <f t="shared" si="13"/>
        <v>Mælk til foder</v>
      </c>
      <c r="B77" s="171" t="str">
        <f t="shared" si="14"/>
        <v/>
      </c>
      <c r="C77" s="171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0</v>
      </c>
      <c r="D77" s="171">
        <f t="shared" si="16"/>
        <v>0</v>
      </c>
      <c r="E77" s="171">
        <f t="shared" si="15"/>
        <v>2030</v>
      </c>
      <c r="F77" t="s">
        <v>23</v>
      </c>
      <c r="G77" s="94">
        <f>IF(F77="Vestdanmark",SUMIFS(IF(E77=År1,'Resultater - Vestdanmark'!H$3:H$504,IF(E77=År2,'Resultater - Vestdanmark'!I$3:I$504,'Resultater - Vestdanmark'!J$3:J$504)),'Resultater - Vestdanmark'!$F$3:$F$504,$A77,IF(E77=År1,'Resultater - Vestdanmark'!H$3:H$504,IF(E77=År2,'Resultater - Vestdanmark'!I$3:I$504,'Resultater - Vestdanmark'!J$3:J$504)),"&gt;0"),SUMIFS(IF(E77=År1,'Resultater - Østdanmark'!H$3:H$504,IF(E77=År2,'Resultater - Østdanmark'!I$3:I$504,'Resultater - Østdanmark'!J$3:J$504)),'Resultater - Østdanmark'!$F$3:$F$504,$A77,IF(E77=År1,'Resultater - Østdanmark'!H$3:H$504,IF(E77=År2,'Resultater - Østdanmark'!I$3:I$504,'Resultater - Østdanmark'!J$3:J$504)),"&gt;0"))</f>
        <v>706621.13097372942</v>
      </c>
      <c r="H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forbrug'!H$3,'Forbrug af biomasse'!$B$2:$B$425,$F77)</f>
        <v>784847.28992527397</v>
      </c>
      <c r="I77">
        <f>IF(F77="Vestdanmark",-IF(A77="Halm",SUMIFS(IF(E77=År1,'Resultater - Vestdanmark'!H$3:H$504,IF(E77=År2,'Resultater - Vestdanmark'!I$3:I$504,'Resultater - Vestdanmark'!J$3:J$504)),'Resultater - Vestdanmark'!$F$3:$F$504,$A77,'Resultater - Vestdanmark'!H$3:H$504,"&lt;0"),0),-IF(A77="Halm",SUMIFS(IF(E77=År1,'Resultater - Østdanmark'!H$3:H$504,IF(E77=År2,'Resultater - Østdanmark'!I$3:I$504,'Resultater - Østdanmark'!J$3:J$504)),'Resultater - Østdanmark'!$F$3:$F$504,$A77,'Resultater - Østdanmark'!H$3:H$504,"&lt;0"),0))</f>
        <v>0</v>
      </c>
      <c r="J77" s="94"/>
      <c r="K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forbrug'!K$3,'Forbrug af biomasse'!$B$2:$B$425,$F77)</f>
        <v>0</v>
      </c>
      <c r="L77" s="94">
        <f>SUMIFS('Forbrug af biomasse'!$E$2:$E$425,'Forbrug af biomasse'!$C$2:$C$425,'Resultat-Produktion &amp; forbrug'!$A77,'Forbrug af biomasse'!$D$2:$D$425,'Resultat-Produktion &amp; forbrug'!$E77,'Forbrug af biomasse'!$A$2:$A$425,'Resultat-Produktion &amp; forbrug'!L$3,'Forbrug af biomasse'!$B$2:$B$425,$F77)</f>
        <v>0</v>
      </c>
      <c r="M77" s="94">
        <f>IF(A77&lt;&gt;"Biogas",SUMIFS('Forbrug af biomasse'!$E$2:$E$425,'Forbrug af biomasse'!$C$2:$C$425,'Resultat-Produktion &amp; forbrug'!$A77,'Forbrug af biomasse'!$D$2:$D$425,'Resultat-Produktion &amp; forbrug'!$E77,'Forbrug af biomasse'!$A$2:$A$425,'Resultat-Produktion &amp; forbrug'!M$3,'Forbrug af biomasse'!$B$2:$B$425,$F77),G77)</f>
        <v>0</v>
      </c>
      <c r="N77" s="94">
        <f>SUMIFS('Forbrug af biomasse'!E:E,'Forbrug af biomasse'!C:C,'Resultat-Produktion &amp; forbrug'!$A77,'Forbrug af biomasse'!D:D,'Resultat-Produktion &amp; forbrug'!$E77,'Forbrug af biomasse'!G:G,1,'Forbrug af biomasse'!B:B,$F77)</f>
        <v>0</v>
      </c>
      <c r="O77" s="179">
        <f t="shared" si="9"/>
        <v>-78226.158951544552</v>
      </c>
      <c r="P77" s="94">
        <f t="shared" si="17"/>
        <v>0</v>
      </c>
      <c r="Q77" s="180">
        <f t="shared" si="1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IF(A77&lt;&gt;"Biogas",IFERROR(VLOOKUP(A77,[1]Biogasudbytte!$A$2:$B$18,2,FALSE)*[1]Energiindhold!$C$10,0)*K77*IFERROR(VLOOKUP(A77,Biogasanlæg!$F$3:$G$8,2,FALSE),1)+IFERROR(VLOOKUP(A77,[1]Energiindhold!$A$2:$C$11,3,FALSE),0)*M77+IF(E77&lt;&gt;År1,R77,0),0)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11"/>
        <v>0</v>
      </c>
      <c r="V77" s="169">
        <f>P77*IFERROR(VLOOKUP(A77,[1]Tørstofindhold!A$2:B$24,2,FALSE),0)</f>
        <v>0</v>
      </c>
      <c r="W77">
        <f>IF(E77=År1,Q77,SUM(P77,Q77))*IFERROR(VLOOKUP(A77,[1]Tørstofindhold!A$2:B$24,2,FALSE),0)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12"/>
        <v>0</v>
      </c>
      <c r="Z77">
        <f t="shared" si="18"/>
        <v>1</v>
      </c>
      <c r="AA77">
        <f t="shared" si="19"/>
        <v>0</v>
      </c>
    </row>
    <row r="78" spans="1:27" x14ac:dyDescent="0.25">
      <c r="A78" s="171" t="str">
        <f t="shared" si="13"/>
        <v>Majs</v>
      </c>
      <c r="B78" s="171" t="str">
        <f t="shared" si="14"/>
        <v>Græs og urter</v>
      </c>
      <c r="C78" s="171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1</v>
      </c>
      <c r="D78" s="171">
        <f t="shared" si="16"/>
        <v>1</v>
      </c>
      <c r="E78" s="171">
        <f t="shared" si="15"/>
        <v>2030</v>
      </c>
      <c r="F78" t="s">
        <v>23</v>
      </c>
      <c r="G78" s="94">
        <f>IF(F78="Vestdanmark",SUMIFS(IF(E78=År1,'Resultater - Vestdanmark'!H$3:H$504,IF(E78=År2,'Resultater - Vestdanmark'!I$3:I$504,'Resultater - Vestdanmark'!J$3:J$504)),'Resultater - Vestdanmark'!$F$3:$F$504,$A78,IF(E78=År1,'Resultater - Vestdanmark'!H$3:H$504,IF(E78=År2,'Resultater - Vestdanmark'!I$3:I$504,'Resultater - Vestdanmark'!J$3:J$504)),"&gt;0"),SUMIFS(IF(E78=År1,'Resultater - Østdanmark'!H$3:H$504,IF(E78=År2,'Resultater - Østdanmark'!I$3:I$504,'Resultater - Østdanmark'!J$3:J$504)),'Resultater - Østdanmark'!$F$3:$F$504,$A78,IF(E78=År1,'Resultater - Østdanmark'!H$3:H$504,IF(E78=År2,'Resultater - Østdanmark'!I$3:I$504,'Resultater - Østdanmark'!J$3:J$504)),"&gt;0"))</f>
        <v>4171283.8969927602</v>
      </c>
      <c r="H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forbrug'!H$3,'Forbrug af biomasse'!$B$2:$B$425,$F78)</f>
        <v>3107018.8030339861</v>
      </c>
      <c r="I78">
        <f>IF(F78="Vestdanmark",-IF(A78="Halm",SUMIFS(IF(E78=År1,'Resultater - Vestdanmark'!H$3:H$504,IF(E78=År2,'Resultater - Vestdanmark'!I$3:I$504,'Resultater - Vestdanmark'!J$3:J$504)),'Resultater - Vestdanmark'!$F$3:$F$504,$A78,'Resultater - Vestdanmark'!H$3:H$504,"&lt;0"),0),-IF(A78="Halm",SUMIFS(IF(E78=År1,'Resultater - Østdanmark'!H$3:H$504,IF(E78=År2,'Resultater - Østdanmark'!I$3:I$504,'Resultater - Østdanmark'!J$3:J$504)),'Resultater - Østdanmark'!$F$3:$F$504,$A78,'Resultater - Østdanmark'!H$3:H$504,"&lt;0"),0))</f>
        <v>0</v>
      </c>
      <c r="J78" s="94"/>
      <c r="K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forbrug'!K$3,'Forbrug af biomasse'!$B$2:$B$425,$F78)</f>
        <v>0</v>
      </c>
      <c r="L78" s="94">
        <f>SUMIFS('Forbrug af biomasse'!$E$2:$E$425,'Forbrug af biomasse'!$C$2:$C$425,'Resultat-Produktion &amp; forbrug'!$A78,'Forbrug af biomasse'!$D$2:$D$425,'Resultat-Produktion &amp; forbrug'!$E78,'Forbrug af biomasse'!$A$2:$A$425,'Resultat-Produktion &amp; forbrug'!L$3,'Forbrug af biomasse'!$B$2:$B$425,$F78)</f>
        <v>0</v>
      </c>
      <c r="M78" s="94">
        <f>IF(A78&lt;&gt;"Biogas",SUMIFS('Forbrug af biomasse'!$E$2:$E$425,'Forbrug af biomasse'!$C$2:$C$425,'Resultat-Produktion &amp; forbrug'!$A78,'Forbrug af biomasse'!$D$2:$D$425,'Resultat-Produktion &amp; forbrug'!$E78,'Forbrug af biomasse'!$A$2:$A$425,'Resultat-Produktion &amp; forbrug'!M$3,'Forbrug af biomasse'!$B$2:$B$425,$F78),G78)</f>
        <v>0</v>
      </c>
      <c r="N78" s="94">
        <f>SUMIFS('Forbrug af biomasse'!E:E,'Forbrug af biomasse'!C:C,'Resultat-Produktion &amp; forbrug'!$A78,'Forbrug af biomasse'!D:D,'Resultat-Produktion &amp; forbrug'!$E78,'Forbrug af biomasse'!G:G,1,'Forbrug af biomasse'!B:B,$F78)</f>
        <v>0</v>
      </c>
      <c r="O78" s="179">
        <f t="shared" si="9"/>
        <v>1064265.0939587741</v>
      </c>
      <c r="P78" s="94">
        <f t="shared" si="17"/>
        <v>1064265.0939587741</v>
      </c>
      <c r="Q78" s="180">
        <f t="shared" si="10"/>
        <v>0</v>
      </c>
      <c r="R78">
        <f>IFERROR(VLOOKUP(A78,[1]Energiindhold!$A$2:$C$11,3,FALSE),IFERROR(VLOOKUP(A78,[1]Biogasudbytte!$A$2:$B$18,2,FALSE)*[1]Energiindhold!$C$10,0))*P78</f>
        <v>3.8207116873119995</v>
      </c>
      <c r="S78">
        <f>IF(A78&lt;&gt;"Biogas",IFERROR(VLOOKUP(A78,[1]Biogasudbytte!$A$2:$B$18,2,FALSE)*[1]Energiindhold!$C$10,0)*K78*IFERROR(VLOOKUP(A78,Biogasanlæg!$F$3:$G$8,2,FALSE),1)+IFERROR(VLOOKUP(A78,[1]Energiindhold!$A$2:$C$11,3,FALSE),0)*M78+IF(E78&lt;&gt;År1,R78,0),0)</f>
        <v>3.8207116873119995</v>
      </c>
      <c r="T78">
        <f>IFERROR(VLOOKUP(A78,[1]Biogasudbytte!$A$2:$B$18,2,FALSE)*[1]Energiindhold!$C$10,0)*K78*IFERROR(VLOOKUP(A78,Biogasanlæg!$F$3:$G$8,2,FALSE),1)</f>
        <v>0</v>
      </c>
      <c r="U78" s="170">
        <f t="shared" si="11"/>
        <v>3.8207116873119995</v>
      </c>
      <c r="V78" s="169">
        <f>P78*IFERROR(VLOOKUP(A78,[1]Tørstofindhold!A$2:B$24,2,FALSE),0)</f>
        <v>319279.52818763221</v>
      </c>
      <c r="W78">
        <f>IF(E78=År1,Q78,SUM(P78,Q78))*IFERROR(VLOOKUP(A78,[1]Tørstofindhold!A$2:B$24,2,FALSE),0)</f>
        <v>319279.52818763221</v>
      </c>
      <c r="X78">
        <f>K78*IFERROR(VLOOKUP(A78,[1]Tørstofindhold!A$2:B$24,2,FALSE),0)</f>
        <v>0</v>
      </c>
      <c r="Y78" s="170">
        <f t="shared" si="12"/>
        <v>319279.52818763221</v>
      </c>
      <c r="Z78">
        <f t="shared" si="18"/>
        <v>0</v>
      </c>
      <c r="AA78">
        <f t="shared" si="19"/>
        <v>1</v>
      </c>
    </row>
    <row r="79" spans="1:27" x14ac:dyDescent="0.25">
      <c r="A79" s="171" t="str">
        <f t="shared" si="13"/>
        <v>Mejeriprodukter</v>
      </c>
      <c r="B79" s="171" t="str">
        <f t="shared" si="14"/>
        <v/>
      </c>
      <c r="C79" s="171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0</v>
      </c>
      <c r="D79" s="171">
        <f t="shared" si="16"/>
        <v>1</v>
      </c>
      <c r="E79" s="171">
        <f t="shared" si="15"/>
        <v>2030</v>
      </c>
      <c r="F79" t="s">
        <v>23</v>
      </c>
      <c r="G79" s="94">
        <f>IF(F79="Vestdanmark",SUMIFS(IF(E79=År1,'Resultater - Vestdanmark'!H$3:H$504,IF(E79=År2,'Resultater - Vestdanmark'!I$3:I$504,'Resultater - Vestdanmark'!J$3:J$504)),'Resultater - Vestdanmark'!$F$3:$F$504,$A79,IF(E79=År1,'Resultater - Vestdanmark'!H$3:H$504,IF(E79=År2,'Resultater - Vestdanmark'!I$3:I$504,'Resultater - Vestdanmark'!J$3:J$504)),"&gt;0"),SUMIFS(IF(E79=År1,'Resultater - Østdanmark'!H$3:H$504,IF(E79=År2,'Resultater - Østdanmark'!I$3:I$504,'Resultater - Østdanmark'!J$3:J$504)),'Resultater - Østdanmark'!$F$3:$F$504,$A79,IF(E79=År1,'Resultater - Østdanmark'!H$3:H$504,IF(E79=År2,'Resultater - Østdanmark'!I$3:I$504,'Resultater - Østdanmark'!J$3:J$504)),"&gt;0"))</f>
        <v>1363412.0539430196</v>
      </c>
      <c r="H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forbrug'!H$3,'Forbrug af biomasse'!$B$2:$B$425,$F79)</f>
        <v>0</v>
      </c>
      <c r="I79">
        <f>IF(F79="Vestdanmark",-IF(A79="Halm",SUMIFS(IF(E79=År1,'Resultater - Vestdanmark'!H$3:H$504,IF(E79=År2,'Resultater - Vestdanmark'!I$3:I$504,'Resultater - Vestdanmark'!J$3:J$504)),'Resultater - Vestdanmark'!$F$3:$F$504,$A79,'Resultater - Vestdanmark'!H$3:H$504,"&lt;0"),0),-IF(A79="Halm",SUMIFS(IF(E79=År1,'Resultater - Østdanmark'!H$3:H$504,IF(E79=År2,'Resultater - Østdanmark'!I$3:I$504,'Resultater - Østdanmark'!J$3:J$504)),'Resultater - Østdanmark'!$F$3:$F$504,$A79,'Resultater - Østdanmark'!H$3:H$504,"&lt;0"),0))</f>
        <v>0</v>
      </c>
      <c r="J79" s="94"/>
      <c r="K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forbrug'!K$3,'Forbrug af biomasse'!$B$2:$B$425,$F79)</f>
        <v>0</v>
      </c>
      <c r="L79" s="94">
        <f>SUMIFS('Forbrug af biomasse'!$E$2:$E$425,'Forbrug af biomasse'!$C$2:$C$425,'Resultat-Produktion &amp; forbrug'!$A79,'Forbrug af biomasse'!$D$2:$D$425,'Resultat-Produktion &amp; forbrug'!$E79,'Forbrug af biomasse'!$A$2:$A$425,'Resultat-Produktion &amp; forbrug'!L$3,'Forbrug af biomasse'!$B$2:$B$425,$F79)</f>
        <v>0</v>
      </c>
      <c r="M79" s="94">
        <f>IF(A79&lt;&gt;"Biogas",SUMIFS('Forbrug af biomasse'!$E$2:$E$425,'Forbrug af biomasse'!$C$2:$C$425,'Resultat-Produktion &amp; forbrug'!$A79,'Forbrug af biomasse'!$D$2:$D$425,'Resultat-Produktion &amp; forbrug'!$E79,'Forbrug af biomasse'!$A$2:$A$425,'Resultat-Produktion &amp; forbrug'!M$3,'Forbrug af biomasse'!$B$2:$B$425,$F79),G79)</f>
        <v>0</v>
      </c>
      <c r="N79" s="94">
        <f>SUMIFS('Forbrug af biomasse'!E:E,'Forbrug af biomasse'!C:C,'Resultat-Produktion &amp; forbrug'!$A79,'Forbrug af biomasse'!D:D,'Resultat-Produktion &amp; forbrug'!$E79,'Forbrug af biomasse'!G:G,1,'Forbrug af biomasse'!B:B,$F79)</f>
        <v>0</v>
      </c>
      <c r="O79" s="179">
        <f t="shared" si="9"/>
        <v>1363412.0539430196</v>
      </c>
      <c r="P79" s="94">
        <f t="shared" si="17"/>
        <v>0</v>
      </c>
      <c r="Q79" s="180">
        <f t="shared" si="1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IF(A79&lt;&gt;"Biogas",IFERROR(VLOOKUP(A79,[1]Biogasudbytte!$A$2:$B$18,2,FALSE)*[1]Energiindhold!$C$10,0)*K79*IFERROR(VLOOKUP(A79,Biogasanlæg!$F$3:$G$8,2,FALSE),1)+IFERROR(VLOOKUP(A79,[1]Energiindhold!$A$2:$C$11,3,FALSE),0)*M79+IF(E79&lt;&gt;År1,R79,0),0)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11"/>
        <v>0</v>
      </c>
      <c r="V79" s="169">
        <f>P79*IFERROR(VLOOKUP(A79,[1]Tørstofindhold!A$2:B$24,2,FALSE),0)</f>
        <v>0</v>
      </c>
      <c r="W79">
        <f>IF(E79=År1,Q79,SUM(P79,Q79))*IFERROR(VLOOKUP(A79,[1]Tørstofindhold!A$2:B$24,2,FALSE),0)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12"/>
        <v>0</v>
      </c>
      <c r="Z79">
        <f t="shared" si="18"/>
        <v>0</v>
      </c>
      <c r="AA79">
        <f t="shared" si="19"/>
        <v>1</v>
      </c>
    </row>
    <row r="80" spans="1:27" x14ac:dyDescent="0.25">
      <c r="A80" s="171" t="str">
        <f t="shared" si="13"/>
        <v>Muslinger</v>
      </c>
      <c r="B80" s="171" t="str">
        <f t="shared" si="14"/>
        <v>Havbiomasse</v>
      </c>
      <c r="C80" s="171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1</v>
      </c>
      <c r="D80" s="171">
        <f t="shared" si="16"/>
        <v>1</v>
      </c>
      <c r="E80" s="171">
        <f t="shared" si="15"/>
        <v>2030</v>
      </c>
      <c r="F80" t="s">
        <v>23</v>
      </c>
      <c r="G80" s="94">
        <f>IF(F80="Vestdanmark",SUMIFS(IF(E80=År1,'Resultater - Vestdanmark'!H$3:H$504,IF(E80=År2,'Resultater - Vestdanmark'!I$3:I$504,'Resultater - Vestdanmark'!J$3:J$504)),'Resultater - Vestdanmark'!$F$3:$F$504,$A80,IF(E80=År1,'Resultater - Vestdanmark'!H$3:H$504,IF(E80=År2,'Resultater - Vestdanmark'!I$3:I$504,'Resultater - Vestdanmark'!J$3:J$504)),"&gt;0"),SUMIFS(IF(E80=År1,'Resultater - Østdanmark'!H$3:H$504,IF(E80=År2,'Resultater - Østdanmark'!I$3:I$504,'Resultater - Østdanmark'!J$3:J$504)),'Resultater - Østdanmark'!$F$3:$F$504,$A80,IF(E80=År1,'Resultater - Østdanmark'!H$3:H$504,IF(E80=År2,'Resultater - Østdanmark'!I$3:I$504,'Resultater - Østdanmark'!J$3:J$504)),"&gt;0"))</f>
        <v>878.90231344976178</v>
      </c>
      <c r="H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forbrug'!H$3,'Forbrug af biomasse'!$B$2:$B$425,$F80)</f>
        <v>0</v>
      </c>
      <c r="I80">
        <f>IF(F80="Vestdanmark",-IF(A80="Halm",SUMIFS(IF(E80=År1,'Resultater - Vestdanmark'!H$3:H$504,IF(E80=År2,'Resultater - Vestdanmark'!I$3:I$504,'Resultater - Vestdanmark'!J$3:J$504)),'Resultater - Vestdanmark'!$F$3:$F$504,$A80,'Resultater - Vestdanmark'!H$3:H$504,"&lt;0"),0),-IF(A80="Halm",SUMIFS(IF(E80=År1,'Resultater - Østdanmark'!H$3:H$504,IF(E80=År2,'Resultater - Østdanmark'!I$3:I$504,'Resultater - Østdanmark'!J$3:J$504)),'Resultater - Østdanmark'!$F$3:$F$504,$A80,'Resultater - Østdanmark'!H$3:H$504,"&lt;0"),0))</f>
        <v>0</v>
      </c>
      <c r="J80" s="94"/>
      <c r="K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forbrug'!K$3,'Forbrug af biomasse'!$B$2:$B$425,$F80)</f>
        <v>0</v>
      </c>
      <c r="L80" s="94">
        <f>SUMIFS('Forbrug af biomasse'!$E$2:$E$425,'Forbrug af biomasse'!$C$2:$C$425,'Resultat-Produktion &amp; forbrug'!$A80,'Forbrug af biomasse'!$D$2:$D$425,'Resultat-Produktion &amp; forbrug'!$E80,'Forbrug af biomasse'!$A$2:$A$425,'Resultat-Produktion &amp; forbrug'!L$3,'Forbrug af biomasse'!$B$2:$B$425,$F80)</f>
        <v>0</v>
      </c>
      <c r="M80" s="94">
        <f>IF(A80&lt;&gt;"Biogas",SUMIFS('Forbrug af biomasse'!$E$2:$E$425,'Forbrug af biomasse'!$C$2:$C$425,'Resultat-Produktion &amp; forbrug'!$A80,'Forbrug af biomasse'!$D$2:$D$425,'Resultat-Produktion &amp; forbrug'!$E80,'Forbrug af biomasse'!$A$2:$A$425,'Resultat-Produktion &amp; forbrug'!M$3,'Forbrug af biomasse'!$B$2:$B$425,$F80),G80)</f>
        <v>0</v>
      </c>
      <c r="N80" s="94">
        <f>SUMIFS('Forbrug af biomasse'!E:E,'Forbrug af biomasse'!C:C,'Resultat-Produktion &amp; forbrug'!$A80,'Forbrug af biomasse'!D:D,'Resultat-Produktion &amp; forbrug'!$E80,'Forbrug af biomasse'!G:G,1,'Forbrug af biomasse'!B:B,$F80)</f>
        <v>0</v>
      </c>
      <c r="O80" s="179">
        <f t="shared" si="9"/>
        <v>878.90231344976178</v>
      </c>
      <c r="P80" s="94">
        <f t="shared" si="17"/>
        <v>878.90231344976178</v>
      </c>
      <c r="Q80" s="180">
        <f t="shared" si="10"/>
        <v>0</v>
      </c>
      <c r="R80">
        <f>IFERROR(VLOOKUP(A80,[1]Energiindhold!$A$2:$C$11,3,FALSE),IFERROR(VLOOKUP(A80,[1]Biogasudbytte!$A$2:$B$18,2,FALSE)*[1]Energiindhold!$C$10,0))*P80</f>
        <v>7.8881482632116122E-4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IF(A80&lt;&gt;"Biogas",IFERROR(VLOOKUP(A80,[1]Biogasudbytte!$A$2:$B$18,2,FALSE)*[1]Energiindhold!$C$10,0)*K80*IFERROR(VLOOKUP(A80,Biogasanlæg!$F$3:$G$8,2,FALSE),1)+IFERROR(VLOOKUP(A80,[1]Energiindhold!$A$2:$C$11,3,FALSE),0)*M80+IF(E80&lt;&gt;År1,R80,0),0)</f>
        <v>7.8881482632116122E-4</v>
      </c>
      <c r="T80">
        <f>IFERROR(VLOOKUP(A80,[1]Biogasudbytte!$A$2:$B$18,2,FALSE)*[1]Energiindhold!$C$10,0)*K80*IFERROR(VLOOKUP(A80,Biogasanlæg!$F$3:$G$8,2,FALSE),1)</f>
        <v>0</v>
      </c>
      <c r="U80" s="170">
        <f t="shared" si="11"/>
        <v>7.8881482632116122E-4</v>
      </c>
      <c r="V80" s="169">
        <f>P80*IFERROR(VLOOKUP(A80,[1]Tørstofindhold!A$2:B$24,2,FALSE),0)</f>
        <v>131.83534701746427</v>
      </c>
      <c r="W80">
        <f>IF(E80=År1,Q80,SUM(P80,Q80))*IFERROR(VLOOKUP(A80,[1]Tørstofindhold!A$2:B$24,2,FALSE),0)</f>
        <v>131.83534701746427</v>
      </c>
      <c r="X80">
        <f>K80*IFERROR(VLOOKUP(A80,[1]Tørstofindhold!A$2:B$24,2,FALSE),0)</f>
        <v>0</v>
      </c>
      <c r="Y80" s="170">
        <f t="shared" si="12"/>
        <v>131.83534701746427</v>
      </c>
      <c r="Z80">
        <f t="shared" si="18"/>
        <v>0</v>
      </c>
      <c r="AA80">
        <f t="shared" si="19"/>
        <v>1</v>
      </c>
    </row>
    <row r="81" spans="1:27" x14ac:dyDescent="0.25">
      <c r="A81" s="171" t="str">
        <f t="shared" si="13"/>
        <v>Oksekød</v>
      </c>
      <c r="B81" s="171" t="str">
        <f t="shared" si="14"/>
        <v/>
      </c>
      <c r="C81" s="171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71">
        <f t="shared" si="16"/>
        <v>1</v>
      </c>
      <c r="E81" s="171">
        <f t="shared" si="15"/>
        <v>2030</v>
      </c>
      <c r="F81" t="s">
        <v>23</v>
      </c>
      <c r="G81" s="94">
        <f>IF(F81="Vestdanmark",SUMIFS(IF(E81=År1,'Resultater - Vestdanmark'!H$3:H$504,IF(E81=År2,'Resultater - Vestdanmark'!I$3:I$504,'Resultater - Vestdanmark'!J$3:J$504)),'Resultater - Vestdanmark'!$F$3:$F$504,$A81,IF(E81=År1,'Resultater - Vestdanmark'!H$3:H$504,IF(E81=År2,'Resultater - Vestdanmark'!I$3:I$504,'Resultater - Vestdanmark'!J$3:J$504)),"&gt;0"),SUMIFS(IF(E81=År1,'Resultater - Østdanmark'!H$3:H$504,IF(E81=År2,'Resultater - Østdanmark'!I$3:I$504,'Resultater - Østdanmark'!J$3:J$504)),'Resultater - Østdanmark'!$F$3:$F$504,$A81,IF(E81=År1,'Resultater - Østdanmark'!H$3:H$504,IF(E81=År2,'Resultater - Østdanmark'!I$3:I$504,'Resultater - Østdanmark'!J$3:J$504)),"&gt;0"))</f>
        <v>87951.528514645848</v>
      </c>
      <c r="H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forbrug'!H$3,'Forbrug af biomasse'!$B$2:$B$425,$F81)</f>
        <v>0</v>
      </c>
      <c r="I81">
        <f>IF(F81="Vestdanmark",-IF(A81="Halm",SUMIFS(IF(E81=År1,'Resultater - Vestdanmark'!H$3:H$504,IF(E81=År2,'Resultater - Vestdanmark'!I$3:I$504,'Resultater - Vestdanmark'!J$3:J$504)),'Resultater - Vestdanmark'!$F$3:$F$504,$A81,'Resultater - Vestdanmark'!H$3:H$504,"&lt;0"),0),-IF(A81="Halm",SUMIFS(IF(E81=År1,'Resultater - Østdanmark'!H$3:H$504,IF(E81=År2,'Resultater - Østdanmark'!I$3:I$504,'Resultater - Østdanmark'!J$3:J$504)),'Resultater - Østdanmark'!$F$3:$F$504,$A81,'Resultater - Østdanmark'!H$3:H$504,"&lt;0"),0))</f>
        <v>0</v>
      </c>
      <c r="J81" s="94"/>
      <c r="K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forbrug'!K$3,'Forbrug af biomasse'!$B$2:$B$425,$F81)</f>
        <v>0</v>
      </c>
      <c r="L81" s="94">
        <f>SUMIFS('Forbrug af biomasse'!$E$2:$E$425,'Forbrug af biomasse'!$C$2:$C$425,'Resultat-Produktion &amp; forbrug'!$A81,'Forbrug af biomasse'!$D$2:$D$425,'Resultat-Produktion &amp; forbrug'!$E81,'Forbrug af biomasse'!$A$2:$A$425,'Resultat-Produktion &amp; forbrug'!L$3,'Forbrug af biomasse'!$B$2:$B$425,$F81)</f>
        <v>0</v>
      </c>
      <c r="M81" s="94">
        <f>IF(A81&lt;&gt;"Biogas",SUMIFS('Forbrug af biomasse'!$E$2:$E$425,'Forbrug af biomasse'!$C$2:$C$425,'Resultat-Produktion &amp; forbrug'!$A81,'Forbrug af biomasse'!$D$2:$D$425,'Resultat-Produktion &amp; forbrug'!$E81,'Forbrug af biomasse'!$A$2:$A$425,'Resultat-Produktion &amp; forbrug'!M$3,'Forbrug af biomasse'!$B$2:$B$425,$F81),G81)</f>
        <v>0</v>
      </c>
      <c r="N81" s="94">
        <f>SUMIFS('Forbrug af biomasse'!E:E,'Forbrug af biomasse'!C:C,'Resultat-Produktion &amp; forbrug'!$A81,'Forbrug af biomasse'!D:D,'Resultat-Produktion &amp; forbrug'!$E81,'Forbrug af biomasse'!G:G,1,'Forbrug af biomasse'!B:B,$F81)</f>
        <v>0</v>
      </c>
      <c r="O81" s="179">
        <f t="shared" si="9"/>
        <v>87951.528514645848</v>
      </c>
      <c r="P81" s="94">
        <f t="shared" si="17"/>
        <v>0</v>
      </c>
      <c r="Q81" s="180">
        <f t="shared" si="1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IF(A81&lt;&gt;"Biogas",IFERROR(VLOOKUP(A81,[1]Biogasudbytte!$A$2:$B$18,2,FALSE)*[1]Energiindhold!$C$10,0)*K81*IFERROR(VLOOKUP(A81,Biogasanlæg!$F$3:$G$8,2,FALSE),1)+IFERROR(VLOOKUP(A81,[1]Energiindhold!$A$2:$C$11,3,FALSE),0)*M81+IF(E81&lt;&gt;År1,R81,0),0)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11"/>
        <v>0</v>
      </c>
      <c r="V81" s="169">
        <f>P81*IFERROR(VLOOKUP(A81,[1]Tørstofindhold!A$2:B$24,2,FALSE),0)</f>
        <v>0</v>
      </c>
      <c r="W81">
        <f>IF(E81=År1,Q81,SUM(P81,Q81))*IFERROR(VLOOKUP(A81,[1]Tørstofindhold!A$2:B$24,2,FALSE),0)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12"/>
        <v>0</v>
      </c>
      <c r="Z81">
        <f t="shared" si="18"/>
        <v>0</v>
      </c>
      <c r="AA81">
        <f t="shared" si="19"/>
        <v>1</v>
      </c>
    </row>
    <row r="82" spans="1:27" x14ac:dyDescent="0.25">
      <c r="A82" s="171" t="str">
        <f t="shared" si="13"/>
        <v>Øvrige</v>
      </c>
      <c r="B82" s="171" t="str">
        <f t="shared" si="14"/>
        <v/>
      </c>
      <c r="C82" s="171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0</v>
      </c>
      <c r="D82" s="171">
        <f t="shared" si="16"/>
        <v>1</v>
      </c>
      <c r="E82" s="171">
        <f t="shared" si="15"/>
        <v>2030</v>
      </c>
      <c r="F82" t="s">
        <v>23</v>
      </c>
      <c r="G82" s="94">
        <f>IF(F82="Vestdanmark",SUMIFS(IF(E82=År1,'Resultater - Vestdanmark'!H$3:H$504,IF(E82=År2,'Resultater - Vestdanmark'!I$3:I$504,'Resultater - Vestdanmark'!J$3:J$504)),'Resultater - Vestdanmark'!$F$3:$F$504,$A82,IF(E82=År1,'Resultater - Vestdanmark'!H$3:H$504,IF(E82=År2,'Resultater - Vestdanmark'!I$3:I$504,'Resultater - Vestdanmark'!J$3:J$504)),"&gt;0"),SUMIFS(IF(E82=År1,'Resultater - Østdanmark'!H$3:H$504,IF(E82=År2,'Resultater - Østdanmark'!I$3:I$504,'Resultater - Østdanmark'!J$3:J$504)),'Resultater - Østdanmark'!$F$3:$F$504,$A82,IF(E82=År1,'Resultater - Østdanmark'!H$3:H$504,IF(E82=År2,'Resultater - Østdanmark'!I$3:I$504,'Resultater - Østdanmark'!J$3:J$504)),"&gt;0"))</f>
        <v>1037736.7550566321</v>
      </c>
      <c r="H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forbrug'!H$3,'Forbrug af biomasse'!$B$2:$B$425,$F82)</f>
        <v>0</v>
      </c>
      <c r="I82">
        <f>IF(F82="Vestdanmark",-IF(A82="Halm",SUMIFS(IF(E82=År1,'Resultater - Vestdanmark'!H$3:H$504,IF(E82=År2,'Resultater - Vestdanmark'!I$3:I$504,'Resultater - Vestdanmark'!J$3:J$504)),'Resultater - Vestdanmark'!$F$3:$F$504,$A82,'Resultater - Vestdanmark'!H$3:H$504,"&lt;0"),0),-IF(A82="Halm",SUMIFS(IF(E82=År1,'Resultater - Østdanmark'!H$3:H$504,IF(E82=År2,'Resultater - Østdanmark'!I$3:I$504,'Resultater - Østdanmark'!J$3:J$504)),'Resultater - Østdanmark'!$F$3:$F$504,$A82,'Resultater - Østdanmark'!H$3:H$504,"&lt;0"),0))</f>
        <v>0</v>
      </c>
      <c r="J82" s="94"/>
      <c r="K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forbrug'!K$3,'Forbrug af biomasse'!$B$2:$B$425,$F82)</f>
        <v>0</v>
      </c>
      <c r="L82" s="94">
        <f>SUMIFS('Forbrug af biomasse'!$E$2:$E$425,'Forbrug af biomasse'!$C$2:$C$425,'Resultat-Produktion &amp; forbrug'!$A82,'Forbrug af biomasse'!$D$2:$D$425,'Resultat-Produktion &amp; forbrug'!$E82,'Forbrug af biomasse'!$A$2:$A$425,'Resultat-Produktion &amp; forbrug'!L$3,'Forbrug af biomasse'!$B$2:$B$425,$F82)</f>
        <v>0</v>
      </c>
      <c r="M82" s="94">
        <f>IF(A82&lt;&gt;"Biogas",SUMIFS('Forbrug af biomasse'!$E$2:$E$425,'Forbrug af biomasse'!$C$2:$C$425,'Resultat-Produktion &amp; forbrug'!$A82,'Forbrug af biomasse'!$D$2:$D$425,'Resultat-Produktion &amp; forbrug'!$E82,'Forbrug af biomasse'!$A$2:$A$425,'Resultat-Produktion &amp; forbrug'!M$3,'Forbrug af biomasse'!$B$2:$B$425,$F82),G82)</f>
        <v>0</v>
      </c>
      <c r="N82" s="94">
        <f>SUMIFS('Forbrug af biomasse'!E:E,'Forbrug af biomasse'!C:C,'Resultat-Produktion &amp; forbrug'!$A82,'Forbrug af biomasse'!D:D,'Resultat-Produktion &amp; forbrug'!$E82,'Forbrug af biomasse'!G:G,1,'Forbrug af biomasse'!B:B,$F82)</f>
        <v>0</v>
      </c>
      <c r="O82" s="179">
        <f t="shared" si="9"/>
        <v>1037736.7550566321</v>
      </c>
      <c r="P82" s="94">
        <f t="shared" si="17"/>
        <v>0</v>
      </c>
      <c r="Q82" s="180">
        <f t="shared" si="1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IF(A82&lt;&gt;"Biogas",IFERROR(VLOOKUP(A82,[1]Biogasudbytte!$A$2:$B$18,2,FALSE)*[1]Energiindhold!$C$10,0)*K82*IFERROR(VLOOKUP(A82,Biogasanlæg!$F$3:$G$8,2,FALSE),1)+IFERROR(VLOOKUP(A82,[1]Energiindhold!$A$2:$C$11,3,FALSE),0)*M82+IF(E82&lt;&gt;År1,R82,0),0)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11"/>
        <v>0</v>
      </c>
      <c r="V82" s="169">
        <f>P82*IFERROR(VLOOKUP(A82,[1]Tørstofindhold!A$2:B$24,2,FALSE),0)</f>
        <v>0</v>
      </c>
      <c r="W82">
        <f>IF(E82=År1,Q82,SUM(P82,Q82))*IFERROR(VLOOKUP(A82,[1]Tørstofindhold!A$2:B$24,2,FALSE),0)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12"/>
        <v>0</v>
      </c>
      <c r="Z82">
        <f t="shared" si="18"/>
        <v>0</v>
      </c>
      <c r="AA82">
        <f t="shared" si="19"/>
        <v>1</v>
      </c>
    </row>
    <row r="83" spans="1:27" x14ac:dyDescent="0.25">
      <c r="A83" s="171" t="str">
        <f t="shared" si="13"/>
        <v>Pil &amp; poppel</v>
      </c>
      <c r="B83" s="171" t="str">
        <f t="shared" si="14"/>
        <v>Vedmasse</v>
      </c>
      <c r="C83" s="171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71">
        <f t="shared" si="16"/>
        <v>0</v>
      </c>
      <c r="E83" s="171">
        <f t="shared" si="15"/>
        <v>2030</v>
      </c>
      <c r="F83" t="s">
        <v>23</v>
      </c>
      <c r="G83" s="94">
        <f>IF(F83="Vestdanmark",SUMIFS(IF(E83=År1,'Resultater - Vestdanmark'!H$3:H$504,IF(E83=År2,'Resultater - Vestdanmark'!I$3:I$504,'Resultater - Vestdanmark'!J$3:J$504)),'Resultater - Vestdanmark'!$F$3:$F$504,$A83,IF(E83=År1,'Resultater - Vestdanmark'!H$3:H$504,IF(E83=År2,'Resultater - Vestdanmark'!I$3:I$504,'Resultater - Vestdanmark'!J$3:J$504)),"&gt;0"),SUMIFS(IF(E83=År1,'Resultater - Østdanmark'!H$3:H$504,IF(E83=År2,'Resultater - Østdanmark'!I$3:I$504,'Resultater - Østdanmark'!J$3:J$504)),'Resultater - Østdanmark'!$F$3:$F$504,$A83,IF(E83=År1,'Resultater - Østdanmark'!H$3:H$504,IF(E83=År2,'Resultater - Østdanmark'!I$3:I$504,'Resultater - Østdanmark'!J$3:J$504)),"&gt;0"))</f>
        <v>897193.5214277351</v>
      </c>
      <c r="H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forbrug'!H$3,'Forbrug af biomasse'!$B$2:$B$425,$F83)</f>
        <v>0</v>
      </c>
      <c r="I83">
        <f>IF(F83="Vestdanmark",-IF(A83="Halm",SUMIFS(IF(E83=År1,'Resultater - Vestdanmark'!H$3:H$504,IF(E83=År2,'Resultater - Vestdanmark'!I$3:I$504,'Resultater - Vestdanmark'!J$3:J$504)),'Resultater - Vestdanmark'!$F$3:$F$504,$A83,'Resultater - Vestdanmark'!H$3:H$504,"&lt;0"),0),-IF(A83="Halm",SUMIFS(IF(E83=År1,'Resultater - Østdanmark'!H$3:H$504,IF(E83=År2,'Resultater - Østdanmark'!I$3:I$504,'Resultater - Østdanmark'!J$3:J$504)),'Resultater - Østdanmark'!$F$3:$F$504,$A83,'Resultater - Østdanmark'!H$3:H$504,"&lt;0"),0))</f>
        <v>0</v>
      </c>
      <c r="J83" s="94"/>
      <c r="K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forbrug'!K$3,'Forbrug af biomasse'!$B$2:$B$425,$F83)</f>
        <v>0</v>
      </c>
      <c r="L83" s="94">
        <f>SUMIFS('Forbrug af biomasse'!$E$2:$E$425,'Forbrug af biomasse'!$C$2:$C$425,'Resultat-Produktion &amp; forbrug'!$A83,'Forbrug af biomasse'!$D$2:$D$425,'Resultat-Produktion &amp; forbrug'!$E83,'Forbrug af biomasse'!$A$2:$A$425,'Resultat-Produktion &amp; forbrug'!L$3,'Forbrug af biomasse'!$B$2:$B$425,$F83)</f>
        <v>0</v>
      </c>
      <c r="M83" s="94">
        <f>IF(A83&lt;&gt;"Biogas",SUMIFS('Forbrug af biomasse'!$E$2:$E$425,'Forbrug af biomasse'!$C$2:$C$425,'Resultat-Produktion &amp; forbrug'!$A83,'Forbrug af biomasse'!$D$2:$D$425,'Resultat-Produktion &amp; forbrug'!$E83,'Forbrug af biomasse'!$A$2:$A$425,'Resultat-Produktion &amp; forbrug'!M$3,'Forbrug af biomasse'!$B$2:$B$425,$F83),G83)</f>
        <v>897193.5214277351</v>
      </c>
      <c r="N83" s="94">
        <f>SUMIFS('Forbrug af biomasse'!E:E,'Forbrug af biomasse'!C:C,'Resultat-Produktion &amp; forbrug'!$A83,'Forbrug af biomasse'!D:D,'Resultat-Produktion &amp; forbrug'!$E83,'Forbrug af biomasse'!G:G,1,'Forbrug af biomasse'!B:B,$F83)</f>
        <v>0</v>
      </c>
      <c r="O83" s="179">
        <f t="shared" ref="O83:O150" si="20">G83-SUM(H83:N83)</f>
        <v>0</v>
      </c>
      <c r="P83" s="94">
        <f t="shared" si="17"/>
        <v>0</v>
      </c>
      <c r="Q83" s="180">
        <f t="shared" ref="Q83:Q150" si="21">SUM(K83,M83)</f>
        <v>897193.5214277351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IF(A83&lt;&gt;"Biogas",IFERROR(VLOOKUP(A83,[1]Biogasudbytte!$A$2:$B$18,2,FALSE)*[1]Energiindhold!$C$10,0)*K83*IFERROR(VLOOKUP(A83,Biogasanlæg!$F$3:$G$8,2,FALSE),1)+IFERROR(VLOOKUP(A83,[1]Energiindhold!$A$2:$C$11,3,FALSE),0)*M83+IF(E83&lt;&gt;År1,R83,0),0)</f>
        <v>16.508360794270324</v>
      </c>
      <c r="T83">
        <f>IFERROR(VLOOKUP(A83,[1]Biogasudbytte!$A$2:$B$18,2,FALSE)*[1]Energiindhold!$C$10,0)*K83*IFERROR(VLOOKUP(A83,Biogasanlæg!$F$3:$G$8,2,FALSE),1)</f>
        <v>0</v>
      </c>
      <c r="U83" s="170">
        <f t="shared" ref="U83:U150" si="22">S83-T83</f>
        <v>16.508360794270324</v>
      </c>
      <c r="V83" s="169">
        <f>P83*IFERROR(VLOOKUP(A83,[1]Tørstofindhold!A$2:B$24,2,FALSE),0)</f>
        <v>0</v>
      </c>
      <c r="W83">
        <f>IF(E83=År1,Q83,SUM(P83,Q83))*IFERROR(VLOOKUP(A83,[1]Tørstofindhold!A$2:B$24,2,FALSE),0)</f>
        <v>372335.31139251008</v>
      </c>
      <c r="X83">
        <f>K83*IFERROR(VLOOKUP(A83,[1]Tørstofindhold!A$2:B$24,2,FALSE),0)</f>
        <v>0</v>
      </c>
      <c r="Y83" s="170">
        <f t="shared" ref="Y83:Y150" si="23">W83-X83</f>
        <v>372335.31139251008</v>
      </c>
      <c r="Z83">
        <f t="shared" si="18"/>
        <v>0</v>
      </c>
      <c r="AA83">
        <f t="shared" si="19"/>
        <v>0</v>
      </c>
    </row>
    <row r="84" spans="1:27" x14ac:dyDescent="0.25">
      <c r="A84" s="171" t="str">
        <f>A36</f>
        <v>Pyrolysegas</v>
      </c>
      <c r="B84" s="171" t="str">
        <f>IF(B36&lt;&gt;"",B36,"")</f>
        <v>Pyrolyseprodukter</v>
      </c>
      <c r="C84" s="171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71">
        <f t="shared" si="16"/>
        <v>0</v>
      </c>
      <c r="E84" s="171">
        <f t="shared" si="15"/>
        <v>2030</v>
      </c>
      <c r="F84" t="s">
        <v>23</v>
      </c>
      <c r="G84" s="94">
        <f>IF(F84="Vestdanmark",SUMIFS(IF(E84=År1,'Resultater - Vestdanmark'!H$3:H$504,IF(E84=År2,'Resultater - Vestdanmark'!I$3:I$504,'Resultater - Vestdanmark'!J$3:J$504)),'Resultater - Vestdanmark'!$F$3:$F$504,$A84,IF(E84=År1,'Resultater - Vestdanmark'!H$3:H$504,IF(E84=År2,'Resultater - Vestdanmark'!I$3:I$504,'Resultater - Vestdanmark'!J$3:J$504)),"&gt;0"),SUMIFS(IF(E84=År1,'Resultater - Østdanmark'!H$3:H$504,IF(E84=År2,'Resultater - Østdanmark'!I$3:I$504,'Resultater - Østdanmark'!J$3:J$504)),'Resultater - Østdanmark'!$F$3:$F$504,$A84,IF(E84=År1,'Resultater - Østdanmark'!H$3:H$504,IF(E84=År2,'Resultater - Østdanmark'!I$3:I$504,'Resultater - Østdanmark'!J$3:J$504)),"&gt;0"))</f>
        <v>0</v>
      </c>
      <c r="H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forbrug'!H$3,'Forbrug af biomasse'!$B$2:$B$425,$F84)</f>
        <v>0</v>
      </c>
      <c r="I84">
        <f>IF(F84="Vestdanmark",-IF(A84="Halm",SUMIFS(IF(E84=År1,'Resultater - Vestdanmark'!H$3:H$504,IF(E84=År2,'Resultater - Vestdanmark'!I$3:I$504,'Resultater - Vestdanmark'!J$3:J$504)),'Resultater - Vestdanmark'!$F$3:$F$504,$A84,'Resultater - Vestdanmark'!H$3:H$504,"&lt;0"),0),-IF(A84="Halm",SUMIFS(IF(E84=År1,'Resultater - Østdanmark'!H$3:H$504,IF(E84=År2,'Resultater - Østdanmark'!I$3:I$504,'Resultater - Østdanmark'!J$3:J$504)),'Resultater - Østdanmark'!$F$3:$F$504,$A84,'Resultater - Østdanmark'!H$3:H$504,"&lt;0"),0))</f>
        <v>0</v>
      </c>
      <c r="J84" s="94"/>
      <c r="K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forbrug'!K$3,'Forbrug af biomasse'!$B$2:$B$425,$F84)</f>
        <v>0</v>
      </c>
      <c r="L84" s="94">
        <f>SUMIFS('Forbrug af biomasse'!$E$2:$E$425,'Forbrug af biomasse'!$C$2:$C$425,'Resultat-Produktion &amp; forbrug'!$A84,'Forbrug af biomasse'!$D$2:$D$425,'Resultat-Produktion &amp; forbrug'!$E84,'Forbrug af biomasse'!$A$2:$A$425,'Resultat-Produktion &amp; forbrug'!L$3,'Forbrug af biomasse'!$B$2:$B$425,$F84)</f>
        <v>0</v>
      </c>
      <c r="M84" s="94">
        <f>IF(A84&lt;&gt;"Biogas",SUMIFS('Forbrug af biomasse'!$E$2:$E$425,'Forbrug af biomasse'!$C$2:$C$425,'Resultat-Produktion &amp; forbrug'!$A84,'Forbrug af biomasse'!$D$2:$D$425,'Resultat-Produktion &amp; forbrug'!$E84,'Forbrug af biomasse'!$A$2:$A$425,'Resultat-Produktion &amp; forbrug'!M$3,'Forbrug af biomasse'!$B$2:$B$425,$F84),G84)</f>
        <v>0</v>
      </c>
      <c r="N84" s="94">
        <f>SUMIFS('Forbrug af biomasse'!E:E,'Forbrug af biomasse'!C:C,'Resultat-Produktion &amp; forbrug'!$A84,'Forbrug af biomasse'!D:D,'Resultat-Produktion &amp; forbrug'!$E84,'Forbrug af biomasse'!G:G,1,'Forbrug af biomasse'!B:B,$F84)</f>
        <v>0</v>
      </c>
      <c r="O84" s="179">
        <f>G84-SUM(H84:N84)</f>
        <v>0</v>
      </c>
      <c r="P84" s="94">
        <f t="shared" si="17"/>
        <v>0</v>
      </c>
      <c r="Q84" s="180">
        <f>SUM(K84,M84)</f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IF(A84&lt;&gt;"Biogas",IFERROR(VLOOKUP(A84,[1]Biogasudbytte!$A$2:$B$18,2,FALSE)*[1]Energiindhold!$C$10,0)*K84*IFERROR(VLOOKUP(A84,Biogasanlæg!$F$3:$G$8,2,FALSE),1)+IFERROR(VLOOKUP(A84,[1]Energiindhold!$A$2:$C$11,3,FALSE),0)*M84+IF(E84&lt;&gt;År1,R84,0),0)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>S84-T84</f>
        <v>0</v>
      </c>
      <c r="V84" s="169">
        <f>P84*IFERROR(VLOOKUP(A84,[1]Tørstofindhold!A$2:B$24,2,FALSE),0)</f>
        <v>0</v>
      </c>
      <c r="W84">
        <f>IF(E84=År1,Q84,SUM(P84,Q84))*IFERROR(VLOOKUP(A84,[1]Tørstofindhold!A$2:B$24,2,FALSE),0)</f>
        <v>0</v>
      </c>
      <c r="X84">
        <f>K84*IFERROR(VLOOKUP(A84,[1]Tørstofindhold!A$2:B$24,2,FALSE),0)</f>
        <v>0</v>
      </c>
      <c r="Y84" s="170">
        <f>W84-X84</f>
        <v>0</v>
      </c>
      <c r="Z84">
        <f t="shared" si="18"/>
        <v>0</v>
      </c>
      <c r="AA84">
        <f t="shared" si="19"/>
        <v>0</v>
      </c>
    </row>
    <row r="85" spans="1:27" x14ac:dyDescent="0.25">
      <c r="A85" s="171" t="str">
        <f>A37</f>
        <v>Pyrolyseolie</v>
      </c>
      <c r="B85" s="171" t="str">
        <f>IF(B37&lt;&gt;"",B37,"")</f>
        <v>Pyrolyseprodukter</v>
      </c>
      <c r="C85" s="171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1</v>
      </c>
      <c r="D85" s="171">
        <f t="shared" si="16"/>
        <v>0</v>
      </c>
      <c r="E85" s="171">
        <f t="shared" si="15"/>
        <v>2030</v>
      </c>
      <c r="F85" t="s">
        <v>23</v>
      </c>
      <c r="G85" s="94">
        <f>IF(F85="Vestdanmark",SUMIFS(IF(E85=År1,'Resultater - Vestdanmark'!H$3:H$504,IF(E85=År2,'Resultater - Vestdanmark'!I$3:I$504,'Resultater - Vestdanmark'!J$3:J$504)),'Resultater - Vestdanmark'!$F$3:$F$504,$A85,IF(E85=År1,'Resultater - Vestdanmark'!H$3:H$504,IF(E85=År2,'Resultater - Vestdanmark'!I$3:I$504,'Resultater - Vestdanmark'!J$3:J$504)),"&gt;0"),SUMIFS(IF(E85=År1,'Resultater - Østdanmark'!H$3:H$504,IF(E85=År2,'Resultater - Østdanmark'!I$3:I$504,'Resultater - Østdanmark'!J$3:J$504)),'Resultater - Østdanmark'!$F$3:$F$504,$A85,IF(E85=År1,'Resultater - Østdanmark'!H$3:H$504,IF(E85=År2,'Resultater - Østdanmark'!I$3:I$504,'Resultater - Østdanmark'!J$3:J$504)),"&gt;0"))</f>
        <v>0</v>
      </c>
      <c r="H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forbrug'!H$3,'Forbrug af biomasse'!$B$2:$B$425,$F85)</f>
        <v>0</v>
      </c>
      <c r="I85">
        <f>IF(F85="Vestdanmark",-IF(A85="Halm",SUMIFS(IF(E85=År1,'Resultater - Vestdanmark'!H$3:H$504,IF(E85=År2,'Resultater - Vestdanmark'!I$3:I$504,'Resultater - Vestdanmark'!J$3:J$504)),'Resultater - Vestdanmark'!$F$3:$F$504,$A85,'Resultater - Vestdanmark'!H$3:H$504,"&lt;0"),0),-IF(A85="Halm",SUMIFS(IF(E85=År1,'Resultater - Østdanmark'!H$3:H$504,IF(E85=År2,'Resultater - Østdanmark'!I$3:I$504,'Resultater - Østdanmark'!J$3:J$504)),'Resultater - Østdanmark'!$F$3:$F$504,$A85,'Resultater - Østdanmark'!H$3:H$504,"&lt;0"),0))</f>
        <v>0</v>
      </c>
      <c r="J85" s="94"/>
      <c r="K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forbrug'!K$3,'Forbrug af biomasse'!$B$2:$B$425,$F85)</f>
        <v>0</v>
      </c>
      <c r="L85" s="94">
        <f>SUMIFS('Forbrug af biomasse'!$E$2:$E$425,'Forbrug af biomasse'!$C$2:$C$425,'Resultat-Produktion &amp; forbrug'!$A85,'Forbrug af biomasse'!$D$2:$D$425,'Resultat-Produktion &amp; forbrug'!$E85,'Forbrug af biomasse'!$A$2:$A$425,'Resultat-Produktion &amp; forbrug'!L$3,'Forbrug af biomasse'!$B$2:$B$425,$F85)</f>
        <v>0</v>
      </c>
      <c r="M85" s="94">
        <f>IF(A85&lt;&gt;"Biogas",SUMIFS('Forbrug af biomasse'!$E$2:$E$425,'Forbrug af biomasse'!$C$2:$C$425,'Resultat-Produktion &amp; forbrug'!$A85,'Forbrug af biomasse'!$D$2:$D$425,'Resultat-Produktion &amp; forbrug'!$E85,'Forbrug af biomasse'!$A$2:$A$425,'Resultat-Produktion &amp; forbrug'!M$3,'Forbrug af biomasse'!$B$2:$B$425,$F85),G85)</f>
        <v>0</v>
      </c>
      <c r="N85" s="94">
        <f>SUMIFS('Forbrug af biomasse'!E:E,'Forbrug af biomasse'!C:C,'Resultat-Produktion &amp; forbrug'!$A85,'Forbrug af biomasse'!D:D,'Resultat-Produktion &amp; forbrug'!$E85,'Forbrug af biomasse'!G:G,1,'Forbrug af biomasse'!B:B,$F85)</f>
        <v>0</v>
      </c>
      <c r="O85" s="179">
        <f>G85-SUM(H85:N85)</f>
        <v>0</v>
      </c>
      <c r="P85" s="94">
        <f t="shared" si="17"/>
        <v>0</v>
      </c>
      <c r="Q85" s="180">
        <f>SUM(K85,M85)</f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IF(A85&lt;&gt;"Biogas",IFERROR(VLOOKUP(A85,[1]Biogasudbytte!$A$2:$B$18,2,FALSE)*[1]Energiindhold!$C$10,0)*K85*IFERROR(VLOOKUP(A85,Biogasanlæg!$F$3:$G$8,2,FALSE),1)+IFERROR(VLOOKUP(A85,[1]Energiindhold!$A$2:$C$11,3,FALSE),0)*M85+IF(E85&lt;&gt;År1,R85,0),0)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>S85-T85</f>
        <v>0</v>
      </c>
      <c r="V85" s="169">
        <f>P85*IFERROR(VLOOKUP(A85,[1]Tørstofindhold!A$2:B$24,2,FALSE),0)</f>
        <v>0</v>
      </c>
      <c r="W85">
        <f>IF(E85=År1,Q85,SUM(P85,Q85))*IFERROR(VLOOKUP(A85,[1]Tørstofindhold!A$2:B$24,2,FALSE),0)</f>
        <v>0</v>
      </c>
      <c r="X85">
        <f>K85*IFERROR(VLOOKUP(A85,[1]Tørstofindhold!A$2:B$24,2,FALSE),0)</f>
        <v>0</v>
      </c>
      <c r="Y85" s="170">
        <f>W85-X85</f>
        <v>0</v>
      </c>
      <c r="Z85">
        <f t="shared" si="18"/>
        <v>0</v>
      </c>
      <c r="AA85">
        <f t="shared" si="19"/>
        <v>0</v>
      </c>
    </row>
    <row r="86" spans="1:27" x14ac:dyDescent="0.25">
      <c r="A86" s="171" t="str">
        <f t="shared" ref="A86:A131" si="24">A38</f>
        <v>Råmælk</v>
      </c>
      <c r="B86" s="171" t="str">
        <f t="shared" ref="B86:B131" si="25">IF(B38&lt;&gt;"",B38,"")</f>
        <v/>
      </c>
      <c r="C86" s="171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71">
        <f t="shared" si="16"/>
        <v>0</v>
      </c>
      <c r="E86" s="171">
        <f t="shared" si="15"/>
        <v>2030</v>
      </c>
      <c r="F86" t="s">
        <v>23</v>
      </c>
      <c r="G86" s="94">
        <f>IF(F86="Vestdanmark",SUMIFS(IF(E86=År1,'Resultater - Vestdanmark'!H$3:H$504,IF(E86=År2,'Resultater - Vestdanmark'!I$3:I$504,'Resultater - Vestdanmark'!J$3:J$504)),'Resultater - Vestdanmark'!$F$3:$F$504,$A86,IF(E86=År1,'Resultater - Vestdanmark'!H$3:H$504,IF(E86=År2,'Resultater - Vestdanmark'!I$3:I$504,'Resultater - Vestdanmark'!J$3:J$504)),"&gt;0"),SUMIFS(IF(E86=År1,'Resultater - Østdanmark'!H$3:H$504,IF(E86=År2,'Resultater - Østdanmark'!I$3:I$504,'Resultater - Østdanmark'!J$3:J$504)),'Resultater - Østdanmark'!$F$3:$F$504,$A86,IF(E86=År1,'Resultater - Østdanmark'!H$3:H$504,IF(E86=År2,'Resultater - Østdanmark'!I$3:I$504,'Resultater - Østdanmark'!J$3:J$504)),"&gt;0"))</f>
        <v>2123110.9588889731</v>
      </c>
      <c r="H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forbrug'!H$3,'Forbrug af biomasse'!$B$2:$B$425,$F86)</f>
        <v>0</v>
      </c>
      <c r="I86">
        <f>IF(F86="Vestdanmark",-IF(A86="Halm",SUMIFS(IF(E86=År1,'Resultater - Vestdanmark'!H$3:H$504,IF(E86=År2,'Resultater - Vestdanmark'!I$3:I$504,'Resultater - Vestdanmark'!J$3:J$504)),'Resultater - Vestdanmark'!$F$3:$F$504,$A86,'Resultater - Vestdanmark'!H$3:H$504,"&lt;0"),0),-IF(A86="Halm",SUMIFS(IF(E86=År1,'Resultater - Østdanmark'!H$3:H$504,IF(E86=År2,'Resultater - Østdanmark'!I$3:I$504,'Resultater - Østdanmark'!J$3:J$504)),'Resultater - Østdanmark'!$F$3:$F$504,$A86,'Resultater - Østdanmark'!H$3:H$504,"&lt;0"),0))</f>
        <v>0</v>
      </c>
      <c r="J86" s="94"/>
      <c r="K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forbrug'!K$3,'Forbrug af biomasse'!$B$2:$B$425,$F86)</f>
        <v>0</v>
      </c>
      <c r="L86" s="94">
        <f>SUMIFS('Forbrug af biomasse'!$E$2:$E$425,'Forbrug af biomasse'!$C$2:$C$425,'Resultat-Produktion &amp; forbrug'!$A86,'Forbrug af biomasse'!$D$2:$D$425,'Resultat-Produktion &amp; forbrug'!$E86,'Forbrug af biomasse'!$A$2:$A$425,'Resultat-Produktion &amp; forbrug'!L$3,'Forbrug af biomasse'!$B$2:$B$425,$F86)</f>
        <v>0</v>
      </c>
      <c r="M86" s="94">
        <f>IF(A86&lt;&gt;"Biogas",SUMIFS('Forbrug af biomasse'!$E$2:$E$425,'Forbrug af biomasse'!$C$2:$C$425,'Resultat-Produktion &amp; forbrug'!$A86,'Forbrug af biomasse'!$D$2:$D$425,'Resultat-Produktion &amp; forbrug'!$E86,'Forbrug af biomasse'!$A$2:$A$425,'Resultat-Produktion &amp; forbrug'!M$3,'Forbrug af biomasse'!$B$2:$B$425,$F86),G86)</f>
        <v>0</v>
      </c>
      <c r="N86" s="94">
        <f>SUMIFS('Forbrug af biomasse'!E:E,'Forbrug af biomasse'!C:C,'Resultat-Produktion &amp; forbrug'!$A86,'Forbrug af biomasse'!D:D,'Resultat-Produktion &amp; forbrug'!$E86,'Forbrug af biomasse'!G:G,1,'Forbrug af biomasse'!B:B,$F86)</f>
        <v>0</v>
      </c>
      <c r="O86" s="179">
        <f t="shared" si="20"/>
        <v>2123110.9588889731</v>
      </c>
      <c r="P86" s="94">
        <f t="shared" si="17"/>
        <v>0</v>
      </c>
      <c r="Q86" s="180">
        <f t="shared" si="21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IF(A86&lt;&gt;"Biogas",IFERROR(VLOOKUP(A86,[1]Biogasudbytte!$A$2:$B$18,2,FALSE)*[1]Energiindhold!$C$10,0)*K86*IFERROR(VLOOKUP(A86,Biogasanlæg!$F$3:$G$8,2,FALSE),1)+IFERROR(VLOOKUP(A86,[1]Energiindhold!$A$2:$C$11,3,FALSE),0)*M86+IF(E86&lt;&gt;År1,R86,0),0)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2"/>
        <v>0</v>
      </c>
      <c r="V86" s="169">
        <f>P86*IFERROR(VLOOKUP(A86,[1]Tørstofindhold!A$2:B$24,2,FALSE),0)</f>
        <v>0</v>
      </c>
      <c r="W86">
        <f>IF(E86=År1,Q86,SUM(P86,Q86))*IFERROR(VLOOKUP(A86,[1]Tørstofindhold!A$2:B$24,2,FALSE),0)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3"/>
        <v>0</v>
      </c>
      <c r="Z86">
        <f t="shared" si="18"/>
        <v>0</v>
      </c>
      <c r="AA86">
        <f t="shared" si="19"/>
        <v>1</v>
      </c>
    </row>
    <row r="87" spans="1:27" x14ac:dyDescent="0.25">
      <c r="A87" s="171" t="str">
        <f t="shared" si="24"/>
        <v>Raps</v>
      </c>
      <c r="B87" s="171" t="str">
        <f t="shared" si="25"/>
        <v/>
      </c>
      <c r="C87" s="171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71">
        <f t="shared" si="16"/>
        <v>0</v>
      </c>
      <c r="E87" s="171">
        <f t="shared" si="15"/>
        <v>2030</v>
      </c>
      <c r="F87" t="s">
        <v>23</v>
      </c>
      <c r="G87" s="94">
        <f>IF(F87="Vestdanmark",SUMIFS(IF(E87=År1,'Resultater - Vestdanmark'!H$3:H$504,IF(E87=År2,'Resultater - Vestdanmark'!I$3:I$504,'Resultater - Vestdanmark'!J$3:J$504)),'Resultater - Vestdanmark'!$F$3:$F$504,$A87,IF(E87=År1,'Resultater - Vestdanmark'!H$3:H$504,IF(E87=År2,'Resultater - Vestdanmark'!I$3:I$504,'Resultater - Vestdanmark'!J$3:J$504)),"&gt;0"),SUMIFS(IF(E87=År1,'Resultater - Østdanmark'!H$3:H$504,IF(E87=År2,'Resultater - Østdanmark'!I$3:I$504,'Resultater - Østdanmark'!J$3:J$504)),'Resultater - Østdanmark'!$F$3:$F$504,$A87,IF(E87=År1,'Resultater - Østdanmark'!H$3:H$504,IF(E87=År2,'Resultater - Østdanmark'!I$3:I$504,'Resultater - Østdanmark'!J$3:J$504)),"&gt;0"))</f>
        <v>736385.00175039668</v>
      </c>
      <c r="H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forbrug'!H$3,'Forbrug af biomasse'!$B$2:$B$425,$F87)</f>
        <v>0</v>
      </c>
      <c r="I87">
        <f>IF(F87="Vestdanmark",-IF(A87="Halm",SUMIFS(IF(E87=År1,'Resultater - Vestdanmark'!H$3:H$504,IF(E87=År2,'Resultater - Vestdanmark'!I$3:I$504,'Resultater - Vestdanmark'!J$3:J$504)),'Resultater - Vestdanmark'!$F$3:$F$504,$A87,'Resultater - Vestdanmark'!H$3:H$504,"&lt;0"),0),-IF(A87="Halm",SUMIFS(IF(E87=År1,'Resultater - Østdanmark'!H$3:H$504,IF(E87=År2,'Resultater - Østdanmark'!I$3:I$504,'Resultater - Østdanmark'!J$3:J$504)),'Resultater - Østdanmark'!$F$3:$F$504,$A87,'Resultater - Østdanmark'!H$3:H$504,"&lt;0"),0))</f>
        <v>0</v>
      </c>
      <c r="J87" s="94"/>
      <c r="K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forbrug'!K$3,'Forbrug af biomasse'!$B$2:$B$425,$F87)</f>
        <v>0</v>
      </c>
      <c r="L87" s="94">
        <f>SUMIFS('Forbrug af biomasse'!$E$2:$E$425,'Forbrug af biomasse'!$C$2:$C$425,'Resultat-Produktion &amp; forbrug'!$A87,'Forbrug af biomasse'!$D$2:$D$425,'Resultat-Produktion &amp; forbrug'!$E87,'Forbrug af biomasse'!$A$2:$A$425,'Resultat-Produktion &amp; forbrug'!L$3,'Forbrug af biomasse'!$B$2:$B$425,$F87)</f>
        <v>0</v>
      </c>
      <c r="M87" s="94">
        <f>IF(A87&lt;&gt;"Biogas",SUMIFS('Forbrug af biomasse'!$E$2:$E$425,'Forbrug af biomasse'!$C$2:$C$425,'Resultat-Produktion &amp; forbrug'!$A87,'Forbrug af biomasse'!$D$2:$D$425,'Resultat-Produktion &amp; forbrug'!$E87,'Forbrug af biomasse'!$A$2:$A$425,'Resultat-Produktion &amp; forbrug'!M$3,'Forbrug af biomasse'!$B$2:$B$425,$F87),G87)</f>
        <v>0</v>
      </c>
      <c r="N87" s="94">
        <f>SUMIFS('Forbrug af biomasse'!E:E,'Forbrug af biomasse'!C:C,'Resultat-Produktion &amp; forbrug'!$A87,'Forbrug af biomasse'!D:D,'Resultat-Produktion &amp; forbrug'!$E87,'Forbrug af biomasse'!G:G,1,'Forbrug af biomasse'!B:B,$F87)</f>
        <v>736385.00175039668</v>
      </c>
      <c r="O87" s="179">
        <f t="shared" si="20"/>
        <v>0</v>
      </c>
      <c r="P87" s="94">
        <f t="shared" si="17"/>
        <v>0</v>
      </c>
      <c r="Q87" s="180">
        <f t="shared" si="21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IF(A87&lt;&gt;"Biogas",IFERROR(VLOOKUP(A87,[1]Biogasudbytte!$A$2:$B$18,2,FALSE)*[1]Energiindhold!$C$10,0)*K87*IFERROR(VLOOKUP(A87,Biogasanlæg!$F$3:$G$8,2,FALSE),1)+IFERROR(VLOOKUP(A87,[1]Energiindhold!$A$2:$C$11,3,FALSE),0)*M87+IF(E87&lt;&gt;År1,R87,0),0)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2"/>
        <v>0</v>
      </c>
      <c r="V87" s="169">
        <f>P87*IFERROR(VLOOKUP(A87,[1]Tørstofindhold!A$2:B$24,2,FALSE),0)</f>
        <v>0</v>
      </c>
      <c r="W87">
        <f>IF(E87=År1,Q87,SUM(P87,Q87))*IFERROR(VLOOKUP(A87,[1]Tørstofindhold!A$2:B$24,2,FALSE),0)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3"/>
        <v>0</v>
      </c>
      <c r="Z87">
        <f t="shared" si="18"/>
        <v>0</v>
      </c>
      <c r="AA87">
        <f t="shared" si="19"/>
        <v>0</v>
      </c>
    </row>
    <row r="88" spans="1:27" x14ac:dyDescent="0.25">
      <c r="A88" s="171" t="str">
        <f t="shared" si="24"/>
        <v>Rapskage</v>
      </c>
      <c r="B88" s="171" t="str">
        <f t="shared" si="25"/>
        <v/>
      </c>
      <c r="C88" s="171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0</v>
      </c>
      <c r="D88" s="171">
        <f t="shared" si="16"/>
        <v>0</v>
      </c>
      <c r="E88" s="171">
        <f t="shared" si="15"/>
        <v>2030</v>
      </c>
      <c r="F88" t="s">
        <v>23</v>
      </c>
      <c r="G88" s="94">
        <f>IF(F88="Vestdanmark",SUMIFS(IF(E88=År1,'Resultater - Vestdanmark'!H$3:H$504,IF(E88=År2,'Resultater - Vestdanmark'!I$3:I$504,'Resultater - Vestdanmark'!J$3:J$504)),'Resultater - Vestdanmark'!$F$3:$F$504,$A88,IF(E88=År1,'Resultater - Vestdanmark'!H$3:H$504,IF(E88=År2,'Resultater - Vestdanmark'!I$3:I$504,'Resultater - Vestdanmark'!J$3:J$504)),"&gt;0"),SUMIFS(IF(E88=År1,'Resultater - Østdanmark'!H$3:H$504,IF(E88=År2,'Resultater - Østdanmark'!I$3:I$504,'Resultater - Østdanmark'!J$3:J$504)),'Resultater - Østdanmark'!$F$3:$F$504,$A88,IF(E88=År1,'Resultater - Østdanmark'!H$3:H$504,IF(E88=År2,'Resultater - Østdanmark'!I$3:I$504,'Resultater - Østdanmark'!J$3:J$504)),"&gt;0"))</f>
        <v>368192.50087519834</v>
      </c>
      <c r="H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forbrug'!H$3,'Forbrug af biomasse'!$B$2:$B$425,$F88)</f>
        <v>297667.91735204216</v>
      </c>
      <c r="I88">
        <f>IF(F88="Vestdanmark",-IF(A88="Halm",SUMIFS(IF(E88=År1,'Resultater - Vestdanmark'!H$3:H$504,IF(E88=År2,'Resultater - Vestdanmark'!I$3:I$504,'Resultater - Vestdanmark'!J$3:J$504)),'Resultater - Vestdanmark'!$F$3:$F$504,$A88,'Resultater - Vestdanmark'!H$3:H$504,"&lt;0"),0),-IF(A88="Halm",SUMIFS(IF(E88=År1,'Resultater - Østdanmark'!H$3:H$504,IF(E88=År2,'Resultater - Østdanmark'!I$3:I$504,'Resultater - Østdanmark'!J$3:J$504)),'Resultater - Østdanmark'!$F$3:$F$504,$A88,'Resultater - Østdanmark'!H$3:H$504,"&lt;0"),0))</f>
        <v>0</v>
      </c>
      <c r="J88" s="94"/>
      <c r="K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forbrug'!K$3,'Forbrug af biomasse'!$B$2:$B$425,$F88)</f>
        <v>0</v>
      </c>
      <c r="L88" s="94">
        <f>SUMIFS('Forbrug af biomasse'!$E$2:$E$425,'Forbrug af biomasse'!$C$2:$C$425,'Resultat-Produktion &amp; forbrug'!$A88,'Forbrug af biomasse'!$D$2:$D$425,'Resultat-Produktion &amp; forbrug'!$E88,'Forbrug af biomasse'!$A$2:$A$425,'Resultat-Produktion &amp; forbrug'!L$3,'Forbrug af biomasse'!$B$2:$B$425,$F88)</f>
        <v>0</v>
      </c>
      <c r="M88" s="94">
        <f>IF(A88&lt;&gt;"Biogas",SUMIFS('Forbrug af biomasse'!$E$2:$E$425,'Forbrug af biomasse'!$C$2:$C$425,'Resultat-Produktion &amp; forbrug'!$A88,'Forbrug af biomasse'!$D$2:$D$425,'Resultat-Produktion &amp; forbrug'!$E88,'Forbrug af biomasse'!$A$2:$A$425,'Resultat-Produktion &amp; forbrug'!M$3,'Forbrug af biomasse'!$B$2:$B$425,$F88),G88)</f>
        <v>0</v>
      </c>
      <c r="N88" s="94">
        <f>SUMIFS('Forbrug af biomasse'!E:E,'Forbrug af biomasse'!C:C,'Resultat-Produktion &amp; forbrug'!$A88,'Forbrug af biomasse'!D:D,'Resultat-Produktion &amp; forbrug'!$E88,'Forbrug af biomasse'!G:G,1,'Forbrug af biomasse'!B:B,$F88)</f>
        <v>0</v>
      </c>
      <c r="O88" s="179">
        <f t="shared" si="20"/>
        <v>70524.58352315618</v>
      </c>
      <c r="P88" s="94">
        <f t="shared" si="17"/>
        <v>0</v>
      </c>
      <c r="Q88" s="180">
        <f t="shared" si="21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IF(A88&lt;&gt;"Biogas",IFERROR(VLOOKUP(A88,[1]Biogasudbytte!$A$2:$B$18,2,FALSE)*[1]Energiindhold!$C$10,0)*K88*IFERROR(VLOOKUP(A88,Biogasanlæg!$F$3:$G$8,2,FALSE),1)+IFERROR(VLOOKUP(A88,[1]Energiindhold!$A$2:$C$11,3,FALSE),0)*M88+IF(E88&lt;&gt;År1,R88,0),0)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2"/>
        <v>0</v>
      </c>
      <c r="V88" s="169">
        <f>P88*IFERROR(VLOOKUP(A88,[1]Tørstofindhold!A$2:B$24,2,FALSE),0)</f>
        <v>0</v>
      </c>
      <c r="W88">
        <f>IF(E88=År1,Q88,SUM(P88,Q88))*IFERROR(VLOOKUP(A88,[1]Tørstofindhold!A$2:B$24,2,FALSE),0)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3"/>
        <v>0</v>
      </c>
      <c r="Z88">
        <f t="shared" si="18"/>
        <v>0</v>
      </c>
      <c r="AA88">
        <f t="shared" si="19"/>
        <v>1</v>
      </c>
    </row>
    <row r="89" spans="1:27" x14ac:dyDescent="0.25">
      <c r="A89" s="171" t="str">
        <f t="shared" si="24"/>
        <v>Rapsolie</v>
      </c>
      <c r="B89" s="171" t="str">
        <f t="shared" si="25"/>
        <v>Rapsolie</v>
      </c>
      <c r="C89" s="171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71">
        <f t="shared" si="16"/>
        <v>1</v>
      </c>
      <c r="E89" s="171">
        <f t="shared" si="15"/>
        <v>2030</v>
      </c>
      <c r="F89" t="s">
        <v>23</v>
      </c>
      <c r="G89" s="94">
        <f>IF(F89="Vestdanmark",SUMIFS(IF(E89=År1,'Resultater - Vestdanmark'!H$3:H$504,IF(E89=År2,'Resultater - Vestdanmark'!I$3:I$504,'Resultater - Vestdanmark'!J$3:J$504)),'Resultater - Vestdanmark'!$F$3:$F$504,$A89,IF(E89=År1,'Resultater - Vestdanmark'!H$3:H$504,IF(E89=År2,'Resultater - Vestdanmark'!I$3:I$504,'Resultater - Vestdanmark'!J$3:J$504)),"&gt;0"),SUMIFS(IF(E89=År1,'Resultater - Østdanmark'!H$3:H$504,IF(E89=År2,'Resultater - Østdanmark'!I$3:I$504,'Resultater - Østdanmark'!J$3:J$504)),'Resultater - Østdanmark'!$F$3:$F$504,$A89,IF(E89=År1,'Resultater - Østdanmark'!H$3:H$504,IF(E89=År2,'Resultater - Østdanmark'!I$3:I$504,'Resultater - Østdanmark'!J$3:J$504)),"&gt;0"))</f>
        <v>235643.20056012695</v>
      </c>
      <c r="H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forbrug'!H$3,'Forbrug af biomasse'!$B$2:$B$425,$F89)</f>
        <v>0</v>
      </c>
      <c r="I89">
        <f>IF(F89="Vestdanmark",-IF(A89="Halm",SUMIFS(IF(E89=År1,'Resultater - Vestdanmark'!H$3:H$504,IF(E89=År2,'Resultater - Vestdanmark'!I$3:I$504,'Resultater - Vestdanmark'!J$3:J$504)),'Resultater - Vestdanmark'!$F$3:$F$504,$A89,'Resultater - Vestdanmark'!H$3:H$504,"&lt;0"),0),-IF(A89="Halm",SUMIFS(IF(E89=År1,'Resultater - Østdanmark'!H$3:H$504,IF(E89=År2,'Resultater - Østdanmark'!I$3:I$504,'Resultater - Østdanmark'!J$3:J$504)),'Resultater - Østdanmark'!$F$3:$F$504,$A89,'Resultater - Østdanmark'!H$3:H$504,"&lt;0"),0))</f>
        <v>0</v>
      </c>
      <c r="J89" s="94"/>
      <c r="K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forbrug'!K$3,'Forbrug af biomasse'!$B$2:$B$425,$F89)</f>
        <v>0</v>
      </c>
      <c r="L89" s="94">
        <f>SUMIFS('Forbrug af biomasse'!$E$2:$E$425,'Forbrug af biomasse'!$C$2:$C$425,'Resultat-Produktion &amp; forbrug'!$A89,'Forbrug af biomasse'!$D$2:$D$425,'Resultat-Produktion &amp; forbrug'!$E89,'Forbrug af biomasse'!$A$2:$A$425,'Resultat-Produktion &amp; forbrug'!L$3,'Forbrug af biomasse'!$B$2:$B$425,$F89)</f>
        <v>0</v>
      </c>
      <c r="M89" s="94">
        <f>IF(A89&lt;&gt;"Biogas",SUMIFS('Forbrug af biomasse'!$E$2:$E$425,'Forbrug af biomasse'!$C$2:$C$425,'Resultat-Produktion &amp; forbrug'!$A89,'Forbrug af biomasse'!$D$2:$D$425,'Resultat-Produktion &amp; forbrug'!$E89,'Forbrug af biomasse'!$A$2:$A$425,'Resultat-Produktion &amp; forbrug'!M$3,'Forbrug af biomasse'!$B$2:$B$425,$F89),G89)</f>
        <v>235643.20056012695</v>
      </c>
      <c r="N89" s="94">
        <f>SUMIFS('Forbrug af biomasse'!E:E,'Forbrug af biomasse'!C:C,'Resultat-Produktion &amp; forbrug'!$A89,'Forbrug af biomasse'!D:D,'Resultat-Produktion &amp; forbrug'!$E89,'Forbrug af biomasse'!G:G,1,'Forbrug af biomasse'!B:B,$F89)</f>
        <v>0</v>
      </c>
      <c r="O89" s="179">
        <f t="shared" si="20"/>
        <v>0</v>
      </c>
      <c r="P89" s="94">
        <f t="shared" si="17"/>
        <v>0</v>
      </c>
      <c r="Q89" s="180">
        <f t="shared" si="21"/>
        <v>235643.20056012695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IF(A89&lt;&gt;"Biogas",IFERROR(VLOOKUP(A89,[1]Biogasudbytte!$A$2:$B$18,2,FALSE)*[1]Energiindhold!$C$10,0)*K89*IFERROR(VLOOKUP(A89,Biogasanlæg!$F$3:$G$8,2,FALSE),1)+IFERROR(VLOOKUP(A89,[1]Energiindhold!$A$2:$C$11,3,FALSE),0)*M89+IF(E89&lt;&gt;År1,R89,0),0)</f>
        <v>8.2475120196044429</v>
      </c>
      <c r="T89">
        <f>IFERROR(VLOOKUP(A89,[1]Biogasudbytte!$A$2:$B$18,2,FALSE)*[1]Energiindhold!$C$10,0)*K89*IFERROR(VLOOKUP(A89,Biogasanlæg!$F$3:$G$8,2,FALSE),1)</f>
        <v>0</v>
      </c>
      <c r="U89" s="170">
        <f t="shared" si="22"/>
        <v>8.2475120196044429</v>
      </c>
      <c r="V89" s="169">
        <f>P89*IFERROR(VLOOKUP(A89,[1]Tørstofindhold!A$2:B$24,2,FALSE),0)</f>
        <v>0</v>
      </c>
      <c r="W89">
        <f>IF(E89=År1,Q89,SUM(P89,Q89))*IFERROR(VLOOKUP(A89,[1]Tørstofindhold!A$2:B$24,2,FALSE),0)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3"/>
        <v>0</v>
      </c>
      <c r="Z89">
        <f t="shared" si="18"/>
        <v>0</v>
      </c>
      <c r="AA89">
        <f t="shared" si="19"/>
        <v>0</v>
      </c>
    </row>
    <row r="90" spans="1:27" x14ac:dyDescent="0.25">
      <c r="A90" s="171" t="str">
        <f t="shared" si="24"/>
        <v>Roer</v>
      </c>
      <c r="B90" s="171" t="str">
        <f t="shared" si="25"/>
        <v>Græs og urter</v>
      </c>
      <c r="C90" s="171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1</v>
      </c>
      <c r="D90" s="171">
        <f t="shared" si="16"/>
        <v>1</v>
      </c>
      <c r="E90" s="171">
        <f t="shared" si="15"/>
        <v>2030</v>
      </c>
      <c r="F90" t="s">
        <v>23</v>
      </c>
      <c r="G90" s="94">
        <f>IF(F90="Vestdanmark",SUMIFS(IF(E90=År1,'Resultater - Vestdanmark'!H$3:H$504,IF(E90=År2,'Resultater - Vestdanmark'!I$3:I$504,'Resultater - Vestdanmark'!J$3:J$504)),'Resultater - Vestdanmark'!$F$3:$F$504,$A90,IF(E90=År1,'Resultater - Vestdanmark'!H$3:H$504,IF(E90=År2,'Resultater - Vestdanmark'!I$3:I$504,'Resultater - Vestdanmark'!J$3:J$504)),"&gt;0"),SUMIFS(IF(E90=År1,'Resultater - Østdanmark'!H$3:H$504,IF(E90=År2,'Resultater - Østdanmark'!I$3:I$504,'Resultater - Østdanmark'!J$3:J$504)),'Resultater - Østdanmark'!$F$3:$F$504,$A90,IF(E90=År1,'Resultater - Østdanmark'!H$3:H$504,IF(E90=År2,'Resultater - Østdanmark'!I$3:I$504,'Resultater - Østdanmark'!J$3:J$504)),"&gt;0"))</f>
        <v>2891451.8691946529</v>
      </c>
      <c r="H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forbrug'!H$3,'Forbrug af biomasse'!$B$2:$B$425,$F90)</f>
        <v>675121.74238873541</v>
      </c>
      <c r="I90">
        <f>IF(F90="Vestdanmark",-IF(A90="Halm",SUMIFS(IF(E90=År1,'Resultater - Vestdanmark'!H$3:H$504,IF(E90=År2,'Resultater - Vestdanmark'!I$3:I$504,'Resultater - Vestdanmark'!J$3:J$504)),'Resultater - Vestdanmark'!$F$3:$F$504,$A90,'Resultater - Vestdanmark'!H$3:H$504,"&lt;0"),0),-IF(A90="Halm",SUMIFS(IF(E90=År1,'Resultater - Østdanmark'!H$3:H$504,IF(E90=År2,'Resultater - Østdanmark'!I$3:I$504,'Resultater - Østdanmark'!J$3:J$504)),'Resultater - Østdanmark'!$F$3:$F$504,$A90,'Resultater - Østdanmark'!H$3:H$504,"&lt;0"),0))</f>
        <v>0</v>
      </c>
      <c r="J90" s="94"/>
      <c r="K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forbrug'!K$3,'Forbrug af biomasse'!$B$2:$B$425,$F90)</f>
        <v>0</v>
      </c>
      <c r="L90" s="94">
        <f>SUMIFS('Forbrug af biomasse'!$E$2:$E$425,'Forbrug af biomasse'!$C$2:$C$425,'Resultat-Produktion &amp; forbrug'!$A90,'Forbrug af biomasse'!$D$2:$D$425,'Resultat-Produktion &amp; forbrug'!$E90,'Forbrug af biomasse'!$A$2:$A$425,'Resultat-Produktion &amp; forbrug'!L$3,'Forbrug af biomasse'!$B$2:$B$425,$F90)</f>
        <v>0</v>
      </c>
      <c r="M90" s="94">
        <f>IF(A90&lt;&gt;"Biogas",SUMIFS('Forbrug af biomasse'!$E$2:$E$425,'Forbrug af biomasse'!$C$2:$C$425,'Resultat-Produktion &amp; forbrug'!$A90,'Forbrug af biomasse'!$D$2:$D$425,'Resultat-Produktion &amp; forbrug'!$E90,'Forbrug af biomasse'!$A$2:$A$425,'Resultat-Produktion &amp; forbrug'!M$3,'Forbrug af biomasse'!$B$2:$B$425,$F90),G90)</f>
        <v>0</v>
      </c>
      <c r="N90" s="94">
        <f>SUMIFS('Forbrug af biomasse'!E:E,'Forbrug af biomasse'!C:C,'Resultat-Produktion &amp; forbrug'!$A90,'Forbrug af biomasse'!D:D,'Resultat-Produktion &amp; forbrug'!$E90,'Forbrug af biomasse'!G:G,1,'Forbrug af biomasse'!B:B,$F90)</f>
        <v>0</v>
      </c>
      <c r="O90" s="179">
        <f t="shared" si="20"/>
        <v>2216330.1268059174</v>
      </c>
      <c r="P90" s="94">
        <f t="shared" si="17"/>
        <v>2216330.1268059174</v>
      </c>
      <c r="Q90" s="180">
        <f t="shared" si="21"/>
        <v>0</v>
      </c>
      <c r="R90">
        <f>IFERROR(VLOOKUP(A90,[1]Energiindhold!$A$2:$C$11,3,FALSE),IFERROR(VLOOKUP(A90,[1]Biogasudbytte!$A$2:$B$18,2,FALSE)*[1]Energiindhold!$C$10,0))*P90</f>
        <v>6.0152086173563317</v>
      </c>
      <c r="S90">
        <f>IF(A90&lt;&gt;"Biogas",IFERROR(VLOOKUP(A90,[1]Biogasudbytte!$A$2:$B$18,2,FALSE)*[1]Energiindhold!$C$10,0)*K90*IFERROR(VLOOKUP(A90,Biogasanlæg!$F$3:$G$8,2,FALSE),1)+IFERROR(VLOOKUP(A90,[1]Energiindhold!$A$2:$C$11,3,FALSE),0)*M90+IF(E90&lt;&gt;År1,R90,0),0)</f>
        <v>6.0152086173563317</v>
      </c>
      <c r="T90">
        <f>IFERROR(VLOOKUP(A90,[1]Biogasudbytte!$A$2:$B$18,2,FALSE)*[1]Energiindhold!$C$10,0)*K90*IFERROR(VLOOKUP(A90,Biogasanlæg!$F$3:$G$8,2,FALSE),1)</f>
        <v>0</v>
      </c>
      <c r="U90" s="170">
        <f t="shared" si="22"/>
        <v>6.0152086173563317</v>
      </c>
      <c r="V90" s="169">
        <f>P90*IFERROR(VLOOKUP(A90,[1]Tørstofindhold!A$2:B$24,2,FALSE),0)</f>
        <v>443266.02536118351</v>
      </c>
      <c r="W90">
        <f>IF(E90=År1,Q90,SUM(P90,Q90))*IFERROR(VLOOKUP(A90,[1]Tørstofindhold!A$2:B$24,2,FALSE),0)</f>
        <v>443266.02536118351</v>
      </c>
      <c r="X90">
        <f>K90*IFERROR(VLOOKUP(A90,[1]Tørstofindhold!A$2:B$24,2,FALSE),0)</f>
        <v>0</v>
      </c>
      <c r="Y90" s="170">
        <f t="shared" si="23"/>
        <v>443266.02536118351</v>
      </c>
      <c r="Z90">
        <f t="shared" si="18"/>
        <v>0</v>
      </c>
      <c r="AA90">
        <f t="shared" si="19"/>
        <v>1</v>
      </c>
    </row>
    <row r="91" spans="1:27" x14ac:dyDescent="0.25">
      <c r="A91" s="171" t="str">
        <f t="shared" si="24"/>
        <v>Slagteriaffald til andet</v>
      </c>
      <c r="B91" s="171" t="str">
        <f t="shared" si="25"/>
        <v/>
      </c>
      <c r="C91" s="171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71">
        <f t="shared" si="16"/>
        <v>0</v>
      </c>
      <c r="E91" s="171">
        <f t="shared" si="15"/>
        <v>2030</v>
      </c>
      <c r="F91" t="s">
        <v>23</v>
      </c>
      <c r="G91" s="94">
        <f>IF(F91="Vestdanmark",SUMIFS(IF(E91=År1,'Resultater - Vestdanmark'!H$3:H$504,IF(E91=År2,'Resultater - Vestdanmark'!I$3:I$504,'Resultater - Vestdanmark'!J$3:J$504)),'Resultater - Vestdanmark'!$F$3:$F$504,$A91,IF(E91=År1,'Resultater - Vestdanmark'!H$3:H$504,IF(E91=År2,'Resultater - Vestdanmark'!I$3:I$504,'Resultater - Vestdanmark'!J$3:J$504)),"&gt;0"),SUMIFS(IF(E91=År1,'Resultater - Østdanmark'!H$3:H$504,IF(E91=År2,'Resultater - Østdanmark'!I$3:I$504,'Resultater - Østdanmark'!J$3:J$504)),'Resultater - Østdanmark'!$F$3:$F$504,$A91,IF(E91=År1,'Resultater - Østdanmark'!H$3:H$504,IF(E91=År2,'Resultater - Østdanmark'!I$3:I$504,'Resultater - Østdanmark'!J$3:J$504)),"&gt;0"))</f>
        <v>172204.52835253053</v>
      </c>
      <c r="H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forbrug'!H$3,'Forbrug af biomasse'!$B$2:$B$425,$F91)</f>
        <v>0</v>
      </c>
      <c r="I91">
        <f>IF(F91="Vestdanmark",-IF(A91="Halm",SUMIFS(IF(E91=År1,'Resultater - Vestdanmark'!H$3:H$504,IF(E91=År2,'Resultater - Vestdanmark'!I$3:I$504,'Resultater - Vestdanmark'!J$3:J$504)),'Resultater - Vestdanmark'!$F$3:$F$504,$A91,'Resultater - Vestdanmark'!H$3:H$504,"&lt;0"),0),-IF(A91="Halm",SUMIFS(IF(E91=År1,'Resultater - Østdanmark'!H$3:H$504,IF(E91=År2,'Resultater - Østdanmark'!I$3:I$504,'Resultater - Østdanmark'!J$3:J$504)),'Resultater - Østdanmark'!$F$3:$F$504,$A91,'Resultater - Østdanmark'!H$3:H$504,"&lt;0"),0))</f>
        <v>0</v>
      </c>
      <c r="J91" s="94"/>
      <c r="K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forbrug'!K$3,'Forbrug af biomasse'!$B$2:$B$425,$F91)</f>
        <v>0</v>
      </c>
      <c r="L91" s="94">
        <f>SUMIFS('Forbrug af biomasse'!$E$2:$E$425,'Forbrug af biomasse'!$C$2:$C$425,'Resultat-Produktion &amp; forbrug'!$A91,'Forbrug af biomasse'!$D$2:$D$425,'Resultat-Produktion &amp; forbrug'!$E91,'Forbrug af biomasse'!$A$2:$A$425,'Resultat-Produktion &amp; forbrug'!L$3,'Forbrug af biomasse'!$B$2:$B$425,$F91)</f>
        <v>0</v>
      </c>
      <c r="M91" s="94">
        <f>IF(A91&lt;&gt;"Biogas",SUMIFS('Forbrug af biomasse'!$E$2:$E$425,'Forbrug af biomasse'!$C$2:$C$425,'Resultat-Produktion &amp; forbrug'!$A91,'Forbrug af biomasse'!$D$2:$D$425,'Resultat-Produktion &amp; forbrug'!$E91,'Forbrug af biomasse'!$A$2:$A$425,'Resultat-Produktion &amp; forbrug'!M$3,'Forbrug af biomasse'!$B$2:$B$425,$F91),G91)</f>
        <v>0</v>
      </c>
      <c r="N91" s="94">
        <f>SUMIFS('Forbrug af biomasse'!E:E,'Forbrug af biomasse'!C:C,'Resultat-Produktion &amp; forbrug'!$A91,'Forbrug af biomasse'!D:D,'Resultat-Produktion &amp; forbrug'!$E91,'Forbrug af biomasse'!G:G,1,'Forbrug af biomasse'!B:B,$F91)</f>
        <v>0</v>
      </c>
      <c r="O91" s="179">
        <f t="shared" si="20"/>
        <v>172204.52835253053</v>
      </c>
      <c r="P91" s="94">
        <f t="shared" si="17"/>
        <v>0</v>
      </c>
      <c r="Q91" s="180">
        <f t="shared" si="21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IF(A91&lt;&gt;"Biogas",IFERROR(VLOOKUP(A91,[1]Biogasudbytte!$A$2:$B$18,2,FALSE)*[1]Energiindhold!$C$10,0)*K91*IFERROR(VLOOKUP(A91,Biogasanlæg!$F$3:$G$8,2,FALSE),1)+IFERROR(VLOOKUP(A91,[1]Energiindhold!$A$2:$C$11,3,FALSE),0)*M91+IF(E91&lt;&gt;År1,R91,0),0)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2"/>
        <v>0</v>
      </c>
      <c r="V91" s="169">
        <f>P91*IFERROR(VLOOKUP(A91,[1]Tørstofindhold!A$2:B$24,2,FALSE),0)</f>
        <v>0</v>
      </c>
      <c r="W91">
        <f>IF(E91=År1,Q91,SUM(P91,Q91))*IFERROR(VLOOKUP(A91,[1]Tørstofindhold!A$2:B$24,2,FALSE),0)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3"/>
        <v>0</v>
      </c>
      <c r="Z91">
        <f t="shared" si="18"/>
        <v>0</v>
      </c>
      <c r="AA91">
        <f t="shared" si="19"/>
        <v>1</v>
      </c>
    </row>
    <row r="92" spans="1:27" x14ac:dyDescent="0.25">
      <c r="A92" s="171" t="str">
        <f t="shared" si="24"/>
        <v>Slagteriaffald til foder</v>
      </c>
      <c r="B92" s="171" t="str">
        <f t="shared" si="25"/>
        <v/>
      </c>
      <c r="C92" s="171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0</v>
      </c>
      <c r="D92" s="171">
        <f t="shared" si="16"/>
        <v>0</v>
      </c>
      <c r="E92" s="171">
        <f t="shared" si="15"/>
        <v>2030</v>
      </c>
      <c r="F92" t="s">
        <v>23</v>
      </c>
      <c r="G92" s="94">
        <f>IF(F92="Vestdanmark",SUMIFS(IF(E92=År1,'Resultater - Vestdanmark'!H$3:H$504,IF(E92=År2,'Resultater - Vestdanmark'!I$3:I$504,'Resultater - Vestdanmark'!J$3:J$504)),'Resultater - Vestdanmark'!$F$3:$F$504,$A92,IF(E92=År1,'Resultater - Vestdanmark'!H$3:H$504,IF(E92=År2,'Resultater - Vestdanmark'!I$3:I$504,'Resultater - Vestdanmark'!J$3:J$504)),"&gt;0"),SUMIFS(IF(E92=År1,'Resultater - Østdanmark'!H$3:H$504,IF(E92=År2,'Resultater - Østdanmark'!I$3:I$504,'Resultater - Østdanmark'!J$3:J$504)),'Resultater - Østdanmark'!$F$3:$F$504,$A92,IF(E92=År1,'Resultater - Østdanmark'!H$3:H$504,IF(E92=År2,'Resultater - Østdanmark'!I$3:I$504,'Resultater - Østdanmark'!J$3:J$504)),"&gt;0"))</f>
        <v>121502.07445138719</v>
      </c>
      <c r="H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forbrug'!H$3,'Forbrug af biomasse'!$B$2:$B$425,$F92)</f>
        <v>39589.144539968278</v>
      </c>
      <c r="I92">
        <f>IF(F92="Vestdanmark",-IF(A92="Halm",SUMIFS(IF(E92=År1,'Resultater - Vestdanmark'!H$3:H$504,IF(E92=År2,'Resultater - Vestdanmark'!I$3:I$504,'Resultater - Vestdanmark'!J$3:J$504)),'Resultater - Vestdanmark'!$F$3:$F$504,$A92,'Resultater - Vestdanmark'!H$3:H$504,"&lt;0"),0),-IF(A92="Halm",SUMIFS(IF(E92=År1,'Resultater - Østdanmark'!H$3:H$504,IF(E92=År2,'Resultater - Østdanmark'!I$3:I$504,'Resultater - Østdanmark'!J$3:J$504)),'Resultater - Østdanmark'!$F$3:$F$504,$A92,'Resultater - Østdanmark'!H$3:H$504,"&lt;0"),0))</f>
        <v>0</v>
      </c>
      <c r="J92" s="94"/>
      <c r="K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forbrug'!K$3,'Forbrug af biomasse'!$B$2:$B$425,$F92)</f>
        <v>0</v>
      </c>
      <c r="L92" s="94">
        <f>SUMIFS('Forbrug af biomasse'!$E$2:$E$425,'Forbrug af biomasse'!$C$2:$C$425,'Resultat-Produktion &amp; forbrug'!$A92,'Forbrug af biomasse'!$D$2:$D$425,'Resultat-Produktion &amp; forbrug'!$E92,'Forbrug af biomasse'!$A$2:$A$425,'Resultat-Produktion &amp; forbrug'!L$3,'Forbrug af biomasse'!$B$2:$B$425,$F92)</f>
        <v>0</v>
      </c>
      <c r="M92" s="94">
        <f>IF(A92&lt;&gt;"Biogas",SUMIFS('Forbrug af biomasse'!$E$2:$E$425,'Forbrug af biomasse'!$C$2:$C$425,'Resultat-Produktion &amp; forbrug'!$A92,'Forbrug af biomasse'!$D$2:$D$425,'Resultat-Produktion &amp; forbrug'!$E92,'Forbrug af biomasse'!$A$2:$A$425,'Resultat-Produktion &amp; forbrug'!M$3,'Forbrug af biomasse'!$B$2:$B$425,$F92),G92)</f>
        <v>0</v>
      </c>
      <c r="N92" s="94">
        <f>SUMIFS('Forbrug af biomasse'!E:E,'Forbrug af biomasse'!C:C,'Resultat-Produktion &amp; forbrug'!$A92,'Forbrug af biomasse'!D:D,'Resultat-Produktion &amp; forbrug'!$E92,'Forbrug af biomasse'!G:G,1,'Forbrug af biomasse'!B:B,$F92)</f>
        <v>0</v>
      </c>
      <c r="O92" s="179">
        <f t="shared" si="20"/>
        <v>81912.929911418905</v>
      </c>
      <c r="P92" s="94">
        <f t="shared" si="17"/>
        <v>0</v>
      </c>
      <c r="Q92" s="180">
        <f t="shared" si="21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IF(A92&lt;&gt;"Biogas",IFERROR(VLOOKUP(A92,[1]Biogasudbytte!$A$2:$B$18,2,FALSE)*[1]Energiindhold!$C$10,0)*K92*IFERROR(VLOOKUP(A92,Biogasanlæg!$F$3:$G$8,2,FALSE),1)+IFERROR(VLOOKUP(A92,[1]Energiindhold!$A$2:$C$11,3,FALSE),0)*M92+IF(E92&lt;&gt;År1,R92,0),0)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2"/>
        <v>0</v>
      </c>
      <c r="V92" s="169">
        <f>P92*IFERROR(VLOOKUP(A92,[1]Tørstofindhold!A$2:B$24,2,FALSE),0)</f>
        <v>0</v>
      </c>
      <c r="W92">
        <f>IF(E92=År1,Q92,SUM(P92,Q92))*IFERROR(VLOOKUP(A92,[1]Tørstofindhold!A$2:B$24,2,FALSE),0)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3"/>
        <v>0</v>
      </c>
      <c r="Z92">
        <f t="shared" si="18"/>
        <v>0</v>
      </c>
      <c r="AA92">
        <f t="shared" si="19"/>
        <v>1</v>
      </c>
    </row>
    <row r="93" spans="1:27" x14ac:dyDescent="0.25">
      <c r="A93" s="171" t="str">
        <f t="shared" si="24"/>
        <v>Spildevandsslam</v>
      </c>
      <c r="B93" s="171" t="str">
        <f t="shared" si="25"/>
        <v>Bionedbrydeligt affald</v>
      </c>
      <c r="C93" s="171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71">
        <f t="shared" si="16"/>
        <v>0</v>
      </c>
      <c r="E93" s="171">
        <f t="shared" si="15"/>
        <v>2030</v>
      </c>
      <c r="F93" t="s">
        <v>23</v>
      </c>
      <c r="G93" s="94">
        <f>IF(F93="Vestdanmark",SUMIFS(IF(E93=År1,'Resultater - Vestdanmark'!H$3:H$504,IF(E93=År2,'Resultater - Vestdanmark'!I$3:I$504,'Resultater - Vestdanmark'!J$3:J$504)),'Resultater - Vestdanmark'!$F$3:$F$504,$A93,IF(E93=År1,'Resultater - Vestdanmark'!H$3:H$504,IF(E93=År2,'Resultater - Vestdanmark'!I$3:I$504,'Resultater - Vestdanmark'!J$3:J$504)),"&gt;0"),SUMIFS(IF(E93=År1,'Resultater - Østdanmark'!H$3:H$504,IF(E93=År2,'Resultater - Østdanmark'!I$3:I$504,'Resultater - Østdanmark'!J$3:J$504)),'Resultater - Østdanmark'!$F$3:$F$504,$A93,IF(E93=År1,'Resultater - Østdanmark'!H$3:H$504,IF(E93=År2,'Resultater - Østdanmark'!I$3:I$504,'Resultater - Østdanmark'!J$3:J$504)),"&gt;0"))</f>
        <v>3905227.9830927276</v>
      </c>
      <c r="H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forbrug'!H$3,'Forbrug af biomasse'!$B$2:$B$425,$F93)</f>
        <v>0</v>
      </c>
      <c r="I93">
        <f>IF(F93="Vestdanmark",-IF(A93="Halm",SUMIFS(IF(E93=År1,'Resultater - Vestdanmark'!H$3:H$504,IF(E93=År2,'Resultater - Vestdanmark'!I$3:I$504,'Resultater - Vestdanmark'!J$3:J$504)),'Resultater - Vestdanmark'!$F$3:$F$504,$A93,'Resultater - Vestdanmark'!H$3:H$504,"&lt;0"),0),-IF(A93="Halm",SUMIFS(IF(E93=År1,'Resultater - Østdanmark'!H$3:H$504,IF(E93=År2,'Resultater - Østdanmark'!I$3:I$504,'Resultater - Østdanmark'!J$3:J$504)),'Resultater - Østdanmark'!$F$3:$F$504,$A93,'Resultater - Østdanmark'!H$3:H$504,"&lt;0"),0))</f>
        <v>0</v>
      </c>
      <c r="J93" s="94"/>
      <c r="K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forbrug'!K$3,'Forbrug af biomasse'!$B$2:$B$425,$F93)</f>
        <v>1481053.1985566379</v>
      </c>
      <c r="L93" s="94">
        <f>SUMIFS('Forbrug af biomasse'!$E$2:$E$425,'Forbrug af biomasse'!$C$2:$C$425,'Resultat-Produktion &amp; forbrug'!$A93,'Forbrug af biomasse'!$D$2:$D$425,'Resultat-Produktion &amp; forbrug'!$E93,'Forbrug af biomasse'!$A$2:$A$425,'Resultat-Produktion &amp; forbrug'!L$3,'Forbrug af biomasse'!$B$2:$B$425,$F93)</f>
        <v>0</v>
      </c>
      <c r="M93" s="94">
        <f>IF(A93&lt;&gt;"Biogas",SUMIFS('Forbrug af biomasse'!$E$2:$E$425,'Forbrug af biomasse'!$C$2:$C$425,'Resultat-Produktion &amp; forbrug'!$A93,'Forbrug af biomasse'!$D$2:$D$425,'Resultat-Produktion &amp; forbrug'!$E93,'Forbrug af biomasse'!$A$2:$A$425,'Resultat-Produktion &amp; forbrug'!M$3,'Forbrug af biomasse'!$B$2:$B$425,$F93),G93)</f>
        <v>0</v>
      </c>
      <c r="N93" s="94">
        <f>SUMIFS('Forbrug af biomasse'!E:E,'Forbrug af biomasse'!C:C,'Resultat-Produktion &amp; forbrug'!$A93,'Forbrug af biomasse'!D:D,'Resultat-Produktion &amp; forbrug'!$E93,'Forbrug af biomasse'!G:G,1,'Forbrug af biomasse'!B:B,$F93)</f>
        <v>0</v>
      </c>
      <c r="O93" s="179">
        <f t="shared" si="20"/>
        <v>2424174.7845360897</v>
      </c>
      <c r="P93" s="94">
        <f t="shared" si="17"/>
        <v>2424174.7845360897</v>
      </c>
      <c r="Q93" s="180">
        <f t="shared" si="21"/>
        <v>1481053.1985566379</v>
      </c>
      <c r="R93">
        <f>IFERROR(VLOOKUP(A93,[1]Energiindhold!$A$2:$C$11,3,FALSE),IFERROR(VLOOKUP(A93,[1]Biogasudbytte!$A$2:$B$18,2,FALSE)*[1]Energiindhold!$C$10,0))*P93</f>
        <v>1.2096874592313542</v>
      </c>
      <c r="S93">
        <f>IF(A93&lt;&gt;"Biogas",IFERROR(VLOOKUP(A93,[1]Biogasudbytte!$A$2:$B$18,2,FALSE)*[1]Energiindhold!$C$10,0)*K93*IFERROR(VLOOKUP(A93,Biogasanlæg!$F$3:$G$8,2,FALSE),1)+IFERROR(VLOOKUP(A93,[1]Energiindhold!$A$2:$C$11,3,FALSE),0)*M93+IF(E93&lt;&gt;År1,R93,0),0)</f>
        <v>1.9487478158431022</v>
      </c>
      <c r="T93">
        <f>IFERROR(VLOOKUP(A93,[1]Biogasudbytte!$A$2:$B$18,2,FALSE)*[1]Energiindhold!$C$10,0)*K93*IFERROR(VLOOKUP(A93,Biogasanlæg!$F$3:$G$8,2,FALSE),1)</f>
        <v>0.73906035661174796</v>
      </c>
      <c r="U93" s="170">
        <f t="shared" si="22"/>
        <v>1.2096874592313542</v>
      </c>
      <c r="V93" s="169">
        <f>P93*IFERROR(VLOOKUP(A93,[1]Tørstofindhold!A$2:B$24,2,FALSE),0)</f>
        <v>145450.48707216539</v>
      </c>
      <c r="W93">
        <f>IF(E93=År1,Q93,SUM(P93,Q93))*IFERROR(VLOOKUP(A93,[1]Tørstofindhold!A$2:B$24,2,FALSE),0)</f>
        <v>234313.67898556366</v>
      </c>
      <c r="X93">
        <f>K93*IFERROR(VLOOKUP(A93,[1]Tørstofindhold!A$2:B$24,2,FALSE),0)</f>
        <v>88863.191913398274</v>
      </c>
      <c r="Y93" s="170">
        <f t="shared" si="23"/>
        <v>145450.48707216539</v>
      </c>
      <c r="Z93">
        <f t="shared" si="18"/>
        <v>0</v>
      </c>
      <c r="AA93">
        <f t="shared" si="19"/>
        <v>1</v>
      </c>
    </row>
    <row r="94" spans="1:27" x14ac:dyDescent="0.25">
      <c r="A94" s="171" t="str">
        <f t="shared" si="24"/>
        <v>Svinegylle</v>
      </c>
      <c r="B94" s="171" t="str">
        <f t="shared" si="25"/>
        <v>Husdyrgødning</v>
      </c>
      <c r="C94" s="171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1</v>
      </c>
      <c r="D94" s="171">
        <f t="shared" si="16"/>
        <v>0</v>
      </c>
      <c r="E94" s="171">
        <f t="shared" si="15"/>
        <v>2030</v>
      </c>
      <c r="F94" t="s">
        <v>23</v>
      </c>
      <c r="G94" s="94">
        <f>IF(F94="Vestdanmark",SUMIFS(IF(E94=År1,'Resultater - Vestdanmark'!H$3:H$504,IF(E94=År2,'Resultater - Vestdanmark'!I$3:I$504,'Resultater - Vestdanmark'!J$3:J$504)),'Resultater - Vestdanmark'!$F$3:$F$504,$A94,IF(E94=År1,'Resultater - Vestdanmark'!H$3:H$504,IF(E94=År2,'Resultater - Vestdanmark'!I$3:I$504,'Resultater - Vestdanmark'!J$3:J$504)),"&gt;0"),SUMIFS(IF(E94=År1,'Resultater - Østdanmark'!H$3:H$504,IF(E94=År2,'Resultater - Østdanmark'!I$3:I$504,'Resultater - Østdanmark'!J$3:J$504)),'Resultater - Østdanmark'!$F$3:$F$504,$A94,IF(E94=År1,'Resultater - Østdanmark'!H$3:H$504,IF(E94=År2,'Resultater - Østdanmark'!I$3:I$504,'Resultater - Østdanmark'!J$3:J$504)),"&gt;0"))</f>
        <v>14327857.380425449</v>
      </c>
      <c r="H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forbrug'!H$3,'Forbrug af biomasse'!$B$2:$B$425,$F94)</f>
        <v>0</v>
      </c>
      <c r="I94">
        <f>IF(F94="Vestdanmark",-IF(A94="Halm",SUMIFS(IF(E94=År1,'Resultater - Vestdanmark'!H$3:H$504,IF(E94=År2,'Resultater - Vestdanmark'!I$3:I$504,'Resultater - Vestdanmark'!J$3:J$504)),'Resultater - Vestdanmark'!$F$3:$F$504,$A94,'Resultater - Vestdanmark'!H$3:H$504,"&lt;0"),0),-IF(A94="Halm",SUMIFS(IF(E94=År1,'Resultater - Østdanmark'!H$3:H$504,IF(E94=År2,'Resultater - Østdanmark'!I$3:I$504,'Resultater - Østdanmark'!J$3:J$504)),'Resultater - Østdanmark'!$F$3:$F$504,$A94,'Resultater - Østdanmark'!H$3:H$504,"&lt;0"),0))</f>
        <v>0</v>
      </c>
      <c r="J94" s="94"/>
      <c r="K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forbrug'!K$3,'Forbrug af biomasse'!$B$2:$B$425,$F94)</f>
        <v>10745893.035319086</v>
      </c>
      <c r="L94" s="94">
        <f>SUMIFS('Forbrug af biomasse'!$E$2:$E$425,'Forbrug af biomasse'!$C$2:$C$425,'Resultat-Produktion &amp; forbrug'!$A94,'Forbrug af biomasse'!$D$2:$D$425,'Resultat-Produktion &amp; forbrug'!$E94,'Forbrug af biomasse'!$A$2:$A$425,'Resultat-Produktion &amp; forbrug'!L$3,'Forbrug af biomasse'!$B$2:$B$425,$F94)</f>
        <v>3581964.3451063624</v>
      </c>
      <c r="M94" s="94">
        <f>IF(A94&lt;&gt;"Biogas",SUMIFS('Forbrug af biomasse'!$E$2:$E$425,'Forbrug af biomasse'!$C$2:$C$425,'Resultat-Produktion &amp; forbrug'!$A94,'Forbrug af biomasse'!$D$2:$D$425,'Resultat-Produktion &amp; forbrug'!$E94,'Forbrug af biomasse'!$A$2:$A$425,'Resultat-Produktion &amp; forbrug'!M$3,'Forbrug af biomasse'!$B$2:$B$425,$F94),G94)</f>
        <v>0</v>
      </c>
      <c r="N94" s="94">
        <f>SUMIFS('Forbrug af biomasse'!E:E,'Forbrug af biomasse'!C:C,'Resultat-Produktion &amp; forbrug'!$A94,'Forbrug af biomasse'!D:D,'Resultat-Produktion &amp; forbrug'!$E94,'Forbrug af biomasse'!G:G,1,'Forbrug af biomasse'!B:B,$F94)</f>
        <v>0</v>
      </c>
      <c r="O94" s="179">
        <f t="shared" si="20"/>
        <v>0</v>
      </c>
      <c r="P94" s="94">
        <f t="shared" si="17"/>
        <v>0</v>
      </c>
      <c r="Q94" s="180">
        <f t="shared" si="21"/>
        <v>10745893.035319086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IF(A94&lt;&gt;"Biogas",IFERROR(VLOOKUP(A94,[1]Biogasudbytte!$A$2:$B$18,2,FALSE)*[1]Energiindhold!$C$10,0)*K94*IFERROR(VLOOKUP(A94,Biogasanlæg!$F$3:$G$8,2,FALSE),1)+IFERROR(VLOOKUP(A94,[1]Energiindhold!$A$2:$C$11,3,FALSE),0)*M94+IF(E94&lt;&gt;År1,R94,0),0)</f>
        <v>4.6293307196154627</v>
      </c>
      <c r="T94">
        <f>IFERROR(VLOOKUP(A94,[1]Biogasudbytte!$A$2:$B$18,2,FALSE)*[1]Energiindhold!$C$10,0)*K94*IFERROR(VLOOKUP(A94,Biogasanlæg!$F$3:$G$8,2,FALSE),1)</f>
        <v>4.6293307196154627</v>
      </c>
      <c r="U94" s="170">
        <f t="shared" si="22"/>
        <v>0</v>
      </c>
      <c r="V94" s="169">
        <f>P94*IFERROR(VLOOKUP(A94,[1]Tørstofindhold!A$2:B$24,2,FALSE),0)</f>
        <v>0</v>
      </c>
      <c r="W94">
        <f>IF(E94=År1,Q94,SUM(P94,Q94))*IFERROR(VLOOKUP(A94,[1]Tørstofindhold!A$2:B$24,2,FALSE),0)</f>
        <v>537294.65176595433</v>
      </c>
      <c r="X94">
        <f>K94*IFERROR(VLOOKUP(A94,[1]Tørstofindhold!A$2:B$24,2,FALSE),0)</f>
        <v>537294.65176595433</v>
      </c>
      <c r="Y94" s="170">
        <f t="shared" si="23"/>
        <v>0</v>
      </c>
      <c r="Z94">
        <f t="shared" si="18"/>
        <v>0</v>
      </c>
      <c r="AA94">
        <f t="shared" si="19"/>
        <v>0</v>
      </c>
    </row>
    <row r="95" spans="1:27" x14ac:dyDescent="0.25">
      <c r="A95" s="171" t="str">
        <f t="shared" si="24"/>
        <v>Svinekød</v>
      </c>
      <c r="B95" s="171" t="str">
        <f t="shared" si="25"/>
        <v/>
      </c>
      <c r="C95" s="171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0</v>
      </c>
      <c r="D95" s="171">
        <f t="shared" si="16"/>
        <v>1</v>
      </c>
      <c r="E95" s="171">
        <f t="shared" si="15"/>
        <v>2030</v>
      </c>
      <c r="F95" t="s">
        <v>23</v>
      </c>
      <c r="G95" s="94">
        <f>IF(F95="Vestdanmark",SUMIFS(IF(E95=År1,'Resultater - Vestdanmark'!H$3:H$504,IF(E95=År2,'Resultater - Vestdanmark'!I$3:I$504,'Resultater - Vestdanmark'!J$3:J$504)),'Resultater - Vestdanmark'!$F$3:$F$504,$A95,IF(E95=År1,'Resultater - Vestdanmark'!H$3:H$504,IF(E95=År2,'Resultater - Vestdanmark'!I$3:I$504,'Resultater - Vestdanmark'!J$3:J$504)),"&gt;0"),SUMIFS(IF(E95=År1,'Resultater - Østdanmark'!H$3:H$504,IF(E95=År2,'Resultater - Østdanmark'!I$3:I$504,'Resultater - Østdanmark'!J$3:J$504)),'Resultater - Østdanmark'!$F$3:$F$504,$A95,IF(E95=År1,'Resultater - Østdanmark'!H$3:H$504,IF(E95=År2,'Resultater - Østdanmark'!I$3:I$504,'Resultater - Østdanmark'!J$3:J$504)),"&gt;0"))</f>
        <v>1299242.7527710649</v>
      </c>
      <c r="H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forbrug'!H$3,'Forbrug af biomasse'!$B$2:$B$425,$F95)</f>
        <v>0</v>
      </c>
      <c r="I95">
        <f>IF(F95="Vestdanmark",-IF(A95="Halm",SUMIFS(IF(E95=År1,'Resultater - Vestdanmark'!H$3:H$504,IF(E95=År2,'Resultater - Vestdanmark'!I$3:I$504,'Resultater - Vestdanmark'!J$3:J$504)),'Resultater - Vestdanmark'!$F$3:$F$504,$A95,'Resultater - Vestdanmark'!H$3:H$504,"&lt;0"),0),-IF(A95="Halm",SUMIFS(IF(E95=År1,'Resultater - Østdanmark'!H$3:H$504,IF(E95=År2,'Resultater - Østdanmark'!I$3:I$504,'Resultater - Østdanmark'!J$3:J$504)),'Resultater - Østdanmark'!$F$3:$F$504,$A95,'Resultater - Østdanmark'!H$3:H$504,"&lt;0"),0))</f>
        <v>0</v>
      </c>
      <c r="J95" s="94"/>
      <c r="K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forbrug'!K$3,'Forbrug af biomasse'!$B$2:$B$425,$F95)</f>
        <v>0</v>
      </c>
      <c r="L95" s="94">
        <f>SUMIFS('Forbrug af biomasse'!$E$2:$E$425,'Forbrug af biomasse'!$C$2:$C$425,'Resultat-Produktion &amp; forbrug'!$A95,'Forbrug af biomasse'!$D$2:$D$425,'Resultat-Produktion &amp; forbrug'!$E95,'Forbrug af biomasse'!$A$2:$A$425,'Resultat-Produktion &amp; forbrug'!L$3,'Forbrug af biomasse'!$B$2:$B$425,$F95)</f>
        <v>0</v>
      </c>
      <c r="M95" s="94">
        <f>IF(A95&lt;&gt;"Biogas",SUMIFS('Forbrug af biomasse'!$E$2:$E$425,'Forbrug af biomasse'!$C$2:$C$425,'Resultat-Produktion &amp; forbrug'!$A95,'Forbrug af biomasse'!$D$2:$D$425,'Resultat-Produktion &amp; forbrug'!$E95,'Forbrug af biomasse'!$A$2:$A$425,'Resultat-Produktion &amp; forbrug'!M$3,'Forbrug af biomasse'!$B$2:$B$425,$F95),G95)</f>
        <v>0</v>
      </c>
      <c r="N95" s="94">
        <f>SUMIFS('Forbrug af biomasse'!E:E,'Forbrug af biomasse'!C:C,'Resultat-Produktion &amp; forbrug'!$A95,'Forbrug af biomasse'!D:D,'Resultat-Produktion &amp; forbrug'!$E95,'Forbrug af biomasse'!G:G,1,'Forbrug af biomasse'!B:B,$F95)</f>
        <v>0</v>
      </c>
      <c r="O95" s="179">
        <f t="shared" si="20"/>
        <v>1299242.7527710649</v>
      </c>
      <c r="P95" s="94">
        <f t="shared" si="17"/>
        <v>0</v>
      </c>
      <c r="Q95" s="180">
        <f t="shared" si="21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IF(A95&lt;&gt;"Biogas",IFERROR(VLOOKUP(A95,[1]Biogasudbytte!$A$2:$B$18,2,FALSE)*[1]Energiindhold!$C$10,0)*K95*IFERROR(VLOOKUP(A95,Biogasanlæg!$F$3:$G$8,2,FALSE),1)+IFERROR(VLOOKUP(A95,[1]Energiindhold!$A$2:$C$11,3,FALSE),0)*M95+IF(E95&lt;&gt;År1,R95,0),0)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2"/>
        <v>0</v>
      </c>
      <c r="V95" s="169">
        <f>P95*IFERROR(VLOOKUP(A95,[1]Tørstofindhold!A$2:B$24,2,FALSE),0)</f>
        <v>0</v>
      </c>
      <c r="W95">
        <f>IF(E95=År1,Q95,SUM(P95,Q95))*IFERROR(VLOOKUP(A95,[1]Tørstofindhold!A$2:B$24,2,FALSE),0)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3"/>
        <v>0</v>
      </c>
      <c r="Z95">
        <f t="shared" si="18"/>
        <v>0</v>
      </c>
      <c r="AA95">
        <f t="shared" si="19"/>
        <v>1</v>
      </c>
    </row>
    <row r="96" spans="1:27" x14ac:dyDescent="0.25">
      <c r="A96" s="171" t="str">
        <f t="shared" si="24"/>
        <v>Tang</v>
      </c>
      <c r="B96" s="171" t="str">
        <f t="shared" si="25"/>
        <v>Havbiomasse</v>
      </c>
      <c r="C96" s="171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71">
        <f t="shared" si="16"/>
        <v>1</v>
      </c>
      <c r="E96" s="171">
        <f t="shared" si="15"/>
        <v>2030</v>
      </c>
      <c r="F96" t="s">
        <v>23</v>
      </c>
      <c r="G96" s="94">
        <f>IF(F96="Vestdanmark",SUMIFS(IF(E96=År1,'Resultater - Vestdanmark'!H$3:H$504,IF(E96=År2,'Resultater - Vestdanmark'!I$3:I$504,'Resultater - Vestdanmark'!J$3:J$504)),'Resultater - Vestdanmark'!$F$3:$F$504,$A96,IF(E96=År1,'Resultater - Vestdanmark'!H$3:H$504,IF(E96=År2,'Resultater - Vestdanmark'!I$3:I$504,'Resultater - Vestdanmark'!J$3:J$504)),"&gt;0"),SUMIFS(IF(E96=År1,'Resultater - Østdanmark'!H$3:H$504,IF(E96=År2,'Resultater - Østdanmark'!I$3:I$504,'Resultater - Østdanmark'!J$3:J$504)),'Resultater - Østdanmark'!$F$3:$F$504,$A96,IF(E96=År1,'Resultater - Østdanmark'!H$3:H$504,IF(E96=År2,'Resultater - Østdanmark'!I$3:I$504,'Resultater - Østdanmark'!J$3:J$504)),"&gt;0"))</f>
        <v>76.5</v>
      </c>
      <c r="H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forbrug'!H$3,'Forbrug af biomasse'!$B$2:$B$425,$F96)</f>
        <v>0</v>
      </c>
      <c r="I96">
        <f>IF(F96="Vestdanmark",-IF(A96="Halm",SUMIFS(IF(E96=År1,'Resultater - Vestdanmark'!H$3:H$504,IF(E96=År2,'Resultater - Vestdanmark'!I$3:I$504,'Resultater - Vestdanmark'!J$3:J$504)),'Resultater - Vestdanmark'!$F$3:$F$504,$A96,'Resultater - Vestdanmark'!H$3:H$504,"&lt;0"),0),-IF(A96="Halm",SUMIFS(IF(E96=År1,'Resultater - Østdanmark'!H$3:H$504,IF(E96=År2,'Resultater - Østdanmark'!I$3:I$504,'Resultater - Østdanmark'!J$3:J$504)),'Resultater - Østdanmark'!$F$3:$F$504,$A96,'Resultater - Østdanmark'!H$3:H$504,"&lt;0"),0))</f>
        <v>0</v>
      </c>
      <c r="J96" s="94"/>
      <c r="K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forbrug'!K$3,'Forbrug af biomasse'!$B$2:$B$425,$F96)</f>
        <v>0</v>
      </c>
      <c r="L96" s="94">
        <f>SUMIFS('Forbrug af biomasse'!$E$2:$E$425,'Forbrug af biomasse'!$C$2:$C$425,'Resultat-Produktion &amp; forbrug'!$A96,'Forbrug af biomasse'!$D$2:$D$425,'Resultat-Produktion &amp; forbrug'!$E96,'Forbrug af biomasse'!$A$2:$A$425,'Resultat-Produktion &amp; forbrug'!L$3,'Forbrug af biomasse'!$B$2:$B$425,$F96)</f>
        <v>0</v>
      </c>
      <c r="M96" s="94">
        <f>IF(A96&lt;&gt;"Biogas",SUMIFS('Forbrug af biomasse'!$E$2:$E$425,'Forbrug af biomasse'!$C$2:$C$425,'Resultat-Produktion &amp; forbrug'!$A96,'Forbrug af biomasse'!$D$2:$D$425,'Resultat-Produktion &amp; forbrug'!$E96,'Forbrug af biomasse'!$A$2:$A$425,'Resultat-Produktion &amp; forbrug'!M$3,'Forbrug af biomasse'!$B$2:$B$425,$F96),G96)</f>
        <v>0</v>
      </c>
      <c r="N96" s="94">
        <f>SUMIFS('Forbrug af biomasse'!E:E,'Forbrug af biomasse'!C:C,'Resultat-Produktion &amp; forbrug'!$A96,'Forbrug af biomasse'!D:D,'Resultat-Produktion &amp; forbrug'!$E96,'Forbrug af biomasse'!G:G,1,'Forbrug af biomasse'!B:B,$F96)</f>
        <v>0</v>
      </c>
      <c r="O96" s="179">
        <f t="shared" si="20"/>
        <v>76.5</v>
      </c>
      <c r="P96" s="94">
        <f t="shared" si="17"/>
        <v>76.5</v>
      </c>
      <c r="Q96" s="180">
        <f t="shared" si="21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IF(A96&lt;&gt;"Biogas",IFERROR(VLOOKUP(A96,[1]Biogasudbytte!$A$2:$B$18,2,FALSE)*[1]Energiindhold!$C$10,0)*K96*IFERROR(VLOOKUP(A96,Biogasanlæg!$F$3:$G$8,2,FALSE),1)+IFERROR(VLOOKUP(A96,[1]Energiindhold!$A$2:$C$11,3,FALSE),0)*M96+IF(E96&lt;&gt;År1,R96,0),0)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2"/>
        <v>6.8658750000000004E-5</v>
      </c>
      <c r="V96" s="169">
        <f>P96*IFERROR(VLOOKUP(A96,[1]Tørstofindhold!A$2:B$24,2,FALSE),0)</f>
        <v>11.475</v>
      </c>
      <c r="W96">
        <f>IF(E96=År1,Q96,SUM(P96,Q96))*IFERROR(VLOOKUP(A96,[1]Tørstofindhold!A$2:B$24,2,FALSE),0)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3"/>
        <v>11.475</v>
      </c>
      <c r="Z96">
        <f t="shared" si="18"/>
        <v>0</v>
      </c>
      <c r="AA96">
        <f t="shared" si="19"/>
        <v>1</v>
      </c>
    </row>
    <row r="97" spans="1:27" x14ac:dyDescent="0.25">
      <c r="A97" s="171" t="str">
        <f t="shared" si="24"/>
        <v>Total til biogas</v>
      </c>
      <c r="B97" s="171" t="str">
        <f t="shared" si="25"/>
        <v/>
      </c>
      <c r="C97" s="171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71">
        <f t="shared" si="16"/>
        <v>0</v>
      </c>
      <c r="E97" s="171">
        <f t="shared" si="15"/>
        <v>2030</v>
      </c>
      <c r="F97" t="s">
        <v>23</v>
      </c>
      <c r="G97" s="94">
        <f>IF(F97="Vestdanmark",SUMIFS(IF(E97=År1,'Resultater - Vestdanmark'!H$3:H$504,IF(E97=År2,'Resultater - Vestdanmark'!I$3:I$504,'Resultater - Vestdanmark'!J$3:J$504)),'Resultater - Vestdanmark'!$F$3:$F$504,$A97,IF(E97=År1,'Resultater - Vestdanmark'!H$3:H$504,IF(E97=År2,'Resultater - Vestdanmark'!I$3:I$504,'Resultater - Vestdanmark'!J$3:J$504)),"&gt;0"),SUMIFS(IF(E97=År1,'Resultater - Østdanmark'!H$3:H$504,IF(E97=År2,'Resultater - Østdanmark'!I$3:I$504,'Resultater - Østdanmark'!J$3:J$504)),'Resultater - Østdanmark'!$F$3:$F$504,$A97,IF(E97=År1,'Resultater - Østdanmark'!H$3:H$504,IF(E97=År2,'Resultater - Østdanmark'!I$3:I$504,'Resultater - Østdanmark'!J$3:J$504)),"&gt;0"))</f>
        <v>0</v>
      </c>
      <c r="H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forbrug'!H$3,'Forbrug af biomasse'!$B$2:$B$425,$F97)</f>
        <v>0</v>
      </c>
      <c r="I97">
        <f>IF(F97="Vestdanmark",-IF(A97="Halm",SUMIFS(IF(E97=År1,'Resultater - Vestdanmark'!H$3:H$504,IF(E97=År2,'Resultater - Vestdanmark'!I$3:I$504,'Resultater - Vestdanmark'!J$3:J$504)),'Resultater - Vestdanmark'!$F$3:$F$504,$A97,'Resultater - Vestdanmark'!H$3:H$504,"&lt;0"),0),-IF(A97="Halm",SUMIFS(IF(E97=År1,'Resultater - Østdanmark'!H$3:H$504,IF(E97=År2,'Resultater - Østdanmark'!I$3:I$504,'Resultater - Østdanmark'!J$3:J$504)),'Resultater - Østdanmark'!$F$3:$F$504,$A97,'Resultater - Østdanmark'!H$3:H$504,"&lt;0"),0))</f>
        <v>0</v>
      </c>
      <c r="J97" s="94"/>
      <c r="K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forbrug'!K$3,'Forbrug af biomasse'!$B$2:$B$425,$F97)</f>
        <v>0</v>
      </c>
      <c r="L97" s="94">
        <f>SUMIFS('Forbrug af biomasse'!$E$2:$E$425,'Forbrug af biomasse'!$C$2:$C$425,'Resultat-Produktion &amp; forbrug'!$A97,'Forbrug af biomasse'!$D$2:$D$425,'Resultat-Produktion &amp; forbrug'!$E97,'Forbrug af biomasse'!$A$2:$A$425,'Resultat-Produktion &amp; forbrug'!L$3,'Forbrug af biomasse'!$B$2:$B$425,$F97)</f>
        <v>0</v>
      </c>
      <c r="M97" s="94">
        <f>IF(A97&lt;&gt;"Biogas",SUMIFS('Forbrug af biomasse'!$E$2:$E$425,'Forbrug af biomasse'!$C$2:$C$425,'Resultat-Produktion &amp; forbrug'!$A97,'Forbrug af biomasse'!$D$2:$D$425,'Resultat-Produktion &amp; forbrug'!$E97,'Forbrug af biomasse'!$A$2:$A$425,'Resultat-Produktion &amp; forbrug'!M$3,'Forbrug af biomasse'!$B$2:$B$425,$F97),G97)</f>
        <v>0</v>
      </c>
      <c r="N97" s="94">
        <f>SUMIFS('Forbrug af biomasse'!E:E,'Forbrug af biomasse'!C:C,'Resultat-Produktion &amp; forbrug'!$A97,'Forbrug af biomasse'!D:D,'Resultat-Produktion &amp; forbrug'!$E97,'Forbrug af biomasse'!G:G,1,'Forbrug af biomasse'!B:B,$F97)</f>
        <v>0</v>
      </c>
      <c r="O97" s="179">
        <f t="shared" si="20"/>
        <v>0</v>
      </c>
      <c r="P97" s="94">
        <f t="shared" si="17"/>
        <v>0</v>
      </c>
      <c r="Q97" s="180">
        <f t="shared" si="21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IF(A97&lt;&gt;"Biogas",IFERROR(VLOOKUP(A97,[1]Biogasudbytte!$A$2:$B$18,2,FALSE)*[1]Energiindhold!$C$10,0)*K97*IFERROR(VLOOKUP(A97,Biogasanlæg!$F$3:$G$8,2,FALSE),1)+IFERROR(VLOOKUP(A97,[1]Energiindhold!$A$2:$C$11,3,FALSE),0)*M97+IF(E97&lt;&gt;År1,R97,0),0)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2"/>
        <v>0</v>
      </c>
      <c r="V97" s="169">
        <f>P97*IFERROR(VLOOKUP(A97,[1]Tørstofindhold!A$2:B$24,2,FALSE),0)</f>
        <v>0</v>
      </c>
      <c r="W97">
        <f>IF(E97=År1,Q97,SUM(P97,Q97))*IFERROR(VLOOKUP(A97,[1]Tørstofindhold!A$2:B$24,2,FALSE),0)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3"/>
        <v>0</v>
      </c>
      <c r="Z97">
        <f t="shared" si="18"/>
        <v>0</v>
      </c>
      <c r="AA97">
        <f t="shared" si="19"/>
        <v>0</v>
      </c>
    </row>
    <row r="98" spans="1:27" x14ac:dyDescent="0.25">
      <c r="A98" s="171" t="str">
        <f t="shared" si="24"/>
        <v>Træ til energi</v>
      </c>
      <c r="B98" s="171" t="str">
        <f t="shared" si="25"/>
        <v>Vedmasse</v>
      </c>
      <c r="C98" s="171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1</v>
      </c>
      <c r="D98" s="171">
        <f t="shared" si="16"/>
        <v>0</v>
      </c>
      <c r="E98" s="171">
        <f t="shared" si="15"/>
        <v>2030</v>
      </c>
      <c r="F98" t="s">
        <v>23</v>
      </c>
      <c r="G98" s="94">
        <f ca="1">IF(F98="Vestdanmark",SUMIFS(IF(E98=År1,'Resultater - Vestdanmark'!H$3:H$504,IF(E98=År2,'Resultater - Vestdanmark'!I$3:I$504,'Resultater - Vestdanmark'!J$3:J$504)),'Resultater - Vestdanmark'!$F$3:$F$504,$A98,IF(E98=År1,'Resultater - Vestdanmark'!H$3:H$504,IF(E98=År2,'Resultater - Vestdanmark'!I$3:I$504,'Resultater - Vestdanmark'!J$3:J$504)),"&gt;0"),SUMIFS(IF(E98=År1,'Resultater - Østdanmark'!H$3:H$504,IF(E98=År2,'Resultater - Østdanmark'!I$3:I$504,'Resultater - Østdanmark'!J$3:J$504)),'Resultater - Østdanmark'!$F$3:$F$504,$A98,IF(E98=År1,'Resultater - Østdanmark'!H$3:H$504,IF(E98=År2,'Resultater - Østdanmark'!I$3:I$504,'Resultater - Østdanmark'!J$3:J$504)),"&gt;0"))</f>
        <v>2212209.4819686995</v>
      </c>
      <c r="H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forbrug'!H$3,'Forbrug af biomasse'!$B$2:$B$425,$F98)</f>
        <v>0</v>
      </c>
      <c r="I98">
        <f>IF(F98="Vestdanmark",-IF(A98="Halm",SUMIFS(IF(E98=År1,'Resultater - Vestdanmark'!H$3:H$504,IF(E98=År2,'Resultater - Vestdanmark'!I$3:I$504,'Resultater - Vestdanmark'!J$3:J$504)),'Resultater - Vestdanmark'!$F$3:$F$504,$A98,'Resultater - Vestdanmark'!H$3:H$504,"&lt;0"),0),-IF(A98="Halm",SUMIFS(IF(E98=År1,'Resultater - Østdanmark'!H$3:H$504,IF(E98=År2,'Resultater - Østdanmark'!I$3:I$504,'Resultater - Østdanmark'!J$3:J$504)),'Resultater - Østdanmark'!$F$3:$F$504,$A98,'Resultater - Østdanmark'!H$3:H$504,"&lt;0"),0))</f>
        <v>0</v>
      </c>
      <c r="J98" s="94"/>
      <c r="K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forbrug'!K$3,'Forbrug af biomasse'!$B$2:$B$425,$F98)</f>
        <v>0</v>
      </c>
      <c r="L98" s="94">
        <f>SUMIFS('Forbrug af biomasse'!$E$2:$E$425,'Forbrug af biomasse'!$C$2:$C$425,'Resultat-Produktion &amp; forbrug'!$A98,'Forbrug af biomasse'!$D$2:$D$425,'Resultat-Produktion &amp; forbrug'!$E98,'Forbrug af biomasse'!$A$2:$A$425,'Resultat-Produktion &amp; forbrug'!L$3,'Forbrug af biomasse'!$B$2:$B$425,$F98)</f>
        <v>0</v>
      </c>
      <c r="M98" s="94">
        <f ca="1">IF(A98&lt;&gt;"Biogas",SUMIFS('Forbrug af biomasse'!$E$2:$E$425,'Forbrug af biomasse'!$C$2:$C$425,'Resultat-Produktion &amp; forbrug'!$A98,'Forbrug af biomasse'!$D$2:$D$425,'Resultat-Produktion &amp; forbrug'!$E98,'Forbrug af biomasse'!$A$2:$A$425,'Resultat-Produktion &amp; forbrug'!M$3,'Forbrug af biomasse'!$B$2:$B$425,$F98),G98)</f>
        <v>2212209.4819686995</v>
      </c>
      <c r="N98" s="94">
        <f>SUMIFS('Forbrug af biomasse'!E:E,'Forbrug af biomasse'!C:C,'Resultat-Produktion &amp; forbrug'!$A98,'Forbrug af biomasse'!D:D,'Resultat-Produktion &amp; forbrug'!$E98,'Forbrug af biomasse'!G:G,1,'Forbrug af biomasse'!B:B,$F98)</f>
        <v>0</v>
      </c>
      <c r="O98" s="179">
        <f t="shared" ca="1" si="20"/>
        <v>0</v>
      </c>
      <c r="P98" s="94">
        <f t="shared" ca="1" si="17"/>
        <v>0</v>
      </c>
      <c r="Q98" s="180">
        <f t="shared" ca="1" si="21"/>
        <v>2212209.4819686995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IF(A98&lt;&gt;"Biogas",IFERROR(VLOOKUP(A98,[1]Biogasudbytte!$A$2:$B$18,2,FALSE)*[1]Energiindhold!$C$10,0)*K98*IFERROR(VLOOKUP(A98,Biogasanlæg!$F$3:$G$8,2,FALSE),1)+IFERROR(VLOOKUP(A98,[1]Energiindhold!$A$2:$C$11,3,FALSE),0)*M98+IF(E98&lt;&gt;År1,R98,0),0)</f>
        <v>32.062810549861823</v>
      </c>
      <c r="T98">
        <f>IFERROR(VLOOKUP(A98,[1]Biogasudbytte!$A$2:$B$18,2,FALSE)*[1]Energiindhold!$C$10,0)*K98*IFERROR(VLOOKUP(A98,Biogasanlæg!$F$3:$G$8,2,FALSE),1)</f>
        <v>0</v>
      </c>
      <c r="U98" s="170">
        <f t="shared" ca="1" si="22"/>
        <v>32.062810549861823</v>
      </c>
      <c r="V98" s="169">
        <f ca="1">P98*IFERROR(VLOOKUP(A98,[1]Tørstofindhold!A$2:B$24,2,FALSE),0)</f>
        <v>0</v>
      </c>
      <c r="W98">
        <f ca="1">IF(E98=År1,Q98,SUM(P98,Q98))*IFERROR(VLOOKUP(A98,[1]Tørstofindhold!A$2:B$24,2,FALSE),0)</f>
        <v>1094121.939623686</v>
      </c>
      <c r="X98">
        <f>K98*IFERROR(VLOOKUP(A98,[1]Tørstofindhold!A$2:B$24,2,FALSE),0)</f>
        <v>0</v>
      </c>
      <c r="Y98" s="170">
        <f t="shared" ca="1" si="23"/>
        <v>1094121.939623686</v>
      </c>
      <c r="Z98">
        <f t="shared" ca="1" si="18"/>
        <v>0</v>
      </c>
      <c r="AA98">
        <f t="shared" ca="1" si="19"/>
        <v>0</v>
      </c>
    </row>
    <row r="99" spans="1:27" x14ac:dyDescent="0.25">
      <c r="A99" s="171" t="str">
        <f t="shared" si="24"/>
        <v>Træmaterialer</v>
      </c>
      <c r="B99" s="171" t="str">
        <f t="shared" si="25"/>
        <v/>
      </c>
      <c r="C99" s="171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71">
        <f t="shared" si="16"/>
        <v>0</v>
      </c>
      <c r="E99" s="171">
        <f t="shared" si="15"/>
        <v>2030</v>
      </c>
      <c r="F99" t="s">
        <v>23</v>
      </c>
      <c r="G99" s="94">
        <f ca="1">IF(F99="Vestdanmark",SUMIFS(IF(E99=År1,'Resultater - Vestdanmark'!H$3:H$504,IF(E99=År2,'Resultater - Vestdanmark'!I$3:I$504,'Resultater - Vestdanmark'!J$3:J$504)),'Resultater - Vestdanmark'!$F$3:$F$504,$A99,IF(E99=År1,'Resultater - Vestdanmark'!H$3:H$504,IF(E99=År2,'Resultater - Vestdanmark'!I$3:I$504,'Resultater - Vestdanmark'!J$3:J$504)),"&gt;0"),SUMIFS(IF(E99=År1,'Resultater - Østdanmark'!H$3:H$504,IF(E99=År2,'Resultater - Østdanmark'!I$3:I$504,'Resultater - Østdanmark'!J$3:J$504)),'Resultater - Østdanmark'!$F$3:$F$504,$A99,IF(E99=År1,'Resultater - Østdanmark'!H$3:H$504,IF(E99=År2,'Resultater - Østdanmark'!I$3:I$504,'Resultater - Østdanmark'!J$3:J$504)),"&gt;0"))</f>
        <v>611213.62991940021</v>
      </c>
      <c r="H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forbrug'!H$3,'Forbrug af biomasse'!$B$2:$B$425,$F99)</f>
        <v>0</v>
      </c>
      <c r="I99">
        <f>IF(F99="Vestdanmark",-IF(A99="Halm",SUMIFS(IF(E99=År1,'Resultater - Vestdanmark'!H$3:H$504,IF(E99=År2,'Resultater - Vestdanmark'!I$3:I$504,'Resultater - Vestdanmark'!J$3:J$504)),'Resultater - Vestdanmark'!$F$3:$F$504,$A99,'Resultater - Vestdanmark'!H$3:H$504,"&lt;0"),0),-IF(A99="Halm",SUMIFS(IF(E99=År1,'Resultater - Østdanmark'!H$3:H$504,IF(E99=År2,'Resultater - Østdanmark'!I$3:I$504,'Resultater - Østdanmark'!J$3:J$504)),'Resultater - Østdanmark'!$F$3:$F$504,$A99,'Resultater - Østdanmark'!H$3:H$504,"&lt;0"),0))</f>
        <v>0</v>
      </c>
      <c r="J99" s="94"/>
      <c r="K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forbrug'!K$3,'Forbrug af biomasse'!$B$2:$B$425,$F99)</f>
        <v>0</v>
      </c>
      <c r="L99" s="94">
        <f>SUMIFS('Forbrug af biomasse'!$E$2:$E$425,'Forbrug af biomasse'!$C$2:$C$425,'Resultat-Produktion &amp; forbrug'!$A99,'Forbrug af biomasse'!$D$2:$D$425,'Resultat-Produktion &amp; forbrug'!$E99,'Forbrug af biomasse'!$A$2:$A$425,'Resultat-Produktion &amp; forbrug'!L$3,'Forbrug af biomasse'!$B$2:$B$425,$F99)</f>
        <v>0</v>
      </c>
      <c r="M99" s="94">
        <f>IF(A99&lt;&gt;"Biogas",SUMIFS('Forbrug af biomasse'!$E$2:$E$425,'Forbrug af biomasse'!$C$2:$C$425,'Resultat-Produktion &amp; forbrug'!$A99,'Forbrug af biomasse'!$D$2:$D$425,'Resultat-Produktion &amp; forbrug'!$E99,'Forbrug af biomasse'!$A$2:$A$425,'Resultat-Produktion &amp; forbrug'!M$3,'Forbrug af biomasse'!$B$2:$B$425,$F99),G99)</f>
        <v>0</v>
      </c>
      <c r="N99" s="94">
        <f ca="1">SUMIFS('Forbrug af biomasse'!E:E,'Forbrug af biomasse'!C:C,'Resultat-Produktion &amp; forbrug'!$A99,'Forbrug af biomasse'!D:D,'Resultat-Produktion &amp; forbrug'!$E99,'Forbrug af biomasse'!G:G,1,'Forbrug af biomasse'!B:B,$F99)</f>
        <v>611213.62991940021</v>
      </c>
      <c r="O99" s="179">
        <f t="shared" ca="1" si="20"/>
        <v>0</v>
      </c>
      <c r="P99" s="94">
        <f t="shared" si="17"/>
        <v>0</v>
      </c>
      <c r="Q99" s="180">
        <f t="shared" si="21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IF(A99&lt;&gt;"Biogas",IFERROR(VLOOKUP(A99,[1]Biogasudbytte!$A$2:$B$18,2,FALSE)*[1]Energiindhold!$C$10,0)*K99*IFERROR(VLOOKUP(A99,Biogasanlæg!$F$3:$G$8,2,FALSE),1)+IFERROR(VLOOKUP(A99,[1]Energiindhold!$A$2:$C$11,3,FALSE),0)*M99+IF(E99&lt;&gt;År1,R99,0),0)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2"/>
        <v>0</v>
      </c>
      <c r="V99" s="169">
        <f>P99*IFERROR(VLOOKUP(A99,[1]Tørstofindhold!A$2:B$24,2,FALSE),0)</f>
        <v>0</v>
      </c>
      <c r="W99">
        <f>IF(E99=År1,Q99,SUM(P99,Q99))*IFERROR(VLOOKUP(A99,[1]Tørstofindhold!A$2:B$24,2,FALSE),0)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3"/>
        <v>0</v>
      </c>
      <c r="Z99">
        <f t="shared" ca="1" si="18"/>
        <v>0</v>
      </c>
      <c r="AA99">
        <f t="shared" ca="1" si="19"/>
        <v>0</v>
      </c>
    </row>
    <row r="100" spans="1:27" x14ac:dyDescent="0.25">
      <c r="A100" s="171" t="str">
        <f t="shared" si="24"/>
        <v>Æg</v>
      </c>
      <c r="B100" s="171" t="str">
        <f t="shared" si="25"/>
        <v/>
      </c>
      <c r="C100" s="171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71">
        <f t="shared" si="16"/>
        <v>1</v>
      </c>
      <c r="E100" s="171">
        <f t="shared" ref="E100:E147" si="26">År3</f>
        <v>2050</v>
      </c>
      <c r="F100" t="s">
        <v>23</v>
      </c>
      <c r="G100" s="94">
        <f>IF(F100="Vestdanmark",SUMIFS(IF(E100=År1,'Resultater - Vestdanmark'!H$3:H$504,IF(E100=År2,'Resultater - Vestdanmark'!I$3:I$504,'Resultater - Vestdanmark'!J$3:J$504)),'Resultater - Vestdanmark'!$F$3:$F$504,$A100,IF(E100=År1,'Resultater - Vestdanmark'!H$3:H$504,IF(E100=År2,'Resultater - Vestdanmark'!I$3:I$504,'Resultater - Vestdanmark'!J$3:J$504)),"&gt;0"),SUMIFS(IF(E100=År1,'Resultater - Østdanmark'!H$3:H$504,IF(E100=År2,'Resultater - Østdanmark'!I$3:I$504,'Resultater - Østdanmark'!J$3:J$504)),'Resultater - Østdanmark'!$F$3:$F$504,$A100,IF(E100=År1,'Resultater - Østdanmark'!H$3:H$504,IF(E100=År2,'Resultater - Østdanmark'!I$3:I$504,'Resultater - Østdanmark'!J$3:J$504)),"&gt;0"))</f>
        <v>97371.701044186848</v>
      </c>
      <c r="H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forbrug'!H$3,'Forbrug af biomasse'!$B$2:$B$425,$F100)</f>
        <v>0</v>
      </c>
      <c r="I100">
        <f>IF(F100="Vestdanmark",-IF(A100="Halm",SUMIFS(IF(E100=År1,'Resultater - Vestdanmark'!H$3:H$504,IF(E100=År2,'Resultater - Vestdanmark'!I$3:I$504,'Resultater - Vestdanmark'!J$3:J$504)),'Resultater - Vestdanmark'!$F$3:$F$504,$A100,'Resultater - Vestdanmark'!H$3:H$504,"&lt;0"),0),-IF(A100="Halm",SUMIFS(IF(E100=År1,'Resultater - Østdanmark'!H$3:H$504,IF(E100=År2,'Resultater - Østdanmark'!I$3:I$504,'Resultater - Østdanmark'!J$3:J$504)),'Resultater - Østdanmark'!$F$3:$F$504,$A100,'Resultater - Østdanmark'!H$3:H$504,"&lt;0"),0))</f>
        <v>0</v>
      </c>
      <c r="J100" s="94"/>
      <c r="K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forbrug'!K$3,'Forbrug af biomasse'!$B$2:$B$425,$F100)</f>
        <v>0</v>
      </c>
      <c r="L100" s="94">
        <f>SUMIFS('Forbrug af biomasse'!$E$2:$E$425,'Forbrug af biomasse'!$C$2:$C$425,'Resultat-Produktion &amp; forbrug'!$A100,'Forbrug af biomasse'!$D$2:$D$425,'Resultat-Produktion &amp; forbrug'!$E100,'Forbrug af biomasse'!$A$2:$A$425,'Resultat-Produktion &amp; forbrug'!L$3,'Forbrug af biomasse'!$B$2:$B$425,$F100)</f>
        <v>0</v>
      </c>
      <c r="M100" s="94">
        <f>IF(A100&lt;&gt;"Biogas",SUMIFS('Forbrug af biomasse'!$E$2:$E$425,'Forbrug af biomasse'!$C$2:$C$425,'Resultat-Produktion &amp; forbrug'!$A100,'Forbrug af biomasse'!$D$2:$D$425,'Resultat-Produktion &amp; forbrug'!$E100,'Forbrug af biomasse'!$A$2:$A$425,'Resultat-Produktion &amp; forbrug'!M$3,'Forbrug af biomasse'!$B$2:$B$425,$F100),G100)</f>
        <v>0</v>
      </c>
      <c r="N100" s="94">
        <f>SUMIFS('Forbrug af biomasse'!E:E,'Forbrug af biomasse'!C:C,'Resultat-Produktion &amp; forbrug'!$A100,'Forbrug af biomasse'!D:D,'Resultat-Produktion &amp; forbrug'!$E100,'Forbrug af biomasse'!G:G,1,'Forbrug af biomasse'!B:B,$F100)</f>
        <v>0</v>
      </c>
      <c r="O100" s="179">
        <f t="shared" si="20"/>
        <v>97371.701044186848</v>
      </c>
      <c r="P100" s="94">
        <f t="shared" si="17"/>
        <v>0</v>
      </c>
      <c r="Q100" s="180">
        <f t="shared" si="21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IF(A100&lt;&gt;"Biogas",IFERROR(VLOOKUP(A100,[1]Biogasudbytte!$A$2:$B$18,2,FALSE)*[1]Energiindhold!$C$10,0)*K100*IFERROR(VLOOKUP(A100,Biogasanlæg!$F$3:$G$8,2,FALSE),1)+IFERROR(VLOOKUP(A100,[1]Energiindhold!$A$2:$C$11,3,FALSE),0)*M100+IF(E100&lt;&gt;År1,R100,0),0)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2"/>
        <v>0</v>
      </c>
      <c r="V100" s="169">
        <f>P100*IFERROR(VLOOKUP(A100,[1]Tørstofindhold!A$2:B$24,2,FALSE),0)</f>
        <v>0</v>
      </c>
      <c r="W100">
        <f>IF(E100=År1,Q100,SUM(P100,Q100))*IFERROR(VLOOKUP(A100,[1]Tørstofindhold!A$2:B$24,2,FALSE),0)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3"/>
        <v>0</v>
      </c>
      <c r="Z100">
        <f t="shared" si="18"/>
        <v>0</v>
      </c>
      <c r="AA100">
        <f t="shared" si="19"/>
        <v>1</v>
      </c>
    </row>
    <row r="101" spans="1:27" x14ac:dyDescent="0.25">
      <c r="A101" s="171" t="str">
        <f t="shared" si="24"/>
        <v>Bælgsæd</v>
      </c>
      <c r="B101" s="171" t="str">
        <f t="shared" si="25"/>
        <v/>
      </c>
      <c r="C101" s="171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0</v>
      </c>
      <c r="D101" s="171">
        <f t="shared" si="16"/>
        <v>1</v>
      </c>
      <c r="E101" s="171">
        <f t="shared" si="26"/>
        <v>2050</v>
      </c>
      <c r="F101" t="s">
        <v>23</v>
      </c>
      <c r="G101" s="94">
        <f>IF(F101="Vestdanmark",SUMIFS(IF(E101=År1,'Resultater - Vestdanmark'!H$3:H$504,IF(E101=År2,'Resultater - Vestdanmark'!I$3:I$504,'Resultater - Vestdanmark'!J$3:J$504)),'Resultater - Vestdanmark'!$F$3:$F$504,$A101,IF(E101=År1,'Resultater - Vestdanmark'!H$3:H$504,IF(E101=År2,'Resultater - Vestdanmark'!I$3:I$504,'Resultater - Vestdanmark'!J$3:J$504)),"&gt;0"),SUMIFS(IF(E101=År1,'Resultater - Østdanmark'!H$3:H$504,IF(E101=År2,'Resultater - Østdanmark'!I$3:I$504,'Resultater - Østdanmark'!J$3:J$504)),'Resultater - Østdanmark'!$F$3:$F$504,$A101,IF(E101=År1,'Resultater - Østdanmark'!H$3:H$504,IF(E101=År2,'Resultater - Østdanmark'!I$3:I$504,'Resultater - Østdanmark'!J$3:J$504)),"&gt;0"))</f>
        <v>669028.68943321821</v>
      </c>
      <c r="H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forbrug'!H$3,'Forbrug af biomasse'!$B$2:$B$425,$F101)</f>
        <v>37918.362883307651</v>
      </c>
      <c r="I101">
        <f>IF(F101="Vestdanmark",-IF(A101="Halm",SUMIFS(IF(E101=År1,'Resultater - Vestdanmark'!H$3:H$504,IF(E101=År2,'Resultater - Vestdanmark'!I$3:I$504,'Resultater - Vestdanmark'!J$3:J$504)),'Resultater - Vestdanmark'!$F$3:$F$504,$A101,'Resultater - Vestdanmark'!H$3:H$504,"&lt;0"),0),-IF(A101="Halm",SUMIFS(IF(E101=År1,'Resultater - Østdanmark'!H$3:H$504,IF(E101=År2,'Resultater - Østdanmark'!I$3:I$504,'Resultater - Østdanmark'!J$3:J$504)),'Resultater - Østdanmark'!$F$3:$F$504,$A101,'Resultater - Østdanmark'!H$3:H$504,"&lt;0"),0))</f>
        <v>0</v>
      </c>
      <c r="J101" s="94"/>
      <c r="K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forbrug'!K$3,'Forbrug af biomasse'!$B$2:$B$425,$F101)</f>
        <v>0</v>
      </c>
      <c r="L101" s="94">
        <f>SUMIFS('Forbrug af biomasse'!$E$2:$E$425,'Forbrug af biomasse'!$C$2:$C$425,'Resultat-Produktion &amp; forbrug'!$A101,'Forbrug af biomasse'!$D$2:$D$425,'Resultat-Produktion &amp; forbrug'!$E101,'Forbrug af biomasse'!$A$2:$A$425,'Resultat-Produktion &amp; forbrug'!L$3,'Forbrug af biomasse'!$B$2:$B$425,$F101)</f>
        <v>0</v>
      </c>
      <c r="M101" s="94">
        <f>IF(A101&lt;&gt;"Biogas",SUMIFS('Forbrug af biomasse'!$E$2:$E$425,'Forbrug af biomasse'!$C$2:$C$425,'Resultat-Produktion &amp; forbrug'!$A101,'Forbrug af biomasse'!$D$2:$D$425,'Resultat-Produktion &amp; forbrug'!$E101,'Forbrug af biomasse'!$A$2:$A$425,'Resultat-Produktion &amp; forbrug'!M$3,'Forbrug af biomasse'!$B$2:$B$425,$F101),G101)</f>
        <v>0</v>
      </c>
      <c r="N101" s="94">
        <f>SUMIFS('Forbrug af biomasse'!E:E,'Forbrug af biomasse'!C:C,'Resultat-Produktion &amp; forbrug'!$A101,'Forbrug af biomasse'!D:D,'Resultat-Produktion &amp; forbrug'!$E101,'Forbrug af biomasse'!G:G,1,'Forbrug af biomasse'!B:B,$F101)</f>
        <v>0</v>
      </c>
      <c r="O101" s="179">
        <f t="shared" si="20"/>
        <v>631110.32654991059</v>
      </c>
      <c r="P101" s="94">
        <f t="shared" si="17"/>
        <v>0</v>
      </c>
      <c r="Q101" s="180">
        <f t="shared" si="21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IF(A101&lt;&gt;"Biogas",IFERROR(VLOOKUP(A101,[1]Biogasudbytte!$A$2:$B$18,2,FALSE)*[1]Energiindhold!$C$10,0)*K101*IFERROR(VLOOKUP(A101,Biogasanlæg!$F$3:$G$8,2,FALSE),1)+IFERROR(VLOOKUP(A101,[1]Energiindhold!$A$2:$C$11,3,FALSE),0)*M101+IF(E101&lt;&gt;År1,R101,0),0)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2"/>
        <v>0</v>
      </c>
      <c r="V101" s="169">
        <f>P101*IFERROR(VLOOKUP(A101,[1]Tørstofindhold!A$2:B$24,2,FALSE),0)</f>
        <v>0</v>
      </c>
      <c r="W101">
        <f>IF(E101=År1,Q101,SUM(P101,Q101))*IFERROR(VLOOKUP(A101,[1]Tørstofindhold!A$2:B$24,2,FALSE),0)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3"/>
        <v>0</v>
      </c>
      <c r="Z101">
        <f t="shared" si="18"/>
        <v>0</v>
      </c>
      <c r="AA101">
        <f t="shared" si="19"/>
        <v>1</v>
      </c>
    </row>
    <row r="102" spans="1:27" x14ac:dyDescent="0.25">
      <c r="A102" s="171" t="str">
        <f t="shared" si="24"/>
        <v>Bioaffald</v>
      </c>
      <c r="B102" s="171" t="str">
        <f t="shared" si="25"/>
        <v>Bionedbrydeligt affald</v>
      </c>
      <c r="C102" s="171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71">
        <f t="shared" si="16"/>
        <v>0</v>
      </c>
      <c r="E102" s="171">
        <f t="shared" si="26"/>
        <v>2050</v>
      </c>
      <c r="F102" t="s">
        <v>23</v>
      </c>
      <c r="G102" s="94">
        <f ca="1">IF(F102="Vestdanmark",SUMIFS(IF(E102=År1,'Resultater - Vestdanmark'!H$3:H$504,IF(E102=År2,'Resultater - Vestdanmark'!I$3:I$504,'Resultater - Vestdanmark'!J$3:J$504)),'Resultater - Vestdanmark'!$F$3:$F$504,$A102,IF(E102=År1,'Resultater - Vestdanmark'!H$3:H$504,IF(E102=År2,'Resultater - Vestdanmark'!I$3:I$504,'Resultater - Vestdanmark'!J$3:J$504)),"&gt;0"),SUMIFS(IF(E102=År1,'Resultater - Østdanmark'!H$3:H$504,IF(E102=År2,'Resultater - Østdanmark'!I$3:I$504,'Resultater - Østdanmark'!J$3:J$504)),'Resultater - Østdanmark'!$F$3:$F$504,$A102,IF(E102=År1,'Resultater - Østdanmark'!H$3:H$504,IF(E102=År2,'Resultater - Østdanmark'!I$3:I$504,'Resultater - Østdanmark'!J$3:J$504)),"&gt;0"))</f>
        <v>197484.13479984918</v>
      </c>
      <c r="H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forbrug'!H$3,'Forbrug af biomasse'!$B$2:$B$425,$F102)</f>
        <v>0</v>
      </c>
      <c r="I102">
        <f>IF(F102="Vestdanmark",-IF(A102="Halm",SUMIFS(IF(E102=År1,'Resultater - Vestdanmark'!H$3:H$504,IF(E102=År2,'Resultater - Vestdanmark'!I$3:I$504,'Resultater - Vestdanmark'!J$3:J$504)),'Resultater - Vestdanmark'!$F$3:$F$504,$A102,'Resultater - Vestdanmark'!H$3:H$504,"&lt;0"),0),-IF(A102="Halm",SUMIFS(IF(E102=År1,'Resultater - Østdanmark'!H$3:H$504,IF(E102=År2,'Resultater - Østdanmark'!I$3:I$504,'Resultater - Østdanmark'!J$3:J$504)),'Resultater - Østdanmark'!$F$3:$F$504,$A102,'Resultater - Østdanmark'!H$3:H$504,"&lt;0"),0))</f>
        <v>0</v>
      </c>
      <c r="J102" s="94"/>
      <c r="K102" s="94">
        <f ca="1">SUMIFS('Forbrug af biomasse'!$E$2:$E$425,'Forbrug af biomasse'!$C$2:$C$425,'Resultat-Produktion &amp; forbrug'!$A102,'Forbrug af biomasse'!$D$2:$D$425,'Resultat-Produktion &amp; forbrug'!$E102,'Forbrug af biomasse'!$A$2:$A$425,'Resultat-Produktion &amp; forbrug'!K$3,'Forbrug af biomasse'!$B$2:$B$425,$F102)</f>
        <v>0</v>
      </c>
      <c r="L102" s="94">
        <f>SUMIFS('Forbrug af biomasse'!$E$2:$E$425,'Forbrug af biomasse'!$C$2:$C$425,'Resultat-Produktion &amp; forbrug'!$A102,'Forbrug af biomasse'!$D$2:$D$425,'Resultat-Produktion &amp; forbrug'!$E102,'Forbrug af biomasse'!$A$2:$A$425,'Resultat-Produktion &amp; forbrug'!L$3,'Forbrug af biomasse'!$B$2:$B$425,$F102)</f>
        <v>0</v>
      </c>
      <c r="M102" s="94">
        <f ca="1">IF(A102&lt;&gt;"Biogas",SUMIFS('Forbrug af biomasse'!$E$2:$E$425,'Forbrug af biomasse'!$C$2:$C$425,'Resultat-Produktion &amp; forbrug'!$A102,'Forbrug af biomasse'!$D$2:$D$425,'Resultat-Produktion &amp; forbrug'!$E102,'Forbrug af biomasse'!$A$2:$A$425,'Resultat-Produktion &amp; forbrug'!M$3,'Forbrug af biomasse'!$B$2:$B$425,$F102),G102)</f>
        <v>197484.13479984918</v>
      </c>
      <c r="N102" s="94">
        <f ca="1">SUMIFS('Forbrug af biomasse'!E:E,'Forbrug af biomasse'!C:C,'Resultat-Produktion &amp; forbrug'!$A102,'Forbrug af biomasse'!D:D,'Resultat-Produktion &amp; forbrug'!$E102,'Forbrug af biomasse'!G:G,1,'Forbrug af biomasse'!B:B,$F102)</f>
        <v>0</v>
      </c>
      <c r="O102" s="179">
        <f t="shared" ca="1" si="20"/>
        <v>0</v>
      </c>
      <c r="P102" s="94">
        <f t="shared" ca="1" si="17"/>
        <v>0</v>
      </c>
      <c r="Q102" s="180">
        <f t="shared" ca="1" si="21"/>
        <v>197484.13479984918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IF(A102&lt;&gt;"Biogas",IFERROR(VLOOKUP(A102,[1]Biogasudbytte!$A$2:$B$18,2,FALSE)*[1]Energiindhold!$C$10,0)*K102*IFERROR(VLOOKUP(A102,Biogasanlæg!$F$3:$G$8,2,FALSE),1)+IFERROR(VLOOKUP(A102,[1]Energiindhold!$A$2:$C$11,3,FALSE),0)*M102+IF(E102&lt;&gt;År1,R102,0),0)</f>
        <v>3.5255303237813815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2"/>
        <v>3.5255303237813815</v>
      </c>
      <c r="V102" s="169">
        <f ca="1">P102*IFERROR(VLOOKUP(A102,[1]Tørstofindhold!A$2:B$24,2,FALSE),0)</f>
        <v>0</v>
      </c>
      <c r="W102">
        <f ca="1">IF(E102=År1,Q102,SUM(P102,Q102))*IFERROR(VLOOKUP(A102,[1]Tørstofindhold!A$2:B$24,2,FALSE),0)</f>
        <v>55295.557743957776</v>
      </c>
      <c r="X102">
        <f ca="1">K102*IFERROR(VLOOKUP(A102,[1]Tørstofindhold!A$2:B$24,2,FALSE),0)</f>
        <v>0</v>
      </c>
      <c r="Y102" s="170">
        <f t="shared" ca="1" si="23"/>
        <v>55295.557743957776</v>
      </c>
      <c r="Z102">
        <f t="shared" ca="1" si="18"/>
        <v>0</v>
      </c>
      <c r="AA102">
        <f t="shared" ca="1" si="19"/>
        <v>0</v>
      </c>
    </row>
    <row r="103" spans="1:27" x14ac:dyDescent="0.25">
      <c r="A103" s="171" t="str">
        <f t="shared" si="24"/>
        <v>Biogas</v>
      </c>
      <c r="B103" s="171" t="str">
        <f t="shared" si="25"/>
        <v/>
      </c>
      <c r="C103" s="171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1</v>
      </c>
      <c r="D103" s="171">
        <f t="shared" si="16"/>
        <v>0</v>
      </c>
      <c r="E103" s="171">
        <f t="shared" si="26"/>
        <v>2050</v>
      </c>
      <c r="F103" t="s">
        <v>23</v>
      </c>
      <c r="G103" s="94">
        <f ca="1">IF(F103="Vestdanmark",SUMIFS(IF(E103=År1,'Resultater - Vestdanmark'!H$3:H$504,IF(E103=År2,'Resultater - Vestdanmark'!I$3:I$504,'Resultater - Vestdanmark'!J$3:J$504)),'Resultater - Vestdanmark'!$F$3:$F$504,$A103,IF(E103=År1,'Resultater - Vestdanmark'!H$3:H$504,IF(E103=År2,'Resultater - Vestdanmark'!I$3:I$504,'Resultater - Vestdanmark'!J$3:J$504)),"&gt;0"),SUMIFS(IF(E103=År1,'Resultater - Østdanmark'!H$3:H$504,IF(E103=År2,'Resultater - Østdanmark'!I$3:I$504,'Resultater - Østdanmark'!J$3:J$504)),'Resultater - Østdanmark'!$F$3:$F$504,$A103,IF(E103=År1,'Resultater - Østdanmark'!H$3:H$504,IF(E103=År2,'Resultater - Østdanmark'!I$3:I$504,'Resultater - Østdanmark'!J$3:J$504)),"&gt;0"))</f>
        <v>413417890.16546005</v>
      </c>
      <c r="H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forbrug'!H$3,'Forbrug af biomasse'!$B$2:$B$425,$F103)</f>
        <v>0</v>
      </c>
      <c r="I103">
        <f>IF(F103="Vestdanmark",-IF(A103="Halm",SUMIFS(IF(E103=År1,'Resultater - Vestdanmark'!H$3:H$504,IF(E103=År2,'Resultater - Vestdanmark'!I$3:I$504,'Resultater - Vestdanmark'!J$3:J$504)),'Resultater - Vestdanmark'!$F$3:$F$504,$A103,'Resultater - Vestdanmark'!H$3:H$504,"&lt;0"),0),-IF(A103="Halm",SUMIFS(IF(E103=År1,'Resultater - Østdanmark'!H$3:H$504,IF(E103=År2,'Resultater - Østdanmark'!I$3:I$504,'Resultater - Østdanmark'!J$3:J$504)),'Resultater - Østdanmark'!$F$3:$F$504,$A103,'Resultater - Østdanmark'!H$3:H$504,"&lt;0"),0))</f>
        <v>0</v>
      </c>
      <c r="J103" s="94"/>
      <c r="K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forbrug'!K$3,'Forbrug af biomasse'!$B$2:$B$425,$F103)</f>
        <v>0</v>
      </c>
      <c r="L103" s="94">
        <f>SUMIFS('Forbrug af biomasse'!$E$2:$E$425,'Forbrug af biomasse'!$C$2:$C$425,'Resultat-Produktion &amp; forbrug'!$A103,'Forbrug af biomasse'!$D$2:$D$425,'Resultat-Produktion &amp; forbrug'!$E103,'Forbrug af biomasse'!$A$2:$A$425,'Resultat-Produktion &amp; forbrug'!L$3,'Forbrug af biomasse'!$B$2:$B$425,$F103)</f>
        <v>0</v>
      </c>
      <c r="M103" s="94">
        <f ca="1">IF(A103&lt;&gt;"Biogas",SUMIFS('Forbrug af biomasse'!$E$2:$E$425,'Forbrug af biomasse'!$C$2:$C$425,'Resultat-Produktion &amp; forbrug'!$A103,'Forbrug af biomasse'!$D$2:$D$425,'Resultat-Produktion &amp; forbrug'!$E103,'Forbrug af biomasse'!$A$2:$A$425,'Resultat-Produktion &amp; forbrug'!M$3,'Forbrug af biomasse'!$B$2:$B$425,$F103),G103)</f>
        <v>413417890.16546005</v>
      </c>
      <c r="N103" s="94">
        <f>SUMIFS('Forbrug af biomasse'!E:E,'Forbrug af biomasse'!C:C,'Resultat-Produktion &amp; forbrug'!$A103,'Forbrug af biomasse'!D:D,'Resultat-Produktion &amp; forbrug'!$E103,'Forbrug af biomasse'!G:G,1,'Forbrug af biomasse'!B:B,$F103)</f>
        <v>0</v>
      </c>
      <c r="O103" s="179">
        <f t="shared" ca="1" si="20"/>
        <v>0</v>
      </c>
      <c r="P103" s="94">
        <f t="shared" ca="1" si="17"/>
        <v>0</v>
      </c>
      <c r="Q103" s="180">
        <f t="shared" ca="1" si="21"/>
        <v>413417890.16546005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IF(A103&lt;&gt;"Biogas",IFERROR(VLOOKUP(A103,[1]Biogasudbytte!$A$2:$B$18,2,FALSE)*[1]Energiindhold!$C$10,0)*K103*IFERROR(VLOOKUP(A103,Biogasanlæg!$F$3:$G$8,2,FALSE),1)+IFERROR(VLOOKUP(A103,[1]Energiindhold!$A$2:$C$11,3,FALSE),0)*M103+IF(E103&lt;&gt;År1,R103,0),0)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2"/>
        <v>0</v>
      </c>
      <c r="V103" s="169">
        <f ca="1">P103*IFERROR(VLOOKUP(A103,[1]Tørstofindhold!A$2:B$24,2,FALSE),0)</f>
        <v>0</v>
      </c>
      <c r="W103">
        <f ca="1">IF(E103=År1,Q103,SUM(P103,Q103))*IFERROR(VLOOKUP(A103,[1]Tørstofindhold!A$2:B$24,2,FALSE),0)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3"/>
        <v>0</v>
      </c>
      <c r="Z103">
        <f t="shared" ca="1" si="18"/>
        <v>0</v>
      </c>
      <c r="AA103">
        <f t="shared" ca="1" si="19"/>
        <v>0</v>
      </c>
    </row>
    <row r="104" spans="1:27" x14ac:dyDescent="0.25">
      <c r="A104" s="171" t="str">
        <f t="shared" si="24"/>
        <v>Biogasgylle</v>
      </c>
      <c r="B104" s="171" t="str">
        <f t="shared" si="25"/>
        <v/>
      </c>
      <c r="C104" s="171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0</v>
      </c>
      <c r="D104" s="171">
        <f t="shared" si="16"/>
        <v>0</v>
      </c>
      <c r="E104" s="171">
        <f t="shared" si="26"/>
        <v>2050</v>
      </c>
      <c r="F104" t="s">
        <v>23</v>
      </c>
      <c r="G104" s="94">
        <f ca="1">IF(F104="Vestdanmark",SUMIFS(IF(E104=År1,'Resultater - Vestdanmark'!H$3:H$504,IF(E104=År2,'Resultater - Vestdanmark'!I$3:I$504,'Resultater - Vestdanmark'!J$3:J$504)),'Resultater - Vestdanmark'!$F$3:$F$504,$A104,IF(E104=År1,'Resultater - Vestdanmark'!H$3:H$504,IF(E104=År2,'Resultater - Vestdanmark'!I$3:I$504,'Resultater - Vestdanmark'!J$3:J$504)),"&gt;0"),SUMIFS(IF(E104=År1,'Resultater - Østdanmark'!H$3:H$504,IF(E104=År2,'Resultater - Østdanmark'!I$3:I$504,'Resultater - Østdanmark'!J$3:J$504)),'Resultater - Østdanmark'!$F$3:$F$504,$A104,IF(E104=År1,'Resultater - Østdanmark'!H$3:H$504,IF(E104=År2,'Resultater - Østdanmark'!I$3:I$504,'Resultater - Østdanmark'!J$3:J$504)),"&gt;0"))</f>
        <v>13894955.02537578</v>
      </c>
      <c r="H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forbrug'!H$3,'Forbrug af biomasse'!$B$2:$B$425,$F104)</f>
        <v>0</v>
      </c>
      <c r="I104">
        <f>IF(F104="Vestdanmark",-IF(A104="Halm",SUMIFS(IF(E104=År1,'Resultater - Vestdanmark'!H$3:H$504,IF(E104=År2,'Resultater - Vestdanmark'!I$3:I$504,'Resultater - Vestdanmark'!J$3:J$504)),'Resultater - Vestdanmark'!$F$3:$F$504,$A104,'Resultater - Vestdanmark'!H$3:H$504,"&lt;0"),0),-IF(A104="Halm",SUMIFS(IF(E104=År1,'Resultater - Østdanmark'!H$3:H$504,IF(E104=År2,'Resultater - Østdanmark'!I$3:I$504,'Resultater - Østdanmark'!J$3:J$504)),'Resultater - Østdanmark'!$F$3:$F$504,$A104,'Resultater - Østdanmark'!H$3:H$504,"&lt;0"),0))</f>
        <v>0</v>
      </c>
      <c r="J104" s="94"/>
      <c r="K104" s="94">
        <f>SUMIFS('Forbrug af biomasse'!$E$2:$E$425,'Forbrug af biomasse'!$C$2:$C$425,'Resultat-Produktion &amp; forbrug'!$A104,'Forbrug af biomasse'!$D$2:$D$425,'Resultat-Produktion &amp; forbrug'!$E104,'Forbrug af biomasse'!$A$2:$A$425,'Resultat-Produktion &amp; forbrug'!K$3,'Forbrug af biomasse'!$B$2:$B$425,$F104)</f>
        <v>0</v>
      </c>
      <c r="L104" s="94">
        <f ca="1">SUMIFS('Forbrug af biomasse'!$E$2:$E$425,'Forbrug af biomasse'!$C$2:$C$425,'Resultat-Produktion &amp; forbrug'!$A104,'Forbrug af biomasse'!$D$2:$D$425,'Resultat-Produktion &amp; forbrug'!$E104,'Forbrug af biomasse'!$A$2:$A$425,'Resultat-Produktion &amp; forbrug'!L$3,'Forbrug af biomasse'!$B$2:$B$425,$F104)</f>
        <v>380267.18980249454</v>
      </c>
      <c r="M104" s="94">
        <f>IF(A104&lt;&gt;"Biogas",SUMIFS('Forbrug af biomasse'!$E$2:$E$425,'Forbrug af biomasse'!$C$2:$C$425,'Resultat-Produktion &amp; forbrug'!$A104,'Forbrug af biomasse'!$D$2:$D$425,'Resultat-Produktion &amp; forbrug'!$E104,'Forbrug af biomasse'!$A$2:$A$425,'Resultat-Produktion &amp; forbrug'!M$3,'Forbrug af biomasse'!$B$2:$B$425,$F104),G104)</f>
        <v>0</v>
      </c>
      <c r="N104" s="94">
        <f>SUMIFS('Forbrug af biomasse'!E:E,'Forbrug af biomasse'!C:C,'Resultat-Produktion &amp; forbrug'!$A104,'Forbrug af biomasse'!D:D,'Resultat-Produktion &amp; forbrug'!$E104,'Forbrug af biomasse'!G:G,1,'Forbrug af biomasse'!B:B,$F104)</f>
        <v>0</v>
      </c>
      <c r="O104" s="179">
        <f t="shared" ca="1" si="20"/>
        <v>13514687.835573286</v>
      </c>
      <c r="P104" s="94">
        <f t="shared" si="17"/>
        <v>0</v>
      </c>
      <c r="Q104" s="180">
        <f t="shared" si="21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IF(A104&lt;&gt;"Biogas",IFERROR(VLOOKUP(A104,[1]Biogasudbytte!$A$2:$B$18,2,FALSE)*[1]Energiindhold!$C$10,0)*K104*IFERROR(VLOOKUP(A104,Biogasanlæg!$F$3:$G$8,2,FALSE),1)+IFERROR(VLOOKUP(A104,[1]Energiindhold!$A$2:$C$11,3,FALSE),0)*M104+IF(E104&lt;&gt;År1,R104,0),0)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2"/>
        <v>0</v>
      </c>
      <c r="V104" s="169">
        <f>P104*IFERROR(VLOOKUP(A104,[1]Tørstofindhold!A$2:B$24,2,FALSE),0)</f>
        <v>0</v>
      </c>
      <c r="W104">
        <f>IF(E104=År1,Q104,SUM(P104,Q104))*IFERROR(VLOOKUP(A104,[1]Tørstofindhold!A$2:B$24,2,FALSE),0)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3"/>
        <v>0</v>
      </c>
      <c r="Z104">
        <f t="shared" ca="1" si="18"/>
        <v>0</v>
      </c>
      <c r="AA104">
        <f t="shared" ca="1" si="19"/>
        <v>1</v>
      </c>
    </row>
    <row r="105" spans="1:27" x14ac:dyDescent="0.25">
      <c r="A105" s="171" t="str">
        <f t="shared" si="24"/>
        <v>Brun saft</v>
      </c>
      <c r="B105" s="171" t="str">
        <f t="shared" si="25"/>
        <v>Bionedbrydeligt affald</v>
      </c>
      <c r="C105" s="171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71">
        <f t="shared" si="16"/>
        <v>0</v>
      </c>
      <c r="E105" s="171">
        <f t="shared" si="26"/>
        <v>2050</v>
      </c>
      <c r="F105" t="s">
        <v>23</v>
      </c>
      <c r="G105" s="94">
        <f>IF(F105="Vestdanmark",SUMIFS(IF(E105=År1,'Resultater - Vestdanmark'!H$3:H$504,IF(E105=År2,'Resultater - Vestdanmark'!I$3:I$504,'Resultater - Vestdanmark'!J$3:J$504)),'Resultater - Vestdanmark'!$F$3:$F$504,$A105,IF(E105=År1,'Resultater - Vestdanmark'!H$3:H$504,IF(E105=År2,'Resultater - Vestdanmark'!I$3:I$504,'Resultater - Vestdanmark'!J$3:J$504)),"&gt;0"),SUMIFS(IF(E105=År1,'Resultater - Østdanmark'!H$3:H$504,IF(E105=År2,'Resultater - Østdanmark'!I$3:I$504,'Resultater - Østdanmark'!J$3:J$504)),'Resultater - Østdanmark'!$F$3:$F$504,$A105,IF(E105=År1,'Resultater - Østdanmark'!H$3:H$504,IF(E105=År2,'Resultater - Østdanmark'!I$3:I$504,'Resultater - Østdanmark'!J$3:J$504)),"&gt;0"))</f>
        <v>10564890.076158831</v>
      </c>
      <c r="H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forbrug'!H$3,'Forbrug af biomasse'!$B$2:$B$425,$F105)</f>
        <v>0</v>
      </c>
      <c r="I105">
        <f>IF(F105="Vestdanmark",-IF(A105="Halm",SUMIFS(IF(E105=År1,'Resultater - Vestdanmark'!H$3:H$504,IF(E105=År2,'Resultater - Vestdanmark'!I$3:I$504,'Resultater - Vestdanmark'!J$3:J$504)),'Resultater - Vestdanmark'!$F$3:$F$504,$A105,'Resultater - Vestdanmark'!H$3:H$504,"&lt;0"),0),-IF(A105="Halm",SUMIFS(IF(E105=År1,'Resultater - Østdanmark'!H$3:H$504,IF(E105=År2,'Resultater - Østdanmark'!I$3:I$504,'Resultater - Østdanmark'!J$3:J$504)),'Resultater - Østdanmark'!$F$3:$F$504,$A105,'Resultater - Østdanmark'!H$3:H$504,"&lt;0"),0))</f>
        <v>0</v>
      </c>
      <c r="J105" s="94"/>
      <c r="K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forbrug'!K$3,'Forbrug af biomasse'!$B$2:$B$425,$F105)</f>
        <v>9508401.068542948</v>
      </c>
      <c r="L105" s="94">
        <f>SUMIFS('Forbrug af biomasse'!$E$2:$E$425,'Forbrug af biomasse'!$C$2:$C$425,'Resultat-Produktion &amp; forbrug'!$A105,'Forbrug af biomasse'!$D$2:$D$425,'Resultat-Produktion &amp; forbrug'!$E105,'Forbrug af biomasse'!$A$2:$A$425,'Resultat-Produktion &amp; forbrug'!L$3,'Forbrug af biomasse'!$B$2:$B$425,$F105)</f>
        <v>0</v>
      </c>
      <c r="M105" s="94">
        <f>IF(A105&lt;&gt;"Biogas",SUMIFS('Forbrug af biomasse'!$E$2:$E$425,'Forbrug af biomasse'!$C$2:$C$425,'Resultat-Produktion &amp; forbrug'!$A105,'Forbrug af biomasse'!$D$2:$D$425,'Resultat-Produktion &amp; forbrug'!$E105,'Forbrug af biomasse'!$A$2:$A$425,'Resultat-Produktion &amp; forbrug'!M$3,'Forbrug af biomasse'!$B$2:$B$425,$F105),G105)</f>
        <v>0</v>
      </c>
      <c r="N105" s="94">
        <f>SUMIFS('Forbrug af biomasse'!E:E,'Forbrug af biomasse'!C:C,'Resultat-Produktion &amp; forbrug'!$A105,'Forbrug af biomasse'!D:D,'Resultat-Produktion &amp; forbrug'!$E105,'Forbrug af biomasse'!G:G,1,'Forbrug af biomasse'!B:B,$F105)</f>
        <v>0</v>
      </c>
      <c r="O105" s="179">
        <f t="shared" si="20"/>
        <v>1056489.0076158829</v>
      </c>
      <c r="P105" s="94">
        <f t="shared" si="17"/>
        <v>1056489.0076158829</v>
      </c>
      <c r="Q105" s="180">
        <f t="shared" si="21"/>
        <v>9508401.068542948</v>
      </c>
      <c r="R105">
        <f>IFERROR(VLOOKUP(A105,[1]Energiindhold!$A$2:$C$11,3,FALSE),IFERROR(VLOOKUP(A105,[1]Biogasudbytte!$A$2:$B$18,2,FALSE)*[1]Energiindhold!$C$10,0))*P105</f>
        <v>0.6001133063254267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IF(A105&lt;&gt;"Biogas",IFERROR(VLOOKUP(A105,[1]Biogasudbytte!$A$2:$B$18,2,FALSE)*[1]Energiindhold!$C$10,0)*K105*IFERROR(VLOOKUP(A105,Biogasanlæg!$F$3:$G$8,2,FALSE),1)+IFERROR(VLOOKUP(A105,[1]Energiindhold!$A$2:$C$11,3,FALSE),0)*M105+IF(E105&lt;&gt;År1,R105,0),0)</f>
        <v>6.0011330632542679</v>
      </c>
      <c r="T105">
        <f>IFERROR(VLOOKUP(A105,[1]Biogasudbytte!$A$2:$B$18,2,FALSE)*[1]Energiindhold!$C$10,0)*K105*IFERROR(VLOOKUP(A105,Biogasanlæg!$F$3:$G$8,2,FALSE),1)</f>
        <v>5.4010197569288412</v>
      </c>
      <c r="U105" s="170">
        <f t="shared" si="22"/>
        <v>0.6001133063254267</v>
      </c>
      <c r="V105" s="169">
        <f>P105*IFERROR(VLOOKUP(A105,[1]Tørstofindhold!A$2:B$24,2,FALSE),0)</f>
        <v>45179.048883943884</v>
      </c>
      <c r="W105">
        <f>IF(E105=År1,Q105,SUM(P105,Q105))*IFERROR(VLOOKUP(A105,[1]Tørstofindhold!A$2:B$24,2,FALSE),0)</f>
        <v>451790.48883943894</v>
      </c>
      <c r="X105">
        <f>K105*IFERROR(VLOOKUP(A105,[1]Tørstofindhold!A$2:B$24,2,FALSE),0)</f>
        <v>406611.43995549507</v>
      </c>
      <c r="Y105" s="170">
        <f t="shared" si="23"/>
        <v>45179.048883943877</v>
      </c>
      <c r="Z105">
        <f t="shared" si="18"/>
        <v>0</v>
      </c>
      <c r="AA105">
        <f t="shared" si="19"/>
        <v>1</v>
      </c>
    </row>
    <row r="106" spans="1:27" x14ac:dyDescent="0.25">
      <c r="A106" s="171" t="str">
        <f t="shared" si="24"/>
        <v>Dybstrøelse</v>
      </c>
      <c r="B106" s="171" t="str">
        <f t="shared" si="25"/>
        <v>Husdyrgødning</v>
      </c>
      <c r="C106" s="171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1</v>
      </c>
      <c r="D106" s="171">
        <f t="shared" si="16"/>
        <v>0</v>
      </c>
      <c r="E106" s="171">
        <f t="shared" si="26"/>
        <v>2050</v>
      </c>
      <c r="F106" t="s">
        <v>23</v>
      </c>
      <c r="G106" s="94">
        <f>IF(F106="Vestdanmark",SUMIFS(IF(E106=År1,'Resultater - Vestdanmark'!H$3:H$504,IF(E106=År2,'Resultater - Vestdanmark'!I$3:I$504,'Resultater - Vestdanmark'!J$3:J$504)),'Resultater - Vestdanmark'!$F$3:$F$504,$A106,IF(E106=År1,'Resultater - Vestdanmark'!H$3:H$504,IF(E106=År2,'Resultater - Vestdanmark'!I$3:I$504,'Resultater - Vestdanmark'!J$3:J$504)),"&gt;0"),SUMIFS(IF(E106=År1,'Resultater - Østdanmark'!H$3:H$504,IF(E106=År2,'Resultater - Østdanmark'!I$3:I$504,'Resultater - Østdanmark'!J$3:J$504)),'Resultater - Østdanmark'!$F$3:$F$504,$A106,IF(E106=År1,'Resultater - Østdanmark'!H$3:H$504,IF(E106=År2,'Resultater - Østdanmark'!I$3:I$504,'Resultater - Østdanmark'!J$3:J$504)),"&gt;0"))</f>
        <v>4459910.1041985787</v>
      </c>
      <c r="H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forbrug'!H$3,'Forbrug af biomasse'!$B$2:$B$425,$F106)</f>
        <v>0</v>
      </c>
      <c r="I106">
        <f>IF(F106="Vestdanmark",-IF(A106="Halm",SUMIFS(IF(E106=År1,'Resultater - Vestdanmark'!H$3:H$504,IF(E106=År2,'Resultater - Vestdanmark'!I$3:I$504,'Resultater - Vestdanmark'!J$3:J$504)),'Resultater - Vestdanmark'!$F$3:$F$504,$A106,'Resultater - Vestdanmark'!H$3:H$504,"&lt;0"),0),-IF(A106="Halm",SUMIFS(IF(E106=År1,'Resultater - Østdanmark'!H$3:H$504,IF(E106=År2,'Resultater - Østdanmark'!I$3:I$504,'Resultater - Østdanmark'!J$3:J$504)),'Resultater - Østdanmark'!$F$3:$F$504,$A106,'Resultater - Østdanmark'!H$3:H$504,"&lt;0"),0))</f>
        <v>0</v>
      </c>
      <c r="J106" s="94"/>
      <c r="K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forbrug'!K$3,'Forbrug af biomasse'!$B$2:$B$425,$F106)</f>
        <v>4013919.0937787211</v>
      </c>
      <c r="L106" s="94">
        <f>SUMIFS('Forbrug af biomasse'!$E$2:$E$425,'Forbrug af biomasse'!$C$2:$C$425,'Resultat-Produktion &amp; forbrug'!$A106,'Forbrug af biomasse'!$D$2:$D$425,'Resultat-Produktion &amp; forbrug'!$E106,'Forbrug af biomasse'!$A$2:$A$425,'Resultat-Produktion &amp; forbrug'!L$3,'Forbrug af biomasse'!$B$2:$B$425,$F106)</f>
        <v>168839.45394466043</v>
      </c>
      <c r="M106" s="94">
        <f>IF(A106&lt;&gt;"Biogas",SUMIFS('Forbrug af biomasse'!$E$2:$E$425,'Forbrug af biomasse'!$C$2:$C$425,'Resultat-Produktion &amp; forbrug'!$A106,'Forbrug af biomasse'!$D$2:$D$425,'Resultat-Produktion &amp; forbrug'!$E106,'Forbrug af biomasse'!$A$2:$A$425,'Resultat-Produktion &amp; forbrug'!M$3,'Forbrug af biomasse'!$B$2:$B$425,$F106),G106)</f>
        <v>0</v>
      </c>
      <c r="N106" s="94">
        <f>SUMIFS('Forbrug af biomasse'!E:E,'Forbrug af biomasse'!C:C,'Resultat-Produktion &amp; forbrug'!$A106,'Forbrug af biomasse'!D:D,'Resultat-Produktion &amp; forbrug'!$E106,'Forbrug af biomasse'!G:G,1,'Forbrug af biomasse'!B:B,$F106)</f>
        <v>0</v>
      </c>
      <c r="O106" s="179">
        <f t="shared" si="20"/>
        <v>277151.55647519743</v>
      </c>
      <c r="P106" s="94">
        <f t="shared" si="17"/>
        <v>277151.55647519743</v>
      </c>
      <c r="Q106" s="180">
        <f t="shared" si="21"/>
        <v>4013919.0937787211</v>
      </c>
      <c r="R106">
        <f>IFERROR(VLOOKUP(A106,[1]Energiindhold!$A$2:$C$11,3,FALSE),IFERROR(VLOOKUP(A106,[1]Biogasudbytte!$A$2:$B$18,2,FALSE)*[1]Energiindhold!$C$10,0))*P106</f>
        <v>0.59698445264757527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IF(A106&lt;&gt;"Biogas",IFERROR(VLOOKUP(A106,[1]Biogasudbytte!$A$2:$B$18,2,FALSE)*[1]Energiindhold!$C$10,0)*K106*IFERROR(VLOOKUP(A106,Biogasanlæg!$F$3:$G$8,2,FALSE),1)+IFERROR(VLOOKUP(A106,[1]Energiindhold!$A$2:$C$11,3,FALSE),0)*M106+IF(E106&lt;&gt;År1,R106,0),0)</f>
        <v>9.2429661806469401</v>
      </c>
      <c r="T106">
        <f>IFERROR(VLOOKUP(A106,[1]Biogasudbytte!$A$2:$B$18,2,FALSE)*[1]Energiindhold!$C$10,0)*K106*IFERROR(VLOOKUP(A106,Biogasanlæg!$F$3:$G$8,2,FALSE),1)</f>
        <v>8.6459817279993647</v>
      </c>
      <c r="U106" s="170">
        <f t="shared" si="22"/>
        <v>0.59698445264757538</v>
      </c>
      <c r="V106" s="169">
        <f>P106*IFERROR(VLOOKUP(A106,[1]Tørstofindhold!A$2:B$24,2,FALSE),0)</f>
        <v>83145.466942559229</v>
      </c>
      <c r="W106">
        <f>IF(E106=År1,Q106,SUM(P106,Q106))*IFERROR(VLOOKUP(A106,[1]Tørstofindhold!A$2:B$24,2,FALSE),0)</f>
        <v>1287321.1950761753</v>
      </c>
      <c r="X106">
        <f>K106*IFERROR(VLOOKUP(A106,[1]Tørstofindhold!A$2:B$24,2,FALSE),0)</f>
        <v>1204175.7281336163</v>
      </c>
      <c r="Y106" s="170">
        <f t="shared" si="23"/>
        <v>83145.466942558996</v>
      </c>
      <c r="Z106">
        <f t="shared" si="18"/>
        <v>0</v>
      </c>
      <c r="AA106">
        <f t="shared" si="19"/>
        <v>1</v>
      </c>
    </row>
    <row r="107" spans="1:27" x14ac:dyDescent="0.25">
      <c r="A107" s="171" t="str">
        <f t="shared" si="24"/>
        <v>Fiberfraktion</v>
      </c>
      <c r="B107" s="171" t="str">
        <f t="shared" si="25"/>
        <v/>
      </c>
      <c r="C107" s="171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0</v>
      </c>
      <c r="D107" s="171">
        <f t="shared" si="16"/>
        <v>0</v>
      </c>
      <c r="E107" s="171">
        <f t="shared" si="26"/>
        <v>2050</v>
      </c>
      <c r="F107" t="s">
        <v>23</v>
      </c>
      <c r="G107" s="94">
        <f>IF(F107="Vestdanmark",SUMIFS(IF(E107=År1,'Resultater - Vestdanmark'!H$3:H$504,IF(E107=År2,'Resultater - Vestdanmark'!I$3:I$504,'Resultater - Vestdanmark'!J$3:J$504)),'Resultater - Vestdanmark'!$F$3:$F$504,$A107,IF(E107=År1,'Resultater - Vestdanmark'!H$3:H$504,IF(E107=År2,'Resultater - Vestdanmark'!I$3:I$504,'Resultater - Vestdanmark'!J$3:J$504)),"&gt;0"),SUMIFS(IF(E107=År1,'Resultater - Østdanmark'!H$3:H$504,IF(E107=År2,'Resultater - Østdanmark'!I$3:I$504,'Resultater - Østdanmark'!J$3:J$504)),'Resultater - Østdanmark'!$F$3:$F$504,$A107,IF(E107=År1,'Resultater - Østdanmark'!H$3:H$504,IF(E107=År2,'Resultater - Østdanmark'!I$3:I$504,'Resultater - Østdanmark'!J$3:J$504)),"&gt;0"))</f>
        <v>7441255.1102966424</v>
      </c>
      <c r="H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forbrug'!H$3,'Forbrug af biomasse'!$B$2:$B$425,$F107)</f>
        <v>7440134.0206201067</v>
      </c>
      <c r="I107">
        <f>IF(F107="Vestdanmark",-IF(A107="Halm",SUMIFS(IF(E107=År1,'Resultater - Vestdanmark'!H$3:H$504,IF(E107=År2,'Resultater - Vestdanmark'!I$3:I$504,'Resultater - Vestdanmark'!J$3:J$504)),'Resultater - Vestdanmark'!$F$3:$F$504,$A107,'Resultater - Vestdanmark'!H$3:H$504,"&lt;0"),0),-IF(A107="Halm",SUMIFS(IF(E107=År1,'Resultater - Østdanmark'!H$3:H$504,IF(E107=År2,'Resultater - Østdanmark'!I$3:I$504,'Resultater - Østdanmark'!J$3:J$504)),'Resultater - Østdanmark'!$F$3:$F$504,$A107,'Resultater - Østdanmark'!H$3:H$504,"&lt;0"),0))</f>
        <v>0</v>
      </c>
      <c r="J107" s="94"/>
      <c r="K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forbrug'!K$3,'Forbrug af biomasse'!$B$2:$B$425,$F107)</f>
        <v>0</v>
      </c>
      <c r="L107" s="94">
        <f>SUMIFS('Forbrug af biomasse'!$E$2:$E$425,'Forbrug af biomasse'!$C$2:$C$425,'Resultat-Produktion &amp; forbrug'!$A107,'Forbrug af biomasse'!$D$2:$D$425,'Resultat-Produktion &amp; forbrug'!$E107,'Forbrug af biomasse'!$A$2:$A$425,'Resultat-Produktion &amp; forbrug'!L$3,'Forbrug af biomasse'!$B$2:$B$425,$F107)</f>
        <v>0</v>
      </c>
      <c r="M107" s="94">
        <f>IF(A107&lt;&gt;"Biogas",SUMIFS('Forbrug af biomasse'!$E$2:$E$425,'Forbrug af biomasse'!$C$2:$C$425,'Resultat-Produktion &amp; forbrug'!$A107,'Forbrug af biomasse'!$D$2:$D$425,'Resultat-Produktion &amp; forbrug'!$E107,'Forbrug af biomasse'!$A$2:$A$425,'Resultat-Produktion &amp; forbrug'!M$3,'Forbrug af biomasse'!$B$2:$B$425,$F107),G107)</f>
        <v>0</v>
      </c>
      <c r="N107" s="94">
        <f>SUMIFS('Forbrug af biomasse'!E:E,'Forbrug af biomasse'!C:C,'Resultat-Produktion &amp; forbrug'!$A107,'Forbrug af biomasse'!D:D,'Resultat-Produktion &amp; forbrug'!$E107,'Forbrug af biomasse'!G:G,1,'Forbrug af biomasse'!B:B,$F107)</f>
        <v>0</v>
      </c>
      <c r="O107" s="179">
        <f t="shared" si="20"/>
        <v>1121.0896765356883</v>
      </c>
      <c r="P107" s="94">
        <f t="shared" si="17"/>
        <v>0</v>
      </c>
      <c r="Q107" s="180">
        <f t="shared" si="21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IF(A107&lt;&gt;"Biogas",IFERROR(VLOOKUP(A107,[1]Biogasudbytte!$A$2:$B$18,2,FALSE)*[1]Energiindhold!$C$10,0)*K107*IFERROR(VLOOKUP(A107,Biogasanlæg!$F$3:$G$8,2,FALSE),1)+IFERROR(VLOOKUP(A107,[1]Energiindhold!$A$2:$C$11,3,FALSE),0)*M107+IF(E107&lt;&gt;År1,R107,0),0)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2"/>
        <v>0</v>
      </c>
      <c r="V107" s="169">
        <f>P107*IFERROR(VLOOKUP(A107,[1]Tørstofindhold!A$2:B$24,2,FALSE),0)</f>
        <v>0</v>
      </c>
      <c r="W107">
        <f>IF(E107=År1,Q107,SUM(P107,Q107))*IFERROR(VLOOKUP(A107,[1]Tørstofindhold!A$2:B$24,2,FALSE),0)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3"/>
        <v>0</v>
      </c>
      <c r="Z107">
        <f t="shared" si="18"/>
        <v>0</v>
      </c>
      <c r="AA107">
        <f t="shared" si="19"/>
        <v>1</v>
      </c>
    </row>
    <row r="108" spans="1:27" x14ac:dyDescent="0.25">
      <c r="A108" s="171" t="str">
        <f t="shared" si="24"/>
        <v>Fjerkrægylle</v>
      </c>
      <c r="B108" s="171" t="str">
        <f t="shared" si="25"/>
        <v>Husdyrgødning</v>
      </c>
      <c r="C108" s="171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1</v>
      </c>
      <c r="D108" s="171">
        <f t="shared" si="16"/>
        <v>0</v>
      </c>
      <c r="E108" s="171">
        <f t="shared" si="26"/>
        <v>2050</v>
      </c>
      <c r="F108" t="s">
        <v>23</v>
      </c>
      <c r="G108" s="94">
        <f>IF(F108="Vestdanmark",SUMIFS(IF(E108=År1,'Resultater - Vestdanmark'!H$3:H$504,IF(E108=År2,'Resultater - Vestdanmark'!I$3:I$504,'Resultater - Vestdanmark'!J$3:J$504)),'Resultater - Vestdanmark'!$F$3:$F$504,$A108,IF(E108=År1,'Resultater - Vestdanmark'!H$3:H$504,IF(E108=År2,'Resultater - Vestdanmark'!I$3:I$504,'Resultater - Vestdanmark'!J$3:J$504)),"&gt;0"),SUMIFS(IF(E108=År1,'Resultater - Østdanmark'!H$3:H$504,IF(E108=År2,'Resultater - Østdanmark'!I$3:I$504,'Resultater - Østdanmark'!J$3:J$504)),'Resultater - Østdanmark'!$F$3:$F$504,$A108,IF(E108=År1,'Resultater - Østdanmark'!H$3:H$504,IF(E108=År2,'Resultater - Østdanmark'!I$3:I$504,'Resultater - Østdanmark'!J$3:J$504)),"&gt;0"))</f>
        <v>14046.037926415524</v>
      </c>
      <c r="H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forbrug'!H$3,'Forbrug af biomasse'!$B$2:$B$425,$F108)</f>
        <v>0</v>
      </c>
      <c r="I108">
        <f>IF(F108="Vestdanmark",-IF(A108="Halm",SUMIFS(IF(E108=År1,'Resultater - Vestdanmark'!H$3:H$504,IF(E108=År2,'Resultater - Vestdanmark'!I$3:I$504,'Resultater - Vestdanmark'!J$3:J$504)),'Resultater - Vestdanmark'!$F$3:$F$504,$A108,'Resultater - Vestdanmark'!H$3:H$504,"&lt;0"),0),-IF(A108="Halm",SUMIFS(IF(E108=År1,'Resultater - Østdanmark'!H$3:H$504,IF(E108=År2,'Resultater - Østdanmark'!I$3:I$504,'Resultater - Østdanmark'!J$3:J$504)),'Resultater - Østdanmark'!$F$3:$F$504,$A108,'Resultater - Østdanmark'!H$3:H$504,"&lt;0"),0))</f>
        <v>0</v>
      </c>
      <c r="J108" s="94"/>
      <c r="K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forbrug'!K$3,'Forbrug af biomasse'!$B$2:$B$425,$F108)</f>
        <v>12641.434133773972</v>
      </c>
      <c r="L108" s="94">
        <f>SUMIFS('Forbrug af biomasse'!$E$2:$E$425,'Forbrug af biomasse'!$C$2:$C$425,'Resultat-Produktion &amp; forbrug'!$A108,'Forbrug af biomasse'!$D$2:$D$425,'Resultat-Produktion &amp; forbrug'!$E108,'Forbrug af biomasse'!$A$2:$A$425,'Resultat-Produktion &amp; forbrug'!L$3,'Forbrug af biomasse'!$B$2:$B$425,$F108)</f>
        <v>1404.603792641552</v>
      </c>
      <c r="M108" s="94">
        <f>IF(A108&lt;&gt;"Biogas",SUMIFS('Forbrug af biomasse'!$E$2:$E$425,'Forbrug af biomasse'!$C$2:$C$425,'Resultat-Produktion &amp; forbrug'!$A108,'Forbrug af biomasse'!$D$2:$D$425,'Resultat-Produktion &amp; forbrug'!$E108,'Forbrug af biomasse'!$A$2:$A$425,'Resultat-Produktion &amp; forbrug'!M$3,'Forbrug af biomasse'!$B$2:$B$425,$F108),G108)</f>
        <v>0</v>
      </c>
      <c r="N108" s="94">
        <f>SUMIFS('Forbrug af biomasse'!E:E,'Forbrug af biomasse'!C:C,'Resultat-Produktion &amp; forbrug'!$A108,'Forbrug af biomasse'!D:D,'Resultat-Produktion &amp; forbrug'!$E108,'Forbrug af biomasse'!G:G,1,'Forbrug af biomasse'!B:B,$F108)</f>
        <v>0</v>
      </c>
      <c r="O108" s="179">
        <f t="shared" si="20"/>
        <v>0</v>
      </c>
      <c r="P108" s="94">
        <f t="shared" si="17"/>
        <v>0</v>
      </c>
      <c r="Q108" s="180">
        <f t="shared" si="21"/>
        <v>12641.434133773972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IF(A108&lt;&gt;"Biogas",IFERROR(VLOOKUP(A108,[1]Biogasudbytte!$A$2:$B$18,2,FALSE)*[1]Energiindhold!$C$10,0)*K108*IFERROR(VLOOKUP(A108,Biogasanlæg!$F$3:$G$8,2,FALSE),1)+IFERROR(VLOOKUP(A108,[1]Energiindhold!$A$2:$C$11,3,FALSE),0)*M108+IF(E108&lt;&gt;År1,R108,0),0)</f>
        <v>5.9451400587725613E-3</v>
      </c>
      <c r="T108">
        <f>IFERROR(VLOOKUP(A108,[1]Biogasudbytte!$A$2:$B$18,2,FALSE)*[1]Energiindhold!$C$10,0)*K108*IFERROR(VLOOKUP(A108,Biogasanlæg!$F$3:$G$8,2,FALSE),1)</f>
        <v>5.9451400587725613E-3</v>
      </c>
      <c r="U108" s="170">
        <f t="shared" si="22"/>
        <v>0</v>
      </c>
      <c r="V108" s="169">
        <f>P108*IFERROR(VLOOKUP(A108,[1]Tørstofindhold!A$2:B$24,2,FALSE),0)</f>
        <v>0</v>
      </c>
      <c r="W108">
        <f>IF(E108=År1,Q108,SUM(P108,Q108))*IFERROR(VLOOKUP(A108,[1]Tørstofindhold!A$2:B$24,2,FALSE),0)</f>
        <v>796.41035042776025</v>
      </c>
      <c r="X108">
        <f>K108*IFERROR(VLOOKUP(A108,[1]Tørstofindhold!A$2:B$24,2,FALSE),0)</f>
        <v>796.41035042776025</v>
      </c>
      <c r="Y108" s="170">
        <f t="shared" si="23"/>
        <v>0</v>
      </c>
      <c r="Z108">
        <f t="shared" si="18"/>
        <v>0</v>
      </c>
      <c r="AA108">
        <f t="shared" si="19"/>
        <v>0</v>
      </c>
    </row>
    <row r="109" spans="1:27" x14ac:dyDescent="0.25">
      <c r="A109" s="171" t="str">
        <f t="shared" si="24"/>
        <v>Fjerkrækød</v>
      </c>
      <c r="B109" s="171" t="str">
        <f t="shared" si="25"/>
        <v/>
      </c>
      <c r="C109" s="171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71">
        <f t="shared" si="16"/>
        <v>1</v>
      </c>
      <c r="E109" s="171">
        <f t="shared" si="26"/>
        <v>2050</v>
      </c>
      <c r="F109" t="s">
        <v>23</v>
      </c>
      <c r="G109" s="94">
        <f>IF(F109="Vestdanmark",SUMIFS(IF(E109=År1,'Resultater - Vestdanmark'!H$3:H$504,IF(E109=År2,'Resultater - Vestdanmark'!I$3:I$504,'Resultater - Vestdanmark'!J$3:J$504)),'Resultater - Vestdanmark'!$F$3:$F$504,$A109,IF(E109=År1,'Resultater - Vestdanmark'!H$3:H$504,IF(E109=År2,'Resultater - Vestdanmark'!I$3:I$504,'Resultater - Vestdanmark'!J$3:J$504)),"&gt;0"),SUMIFS(IF(E109=År1,'Resultater - Østdanmark'!H$3:H$504,IF(E109=År2,'Resultater - Østdanmark'!I$3:I$504,'Resultater - Østdanmark'!J$3:J$504)),'Resultater - Østdanmark'!$F$3:$F$504,$A109,IF(E109=År1,'Resultater - Østdanmark'!H$3:H$504,IF(E109=År2,'Resultater - Østdanmark'!I$3:I$504,'Resultater - Østdanmark'!J$3:J$504)),"&gt;0"))</f>
        <v>15004.062230929063</v>
      </c>
      <c r="H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forbrug'!H$3,'Forbrug af biomasse'!$B$2:$B$425,$F109)</f>
        <v>0</v>
      </c>
      <c r="I109">
        <f>IF(F109="Vestdanmark",-IF(A109="Halm",SUMIFS(IF(E109=År1,'Resultater - Vestdanmark'!H$3:H$504,IF(E109=År2,'Resultater - Vestdanmark'!I$3:I$504,'Resultater - Vestdanmark'!J$3:J$504)),'Resultater - Vestdanmark'!$F$3:$F$504,$A109,'Resultater - Vestdanmark'!H$3:H$504,"&lt;0"),0),-IF(A109="Halm",SUMIFS(IF(E109=År1,'Resultater - Østdanmark'!H$3:H$504,IF(E109=År2,'Resultater - Østdanmark'!I$3:I$504,'Resultater - Østdanmark'!J$3:J$504)),'Resultater - Østdanmark'!$F$3:$F$504,$A109,'Resultater - Østdanmark'!H$3:H$504,"&lt;0"),0))</f>
        <v>0</v>
      </c>
      <c r="J109" s="94"/>
      <c r="K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forbrug'!K$3,'Forbrug af biomasse'!$B$2:$B$425,$F109)</f>
        <v>0</v>
      </c>
      <c r="L109" s="94">
        <f>SUMIFS('Forbrug af biomasse'!$E$2:$E$425,'Forbrug af biomasse'!$C$2:$C$425,'Resultat-Produktion &amp; forbrug'!$A109,'Forbrug af biomasse'!$D$2:$D$425,'Resultat-Produktion &amp; forbrug'!$E109,'Forbrug af biomasse'!$A$2:$A$425,'Resultat-Produktion &amp; forbrug'!L$3,'Forbrug af biomasse'!$B$2:$B$425,$F109)</f>
        <v>0</v>
      </c>
      <c r="M109" s="94">
        <f>IF(A109&lt;&gt;"Biogas",SUMIFS('Forbrug af biomasse'!$E$2:$E$425,'Forbrug af biomasse'!$C$2:$C$425,'Resultat-Produktion &amp; forbrug'!$A109,'Forbrug af biomasse'!$D$2:$D$425,'Resultat-Produktion &amp; forbrug'!$E109,'Forbrug af biomasse'!$A$2:$A$425,'Resultat-Produktion &amp; forbrug'!M$3,'Forbrug af biomasse'!$B$2:$B$425,$F109),G109)</f>
        <v>0</v>
      </c>
      <c r="N109" s="94">
        <f>SUMIFS('Forbrug af biomasse'!E:E,'Forbrug af biomasse'!C:C,'Resultat-Produktion &amp; forbrug'!$A109,'Forbrug af biomasse'!D:D,'Resultat-Produktion &amp; forbrug'!$E109,'Forbrug af biomasse'!G:G,1,'Forbrug af biomasse'!B:B,$F109)</f>
        <v>0</v>
      </c>
      <c r="O109" s="179">
        <f t="shared" si="20"/>
        <v>15004.062230929063</v>
      </c>
      <c r="P109" s="94">
        <f t="shared" si="17"/>
        <v>0</v>
      </c>
      <c r="Q109" s="180">
        <f t="shared" si="21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IF(A109&lt;&gt;"Biogas",IFERROR(VLOOKUP(A109,[1]Biogasudbytte!$A$2:$B$18,2,FALSE)*[1]Energiindhold!$C$10,0)*K109*IFERROR(VLOOKUP(A109,Biogasanlæg!$F$3:$G$8,2,FALSE),1)+IFERROR(VLOOKUP(A109,[1]Energiindhold!$A$2:$C$11,3,FALSE),0)*M109+IF(E109&lt;&gt;År1,R109,0),0)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2"/>
        <v>0</v>
      </c>
      <c r="V109" s="169">
        <f>P109*IFERROR(VLOOKUP(A109,[1]Tørstofindhold!A$2:B$24,2,FALSE),0)</f>
        <v>0</v>
      </c>
      <c r="W109">
        <f>IF(E109=År1,Q109,SUM(P109,Q109))*IFERROR(VLOOKUP(A109,[1]Tørstofindhold!A$2:B$24,2,FALSE),0)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3"/>
        <v>0</v>
      </c>
      <c r="Z109">
        <f t="shared" si="18"/>
        <v>0</v>
      </c>
      <c r="AA109">
        <f t="shared" si="19"/>
        <v>1</v>
      </c>
    </row>
    <row r="110" spans="1:27" x14ac:dyDescent="0.25">
      <c r="A110" s="171" t="str">
        <f t="shared" si="24"/>
        <v>Frø</v>
      </c>
      <c r="B110" s="171" t="str">
        <f t="shared" si="25"/>
        <v/>
      </c>
      <c r="C110" s="171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71">
        <f t="shared" si="16"/>
        <v>0</v>
      </c>
      <c r="E110" s="171">
        <f t="shared" si="26"/>
        <v>2050</v>
      </c>
      <c r="F110" t="s">
        <v>23</v>
      </c>
      <c r="G110" s="94">
        <f>IF(F110="Vestdanmark",SUMIFS(IF(E110=År1,'Resultater - Vestdanmark'!H$3:H$504,IF(E110=År2,'Resultater - Vestdanmark'!I$3:I$504,'Resultater - Vestdanmark'!J$3:J$504)),'Resultater - Vestdanmark'!$F$3:$F$504,$A110,IF(E110=År1,'Resultater - Vestdanmark'!H$3:H$504,IF(E110=År2,'Resultater - Vestdanmark'!I$3:I$504,'Resultater - Vestdanmark'!J$3:J$504)),"&gt;0"),SUMIFS(IF(E110=År1,'Resultater - Østdanmark'!H$3:H$504,IF(E110=År2,'Resultater - Østdanmark'!I$3:I$504,'Resultater - Østdanmark'!J$3:J$504)),'Resultater - Østdanmark'!$F$3:$F$504,$A110,IF(E110=År1,'Resultater - Østdanmark'!H$3:H$504,IF(E110=År2,'Resultater - Østdanmark'!I$3:I$504,'Resultater - Østdanmark'!J$3:J$504)),"&gt;0"))</f>
        <v>62819.759709472717</v>
      </c>
      <c r="H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forbrug'!H$3,'Forbrug af biomasse'!$B$2:$B$425,$F110)</f>
        <v>0</v>
      </c>
      <c r="I110">
        <f>IF(F110="Vestdanmark",-IF(A110="Halm",SUMIFS(IF(E110=År1,'Resultater - Vestdanmark'!H$3:H$504,IF(E110=År2,'Resultater - Vestdanmark'!I$3:I$504,'Resultater - Vestdanmark'!J$3:J$504)),'Resultater - Vestdanmark'!$F$3:$F$504,$A110,'Resultater - Vestdanmark'!H$3:H$504,"&lt;0"),0),-IF(A110="Halm",SUMIFS(IF(E110=År1,'Resultater - Østdanmark'!H$3:H$504,IF(E110=År2,'Resultater - Østdanmark'!I$3:I$504,'Resultater - Østdanmark'!J$3:J$504)),'Resultater - Østdanmark'!$F$3:$F$504,$A110,'Resultater - Østdanmark'!H$3:H$504,"&lt;0"),0))</f>
        <v>0</v>
      </c>
      <c r="J110" s="94"/>
      <c r="K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forbrug'!K$3,'Forbrug af biomasse'!$B$2:$B$425,$F110)</f>
        <v>0</v>
      </c>
      <c r="L110" s="94">
        <f>SUMIFS('Forbrug af biomasse'!$E$2:$E$425,'Forbrug af biomasse'!$C$2:$C$425,'Resultat-Produktion &amp; forbrug'!$A110,'Forbrug af biomasse'!$D$2:$D$425,'Resultat-Produktion &amp; forbrug'!$E110,'Forbrug af biomasse'!$A$2:$A$425,'Resultat-Produktion &amp; forbrug'!L$3,'Forbrug af biomasse'!$B$2:$B$425,$F110)</f>
        <v>0</v>
      </c>
      <c r="M110" s="94">
        <f>IF(A110&lt;&gt;"Biogas",SUMIFS('Forbrug af biomasse'!$E$2:$E$425,'Forbrug af biomasse'!$C$2:$C$425,'Resultat-Produktion &amp; forbrug'!$A110,'Forbrug af biomasse'!$D$2:$D$425,'Resultat-Produktion &amp; forbrug'!$E110,'Forbrug af biomasse'!$A$2:$A$425,'Resultat-Produktion &amp; forbrug'!M$3,'Forbrug af biomasse'!$B$2:$B$425,$F110),G110)</f>
        <v>0</v>
      </c>
      <c r="N110" s="94">
        <f>SUMIFS('Forbrug af biomasse'!E:E,'Forbrug af biomasse'!C:C,'Resultat-Produktion &amp; forbrug'!$A110,'Forbrug af biomasse'!D:D,'Resultat-Produktion &amp; forbrug'!$E110,'Forbrug af biomasse'!G:G,1,'Forbrug af biomasse'!B:B,$F110)</f>
        <v>0</v>
      </c>
      <c r="O110" s="179">
        <f t="shared" si="20"/>
        <v>62819.759709472717</v>
      </c>
      <c r="P110" s="94">
        <f t="shared" si="17"/>
        <v>0</v>
      </c>
      <c r="Q110" s="180">
        <f t="shared" si="21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IF(A110&lt;&gt;"Biogas",IFERROR(VLOOKUP(A110,[1]Biogasudbytte!$A$2:$B$18,2,FALSE)*[1]Energiindhold!$C$10,0)*K110*IFERROR(VLOOKUP(A110,Biogasanlæg!$F$3:$G$8,2,FALSE),1)+IFERROR(VLOOKUP(A110,[1]Energiindhold!$A$2:$C$11,3,FALSE),0)*M110+IF(E110&lt;&gt;År1,R110,0),0)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2"/>
        <v>0</v>
      </c>
      <c r="V110" s="169">
        <f>P110*IFERROR(VLOOKUP(A110,[1]Tørstofindhold!A$2:B$24,2,FALSE),0)</f>
        <v>0</v>
      </c>
      <c r="W110">
        <f>IF(E110=År1,Q110,SUM(P110,Q110))*IFERROR(VLOOKUP(A110,[1]Tørstofindhold!A$2:B$24,2,FALSE),0)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3"/>
        <v>0</v>
      </c>
      <c r="Z110">
        <f t="shared" si="18"/>
        <v>0</v>
      </c>
      <c r="AA110">
        <f t="shared" si="19"/>
        <v>1</v>
      </c>
    </row>
    <row r="111" spans="1:27" x14ac:dyDescent="0.25">
      <c r="A111" s="171" t="str">
        <f t="shared" si="24"/>
        <v>Frugt</v>
      </c>
      <c r="B111" s="171" t="str">
        <f t="shared" si="25"/>
        <v/>
      </c>
      <c r="C111" s="171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0</v>
      </c>
      <c r="D111" s="171">
        <f t="shared" si="16"/>
        <v>1</v>
      </c>
      <c r="E111" s="171">
        <f t="shared" si="26"/>
        <v>2050</v>
      </c>
      <c r="F111" t="s">
        <v>23</v>
      </c>
      <c r="G111" s="94">
        <f>IF(F111="Vestdanmark",SUMIFS(IF(E111=År1,'Resultater - Vestdanmark'!H$3:H$504,IF(E111=År2,'Resultater - Vestdanmark'!I$3:I$504,'Resultater - Vestdanmark'!J$3:J$504)),'Resultater - Vestdanmark'!$F$3:$F$504,$A111,IF(E111=År1,'Resultater - Vestdanmark'!H$3:H$504,IF(E111=År2,'Resultater - Vestdanmark'!I$3:I$504,'Resultater - Vestdanmark'!J$3:J$504)),"&gt;0"),SUMIFS(IF(E111=År1,'Resultater - Østdanmark'!H$3:H$504,IF(E111=År2,'Resultater - Østdanmark'!I$3:I$504,'Resultater - Østdanmark'!J$3:J$504)),'Resultater - Østdanmark'!$F$3:$F$504,$A111,IF(E111=År1,'Resultater - Østdanmark'!H$3:H$504,IF(E111=År2,'Resultater - Østdanmark'!I$3:I$504,'Resultater - Østdanmark'!J$3:J$504)),"&gt;0"))</f>
        <v>774671.670329666</v>
      </c>
      <c r="H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forbrug'!H$3,'Forbrug af biomasse'!$B$2:$B$425,$F111)</f>
        <v>0</v>
      </c>
      <c r="I111">
        <f>IF(F111="Vestdanmark",-IF(A111="Halm",SUMIFS(IF(E111=År1,'Resultater - Vestdanmark'!H$3:H$504,IF(E111=År2,'Resultater - Vestdanmark'!I$3:I$504,'Resultater - Vestdanmark'!J$3:J$504)),'Resultater - Vestdanmark'!$F$3:$F$504,$A111,'Resultater - Vestdanmark'!H$3:H$504,"&lt;0"),0),-IF(A111="Halm",SUMIFS(IF(E111=År1,'Resultater - Østdanmark'!H$3:H$504,IF(E111=År2,'Resultater - Østdanmark'!I$3:I$504,'Resultater - Østdanmark'!J$3:J$504)),'Resultater - Østdanmark'!$F$3:$F$504,$A111,'Resultater - Østdanmark'!H$3:H$504,"&lt;0"),0))</f>
        <v>0</v>
      </c>
      <c r="J111" s="94"/>
      <c r="K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forbrug'!K$3,'Forbrug af biomasse'!$B$2:$B$425,$F111)</f>
        <v>0</v>
      </c>
      <c r="L111" s="94">
        <f>SUMIFS('Forbrug af biomasse'!$E$2:$E$425,'Forbrug af biomasse'!$C$2:$C$425,'Resultat-Produktion &amp; forbrug'!$A111,'Forbrug af biomasse'!$D$2:$D$425,'Resultat-Produktion &amp; forbrug'!$E111,'Forbrug af biomasse'!$A$2:$A$425,'Resultat-Produktion &amp; forbrug'!L$3,'Forbrug af biomasse'!$B$2:$B$425,$F111)</f>
        <v>0</v>
      </c>
      <c r="M111" s="94">
        <f>IF(A111&lt;&gt;"Biogas",SUMIFS('Forbrug af biomasse'!$E$2:$E$425,'Forbrug af biomasse'!$C$2:$C$425,'Resultat-Produktion &amp; forbrug'!$A111,'Forbrug af biomasse'!$D$2:$D$425,'Resultat-Produktion &amp; forbrug'!$E111,'Forbrug af biomasse'!$A$2:$A$425,'Resultat-Produktion &amp; forbrug'!M$3,'Forbrug af biomasse'!$B$2:$B$425,$F111),G111)</f>
        <v>0</v>
      </c>
      <c r="N111" s="94">
        <f>SUMIFS('Forbrug af biomasse'!E:E,'Forbrug af biomasse'!C:C,'Resultat-Produktion &amp; forbrug'!$A111,'Forbrug af biomasse'!D:D,'Resultat-Produktion &amp; forbrug'!$E111,'Forbrug af biomasse'!G:G,1,'Forbrug af biomasse'!B:B,$F111)</f>
        <v>0</v>
      </c>
      <c r="O111" s="179">
        <f t="shared" si="20"/>
        <v>774671.670329666</v>
      </c>
      <c r="P111" s="94">
        <f t="shared" si="17"/>
        <v>0</v>
      </c>
      <c r="Q111" s="180">
        <f t="shared" si="21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IF(A111&lt;&gt;"Biogas",IFERROR(VLOOKUP(A111,[1]Biogasudbytte!$A$2:$B$18,2,FALSE)*[1]Energiindhold!$C$10,0)*K111*IFERROR(VLOOKUP(A111,Biogasanlæg!$F$3:$G$8,2,FALSE),1)+IFERROR(VLOOKUP(A111,[1]Energiindhold!$A$2:$C$11,3,FALSE),0)*M111+IF(E111&lt;&gt;År1,R111,0),0)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2"/>
        <v>0</v>
      </c>
      <c r="V111" s="169">
        <f>P111*IFERROR(VLOOKUP(A111,[1]Tørstofindhold!A$2:B$24,2,FALSE),0)</f>
        <v>0</v>
      </c>
      <c r="W111">
        <f>IF(E111=År1,Q111,SUM(P111,Q111))*IFERROR(VLOOKUP(A111,[1]Tørstofindhold!A$2:B$24,2,FALSE),0)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3"/>
        <v>0</v>
      </c>
      <c r="Z111">
        <f t="shared" si="18"/>
        <v>0</v>
      </c>
      <c r="AA111">
        <f t="shared" si="19"/>
        <v>1</v>
      </c>
    </row>
    <row r="112" spans="1:27" x14ac:dyDescent="0.25">
      <c r="A112" s="171" t="str">
        <f t="shared" si="24"/>
        <v>Glycerin</v>
      </c>
      <c r="B112" s="171" t="str">
        <f t="shared" si="25"/>
        <v>Glycerin</v>
      </c>
      <c r="C112" s="171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71">
        <f t="shared" si="16"/>
        <v>0</v>
      </c>
      <c r="E112" s="171">
        <f t="shared" si="26"/>
        <v>2050</v>
      </c>
      <c r="F112" t="s">
        <v>23</v>
      </c>
      <c r="G112" s="94">
        <f>IF(F112="Vestdanmark",SUMIFS(IF(E112=År1,'Resultater - Vestdanmark'!H$3:H$504,IF(E112=År2,'Resultater - Vestdanmark'!I$3:I$504,'Resultater - Vestdanmark'!J$3:J$504)),'Resultater - Vestdanmark'!$F$3:$F$504,$A112,IF(E112=År1,'Resultater - Vestdanmark'!H$3:H$504,IF(E112=År2,'Resultater - Vestdanmark'!I$3:I$504,'Resultater - Vestdanmark'!J$3:J$504)),"&gt;0"),SUMIFS(IF(E112=År1,'Resultater - Østdanmark'!H$3:H$504,IF(E112=År2,'Resultater - Østdanmark'!I$3:I$504,'Resultater - Østdanmark'!J$3:J$504)),'Resultater - Østdanmark'!$F$3:$F$504,$A112,IF(E112=År1,'Resultater - Østdanmark'!H$3:H$504,IF(E112=År2,'Resultater - Østdanmark'!I$3:I$504,'Resultater - Østdanmark'!J$3:J$504)),"&gt;0"))</f>
        <v>0</v>
      </c>
      <c r="H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forbrug'!H$3,'Forbrug af biomasse'!$B$2:$B$425,$F112)</f>
        <v>0</v>
      </c>
      <c r="I112">
        <f>IF(F112="Vestdanmark",-IF(A112="Halm",SUMIFS(IF(E112=År1,'Resultater - Vestdanmark'!H$3:H$504,IF(E112=År2,'Resultater - Vestdanmark'!I$3:I$504,'Resultater - Vestdanmark'!J$3:J$504)),'Resultater - Vestdanmark'!$F$3:$F$504,$A112,'Resultater - Vestdanmark'!H$3:H$504,"&lt;0"),0),-IF(A112="Halm",SUMIFS(IF(E112=År1,'Resultater - Østdanmark'!H$3:H$504,IF(E112=År2,'Resultater - Østdanmark'!I$3:I$504,'Resultater - Østdanmark'!J$3:J$504)),'Resultater - Østdanmark'!$F$3:$F$504,$A112,'Resultater - Østdanmark'!H$3:H$504,"&lt;0"),0))</f>
        <v>0</v>
      </c>
      <c r="J112" s="94"/>
      <c r="K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forbrug'!K$3,'Forbrug af biomasse'!$B$2:$B$425,$F112)</f>
        <v>0</v>
      </c>
      <c r="L112" s="94">
        <f>SUMIFS('Forbrug af biomasse'!$E$2:$E$425,'Forbrug af biomasse'!$C$2:$C$425,'Resultat-Produktion &amp; forbrug'!$A112,'Forbrug af biomasse'!$D$2:$D$425,'Resultat-Produktion &amp; forbrug'!$E112,'Forbrug af biomasse'!$A$2:$A$425,'Resultat-Produktion &amp; forbrug'!L$3,'Forbrug af biomasse'!$B$2:$B$425,$F112)</f>
        <v>0</v>
      </c>
      <c r="M112" s="94">
        <f>IF(A112&lt;&gt;"Biogas",SUMIFS('Forbrug af biomasse'!$E$2:$E$425,'Forbrug af biomasse'!$C$2:$C$425,'Resultat-Produktion &amp; forbrug'!$A112,'Forbrug af biomasse'!$D$2:$D$425,'Resultat-Produktion &amp; forbrug'!$E112,'Forbrug af biomasse'!$A$2:$A$425,'Resultat-Produktion &amp; forbrug'!M$3,'Forbrug af biomasse'!$B$2:$B$425,$F112),G112)</f>
        <v>0</v>
      </c>
      <c r="N112" s="94">
        <f>SUMIFS('Forbrug af biomasse'!E:E,'Forbrug af biomasse'!C:C,'Resultat-Produktion &amp; forbrug'!$A112,'Forbrug af biomasse'!D:D,'Resultat-Produktion &amp; forbrug'!$E112,'Forbrug af biomasse'!G:G,1,'Forbrug af biomasse'!B:B,$F112)</f>
        <v>0</v>
      </c>
      <c r="O112" s="179">
        <f t="shared" si="20"/>
        <v>0</v>
      </c>
      <c r="P112" s="94">
        <f t="shared" si="17"/>
        <v>0</v>
      </c>
      <c r="Q112" s="180">
        <f t="shared" si="21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IF(A112&lt;&gt;"Biogas",IFERROR(VLOOKUP(A112,[1]Biogasudbytte!$A$2:$B$18,2,FALSE)*[1]Energiindhold!$C$10,0)*K112*IFERROR(VLOOKUP(A112,Biogasanlæg!$F$3:$G$8,2,FALSE),1)+IFERROR(VLOOKUP(A112,[1]Energiindhold!$A$2:$C$11,3,FALSE),0)*M112+IF(E112&lt;&gt;År1,R112,0),0)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2"/>
        <v>0</v>
      </c>
      <c r="V112" s="169">
        <f>P112*IFERROR(VLOOKUP(A112,[1]Tørstofindhold!A$2:B$24,2,FALSE),0)</f>
        <v>0</v>
      </c>
      <c r="W112">
        <f>IF(E112=År1,Q112,SUM(P112,Q112))*IFERROR(VLOOKUP(A112,[1]Tørstofindhold!A$2:B$24,2,FALSE),0)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3"/>
        <v>0</v>
      </c>
      <c r="Z112">
        <f t="shared" si="18"/>
        <v>0</v>
      </c>
      <c r="AA112">
        <f t="shared" si="19"/>
        <v>0</v>
      </c>
    </row>
    <row r="113" spans="1:27" x14ac:dyDescent="0.25">
      <c r="A113" s="171" t="str">
        <f t="shared" si="24"/>
        <v>Græs</v>
      </c>
      <c r="B113" s="171" t="str">
        <f t="shared" si="25"/>
        <v>Græs og urter</v>
      </c>
      <c r="C113" s="171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1</v>
      </c>
      <c r="D113" s="171">
        <f t="shared" si="16"/>
        <v>0</v>
      </c>
      <c r="E113" s="171">
        <f t="shared" si="26"/>
        <v>2050</v>
      </c>
      <c r="F113" t="s">
        <v>23</v>
      </c>
      <c r="G113" s="94">
        <f>IF(F113="Vestdanmark",SUMIFS(IF(E113=År1,'Resultater - Vestdanmark'!H$3:H$504,IF(E113=År2,'Resultater - Vestdanmark'!I$3:I$504,'Resultater - Vestdanmark'!J$3:J$504)),'Resultater - Vestdanmark'!$F$3:$F$504,$A113,IF(E113=År1,'Resultater - Vestdanmark'!H$3:H$504,IF(E113=År2,'Resultater - Vestdanmark'!I$3:I$504,'Resultater - Vestdanmark'!J$3:J$504)),"&gt;0"),SUMIFS(IF(E113=År1,'Resultater - Østdanmark'!H$3:H$504,IF(E113=År2,'Resultater - Østdanmark'!I$3:I$504,'Resultater - Østdanmark'!J$3:J$504)),'Resultater - Østdanmark'!$F$3:$F$504,$A113,IF(E113=År1,'Resultater - Østdanmark'!H$3:H$504,IF(E113=År2,'Resultater - Østdanmark'!I$3:I$504,'Resultater - Østdanmark'!J$3:J$504)),"&gt;0"))</f>
        <v>34445105.835390486</v>
      </c>
      <c r="H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forbrug'!H$3,'Forbrug af biomasse'!$B$2:$B$425,$F113)</f>
        <v>7194482.7131786915</v>
      </c>
      <c r="I113">
        <f>IF(F113="Vestdanmark",-IF(A113="Halm",SUMIFS(IF(E113=År1,'Resultater - Vestdanmark'!H$3:H$504,IF(E113=År2,'Resultater - Vestdanmark'!I$3:I$504,'Resultater - Vestdanmark'!J$3:J$504)),'Resultater - Vestdanmark'!$F$3:$F$504,$A113,'Resultater - Vestdanmark'!H$3:H$504,"&lt;0"),0),-IF(A113="Halm",SUMIFS(IF(E113=År1,'Resultater - Østdanmark'!H$3:H$504,IF(E113=År2,'Resultater - Østdanmark'!I$3:I$504,'Resultater - Østdanmark'!J$3:J$504)),'Resultater - Østdanmark'!$F$3:$F$504,$A113,'Resultater - Østdanmark'!H$3:H$504,"&lt;0"),0))</f>
        <v>0</v>
      </c>
      <c r="J113" s="94"/>
      <c r="K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forbrug'!K$3,'Forbrug af biomasse'!$B$2:$B$425,$F113)</f>
        <v>0</v>
      </c>
      <c r="L113" s="94">
        <f>SUMIFS('Forbrug af biomasse'!$E$2:$E$425,'Forbrug af biomasse'!$C$2:$C$425,'Resultat-Produktion &amp; forbrug'!$A113,'Forbrug af biomasse'!$D$2:$D$425,'Resultat-Produktion &amp; forbrug'!$E113,'Forbrug af biomasse'!$A$2:$A$425,'Resultat-Produktion &amp; forbrug'!L$3,'Forbrug af biomasse'!$B$2:$B$425,$F113)</f>
        <v>0</v>
      </c>
      <c r="M113" s="94">
        <f>IF(A113&lt;&gt;"Biogas",SUMIFS('Forbrug af biomasse'!$E$2:$E$425,'Forbrug af biomasse'!$C$2:$C$425,'Resultat-Produktion &amp; forbrug'!$A113,'Forbrug af biomasse'!$D$2:$D$425,'Resultat-Produktion &amp; forbrug'!$E113,'Forbrug af biomasse'!$A$2:$A$425,'Resultat-Produktion &amp; forbrug'!M$3,'Forbrug af biomasse'!$B$2:$B$425,$F113),G113)</f>
        <v>0</v>
      </c>
      <c r="N113" s="94">
        <f>SUMIFS('Forbrug af biomasse'!E:E,'Forbrug af biomasse'!C:C,'Resultat-Produktion &amp; forbrug'!$A113,'Forbrug af biomasse'!D:D,'Resultat-Produktion &amp; forbrug'!$E113,'Forbrug af biomasse'!G:G,1,'Forbrug af biomasse'!B:B,$F113)</f>
        <v>21620469.097170986</v>
      </c>
      <c r="O113" s="179">
        <f t="shared" si="20"/>
        <v>5630154.0250408091</v>
      </c>
      <c r="P113" s="94">
        <f t="shared" si="17"/>
        <v>5630154.0250408091</v>
      </c>
      <c r="Q113" s="180">
        <f t="shared" si="21"/>
        <v>0</v>
      </c>
      <c r="R113">
        <f>IFERROR(VLOOKUP(A113,[1]Energiindhold!$A$2:$C$11,3,FALSE),IFERROR(VLOOKUP(A113,[1]Biogasudbytte!$A$2:$B$18,2,FALSE)*[1]Energiindhold!$C$10,0))*P113</f>
        <v>10.358779636821959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IF(A113&lt;&gt;"Biogas",IFERROR(VLOOKUP(A113,[1]Biogasudbytte!$A$2:$B$18,2,FALSE)*[1]Energiindhold!$C$10,0)*K113*IFERROR(VLOOKUP(A113,Biogasanlæg!$F$3:$G$8,2,FALSE),1)+IFERROR(VLOOKUP(A113,[1]Energiindhold!$A$2:$C$11,3,FALSE),0)*M113+IF(E113&lt;&gt;År1,R113,0),0)</f>
        <v>10.358779636821959</v>
      </c>
      <c r="T113">
        <f>IFERROR(VLOOKUP(A113,[1]Biogasudbytte!$A$2:$B$18,2,FALSE)*[1]Energiindhold!$C$10,0)*K113*IFERROR(VLOOKUP(A113,Biogasanlæg!$F$3:$G$8,2,FALSE),1)</f>
        <v>0</v>
      </c>
      <c r="U113" s="170">
        <f t="shared" si="22"/>
        <v>10.358779636821959</v>
      </c>
      <c r="V113" s="169">
        <f>P113*IFERROR(VLOOKUP(A113,[1]Tørstofindhold!A$2:B$24,2,FALSE),0)</f>
        <v>1576443.1270114267</v>
      </c>
      <c r="W113">
        <f>IF(E113=År1,Q113,SUM(P113,Q113))*IFERROR(VLOOKUP(A113,[1]Tørstofindhold!A$2:B$24,2,FALSE),0)</f>
        <v>1576443.1270114267</v>
      </c>
      <c r="X113">
        <f>K113*IFERROR(VLOOKUP(A113,[1]Tørstofindhold!A$2:B$24,2,FALSE),0)</f>
        <v>0</v>
      </c>
      <c r="Y113" s="170">
        <f t="shared" si="23"/>
        <v>1576443.1270114267</v>
      </c>
      <c r="Z113">
        <f t="shared" si="18"/>
        <v>0</v>
      </c>
      <c r="AA113">
        <f t="shared" si="19"/>
        <v>1</v>
      </c>
    </row>
    <row r="114" spans="1:27" x14ac:dyDescent="0.25">
      <c r="A114" s="171" t="str">
        <f t="shared" si="24"/>
        <v>Græsprotein</v>
      </c>
      <c r="B114" s="171" t="str">
        <f t="shared" si="25"/>
        <v/>
      </c>
      <c r="C114" s="171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71">
        <f t="shared" si="16"/>
        <v>0</v>
      </c>
      <c r="E114" s="171">
        <f t="shared" si="26"/>
        <v>2050</v>
      </c>
      <c r="F114" t="s">
        <v>23</v>
      </c>
      <c r="G114" s="94">
        <f>IF(F114="Vestdanmark",SUMIFS(IF(E114=År1,'Resultater - Vestdanmark'!H$3:H$504,IF(E114=År2,'Resultater - Vestdanmark'!I$3:I$504,'Resultater - Vestdanmark'!J$3:J$504)),'Resultater - Vestdanmark'!$F$3:$F$504,$A114,IF(E114=År1,'Resultater - Vestdanmark'!H$3:H$504,IF(E114=År2,'Resultater - Vestdanmark'!I$3:I$504,'Resultater - Vestdanmark'!J$3:J$504)),"&gt;0"),SUMIFS(IF(E114=År1,'Resultater - Østdanmark'!H$3:H$504,IF(E114=År2,'Resultater - Østdanmark'!I$3:I$504,'Resultater - Østdanmark'!J$3:J$504)),'Resultater - Østdanmark'!$F$3:$F$504,$A114,IF(E114=År1,'Resultater - Østdanmark'!H$3:H$504,IF(E114=År2,'Resultater - Østdanmark'!I$3:I$504,'Resultater - Østdanmark'!J$3:J$504)),"&gt;0"))</f>
        <v>3614323.9107155115</v>
      </c>
      <c r="H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forbrug'!H$3,'Forbrug af biomasse'!$B$2:$B$425,$F114)</f>
        <v>3614323.9107155115</v>
      </c>
      <c r="I114">
        <f>IF(F114="Vestdanmark",-IF(A114="Halm",SUMIFS(IF(E114=År1,'Resultater - Vestdanmark'!H$3:H$504,IF(E114=År2,'Resultater - Vestdanmark'!I$3:I$504,'Resultater - Vestdanmark'!J$3:J$504)),'Resultater - Vestdanmark'!$F$3:$F$504,$A114,'Resultater - Vestdanmark'!H$3:H$504,"&lt;0"),0),-IF(A114="Halm",SUMIFS(IF(E114=År1,'Resultater - Østdanmark'!H$3:H$504,IF(E114=År2,'Resultater - Østdanmark'!I$3:I$504,'Resultater - Østdanmark'!J$3:J$504)),'Resultater - Østdanmark'!$F$3:$F$504,$A114,'Resultater - Østdanmark'!H$3:H$504,"&lt;0"),0))</f>
        <v>0</v>
      </c>
      <c r="J114" s="94"/>
      <c r="K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forbrug'!K$3,'Forbrug af biomasse'!$B$2:$B$425,$F114)</f>
        <v>0</v>
      </c>
      <c r="L114" s="94">
        <f>SUMIFS('Forbrug af biomasse'!$E$2:$E$425,'Forbrug af biomasse'!$C$2:$C$425,'Resultat-Produktion &amp; forbrug'!$A114,'Forbrug af biomasse'!$D$2:$D$425,'Resultat-Produktion &amp; forbrug'!$E114,'Forbrug af biomasse'!$A$2:$A$425,'Resultat-Produktion &amp; forbrug'!L$3,'Forbrug af biomasse'!$B$2:$B$425,$F114)</f>
        <v>0</v>
      </c>
      <c r="M114" s="94">
        <f>IF(A114&lt;&gt;"Biogas",SUMIFS('Forbrug af biomasse'!$E$2:$E$425,'Forbrug af biomasse'!$C$2:$C$425,'Resultat-Produktion &amp; forbrug'!$A114,'Forbrug af biomasse'!$D$2:$D$425,'Resultat-Produktion &amp; forbrug'!$E114,'Forbrug af biomasse'!$A$2:$A$425,'Resultat-Produktion &amp; forbrug'!M$3,'Forbrug af biomasse'!$B$2:$B$425,$F114),G114)</f>
        <v>0</v>
      </c>
      <c r="N114" s="94">
        <f>SUMIFS('Forbrug af biomasse'!E:E,'Forbrug af biomasse'!C:C,'Resultat-Produktion &amp; forbrug'!$A114,'Forbrug af biomasse'!D:D,'Resultat-Produktion &amp; forbrug'!$E114,'Forbrug af biomasse'!G:G,1,'Forbrug af biomasse'!B:B,$F114)</f>
        <v>0</v>
      </c>
      <c r="O114" s="179">
        <f t="shared" si="20"/>
        <v>0</v>
      </c>
      <c r="P114" s="94">
        <f t="shared" si="17"/>
        <v>0</v>
      </c>
      <c r="Q114" s="180">
        <f t="shared" si="21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IF(A114&lt;&gt;"Biogas",IFERROR(VLOOKUP(A114,[1]Biogasudbytte!$A$2:$B$18,2,FALSE)*[1]Energiindhold!$C$10,0)*K114*IFERROR(VLOOKUP(A114,Biogasanlæg!$F$3:$G$8,2,FALSE),1)+IFERROR(VLOOKUP(A114,[1]Energiindhold!$A$2:$C$11,3,FALSE),0)*M114+IF(E114&lt;&gt;År1,R114,0),0)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2"/>
        <v>0</v>
      </c>
      <c r="V114" s="169">
        <f>P114*IFERROR(VLOOKUP(A114,[1]Tørstofindhold!A$2:B$24,2,FALSE),0)</f>
        <v>0</v>
      </c>
      <c r="W114">
        <f>IF(E114=År1,Q114,SUM(P114,Q114))*IFERROR(VLOOKUP(A114,[1]Tørstofindhold!A$2:B$24,2,FALSE),0)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3"/>
        <v>0</v>
      </c>
      <c r="Z114">
        <f t="shared" si="18"/>
        <v>0</v>
      </c>
      <c r="AA114">
        <f t="shared" si="19"/>
        <v>0</v>
      </c>
    </row>
    <row r="115" spans="1:27" x14ac:dyDescent="0.25">
      <c r="A115" s="171" t="str">
        <f t="shared" si="24"/>
        <v>Grøntsager</v>
      </c>
      <c r="B115" s="171" t="str">
        <f t="shared" si="25"/>
        <v/>
      </c>
      <c r="C115" s="171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0</v>
      </c>
      <c r="D115" s="171">
        <f t="shared" si="16"/>
        <v>1</v>
      </c>
      <c r="E115" s="171">
        <f t="shared" si="26"/>
        <v>2050</v>
      </c>
      <c r="F115" t="s">
        <v>23</v>
      </c>
      <c r="G115" s="94">
        <f>IF(F115="Vestdanmark",SUMIFS(IF(E115=År1,'Resultater - Vestdanmark'!H$3:H$504,IF(E115=År2,'Resultater - Vestdanmark'!I$3:I$504,'Resultater - Vestdanmark'!J$3:J$504)),'Resultater - Vestdanmark'!$F$3:$F$504,$A115,IF(E115=År1,'Resultater - Vestdanmark'!H$3:H$504,IF(E115=År2,'Resultater - Vestdanmark'!I$3:I$504,'Resultater - Vestdanmark'!J$3:J$504)),"&gt;0"),SUMIFS(IF(E115=År1,'Resultater - Østdanmark'!H$3:H$504,IF(E115=År2,'Resultater - Østdanmark'!I$3:I$504,'Resultater - Østdanmark'!J$3:J$504)),'Resultater - Østdanmark'!$F$3:$F$504,$A115,IF(E115=År1,'Resultater - Østdanmark'!H$3:H$504,IF(E115=År2,'Resultater - Østdanmark'!I$3:I$504,'Resultater - Østdanmark'!J$3:J$504)),"&gt;0"))</f>
        <v>301754.85239496577</v>
      </c>
      <c r="H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forbrug'!H$3,'Forbrug af biomasse'!$B$2:$B$425,$F115)</f>
        <v>0</v>
      </c>
      <c r="I115">
        <f>IF(F115="Vestdanmark",-IF(A115="Halm",SUMIFS(IF(E115=År1,'Resultater - Vestdanmark'!H$3:H$504,IF(E115=År2,'Resultater - Vestdanmark'!I$3:I$504,'Resultater - Vestdanmark'!J$3:J$504)),'Resultater - Vestdanmark'!$F$3:$F$504,$A115,'Resultater - Vestdanmark'!H$3:H$504,"&lt;0"),0),-IF(A115="Halm",SUMIFS(IF(E115=År1,'Resultater - Østdanmark'!H$3:H$504,IF(E115=År2,'Resultater - Østdanmark'!I$3:I$504,'Resultater - Østdanmark'!J$3:J$504)),'Resultater - Østdanmark'!$F$3:$F$504,$A115,'Resultater - Østdanmark'!H$3:H$504,"&lt;0"),0))</f>
        <v>0</v>
      </c>
      <c r="J115" s="94"/>
      <c r="K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forbrug'!K$3,'Forbrug af biomasse'!$B$2:$B$425,$F115)</f>
        <v>0</v>
      </c>
      <c r="L115" s="94">
        <f>SUMIFS('Forbrug af biomasse'!$E$2:$E$425,'Forbrug af biomasse'!$C$2:$C$425,'Resultat-Produktion &amp; forbrug'!$A115,'Forbrug af biomasse'!$D$2:$D$425,'Resultat-Produktion &amp; forbrug'!$E115,'Forbrug af biomasse'!$A$2:$A$425,'Resultat-Produktion &amp; forbrug'!L$3,'Forbrug af biomasse'!$B$2:$B$425,$F115)</f>
        <v>0</v>
      </c>
      <c r="M115" s="94">
        <f>IF(A115&lt;&gt;"Biogas",SUMIFS('Forbrug af biomasse'!$E$2:$E$425,'Forbrug af biomasse'!$C$2:$C$425,'Resultat-Produktion &amp; forbrug'!$A115,'Forbrug af biomasse'!$D$2:$D$425,'Resultat-Produktion &amp; forbrug'!$E115,'Forbrug af biomasse'!$A$2:$A$425,'Resultat-Produktion &amp; forbrug'!M$3,'Forbrug af biomasse'!$B$2:$B$425,$F115),G115)</f>
        <v>0</v>
      </c>
      <c r="N115" s="94">
        <f>SUMIFS('Forbrug af biomasse'!E:E,'Forbrug af biomasse'!C:C,'Resultat-Produktion &amp; forbrug'!$A115,'Forbrug af biomasse'!D:D,'Resultat-Produktion &amp; forbrug'!$E115,'Forbrug af biomasse'!G:G,1,'Forbrug af biomasse'!B:B,$F115)</f>
        <v>0</v>
      </c>
      <c r="O115" s="179">
        <f t="shared" si="20"/>
        <v>301754.85239496577</v>
      </c>
      <c r="P115" s="94">
        <f t="shared" si="17"/>
        <v>0</v>
      </c>
      <c r="Q115" s="180">
        <f t="shared" si="21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IF(A115&lt;&gt;"Biogas",IFERROR(VLOOKUP(A115,[1]Biogasudbytte!$A$2:$B$18,2,FALSE)*[1]Energiindhold!$C$10,0)*K115*IFERROR(VLOOKUP(A115,Biogasanlæg!$F$3:$G$8,2,FALSE),1)+IFERROR(VLOOKUP(A115,[1]Energiindhold!$A$2:$C$11,3,FALSE),0)*M115+IF(E115&lt;&gt;År1,R115,0),0)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2"/>
        <v>0</v>
      </c>
      <c r="V115" s="169">
        <f>P115*IFERROR(VLOOKUP(A115,[1]Tørstofindhold!A$2:B$24,2,FALSE),0)</f>
        <v>0</v>
      </c>
      <c r="W115">
        <f>IF(E115=År1,Q115,SUM(P115,Q115))*IFERROR(VLOOKUP(A115,[1]Tørstofindhold!A$2:B$24,2,FALSE),0)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3"/>
        <v>0</v>
      </c>
      <c r="Z115">
        <f t="shared" si="18"/>
        <v>0</v>
      </c>
      <c r="AA115">
        <f t="shared" si="19"/>
        <v>1</v>
      </c>
    </row>
    <row r="116" spans="1:27" x14ac:dyDescent="0.25">
      <c r="A116" s="171" t="str">
        <f t="shared" si="24"/>
        <v>Halm</v>
      </c>
      <c r="B116" s="171" t="str">
        <f t="shared" si="25"/>
        <v>Halm og strå</v>
      </c>
      <c r="C116" s="171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71">
        <f t="shared" si="16"/>
        <v>0</v>
      </c>
      <c r="E116" s="171">
        <f t="shared" si="26"/>
        <v>2050</v>
      </c>
      <c r="F116" t="s">
        <v>23</v>
      </c>
      <c r="G116" s="94">
        <f>IF(F116="Vestdanmark",SUMIFS(IF(E116=År1,'Resultater - Vestdanmark'!H$3:H$504,IF(E116=År2,'Resultater - Vestdanmark'!I$3:I$504,'Resultater - Vestdanmark'!J$3:J$504)),'Resultater - Vestdanmark'!$F$3:$F$504,$A116,IF(E116=År1,'Resultater - Vestdanmark'!H$3:H$504,IF(E116=År2,'Resultater - Vestdanmark'!I$3:I$504,'Resultater - Vestdanmark'!J$3:J$504)),"&gt;0"),SUMIFS(IF(E116=År1,'Resultater - Østdanmark'!H$3:H$504,IF(E116=År2,'Resultater - Østdanmark'!I$3:I$504,'Resultater - Østdanmark'!J$3:J$504)),'Resultater - Østdanmark'!$F$3:$F$504,$A116,IF(E116=År1,'Resultater - Østdanmark'!H$3:H$504,IF(E116=År2,'Resultater - Østdanmark'!I$3:I$504,'Resultater - Østdanmark'!J$3:J$504)),"&gt;0"))</f>
        <v>713186.46186449786</v>
      </c>
      <c r="H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forbrug'!H$3,'Forbrug af biomasse'!$B$2:$B$425,$F116)</f>
        <v>204619.16541082526</v>
      </c>
      <c r="I116">
        <f>IF(F116="Vestdanmark",-IF(A116="Halm",SUMIFS(IF(E116=År1,'Resultater - Vestdanmark'!H$3:H$504,IF(E116=År2,'Resultater - Vestdanmark'!I$3:I$504,'Resultater - Vestdanmark'!J$3:J$504)),'Resultater - Vestdanmark'!$F$3:$F$504,$A116,'Resultater - Vestdanmark'!H$3:H$504,"&lt;0"),0),-IF(A116="Halm",SUMIFS(IF(E116=År1,'Resultater - Østdanmark'!H$3:H$504,IF(E116=År2,'Resultater - Østdanmark'!I$3:I$504,'Resultater - Østdanmark'!J$3:J$504)),'Resultater - Østdanmark'!$F$3:$F$504,$A116,'Resultater - Østdanmark'!H$3:H$504,"&lt;0"),0))</f>
        <v>515084.59998354531</v>
      </c>
      <c r="J116" s="94"/>
      <c r="K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forbrug'!K$3,'Forbrug af biomasse'!$B$2:$B$425,$F116)</f>
        <v>0</v>
      </c>
      <c r="L116" s="94">
        <f>SUMIFS('Forbrug af biomasse'!$E$2:$E$425,'Forbrug af biomasse'!$C$2:$C$425,'Resultat-Produktion &amp; forbrug'!$A116,'Forbrug af biomasse'!$D$2:$D$425,'Resultat-Produktion &amp; forbrug'!$E116,'Forbrug af biomasse'!$A$2:$A$425,'Resultat-Produktion &amp; forbrug'!L$3,'Forbrug af biomasse'!$B$2:$B$425,$F116)</f>
        <v>0</v>
      </c>
      <c r="M116" s="94">
        <f>IF(A116&lt;&gt;"Biogas",SUMIFS('Forbrug af biomasse'!$E$2:$E$425,'Forbrug af biomasse'!$C$2:$C$425,'Resultat-Produktion &amp; forbrug'!$A116,'Forbrug af biomasse'!$D$2:$D$425,'Resultat-Produktion &amp; forbrug'!$E116,'Forbrug af biomasse'!$A$2:$A$425,'Resultat-Produktion &amp; forbrug'!M$3,'Forbrug af biomasse'!$B$2:$B$425,$F116),G116)</f>
        <v>0</v>
      </c>
      <c r="N116" s="94">
        <f>SUMIFS('Forbrug af biomasse'!E:E,'Forbrug af biomasse'!C:C,'Resultat-Produktion &amp; forbrug'!$A116,'Forbrug af biomasse'!D:D,'Resultat-Produktion &amp; forbrug'!$E116,'Forbrug af biomasse'!G:G,1,'Forbrug af biomasse'!B:B,$F116)</f>
        <v>0</v>
      </c>
      <c r="O116" s="179">
        <f t="shared" si="20"/>
        <v>-6517.3035298726754</v>
      </c>
      <c r="P116" s="94">
        <f t="shared" si="17"/>
        <v>0</v>
      </c>
      <c r="Q116" s="180">
        <f t="shared" si="21"/>
        <v>0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IF(A116&lt;&gt;"Biogas",IFERROR(VLOOKUP(A116,[1]Biogasudbytte!$A$2:$B$18,2,FALSE)*[1]Energiindhold!$C$10,0)*K116*IFERROR(VLOOKUP(A116,Biogasanlæg!$F$3:$G$8,2,FALSE),1)+IFERROR(VLOOKUP(A116,[1]Energiindhold!$A$2:$C$11,3,FALSE),0)*M116+IF(E116&lt;&gt;År1,R116,0),0)</f>
        <v>0</v>
      </c>
      <c r="T116">
        <f>IFERROR(VLOOKUP(A116,[1]Biogasudbytte!$A$2:$B$18,2,FALSE)*[1]Energiindhold!$C$10,0)*K116*IFERROR(VLOOKUP(A116,Biogasanlæg!$F$3:$G$8,2,FALSE),1)</f>
        <v>0</v>
      </c>
      <c r="U116" s="170">
        <f t="shared" si="22"/>
        <v>0</v>
      </c>
      <c r="V116" s="169">
        <f>P116*IFERROR(VLOOKUP(A116,[1]Tørstofindhold!A$2:B$24,2,FALSE),0)</f>
        <v>0</v>
      </c>
      <c r="W116">
        <f>IF(E116=År1,Q116,SUM(P116,Q116))*IFERROR(VLOOKUP(A116,[1]Tørstofindhold!A$2:B$24,2,FALSE),0)</f>
        <v>0</v>
      </c>
      <c r="X116">
        <f>K116*IFERROR(VLOOKUP(A116,[1]Tørstofindhold!A$2:B$24,2,FALSE),0)</f>
        <v>0</v>
      </c>
      <c r="Y116" s="170">
        <f t="shared" si="23"/>
        <v>0</v>
      </c>
      <c r="Z116">
        <f t="shared" si="18"/>
        <v>0</v>
      </c>
      <c r="AA116">
        <f t="shared" si="19"/>
        <v>1</v>
      </c>
    </row>
    <row r="117" spans="1:27" x14ac:dyDescent="0.25">
      <c r="A117" s="171" t="str">
        <f t="shared" si="24"/>
        <v>Have/parkaffald</v>
      </c>
      <c r="B117" s="171" t="str">
        <f t="shared" si="25"/>
        <v>Bionedbrydeligt affald</v>
      </c>
      <c r="C117" s="171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1</v>
      </c>
      <c r="D117" s="171">
        <f t="shared" ref="D117:D180" si="27">D69</f>
        <v>0</v>
      </c>
      <c r="E117" s="171">
        <f t="shared" si="26"/>
        <v>2050</v>
      </c>
      <c r="F117" t="s">
        <v>23</v>
      </c>
      <c r="G117" s="94">
        <f>IF(F117="Vestdanmark",SUMIFS(IF(E117=År1,'Resultater - Vestdanmark'!H$3:H$504,IF(E117=År2,'Resultater - Vestdanmark'!I$3:I$504,'Resultater - Vestdanmark'!J$3:J$504)),'Resultater - Vestdanmark'!$F$3:$F$504,$A117,IF(E117=År1,'Resultater - Vestdanmark'!H$3:H$504,IF(E117=År2,'Resultater - Vestdanmark'!I$3:I$504,'Resultater - Vestdanmark'!J$3:J$504)),"&gt;0"),SUMIFS(IF(E117=År1,'Resultater - Østdanmark'!H$3:H$504,IF(E117=År2,'Resultater - Østdanmark'!I$3:I$504,'Resultater - Østdanmark'!J$3:J$504)),'Resultater - Østdanmark'!$F$3:$F$504,$A117,IF(E117=År1,'Resultater - Østdanmark'!H$3:H$504,IF(E117=År2,'Resultater - Østdanmark'!I$3:I$504,'Resultater - Østdanmark'!J$3:J$504)),"&gt;0"))</f>
        <v>524881.97503939818</v>
      </c>
      <c r="H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forbrug'!H$3,'Forbrug af biomasse'!$B$2:$B$425,$F117)</f>
        <v>0</v>
      </c>
      <c r="I117">
        <f>IF(F117="Vestdanmark",-IF(A117="Halm",SUMIFS(IF(E117=År1,'Resultater - Vestdanmark'!H$3:H$504,IF(E117=År2,'Resultater - Vestdanmark'!I$3:I$504,'Resultater - Vestdanmark'!J$3:J$504)),'Resultater - Vestdanmark'!$F$3:$F$504,$A117,'Resultater - Vestdanmark'!H$3:H$504,"&lt;0"),0),-IF(A117="Halm",SUMIFS(IF(E117=År1,'Resultater - Østdanmark'!H$3:H$504,IF(E117=År2,'Resultater - Østdanmark'!I$3:I$504,'Resultater - Østdanmark'!J$3:J$504)),'Resultater - Østdanmark'!$F$3:$F$504,$A117,'Resultater - Østdanmark'!H$3:H$504,"&lt;0"),0))</f>
        <v>0</v>
      </c>
      <c r="J117" s="94"/>
      <c r="K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forbrug'!K$3,'Forbrug af biomasse'!$B$2:$B$425,$F117)</f>
        <v>0</v>
      </c>
      <c r="L117" s="94">
        <f>SUMIFS('Forbrug af biomasse'!$E$2:$E$425,'Forbrug af biomasse'!$C$2:$C$425,'Resultat-Produktion &amp; forbrug'!$A117,'Forbrug af biomasse'!$D$2:$D$425,'Resultat-Produktion &amp; forbrug'!$E117,'Forbrug af biomasse'!$A$2:$A$425,'Resultat-Produktion &amp; forbrug'!L$3,'Forbrug af biomasse'!$B$2:$B$425,$F117)</f>
        <v>0</v>
      </c>
      <c r="M117" s="94">
        <f>IF(A117&lt;&gt;"Biogas",SUMIFS('Forbrug af biomasse'!$E$2:$E$425,'Forbrug af biomasse'!$C$2:$C$425,'Resultat-Produktion &amp; forbrug'!$A117,'Forbrug af biomasse'!$D$2:$D$425,'Resultat-Produktion &amp; forbrug'!$E117,'Forbrug af biomasse'!$A$2:$A$425,'Resultat-Produktion &amp; forbrug'!M$3,'Forbrug af biomasse'!$B$2:$B$425,$F117),G117)</f>
        <v>524881.97503939818</v>
      </c>
      <c r="N117" s="94">
        <f>SUMIFS('Forbrug af biomasse'!E:E,'Forbrug af biomasse'!C:C,'Resultat-Produktion &amp; forbrug'!$A117,'Forbrug af biomasse'!D:D,'Resultat-Produktion &amp; forbrug'!$E117,'Forbrug af biomasse'!G:G,1,'Forbrug af biomasse'!B:B,$F117)</f>
        <v>0</v>
      </c>
      <c r="O117" s="179">
        <f t="shared" si="20"/>
        <v>0</v>
      </c>
      <c r="P117" s="94">
        <f t="shared" si="17"/>
        <v>0</v>
      </c>
      <c r="Q117" s="180">
        <f t="shared" si="21"/>
        <v>524881.97503939818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IF(A117&lt;&gt;"Biogas",IFERROR(VLOOKUP(A117,[1]Biogasudbytte!$A$2:$B$18,2,FALSE)*[1]Energiindhold!$C$10,0)*K117*IFERROR(VLOOKUP(A117,Biogasanlæg!$F$3:$G$8,2,FALSE),1)+IFERROR(VLOOKUP(A117,[1]Energiindhold!$A$2:$C$11,3,FALSE),0)*M117+IF(E117&lt;&gt;År1,R117,0),0)</f>
        <v>9.3703087657301456</v>
      </c>
      <c r="T117">
        <f>IFERROR(VLOOKUP(A117,[1]Biogasudbytte!$A$2:$B$18,2,FALSE)*[1]Energiindhold!$C$10,0)*K117*IFERROR(VLOOKUP(A117,Biogasanlæg!$F$3:$G$8,2,FALSE),1)</f>
        <v>0</v>
      </c>
      <c r="U117" s="170">
        <f t="shared" si="22"/>
        <v>9.3703087657301456</v>
      </c>
      <c r="V117" s="169">
        <f>P117*IFERROR(VLOOKUP(A117,[1]Tørstofindhold!A$2:B$24,2,FALSE),0)</f>
        <v>0</v>
      </c>
      <c r="W117">
        <f>IF(E117=År1,Q117,SUM(P117,Q117))*IFERROR(VLOOKUP(A117,[1]Tørstofindhold!A$2:B$24,2,FALSE),0)</f>
        <v>157464.59251181944</v>
      </c>
      <c r="X117">
        <f>K117*IFERROR(VLOOKUP(A117,[1]Tørstofindhold!A$2:B$24,2,FALSE),0)</f>
        <v>0</v>
      </c>
      <c r="Y117" s="170">
        <f t="shared" si="23"/>
        <v>157464.59251181944</v>
      </c>
      <c r="Z117">
        <f t="shared" si="18"/>
        <v>0</v>
      </c>
      <c r="AA117">
        <f t="shared" si="19"/>
        <v>0</v>
      </c>
    </row>
    <row r="118" spans="1:27" x14ac:dyDescent="0.25">
      <c r="A118" s="171" t="str">
        <f t="shared" si="24"/>
        <v>Import af foder</v>
      </c>
      <c r="B118" s="171" t="str">
        <f t="shared" si="25"/>
        <v/>
      </c>
      <c r="C118" s="171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0</v>
      </c>
      <c r="D118" s="171">
        <f t="shared" si="27"/>
        <v>1</v>
      </c>
      <c r="E118" s="171">
        <f t="shared" si="26"/>
        <v>2050</v>
      </c>
      <c r="F118" t="s">
        <v>23</v>
      </c>
      <c r="G118" s="94">
        <f>IF(F118="Vestdanmark",SUMIFS(IF(E118=År1,'Resultater - Vestdanmark'!H$3:H$504,IF(E118=År2,'Resultater - Vestdanmark'!I$3:I$504,'Resultater - Vestdanmark'!J$3:J$504)),'Resultater - Vestdanmark'!$F$3:$F$504,$A118,IF(E118=År1,'Resultater - Vestdanmark'!H$3:H$504,IF(E118=År2,'Resultater - Vestdanmark'!I$3:I$504,'Resultater - Vestdanmark'!J$3:J$504)),"&gt;0"),SUMIFS(IF(E118=År1,'Resultater - Østdanmark'!H$3:H$504,IF(E118=År2,'Resultater - Østdanmark'!I$3:I$504,'Resultater - Østdanmark'!J$3:J$504)),'Resultater - Østdanmark'!$F$3:$F$504,$A118,IF(E118=År1,'Resultater - Østdanmark'!H$3:H$504,IF(E118=År2,'Resultater - Østdanmark'!I$3:I$504,'Resultater - Østdanmark'!J$3:J$504)),"&gt;0"))</f>
        <v>0</v>
      </c>
      <c r="H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forbrug'!H$3,'Forbrug af biomasse'!$B$2:$B$425,$F118)</f>
        <v>0</v>
      </c>
      <c r="I118">
        <f>IF(F118="Vestdanmark",-IF(A118="Halm",SUMIFS(IF(E118=År1,'Resultater - Vestdanmark'!H$3:H$504,IF(E118=År2,'Resultater - Vestdanmark'!I$3:I$504,'Resultater - Vestdanmark'!J$3:J$504)),'Resultater - Vestdanmark'!$F$3:$F$504,$A118,'Resultater - Vestdanmark'!H$3:H$504,"&lt;0"),0),-IF(A118="Halm",SUMIFS(IF(E118=År1,'Resultater - Østdanmark'!H$3:H$504,IF(E118=År2,'Resultater - Østdanmark'!I$3:I$504,'Resultater - Østdanmark'!J$3:J$504)),'Resultater - Østdanmark'!$F$3:$F$504,$A118,'Resultater - Østdanmark'!H$3:H$504,"&lt;0"),0))</f>
        <v>0</v>
      </c>
      <c r="J118" s="94"/>
      <c r="K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forbrug'!K$3,'Forbrug af biomasse'!$B$2:$B$425,$F118)</f>
        <v>0</v>
      </c>
      <c r="L118" s="94">
        <f>SUMIFS('Forbrug af biomasse'!$E$2:$E$425,'Forbrug af biomasse'!$C$2:$C$425,'Resultat-Produktion &amp; forbrug'!$A118,'Forbrug af biomasse'!$D$2:$D$425,'Resultat-Produktion &amp; forbrug'!$E118,'Forbrug af biomasse'!$A$2:$A$425,'Resultat-Produktion &amp; forbrug'!L$3,'Forbrug af biomasse'!$B$2:$B$425,$F118)</f>
        <v>0</v>
      </c>
      <c r="M118" s="94">
        <f>IF(A118&lt;&gt;"Biogas",SUMIFS('Forbrug af biomasse'!$E$2:$E$425,'Forbrug af biomasse'!$C$2:$C$425,'Resultat-Produktion &amp; forbrug'!$A118,'Forbrug af biomasse'!$D$2:$D$425,'Resultat-Produktion &amp; forbrug'!$E118,'Forbrug af biomasse'!$A$2:$A$425,'Resultat-Produktion &amp; forbrug'!M$3,'Forbrug af biomasse'!$B$2:$B$425,$F118),G118)</f>
        <v>0</v>
      </c>
      <c r="N118" s="94">
        <f>SUMIFS('Forbrug af biomasse'!E:E,'Forbrug af biomasse'!C:C,'Resultat-Produktion &amp; forbrug'!$A118,'Forbrug af biomasse'!D:D,'Resultat-Produktion &amp; forbrug'!$E118,'Forbrug af biomasse'!G:G,1,'Forbrug af biomasse'!B:B,$F118)</f>
        <v>0</v>
      </c>
      <c r="O118" s="179">
        <f t="shared" si="20"/>
        <v>0</v>
      </c>
      <c r="P118" s="94">
        <f t="shared" si="17"/>
        <v>0</v>
      </c>
      <c r="Q118" s="180">
        <f t="shared" si="21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IF(A118&lt;&gt;"Biogas",IFERROR(VLOOKUP(A118,[1]Biogasudbytte!$A$2:$B$18,2,FALSE)*[1]Energiindhold!$C$10,0)*K118*IFERROR(VLOOKUP(A118,Biogasanlæg!$F$3:$G$8,2,FALSE),1)+IFERROR(VLOOKUP(A118,[1]Energiindhold!$A$2:$C$11,3,FALSE),0)*M118+IF(E118&lt;&gt;År1,R118,0),0)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2"/>
        <v>0</v>
      </c>
      <c r="V118" s="169">
        <f>P118*IFERROR(VLOOKUP(A118,[1]Tørstofindhold!A$2:B$24,2,FALSE),0)</f>
        <v>0</v>
      </c>
      <c r="W118">
        <f>IF(E118=År1,Q118,SUM(P118,Q118))*IFERROR(VLOOKUP(A118,[1]Tørstofindhold!A$2:B$24,2,FALSE),0)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3"/>
        <v>0</v>
      </c>
      <c r="Z118">
        <f t="shared" si="18"/>
        <v>0</v>
      </c>
      <c r="AA118">
        <f t="shared" si="19"/>
        <v>0</v>
      </c>
    </row>
    <row r="119" spans="1:27" x14ac:dyDescent="0.25">
      <c r="A119" s="171" t="str">
        <f t="shared" si="24"/>
        <v>Industriaffald</v>
      </c>
      <c r="B119" s="171" t="str">
        <f t="shared" si="25"/>
        <v>Bionedbrydeligt affald</v>
      </c>
      <c r="C119" s="171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1</v>
      </c>
      <c r="D119" s="171">
        <f t="shared" si="27"/>
        <v>0</v>
      </c>
      <c r="E119" s="171">
        <f t="shared" si="26"/>
        <v>2050</v>
      </c>
      <c r="F119" t="s">
        <v>23</v>
      </c>
      <c r="G119" s="94">
        <f>IF(F119="Vestdanmark",SUMIFS(IF(E119=År1,'Resultater - Vestdanmark'!H$3:H$504,IF(E119=År2,'Resultater - Vestdanmark'!I$3:I$504,'Resultater - Vestdanmark'!J$3:J$504)),'Resultater - Vestdanmark'!$F$3:$F$504,$A119,IF(E119=År1,'Resultater - Vestdanmark'!H$3:H$504,IF(E119=År2,'Resultater - Vestdanmark'!I$3:I$504,'Resultater - Vestdanmark'!J$3:J$504)),"&gt;0"),SUMIFS(IF(E119=År1,'Resultater - Østdanmark'!H$3:H$504,IF(E119=År2,'Resultater - Østdanmark'!I$3:I$504,'Resultater - Østdanmark'!J$3:J$504)),'Resultater - Østdanmark'!$F$3:$F$504,$A119,IF(E119=År1,'Resultater - Østdanmark'!H$3:H$504,IF(E119=År2,'Resultater - Østdanmark'!I$3:I$504,'Resultater - Østdanmark'!J$3:J$504)),"&gt;0"))</f>
        <v>347723.36857073568</v>
      </c>
      <c r="H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forbrug'!H$3,'Forbrug af biomasse'!$B$2:$B$425,$F119)</f>
        <v>0</v>
      </c>
      <c r="I119">
        <f>IF(F119="Vestdanmark",-IF(A119="Halm",SUMIFS(IF(E119=År1,'Resultater - Vestdanmark'!H$3:H$504,IF(E119=År2,'Resultater - Vestdanmark'!I$3:I$504,'Resultater - Vestdanmark'!J$3:J$504)),'Resultater - Vestdanmark'!$F$3:$F$504,$A119,'Resultater - Vestdanmark'!H$3:H$504,"&lt;0"),0),-IF(A119="Halm",SUMIFS(IF(E119=År1,'Resultater - Østdanmark'!H$3:H$504,IF(E119=År2,'Resultater - Østdanmark'!I$3:I$504,'Resultater - Østdanmark'!J$3:J$504)),'Resultater - Østdanmark'!$F$3:$F$504,$A119,'Resultater - Østdanmark'!H$3:H$504,"&lt;0"),0))</f>
        <v>0</v>
      </c>
      <c r="J119" s="94"/>
      <c r="K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forbrug'!K$3,'Forbrug af biomasse'!$B$2:$B$425,$F119)</f>
        <v>0</v>
      </c>
      <c r="L119" s="94">
        <f>SUMIFS('Forbrug af biomasse'!$E$2:$E$425,'Forbrug af biomasse'!$C$2:$C$425,'Resultat-Produktion &amp; forbrug'!$A119,'Forbrug af biomasse'!$D$2:$D$425,'Resultat-Produktion &amp; forbrug'!$E119,'Forbrug af biomasse'!$A$2:$A$425,'Resultat-Produktion &amp; forbrug'!L$3,'Forbrug af biomasse'!$B$2:$B$425,$F119)</f>
        <v>0</v>
      </c>
      <c r="M119" s="94">
        <f>IF(A119&lt;&gt;"Biogas",SUMIFS('Forbrug af biomasse'!$E$2:$E$425,'Forbrug af biomasse'!$C$2:$C$425,'Resultat-Produktion &amp; forbrug'!$A119,'Forbrug af biomasse'!$D$2:$D$425,'Resultat-Produktion &amp; forbrug'!$E119,'Forbrug af biomasse'!$A$2:$A$425,'Resultat-Produktion &amp; forbrug'!M$3,'Forbrug af biomasse'!$B$2:$B$425,$F119),G119)</f>
        <v>0</v>
      </c>
      <c r="N119" s="94">
        <f>SUMIFS('Forbrug af biomasse'!E:E,'Forbrug af biomasse'!C:C,'Resultat-Produktion &amp; forbrug'!$A119,'Forbrug af biomasse'!D:D,'Resultat-Produktion &amp; forbrug'!$E119,'Forbrug af biomasse'!G:G,1,'Forbrug af biomasse'!B:B,$F119)</f>
        <v>0</v>
      </c>
      <c r="O119" s="179">
        <f t="shared" si="20"/>
        <v>347723.36857073568</v>
      </c>
      <c r="P119" s="94">
        <f t="shared" si="17"/>
        <v>347723.36857073568</v>
      </c>
      <c r="Q119" s="180">
        <f t="shared" si="21"/>
        <v>0</v>
      </c>
      <c r="R119">
        <f>IFERROR(VLOOKUP(A119,[1]Energiindhold!$A$2:$C$11,3,FALSE),IFERROR(VLOOKUP(A119,[1]Biogasudbytte!$A$2:$B$18,2,FALSE)*[1]Energiindhold!$C$10,0))*P119</f>
        <v>1.5067305600549121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IF(A119&lt;&gt;"Biogas",IFERROR(VLOOKUP(A119,[1]Biogasudbytte!$A$2:$B$18,2,FALSE)*[1]Energiindhold!$C$10,0)*K119*IFERROR(VLOOKUP(A119,Biogasanlæg!$F$3:$G$8,2,FALSE),1)+IFERROR(VLOOKUP(A119,[1]Energiindhold!$A$2:$C$11,3,FALSE),0)*M119+IF(E119&lt;&gt;År1,R119,0),0)</f>
        <v>1.5067305600549121</v>
      </c>
      <c r="T119">
        <f>IFERROR(VLOOKUP(A119,[1]Biogasudbytte!$A$2:$B$18,2,FALSE)*[1]Energiindhold!$C$10,0)*K119*IFERROR(VLOOKUP(A119,Biogasanlæg!$F$3:$G$8,2,FALSE),1)</f>
        <v>0</v>
      </c>
      <c r="U119" s="170">
        <f t="shared" si="22"/>
        <v>1.5067305600549121</v>
      </c>
      <c r="V119" s="169">
        <f>P119*IFERROR(VLOOKUP(A119,[1]Tørstofindhold!A$2:B$24,2,FALSE),0)</f>
        <v>146043.81479970898</v>
      </c>
      <c r="W119">
        <f>IF(E119=År1,Q119,SUM(P119,Q119))*IFERROR(VLOOKUP(A119,[1]Tørstofindhold!A$2:B$24,2,FALSE),0)</f>
        <v>146043.81479970898</v>
      </c>
      <c r="X119">
        <f>K119*IFERROR(VLOOKUP(A119,[1]Tørstofindhold!A$2:B$24,2,FALSE),0)</f>
        <v>0</v>
      </c>
      <c r="Y119" s="170">
        <f t="shared" si="23"/>
        <v>146043.81479970898</v>
      </c>
      <c r="Z119">
        <f t="shared" si="18"/>
        <v>0</v>
      </c>
      <c r="AA119">
        <f t="shared" si="19"/>
        <v>1</v>
      </c>
    </row>
    <row r="120" spans="1:27" x14ac:dyDescent="0.25">
      <c r="A120" s="171" t="str">
        <f t="shared" si="24"/>
        <v>Juletræer</v>
      </c>
      <c r="B120" s="171" t="str">
        <f t="shared" si="25"/>
        <v/>
      </c>
      <c r="C120" s="171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71">
        <f t="shared" si="27"/>
        <v>0</v>
      </c>
      <c r="E120" s="171">
        <f t="shared" si="26"/>
        <v>2050</v>
      </c>
      <c r="F120" t="s">
        <v>23</v>
      </c>
      <c r="G120" s="94">
        <f>IF(F120="Vestdanmark",SUMIFS(IF(E120=År1,'Resultater - Vestdanmark'!H$3:H$504,IF(E120=År2,'Resultater - Vestdanmark'!I$3:I$504,'Resultater - Vestdanmark'!J$3:J$504)),'Resultater - Vestdanmark'!$F$3:$F$504,$A120,IF(E120=År1,'Resultater - Vestdanmark'!H$3:H$504,IF(E120=År2,'Resultater - Vestdanmark'!I$3:I$504,'Resultater - Vestdanmark'!J$3:J$504)),"&gt;0"),SUMIFS(IF(E120=År1,'Resultater - Østdanmark'!H$3:H$504,IF(E120=År2,'Resultater - Østdanmark'!I$3:I$504,'Resultater - Østdanmark'!J$3:J$504)),'Resultater - Østdanmark'!$F$3:$F$504,$A120,IF(E120=År1,'Resultater - Østdanmark'!H$3:H$504,IF(E120=År2,'Resultater - Østdanmark'!I$3:I$504,'Resultater - Østdanmark'!J$3:J$504)),"&gt;0"))</f>
        <v>386762.96576702269</v>
      </c>
      <c r="H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forbrug'!H$3,'Forbrug af biomasse'!$B$2:$B$425,$F120)</f>
        <v>0</v>
      </c>
      <c r="I120">
        <f>IF(F120="Vestdanmark",-IF(A120="Halm",SUMIFS(IF(E120=År1,'Resultater - Vestdanmark'!H$3:H$504,IF(E120=År2,'Resultater - Vestdanmark'!I$3:I$504,'Resultater - Vestdanmark'!J$3:J$504)),'Resultater - Vestdanmark'!$F$3:$F$504,$A120,'Resultater - Vestdanmark'!H$3:H$504,"&lt;0"),0),-IF(A120="Halm",SUMIFS(IF(E120=År1,'Resultater - Østdanmark'!H$3:H$504,IF(E120=År2,'Resultater - Østdanmark'!I$3:I$504,'Resultater - Østdanmark'!J$3:J$504)),'Resultater - Østdanmark'!$F$3:$F$504,$A120,'Resultater - Østdanmark'!H$3:H$504,"&lt;0"),0))</f>
        <v>0</v>
      </c>
      <c r="J120" s="94"/>
      <c r="K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forbrug'!K$3,'Forbrug af biomasse'!$B$2:$B$425,$F120)</f>
        <v>0</v>
      </c>
      <c r="L120" s="94">
        <f>SUMIFS('Forbrug af biomasse'!$E$2:$E$425,'Forbrug af biomasse'!$C$2:$C$425,'Resultat-Produktion &amp; forbrug'!$A120,'Forbrug af biomasse'!$D$2:$D$425,'Resultat-Produktion &amp; forbrug'!$E120,'Forbrug af biomasse'!$A$2:$A$425,'Resultat-Produktion &amp; forbrug'!L$3,'Forbrug af biomasse'!$B$2:$B$425,$F120)</f>
        <v>0</v>
      </c>
      <c r="M120" s="94">
        <f>IF(A120&lt;&gt;"Biogas",SUMIFS('Forbrug af biomasse'!$E$2:$E$425,'Forbrug af biomasse'!$C$2:$C$425,'Resultat-Produktion &amp; forbrug'!$A120,'Forbrug af biomasse'!$D$2:$D$425,'Resultat-Produktion &amp; forbrug'!$E120,'Forbrug af biomasse'!$A$2:$A$425,'Resultat-Produktion &amp; forbrug'!M$3,'Forbrug af biomasse'!$B$2:$B$425,$F120),G120)</f>
        <v>0</v>
      </c>
      <c r="N120" s="94">
        <f>SUMIFS('Forbrug af biomasse'!E:E,'Forbrug af biomasse'!C:C,'Resultat-Produktion &amp; forbrug'!$A120,'Forbrug af biomasse'!D:D,'Resultat-Produktion &amp; forbrug'!$E120,'Forbrug af biomasse'!G:G,1,'Forbrug af biomasse'!B:B,$F120)</f>
        <v>0</v>
      </c>
      <c r="O120" s="179">
        <f t="shared" si="20"/>
        <v>386762.96576702269</v>
      </c>
      <c r="P120" s="94">
        <f t="shared" si="17"/>
        <v>0</v>
      </c>
      <c r="Q120" s="180">
        <f t="shared" si="21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IF(A120&lt;&gt;"Biogas",IFERROR(VLOOKUP(A120,[1]Biogasudbytte!$A$2:$B$18,2,FALSE)*[1]Energiindhold!$C$10,0)*K120*IFERROR(VLOOKUP(A120,Biogasanlæg!$F$3:$G$8,2,FALSE),1)+IFERROR(VLOOKUP(A120,[1]Energiindhold!$A$2:$C$11,3,FALSE),0)*M120+IF(E120&lt;&gt;År1,R120,0),0)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2"/>
        <v>0</v>
      </c>
      <c r="V120" s="169">
        <f>P120*IFERROR(VLOOKUP(A120,[1]Tørstofindhold!A$2:B$24,2,FALSE),0)</f>
        <v>0</v>
      </c>
      <c r="W120">
        <f>IF(E120=År1,Q120,SUM(P120,Q120))*IFERROR(VLOOKUP(A120,[1]Tørstofindhold!A$2:B$24,2,FALSE),0)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3"/>
        <v>0</v>
      </c>
      <c r="Z120">
        <f t="shared" si="18"/>
        <v>0</v>
      </c>
      <c r="AA120">
        <f t="shared" si="19"/>
        <v>1</v>
      </c>
    </row>
    <row r="121" spans="1:27" x14ac:dyDescent="0.25">
      <c r="A121" s="171" t="str">
        <f t="shared" si="24"/>
        <v>Kartofler</v>
      </c>
      <c r="B121" s="171" t="str">
        <f t="shared" si="25"/>
        <v/>
      </c>
      <c r="C121" s="171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0</v>
      </c>
      <c r="D121" s="171">
        <f t="shared" si="27"/>
        <v>1</v>
      </c>
      <c r="E121" s="171">
        <f t="shared" si="26"/>
        <v>2050</v>
      </c>
      <c r="F121" t="s">
        <v>23</v>
      </c>
      <c r="G121" s="94">
        <f>IF(F121="Vestdanmark",SUMIFS(IF(E121=År1,'Resultater - Vestdanmark'!H$3:H$504,IF(E121=År2,'Resultater - Vestdanmark'!I$3:I$504,'Resultater - Vestdanmark'!J$3:J$504)),'Resultater - Vestdanmark'!$F$3:$F$504,$A121,IF(E121=År1,'Resultater - Vestdanmark'!H$3:H$504,IF(E121=År2,'Resultater - Vestdanmark'!I$3:I$504,'Resultater - Vestdanmark'!J$3:J$504)),"&gt;0"),SUMIFS(IF(E121=År1,'Resultater - Østdanmark'!H$3:H$504,IF(E121=År2,'Resultater - Østdanmark'!I$3:I$504,'Resultater - Østdanmark'!J$3:J$504)),'Resultater - Østdanmark'!$F$3:$F$504,$A121,IF(E121=År1,'Resultater - Østdanmark'!H$3:H$504,IF(E121=År2,'Resultater - Østdanmark'!I$3:I$504,'Resultater - Østdanmark'!J$3:J$504)),"&gt;0"))</f>
        <v>2337126.3206842514</v>
      </c>
      <c r="H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forbrug'!H$3,'Forbrug af biomasse'!$B$2:$B$425,$F121)</f>
        <v>1555390.1797161226</v>
      </c>
      <c r="I121">
        <f>IF(F121="Vestdanmark",-IF(A121="Halm",SUMIFS(IF(E121=År1,'Resultater - Vestdanmark'!H$3:H$504,IF(E121=År2,'Resultater - Vestdanmark'!I$3:I$504,'Resultater - Vestdanmark'!J$3:J$504)),'Resultater - Vestdanmark'!$F$3:$F$504,$A121,'Resultater - Vestdanmark'!H$3:H$504,"&lt;0"),0),-IF(A121="Halm",SUMIFS(IF(E121=År1,'Resultater - Østdanmark'!H$3:H$504,IF(E121=År2,'Resultater - Østdanmark'!I$3:I$504,'Resultater - Østdanmark'!J$3:J$504)),'Resultater - Østdanmark'!$F$3:$F$504,$A121,'Resultater - Østdanmark'!H$3:H$504,"&lt;0"),0))</f>
        <v>0</v>
      </c>
      <c r="J121" s="94"/>
      <c r="K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forbrug'!K$3,'Forbrug af biomasse'!$B$2:$B$425,$F121)</f>
        <v>0</v>
      </c>
      <c r="L121" s="94">
        <f>SUMIFS('Forbrug af biomasse'!$E$2:$E$425,'Forbrug af biomasse'!$C$2:$C$425,'Resultat-Produktion &amp; forbrug'!$A121,'Forbrug af biomasse'!$D$2:$D$425,'Resultat-Produktion &amp; forbrug'!$E121,'Forbrug af biomasse'!$A$2:$A$425,'Resultat-Produktion &amp; forbrug'!L$3,'Forbrug af biomasse'!$B$2:$B$425,$F121)</f>
        <v>0</v>
      </c>
      <c r="M121" s="94">
        <f>IF(A121&lt;&gt;"Biogas",SUMIFS('Forbrug af biomasse'!$E$2:$E$425,'Forbrug af biomasse'!$C$2:$C$425,'Resultat-Produktion &amp; forbrug'!$A121,'Forbrug af biomasse'!$D$2:$D$425,'Resultat-Produktion &amp; forbrug'!$E121,'Forbrug af biomasse'!$A$2:$A$425,'Resultat-Produktion &amp; forbrug'!M$3,'Forbrug af biomasse'!$B$2:$B$425,$F121),G121)</f>
        <v>0</v>
      </c>
      <c r="N121" s="94">
        <f>SUMIFS('Forbrug af biomasse'!E:E,'Forbrug af biomasse'!C:C,'Resultat-Produktion &amp; forbrug'!$A121,'Forbrug af biomasse'!D:D,'Resultat-Produktion &amp; forbrug'!$E121,'Forbrug af biomasse'!G:G,1,'Forbrug af biomasse'!B:B,$F121)</f>
        <v>0</v>
      </c>
      <c r="O121" s="179">
        <f t="shared" si="20"/>
        <v>781736.14096812881</v>
      </c>
      <c r="P121" s="94">
        <f t="shared" si="17"/>
        <v>0</v>
      </c>
      <c r="Q121" s="180">
        <f t="shared" si="21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IF(A121&lt;&gt;"Biogas",IFERROR(VLOOKUP(A121,[1]Biogasudbytte!$A$2:$B$18,2,FALSE)*[1]Energiindhold!$C$10,0)*K121*IFERROR(VLOOKUP(A121,Biogasanlæg!$F$3:$G$8,2,FALSE),1)+IFERROR(VLOOKUP(A121,[1]Energiindhold!$A$2:$C$11,3,FALSE),0)*M121+IF(E121&lt;&gt;År1,R121,0),0)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2"/>
        <v>0</v>
      </c>
      <c r="V121" s="169">
        <f>P121*IFERROR(VLOOKUP(A121,[1]Tørstofindhold!A$2:B$24,2,FALSE),0)</f>
        <v>0</v>
      </c>
      <c r="W121">
        <f>IF(E121=År1,Q121,SUM(P121,Q121))*IFERROR(VLOOKUP(A121,[1]Tørstofindhold!A$2:B$24,2,FALSE),0)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3"/>
        <v>0</v>
      </c>
      <c r="Z121">
        <f t="shared" si="18"/>
        <v>0</v>
      </c>
      <c r="AA121">
        <f t="shared" si="19"/>
        <v>1</v>
      </c>
    </row>
    <row r="122" spans="1:27" x14ac:dyDescent="0.25">
      <c r="A122" s="171" t="str">
        <f t="shared" si="24"/>
        <v>Korn</v>
      </c>
      <c r="B122" s="171" t="str">
        <f t="shared" si="25"/>
        <v>Halm og strå</v>
      </c>
      <c r="C122" s="171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1</v>
      </c>
      <c r="D122" s="171">
        <f t="shared" si="27"/>
        <v>1</v>
      </c>
      <c r="E122" s="171">
        <f t="shared" si="26"/>
        <v>2050</v>
      </c>
      <c r="F122" t="s">
        <v>23</v>
      </c>
      <c r="G122" s="94">
        <f>IF(F122="Vestdanmark",SUMIFS(IF(E122=År1,'Resultater - Vestdanmark'!H$3:H$504,IF(E122=År2,'Resultater - Vestdanmark'!I$3:I$504,'Resultater - Vestdanmark'!J$3:J$504)),'Resultater - Vestdanmark'!$F$3:$F$504,$A122,IF(E122=År1,'Resultater - Vestdanmark'!H$3:H$504,IF(E122=År2,'Resultater - Vestdanmark'!I$3:I$504,'Resultater - Vestdanmark'!J$3:J$504)),"&gt;0"),SUMIFS(IF(E122=År1,'Resultater - Østdanmark'!H$3:H$504,IF(E122=År2,'Resultater - Østdanmark'!I$3:I$504,'Resultater - Østdanmark'!J$3:J$504)),'Resultater - Østdanmark'!$F$3:$F$504,$A122,IF(E122=År1,'Resultater - Østdanmark'!H$3:H$504,IF(E122=År2,'Resultater - Østdanmark'!I$3:I$504,'Resultater - Østdanmark'!J$3:J$504)),"&gt;0"))</f>
        <v>482048.93054039421</v>
      </c>
      <c r="H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forbrug'!H$3,'Forbrug af biomasse'!$B$2:$B$425,$F122)</f>
        <v>350004.26926330419</v>
      </c>
      <c r="I122">
        <f>IF(F122="Vestdanmark",-IF(A122="Halm",SUMIFS(IF(E122=År1,'Resultater - Vestdanmark'!H$3:H$504,IF(E122=År2,'Resultater - Vestdanmark'!I$3:I$504,'Resultater - Vestdanmark'!J$3:J$504)),'Resultater - Vestdanmark'!$F$3:$F$504,$A122,'Resultater - Vestdanmark'!H$3:H$504,"&lt;0"),0),-IF(A122="Halm",SUMIFS(IF(E122=År1,'Resultater - Østdanmark'!H$3:H$504,IF(E122=År2,'Resultater - Østdanmark'!I$3:I$504,'Resultater - Østdanmark'!J$3:J$504)),'Resultater - Østdanmark'!$F$3:$F$504,$A122,'Resultater - Østdanmark'!H$3:H$504,"&lt;0"),0))</f>
        <v>0</v>
      </c>
      <c r="J122" s="94"/>
      <c r="K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forbrug'!K$3,'Forbrug af biomasse'!$B$2:$B$425,$F122)</f>
        <v>0</v>
      </c>
      <c r="L122" s="94">
        <f>SUMIFS('Forbrug af biomasse'!$E$2:$E$425,'Forbrug af biomasse'!$C$2:$C$425,'Resultat-Produktion &amp; forbrug'!$A122,'Forbrug af biomasse'!$D$2:$D$425,'Resultat-Produktion &amp; forbrug'!$E122,'Forbrug af biomasse'!$A$2:$A$425,'Resultat-Produktion &amp; forbrug'!L$3,'Forbrug af biomasse'!$B$2:$B$425,$F122)</f>
        <v>0</v>
      </c>
      <c r="M122" s="94">
        <f>IF(A122&lt;&gt;"Biogas",SUMIFS('Forbrug af biomasse'!$E$2:$E$425,'Forbrug af biomasse'!$C$2:$C$425,'Resultat-Produktion &amp; forbrug'!$A122,'Forbrug af biomasse'!$D$2:$D$425,'Resultat-Produktion &amp; forbrug'!$E122,'Forbrug af biomasse'!$A$2:$A$425,'Resultat-Produktion &amp; forbrug'!M$3,'Forbrug af biomasse'!$B$2:$B$425,$F122),G122)</f>
        <v>0</v>
      </c>
      <c r="N122" s="94">
        <f>SUMIFS('Forbrug af biomasse'!E:E,'Forbrug af biomasse'!C:C,'Resultat-Produktion &amp; forbrug'!$A122,'Forbrug af biomasse'!D:D,'Resultat-Produktion &amp; forbrug'!$E122,'Forbrug af biomasse'!G:G,1,'Forbrug af biomasse'!B:B,$F122)</f>
        <v>0</v>
      </c>
      <c r="O122" s="179">
        <f t="shared" si="20"/>
        <v>132044.66127709002</v>
      </c>
      <c r="P122" s="94">
        <f t="shared" si="17"/>
        <v>132044.66127709002</v>
      </c>
      <c r="Q122" s="180">
        <f t="shared" si="21"/>
        <v>0</v>
      </c>
      <c r="R122">
        <f>IFERROR(VLOOKUP(A122,[1]Energiindhold!$A$2:$C$11,3,FALSE),IFERROR(VLOOKUP(A122,[1]Biogasudbytte!$A$2:$B$18,2,FALSE)*[1]Energiindhold!$C$10,0))*P122</f>
        <v>0.45223447862145461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IF(A122&lt;&gt;"Biogas",IFERROR(VLOOKUP(A122,[1]Biogasudbytte!$A$2:$B$18,2,FALSE)*[1]Energiindhold!$C$10,0)*K122*IFERROR(VLOOKUP(A122,Biogasanlæg!$F$3:$G$8,2,FALSE),1)+IFERROR(VLOOKUP(A122,[1]Energiindhold!$A$2:$C$11,3,FALSE),0)*M122+IF(E122&lt;&gt;År1,R122,0),0)</f>
        <v>0.45223447862145461</v>
      </c>
      <c r="T122">
        <f>IFERROR(VLOOKUP(A122,[1]Biogasudbytte!$A$2:$B$18,2,FALSE)*[1]Energiindhold!$C$10,0)*K122*IFERROR(VLOOKUP(A122,Biogasanlæg!$F$3:$G$8,2,FALSE),1)</f>
        <v>0</v>
      </c>
      <c r="U122" s="170">
        <f t="shared" si="22"/>
        <v>0.45223447862145461</v>
      </c>
      <c r="V122" s="169">
        <f>P122*IFERROR(VLOOKUP(A122,[1]Tørstofindhold!A$2:B$24,2,FALSE),0)</f>
        <v>40933.844995897911</v>
      </c>
      <c r="W122">
        <f>IF(E122=År1,Q122,SUM(P122,Q122))*IFERROR(VLOOKUP(A122,[1]Tørstofindhold!A$2:B$24,2,FALSE),0)</f>
        <v>40933.844995897911</v>
      </c>
      <c r="X122">
        <f>K122*IFERROR(VLOOKUP(A122,[1]Tørstofindhold!A$2:B$24,2,FALSE),0)</f>
        <v>0</v>
      </c>
      <c r="Y122" s="170">
        <f t="shared" si="23"/>
        <v>40933.844995897911</v>
      </c>
      <c r="Z122">
        <f t="shared" si="18"/>
        <v>0</v>
      </c>
      <c r="AA122">
        <f t="shared" si="19"/>
        <v>1</v>
      </c>
    </row>
    <row r="123" spans="1:27" x14ac:dyDescent="0.25">
      <c r="A123" s="171" t="str">
        <f t="shared" si="24"/>
        <v>Kunstgødning</v>
      </c>
      <c r="B123" s="171" t="str">
        <f t="shared" si="25"/>
        <v/>
      </c>
      <c r="C123" s="171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0</v>
      </c>
      <c r="D123" s="171">
        <f t="shared" si="27"/>
        <v>0</v>
      </c>
      <c r="E123" s="171">
        <f t="shared" si="26"/>
        <v>2050</v>
      </c>
      <c r="F123" t="s">
        <v>23</v>
      </c>
      <c r="G123" s="94">
        <f>IF(F123="Vestdanmark",SUMIFS(IF(E123=År1,'Resultater - Vestdanmark'!H$3:H$504,IF(E123=År2,'Resultater - Vestdanmark'!I$3:I$504,'Resultater - Vestdanmark'!J$3:J$504)),'Resultater - Vestdanmark'!$F$3:$F$504,$A123,IF(E123=År1,'Resultater - Vestdanmark'!H$3:H$504,IF(E123=År2,'Resultater - Vestdanmark'!I$3:I$504,'Resultater - Vestdanmark'!J$3:J$504)),"&gt;0"),SUMIFS(IF(E123=År1,'Resultater - Østdanmark'!H$3:H$504,IF(E123=År2,'Resultater - Østdanmark'!I$3:I$504,'Resultater - Østdanmark'!J$3:J$504)),'Resultater - Østdanmark'!$F$3:$F$504,$A123,IF(E123=År1,'Resultater - Østdanmark'!H$3:H$504,IF(E123=År2,'Resultater - Østdanmark'!I$3:I$504,'Resultater - Østdanmark'!J$3:J$504)),"&gt;0"))</f>
        <v>0</v>
      </c>
      <c r="H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forbrug'!H$3,'Forbrug af biomasse'!$B$2:$B$425,$F123)</f>
        <v>0</v>
      </c>
      <c r="I123">
        <f>IF(F123="Vestdanmark",-IF(A123="Halm",SUMIFS(IF(E123=År1,'Resultater - Vestdanmark'!H$3:H$504,IF(E123=År2,'Resultater - Vestdanmark'!I$3:I$504,'Resultater - Vestdanmark'!J$3:J$504)),'Resultater - Vestdanmark'!$F$3:$F$504,$A123,'Resultater - Vestdanmark'!H$3:H$504,"&lt;0"),0),-IF(A123="Halm",SUMIFS(IF(E123=År1,'Resultater - Østdanmark'!H$3:H$504,IF(E123=År2,'Resultater - Østdanmark'!I$3:I$504,'Resultater - Østdanmark'!J$3:J$504)),'Resultater - Østdanmark'!$F$3:$F$504,$A123,'Resultater - Østdanmark'!H$3:H$504,"&lt;0"),0))</f>
        <v>0</v>
      </c>
      <c r="J123" s="94"/>
      <c r="K123" s="94">
        <f>SUMIFS('Forbrug af biomasse'!$E$2:$E$425,'Forbrug af biomasse'!$C$2:$C$425,'Resultat-Produktion &amp; forbrug'!$A123,'Forbrug af biomasse'!$D$2:$D$425,'Resultat-Produktion &amp; forbrug'!$E123,'Forbrug af biomasse'!$A$2:$A$425,'Resultat-Produktion &amp; forbrug'!K$3,'Forbrug af biomasse'!$B$2:$B$425,$F123)</f>
        <v>0</v>
      </c>
      <c r="L123" s="94">
        <f ca="1">SUMIFS('Forbrug af biomasse'!$E$2:$E$425,'Forbrug af biomasse'!$C$2:$C$425,'Resultat-Produktion &amp; forbrug'!$A123,'Forbrug af biomasse'!$D$2:$D$425,'Resultat-Produktion &amp; forbrug'!$E123,'Forbrug af biomasse'!$A$2:$A$425,'Resultat-Produktion &amp; forbrug'!L$3,'Forbrug af biomasse'!$B$2:$B$425,$F123)</f>
        <v>1043723.475761516</v>
      </c>
      <c r="M123" s="94">
        <f>IF(A123&lt;&gt;"Biogas",SUMIFS('Forbrug af biomasse'!$E$2:$E$425,'Forbrug af biomasse'!$C$2:$C$425,'Resultat-Produktion &amp; forbrug'!$A123,'Forbrug af biomasse'!$D$2:$D$425,'Resultat-Produktion &amp; forbrug'!$E123,'Forbrug af biomasse'!$A$2:$A$425,'Resultat-Produktion &amp; forbrug'!M$3,'Forbrug af biomasse'!$B$2:$B$425,$F123),G123)</f>
        <v>0</v>
      </c>
      <c r="N123" s="94">
        <f>SUMIFS('Forbrug af biomasse'!E:E,'Forbrug af biomasse'!C:C,'Resultat-Produktion &amp; forbrug'!$A123,'Forbrug af biomasse'!D:D,'Resultat-Produktion &amp; forbrug'!$E123,'Forbrug af biomasse'!G:G,1,'Forbrug af biomasse'!B:B,$F123)</f>
        <v>0</v>
      </c>
      <c r="O123" s="179">
        <f t="shared" ca="1" si="20"/>
        <v>-1043723.475761516</v>
      </c>
      <c r="P123" s="94">
        <f t="shared" si="17"/>
        <v>0</v>
      </c>
      <c r="Q123" s="180">
        <f t="shared" si="21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IF(A123&lt;&gt;"Biogas",IFERROR(VLOOKUP(A123,[1]Biogasudbytte!$A$2:$B$18,2,FALSE)*[1]Energiindhold!$C$10,0)*K123*IFERROR(VLOOKUP(A123,Biogasanlæg!$F$3:$G$8,2,FALSE),1)+IFERROR(VLOOKUP(A123,[1]Energiindhold!$A$2:$C$11,3,FALSE),0)*M123+IF(E123&lt;&gt;År1,R123,0),0)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2"/>
        <v>0</v>
      </c>
      <c r="V123" s="169">
        <f>P123*IFERROR(VLOOKUP(A123,[1]Tørstofindhold!A$2:B$24,2,FALSE),0)</f>
        <v>0</v>
      </c>
      <c r="W123">
        <f>IF(E123=År1,Q123,SUM(P123,Q123))*IFERROR(VLOOKUP(A123,[1]Tørstofindhold!A$2:B$24,2,FALSE),0)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3"/>
        <v>0</v>
      </c>
      <c r="Z123">
        <f t="shared" ca="1" si="18"/>
        <v>1</v>
      </c>
      <c r="AA123">
        <f t="shared" ca="1" si="19"/>
        <v>0</v>
      </c>
    </row>
    <row r="124" spans="1:27" x14ac:dyDescent="0.25">
      <c r="A124" s="171" t="str">
        <f t="shared" si="24"/>
        <v>Kvæggylle</v>
      </c>
      <c r="B124" s="171" t="str">
        <f t="shared" si="25"/>
        <v>Husdyrgødning</v>
      </c>
      <c r="C124" s="171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1</v>
      </c>
      <c r="D124" s="171">
        <f t="shared" si="27"/>
        <v>0</v>
      </c>
      <c r="E124" s="171">
        <f t="shared" si="26"/>
        <v>2050</v>
      </c>
      <c r="F124" t="s">
        <v>23</v>
      </c>
      <c r="G124" s="94">
        <f>IF(F124="Vestdanmark",SUMIFS(IF(E124=År1,'Resultater - Vestdanmark'!H$3:H$504,IF(E124=År2,'Resultater - Vestdanmark'!I$3:I$504,'Resultater - Vestdanmark'!J$3:J$504)),'Resultater - Vestdanmark'!$F$3:$F$504,$A124,IF(E124=År1,'Resultater - Vestdanmark'!H$3:H$504,IF(E124=År2,'Resultater - Vestdanmark'!I$3:I$504,'Resultater - Vestdanmark'!J$3:J$504)),"&gt;0"),SUMIFS(IF(E124=År1,'Resultater - Østdanmark'!H$3:H$504,IF(E124=År2,'Resultater - Østdanmark'!I$3:I$504,'Resultater - Østdanmark'!J$3:J$504)),'Resultater - Østdanmark'!$F$3:$F$504,$A124,IF(E124=År1,'Resultater - Østdanmark'!H$3:H$504,IF(E124=År2,'Resultater - Østdanmark'!I$3:I$504,'Resultater - Østdanmark'!J$3:J$504)),"&gt;0"))</f>
        <v>68744.822418311582</v>
      </c>
      <c r="H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forbrug'!H$3,'Forbrug af biomasse'!$B$2:$B$425,$F124)</f>
        <v>0</v>
      </c>
      <c r="I124">
        <f>IF(F124="Vestdanmark",-IF(A124="Halm",SUMIFS(IF(E124=År1,'Resultater - Vestdanmark'!H$3:H$504,IF(E124=År2,'Resultater - Vestdanmark'!I$3:I$504,'Resultater - Vestdanmark'!J$3:J$504)),'Resultater - Vestdanmark'!$F$3:$F$504,$A124,'Resultater - Vestdanmark'!H$3:H$504,"&lt;0"),0),-IF(A124="Halm",SUMIFS(IF(E124=År1,'Resultater - Østdanmark'!H$3:H$504,IF(E124=År2,'Resultater - Østdanmark'!I$3:I$504,'Resultater - Østdanmark'!J$3:J$504)),'Resultater - Østdanmark'!$F$3:$F$504,$A124,'Resultater - Østdanmark'!H$3:H$504,"&lt;0"),0))</f>
        <v>0</v>
      </c>
      <c r="J124" s="94"/>
      <c r="K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forbrug'!K$3,'Forbrug af biomasse'!$B$2:$B$425,$F124)</f>
        <v>61870.340176480422</v>
      </c>
      <c r="L124" s="94">
        <f>SUMIFS('Forbrug af biomasse'!$E$2:$E$425,'Forbrug af biomasse'!$C$2:$C$425,'Resultat-Produktion &amp; forbrug'!$A124,'Forbrug af biomasse'!$D$2:$D$425,'Resultat-Produktion &amp; forbrug'!$E124,'Forbrug af biomasse'!$A$2:$A$425,'Resultat-Produktion &amp; forbrug'!L$3,'Forbrug af biomasse'!$B$2:$B$425,$F124)</f>
        <v>6874.4822418311569</v>
      </c>
      <c r="M124" s="94">
        <f>IF(A124&lt;&gt;"Biogas",SUMIFS('Forbrug af biomasse'!$E$2:$E$425,'Forbrug af biomasse'!$C$2:$C$425,'Resultat-Produktion &amp; forbrug'!$A124,'Forbrug af biomasse'!$D$2:$D$425,'Resultat-Produktion &amp; forbrug'!$E124,'Forbrug af biomasse'!$A$2:$A$425,'Resultat-Produktion &amp; forbrug'!M$3,'Forbrug af biomasse'!$B$2:$B$425,$F124),G124)</f>
        <v>0</v>
      </c>
      <c r="N124" s="94">
        <f>SUMIFS('Forbrug af biomasse'!E:E,'Forbrug af biomasse'!C:C,'Resultat-Produktion &amp; forbrug'!$A124,'Forbrug af biomasse'!D:D,'Resultat-Produktion &amp; forbrug'!$E124,'Forbrug af biomasse'!G:G,1,'Forbrug af biomasse'!B:B,$F124)</f>
        <v>0</v>
      </c>
      <c r="O124" s="179">
        <f t="shared" si="20"/>
        <v>0</v>
      </c>
      <c r="P124" s="94">
        <f t="shared" si="17"/>
        <v>0</v>
      </c>
      <c r="Q124" s="180">
        <f t="shared" si="21"/>
        <v>61870.340176480422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IF(A124&lt;&gt;"Biogas",IFERROR(VLOOKUP(A124,[1]Biogasudbytte!$A$2:$B$18,2,FALSE)*[1]Energiindhold!$C$10,0)*K124*IFERROR(VLOOKUP(A124,Biogasanlæg!$F$3:$G$8,2,FALSE),1)+IFERROR(VLOOKUP(A124,[1]Energiindhold!$A$2:$C$11,3,FALSE),0)*M124+IF(E124&lt;&gt;År1,R124,0),0)</f>
        <v>3.1318147493932628E-2</v>
      </c>
      <c r="T124">
        <f>IFERROR(VLOOKUP(A124,[1]Biogasudbytte!$A$2:$B$18,2,FALSE)*[1]Energiindhold!$C$10,0)*K124*IFERROR(VLOOKUP(A124,Biogasanlæg!$F$3:$G$8,2,FALSE),1)</f>
        <v>3.1318147493932628E-2</v>
      </c>
      <c r="U124" s="170">
        <f t="shared" si="22"/>
        <v>0</v>
      </c>
      <c r="V124" s="169">
        <f>P124*IFERROR(VLOOKUP(A124,[1]Tørstofindhold!A$2:B$24,2,FALSE),0)</f>
        <v>0</v>
      </c>
      <c r="W124">
        <f>IF(E124=År1,Q124,SUM(P124,Q124))*IFERROR(VLOOKUP(A124,[1]Tørstofindhold!A$2:B$24,2,FALSE),0)</f>
        <v>4702.1458534125122</v>
      </c>
      <c r="X124">
        <f>K124*IFERROR(VLOOKUP(A124,[1]Tørstofindhold!A$2:B$24,2,FALSE),0)</f>
        <v>4702.1458534125122</v>
      </c>
      <c r="Y124" s="170">
        <f t="shared" si="23"/>
        <v>0</v>
      </c>
      <c r="Z124">
        <f t="shared" si="18"/>
        <v>0</v>
      </c>
      <c r="AA124">
        <f t="shared" si="19"/>
        <v>0</v>
      </c>
    </row>
    <row r="125" spans="1:27" x14ac:dyDescent="0.25">
      <c r="A125" s="171" t="str">
        <f t="shared" si="24"/>
        <v>Mælk til foder</v>
      </c>
      <c r="B125" s="171" t="str">
        <f t="shared" si="25"/>
        <v/>
      </c>
      <c r="C125" s="171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0</v>
      </c>
      <c r="D125" s="171">
        <f t="shared" si="27"/>
        <v>0</v>
      </c>
      <c r="E125" s="171">
        <f t="shared" si="26"/>
        <v>2050</v>
      </c>
      <c r="F125" t="s">
        <v>23</v>
      </c>
      <c r="G125" s="94">
        <f>IF(F125="Vestdanmark",SUMIFS(IF(E125=År1,'Resultater - Vestdanmark'!H$3:H$504,IF(E125=År2,'Resultater - Vestdanmark'!I$3:I$504,'Resultater - Vestdanmark'!J$3:J$504)),'Resultater - Vestdanmark'!$F$3:$F$504,$A125,IF(E125=År1,'Resultater - Vestdanmark'!H$3:H$504,IF(E125=År2,'Resultater - Vestdanmark'!I$3:I$504,'Resultater - Vestdanmark'!J$3:J$504)),"&gt;0"),SUMIFS(IF(E125=År1,'Resultater - Østdanmark'!H$3:H$504,IF(E125=År2,'Resultater - Østdanmark'!I$3:I$504,'Resultater - Østdanmark'!J$3:J$504)),'Resultater - Østdanmark'!$F$3:$F$504,$A125,IF(E125=År1,'Resultater - Østdanmark'!H$3:H$504,IF(E125=År2,'Resultater - Østdanmark'!I$3:I$504,'Resultater - Østdanmark'!J$3:J$504)),"&gt;0"))</f>
        <v>0</v>
      </c>
      <c r="H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forbrug'!H$3,'Forbrug af biomasse'!$B$2:$B$425,$F125)</f>
        <v>0</v>
      </c>
      <c r="I125">
        <f>IF(F125="Vestdanmark",-IF(A125="Halm",SUMIFS(IF(E125=År1,'Resultater - Vestdanmark'!H$3:H$504,IF(E125=År2,'Resultater - Vestdanmark'!I$3:I$504,'Resultater - Vestdanmark'!J$3:J$504)),'Resultater - Vestdanmark'!$F$3:$F$504,$A125,'Resultater - Vestdanmark'!H$3:H$504,"&lt;0"),0),-IF(A125="Halm",SUMIFS(IF(E125=År1,'Resultater - Østdanmark'!H$3:H$504,IF(E125=År2,'Resultater - Østdanmark'!I$3:I$504,'Resultater - Østdanmark'!J$3:J$504)),'Resultater - Østdanmark'!$F$3:$F$504,$A125,'Resultater - Østdanmark'!H$3:H$504,"&lt;0"),0))</f>
        <v>0</v>
      </c>
      <c r="J125" s="94"/>
      <c r="K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forbrug'!K$3,'Forbrug af biomasse'!$B$2:$B$425,$F125)</f>
        <v>0</v>
      </c>
      <c r="L125" s="94">
        <f>SUMIFS('Forbrug af biomasse'!$E$2:$E$425,'Forbrug af biomasse'!$C$2:$C$425,'Resultat-Produktion &amp; forbrug'!$A125,'Forbrug af biomasse'!$D$2:$D$425,'Resultat-Produktion &amp; forbrug'!$E125,'Forbrug af biomasse'!$A$2:$A$425,'Resultat-Produktion &amp; forbrug'!L$3,'Forbrug af biomasse'!$B$2:$B$425,$F125)</f>
        <v>0</v>
      </c>
      <c r="M125" s="94">
        <f>IF(A125&lt;&gt;"Biogas",SUMIFS('Forbrug af biomasse'!$E$2:$E$425,'Forbrug af biomasse'!$C$2:$C$425,'Resultat-Produktion &amp; forbrug'!$A125,'Forbrug af biomasse'!$D$2:$D$425,'Resultat-Produktion &amp; forbrug'!$E125,'Forbrug af biomasse'!$A$2:$A$425,'Resultat-Produktion &amp; forbrug'!M$3,'Forbrug af biomasse'!$B$2:$B$425,$F125),G125)</f>
        <v>0</v>
      </c>
      <c r="N125" s="94">
        <f>SUMIFS('Forbrug af biomasse'!E:E,'Forbrug af biomasse'!C:C,'Resultat-Produktion &amp; forbrug'!$A125,'Forbrug af biomasse'!D:D,'Resultat-Produktion &amp; forbrug'!$E125,'Forbrug af biomasse'!G:G,1,'Forbrug af biomasse'!B:B,$F125)</f>
        <v>0</v>
      </c>
      <c r="O125" s="179">
        <f t="shared" si="20"/>
        <v>0</v>
      </c>
      <c r="P125" s="94">
        <f t="shared" si="17"/>
        <v>0</v>
      </c>
      <c r="Q125" s="180">
        <f t="shared" si="21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IF(A125&lt;&gt;"Biogas",IFERROR(VLOOKUP(A125,[1]Biogasudbytte!$A$2:$B$18,2,FALSE)*[1]Energiindhold!$C$10,0)*K125*IFERROR(VLOOKUP(A125,Biogasanlæg!$F$3:$G$8,2,FALSE),1)+IFERROR(VLOOKUP(A125,[1]Energiindhold!$A$2:$C$11,3,FALSE),0)*M125+IF(E125&lt;&gt;År1,R125,0),0)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2"/>
        <v>0</v>
      </c>
      <c r="V125" s="169">
        <f>P125*IFERROR(VLOOKUP(A125,[1]Tørstofindhold!A$2:B$24,2,FALSE),0)</f>
        <v>0</v>
      </c>
      <c r="W125">
        <f>IF(E125=År1,Q125,SUM(P125,Q125))*IFERROR(VLOOKUP(A125,[1]Tørstofindhold!A$2:B$24,2,FALSE),0)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3"/>
        <v>0</v>
      </c>
      <c r="Z125">
        <f t="shared" si="18"/>
        <v>0</v>
      </c>
      <c r="AA125">
        <f t="shared" si="19"/>
        <v>0</v>
      </c>
    </row>
    <row r="126" spans="1:27" x14ac:dyDescent="0.25">
      <c r="A126" s="171" t="str">
        <f t="shared" si="24"/>
        <v>Majs</v>
      </c>
      <c r="B126" s="171" t="str">
        <f t="shared" si="25"/>
        <v>Græs og urter</v>
      </c>
      <c r="C126" s="171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1</v>
      </c>
      <c r="D126" s="171">
        <f t="shared" si="27"/>
        <v>1</v>
      </c>
      <c r="E126" s="171">
        <f t="shared" si="26"/>
        <v>2050</v>
      </c>
      <c r="F126" t="s">
        <v>23</v>
      </c>
      <c r="G126" s="94">
        <f>IF(F126="Vestdanmark",SUMIFS(IF(E126=År1,'Resultater - Vestdanmark'!H$3:H$504,IF(E126=År2,'Resultater - Vestdanmark'!I$3:I$504,'Resultater - Vestdanmark'!J$3:J$504)),'Resultater - Vestdanmark'!$F$3:$F$504,$A126,IF(E126=År1,'Resultater - Vestdanmark'!H$3:H$504,IF(E126=År2,'Resultater - Vestdanmark'!I$3:I$504,'Resultater - Vestdanmark'!J$3:J$504)),"&gt;0"),SUMIFS(IF(E126=År1,'Resultater - Østdanmark'!H$3:H$504,IF(E126=År2,'Resultater - Østdanmark'!I$3:I$504,'Resultater - Østdanmark'!J$3:J$504)),'Resultater - Østdanmark'!$F$3:$F$504,$A126,IF(E126=År1,'Resultater - Østdanmark'!H$3:H$504,IF(E126=År2,'Resultater - Østdanmark'!I$3:I$504,'Resultater - Østdanmark'!J$3:J$504)),"&gt;0"))</f>
        <v>513235.88893477799</v>
      </c>
      <c r="H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forbrug'!H$3,'Forbrug af biomasse'!$B$2:$B$425,$F126)</f>
        <v>366941.45938834856</v>
      </c>
      <c r="I126">
        <f>IF(F126="Vestdanmark",-IF(A126="Halm",SUMIFS(IF(E126=År1,'Resultater - Vestdanmark'!H$3:H$504,IF(E126=År2,'Resultater - Vestdanmark'!I$3:I$504,'Resultater - Vestdanmark'!J$3:J$504)),'Resultater - Vestdanmark'!$F$3:$F$504,$A126,'Resultater - Vestdanmark'!H$3:H$504,"&lt;0"),0),-IF(A126="Halm",SUMIFS(IF(E126=År1,'Resultater - Østdanmark'!H$3:H$504,IF(E126=År2,'Resultater - Østdanmark'!I$3:I$504,'Resultater - Østdanmark'!J$3:J$504)),'Resultater - Østdanmark'!$F$3:$F$504,$A126,'Resultater - Østdanmark'!H$3:H$504,"&lt;0"),0))</f>
        <v>0</v>
      </c>
      <c r="J126" s="94"/>
      <c r="K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forbrug'!K$3,'Forbrug af biomasse'!$B$2:$B$425,$F126)</f>
        <v>0</v>
      </c>
      <c r="L126" s="94">
        <f>SUMIFS('Forbrug af biomasse'!$E$2:$E$425,'Forbrug af biomasse'!$C$2:$C$425,'Resultat-Produktion &amp; forbrug'!$A126,'Forbrug af biomasse'!$D$2:$D$425,'Resultat-Produktion &amp; forbrug'!$E126,'Forbrug af biomasse'!$A$2:$A$425,'Resultat-Produktion &amp; forbrug'!L$3,'Forbrug af biomasse'!$B$2:$B$425,$F126)</f>
        <v>0</v>
      </c>
      <c r="M126" s="94">
        <f>IF(A126&lt;&gt;"Biogas",SUMIFS('Forbrug af biomasse'!$E$2:$E$425,'Forbrug af biomasse'!$C$2:$C$425,'Resultat-Produktion &amp; forbrug'!$A126,'Forbrug af biomasse'!$D$2:$D$425,'Resultat-Produktion &amp; forbrug'!$E126,'Forbrug af biomasse'!$A$2:$A$425,'Resultat-Produktion &amp; forbrug'!M$3,'Forbrug af biomasse'!$B$2:$B$425,$F126),G126)</f>
        <v>0</v>
      </c>
      <c r="N126" s="94">
        <f>SUMIFS('Forbrug af biomasse'!E:E,'Forbrug af biomasse'!C:C,'Resultat-Produktion &amp; forbrug'!$A126,'Forbrug af biomasse'!D:D,'Resultat-Produktion &amp; forbrug'!$E126,'Forbrug af biomasse'!G:G,1,'Forbrug af biomasse'!B:B,$F126)</f>
        <v>0</v>
      </c>
      <c r="O126" s="179">
        <f t="shared" si="20"/>
        <v>146294.42954642943</v>
      </c>
      <c r="P126" s="94">
        <f t="shared" si="17"/>
        <v>146294.42954642943</v>
      </c>
      <c r="Q126" s="180">
        <f t="shared" si="21"/>
        <v>0</v>
      </c>
      <c r="R126">
        <f>IFERROR(VLOOKUP(A126,[1]Energiindhold!$A$2:$C$11,3,FALSE),IFERROR(VLOOKUP(A126,[1]Biogasudbytte!$A$2:$B$18,2,FALSE)*[1]Energiindhold!$C$10,0))*P126</f>
        <v>0.52519700207168174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IF(A126&lt;&gt;"Biogas",IFERROR(VLOOKUP(A126,[1]Biogasudbytte!$A$2:$B$18,2,FALSE)*[1]Energiindhold!$C$10,0)*K126*IFERROR(VLOOKUP(A126,Biogasanlæg!$F$3:$G$8,2,FALSE),1)+IFERROR(VLOOKUP(A126,[1]Energiindhold!$A$2:$C$11,3,FALSE),0)*M126+IF(E126&lt;&gt;År1,R126,0),0)</f>
        <v>0.52519700207168174</v>
      </c>
      <c r="T126">
        <f>IFERROR(VLOOKUP(A126,[1]Biogasudbytte!$A$2:$B$18,2,FALSE)*[1]Energiindhold!$C$10,0)*K126*IFERROR(VLOOKUP(A126,Biogasanlæg!$F$3:$G$8,2,FALSE),1)</f>
        <v>0</v>
      </c>
      <c r="U126" s="170">
        <f t="shared" si="22"/>
        <v>0.52519700207168174</v>
      </c>
      <c r="V126" s="169">
        <f>P126*IFERROR(VLOOKUP(A126,[1]Tørstofindhold!A$2:B$24,2,FALSE),0)</f>
        <v>43888.328863928829</v>
      </c>
      <c r="W126">
        <f>IF(E126=År1,Q126,SUM(P126,Q126))*IFERROR(VLOOKUP(A126,[1]Tørstofindhold!A$2:B$24,2,FALSE),0)</f>
        <v>43888.328863928829</v>
      </c>
      <c r="X126">
        <f>K126*IFERROR(VLOOKUP(A126,[1]Tørstofindhold!A$2:B$24,2,FALSE),0)</f>
        <v>0</v>
      </c>
      <c r="Y126" s="170">
        <f t="shared" si="23"/>
        <v>43888.328863928829</v>
      </c>
      <c r="Z126">
        <f t="shared" si="18"/>
        <v>0</v>
      </c>
      <c r="AA126">
        <f t="shared" si="19"/>
        <v>1</v>
      </c>
    </row>
    <row r="127" spans="1:27" x14ac:dyDescent="0.25">
      <c r="A127" s="171" t="str">
        <f t="shared" si="24"/>
        <v>Mejeriprodukter</v>
      </c>
      <c r="B127" s="171" t="str">
        <f t="shared" si="25"/>
        <v/>
      </c>
      <c r="C127" s="171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0</v>
      </c>
      <c r="D127" s="171">
        <f t="shared" si="27"/>
        <v>1</v>
      </c>
      <c r="E127" s="171">
        <f t="shared" si="26"/>
        <v>2050</v>
      </c>
      <c r="F127" t="s">
        <v>23</v>
      </c>
      <c r="G127" s="94">
        <f>IF(F127="Vestdanmark",SUMIFS(IF(E127=År1,'Resultater - Vestdanmark'!H$3:H$504,IF(E127=År2,'Resultater - Vestdanmark'!I$3:I$504,'Resultater - Vestdanmark'!J$3:J$504)),'Resultater - Vestdanmark'!$F$3:$F$504,$A127,IF(E127=År1,'Resultater - Vestdanmark'!H$3:H$504,IF(E127=År2,'Resultater - Vestdanmark'!I$3:I$504,'Resultater - Vestdanmark'!J$3:J$504)),"&gt;0"),SUMIFS(IF(E127=År1,'Resultater - Østdanmark'!H$3:H$504,IF(E127=År2,'Resultater - Østdanmark'!I$3:I$504,'Resultater - Østdanmark'!J$3:J$504)),'Resultater - Østdanmark'!$F$3:$F$504,$A127,IF(E127=År1,'Resultater - Østdanmark'!H$3:H$504,IF(E127=År2,'Resultater - Østdanmark'!I$3:I$504,'Resultater - Østdanmark'!J$3:J$504)),"&gt;0"))</f>
        <v>0</v>
      </c>
      <c r="H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forbrug'!H$3,'Forbrug af biomasse'!$B$2:$B$425,$F127)</f>
        <v>0</v>
      </c>
      <c r="I127">
        <f>IF(F127="Vestdanmark",-IF(A127="Halm",SUMIFS(IF(E127=År1,'Resultater - Vestdanmark'!H$3:H$504,IF(E127=År2,'Resultater - Vestdanmark'!I$3:I$504,'Resultater - Vestdanmark'!J$3:J$504)),'Resultater - Vestdanmark'!$F$3:$F$504,$A127,'Resultater - Vestdanmark'!H$3:H$504,"&lt;0"),0),-IF(A127="Halm",SUMIFS(IF(E127=År1,'Resultater - Østdanmark'!H$3:H$504,IF(E127=År2,'Resultater - Østdanmark'!I$3:I$504,'Resultater - Østdanmark'!J$3:J$504)),'Resultater - Østdanmark'!$F$3:$F$504,$A127,'Resultater - Østdanmark'!H$3:H$504,"&lt;0"),0))</f>
        <v>0</v>
      </c>
      <c r="J127" s="94"/>
      <c r="K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forbrug'!K$3,'Forbrug af biomasse'!$B$2:$B$425,$F127)</f>
        <v>0</v>
      </c>
      <c r="L127" s="94">
        <f>SUMIFS('Forbrug af biomasse'!$E$2:$E$425,'Forbrug af biomasse'!$C$2:$C$425,'Resultat-Produktion &amp; forbrug'!$A127,'Forbrug af biomasse'!$D$2:$D$425,'Resultat-Produktion &amp; forbrug'!$E127,'Forbrug af biomasse'!$A$2:$A$425,'Resultat-Produktion &amp; forbrug'!L$3,'Forbrug af biomasse'!$B$2:$B$425,$F127)</f>
        <v>0</v>
      </c>
      <c r="M127" s="94">
        <f>IF(A127&lt;&gt;"Biogas",SUMIFS('Forbrug af biomasse'!$E$2:$E$425,'Forbrug af biomasse'!$C$2:$C$425,'Resultat-Produktion &amp; forbrug'!$A127,'Forbrug af biomasse'!$D$2:$D$425,'Resultat-Produktion &amp; forbrug'!$E127,'Forbrug af biomasse'!$A$2:$A$425,'Resultat-Produktion &amp; forbrug'!M$3,'Forbrug af biomasse'!$B$2:$B$425,$F127),G127)</f>
        <v>0</v>
      </c>
      <c r="N127" s="94">
        <f>SUMIFS('Forbrug af biomasse'!E:E,'Forbrug af biomasse'!C:C,'Resultat-Produktion &amp; forbrug'!$A127,'Forbrug af biomasse'!D:D,'Resultat-Produktion &amp; forbrug'!$E127,'Forbrug af biomasse'!G:G,1,'Forbrug af biomasse'!B:B,$F127)</f>
        <v>0</v>
      </c>
      <c r="O127" s="179">
        <f t="shared" si="20"/>
        <v>0</v>
      </c>
      <c r="P127" s="94">
        <f t="shared" si="17"/>
        <v>0</v>
      </c>
      <c r="Q127" s="180">
        <f t="shared" si="21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IF(A127&lt;&gt;"Biogas",IFERROR(VLOOKUP(A127,[1]Biogasudbytte!$A$2:$B$18,2,FALSE)*[1]Energiindhold!$C$10,0)*K127*IFERROR(VLOOKUP(A127,Biogasanlæg!$F$3:$G$8,2,FALSE),1)+IFERROR(VLOOKUP(A127,[1]Energiindhold!$A$2:$C$11,3,FALSE),0)*M127+IF(E127&lt;&gt;År1,R127,0),0)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2"/>
        <v>0</v>
      </c>
      <c r="V127" s="169">
        <f>P127*IFERROR(VLOOKUP(A127,[1]Tørstofindhold!A$2:B$24,2,FALSE),0)</f>
        <v>0</v>
      </c>
      <c r="W127">
        <f>IF(E127=År1,Q127,SUM(P127,Q127))*IFERROR(VLOOKUP(A127,[1]Tørstofindhold!A$2:B$24,2,FALSE),0)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3"/>
        <v>0</v>
      </c>
      <c r="Z127">
        <f t="shared" si="18"/>
        <v>0</v>
      </c>
      <c r="AA127">
        <f t="shared" si="19"/>
        <v>0</v>
      </c>
    </row>
    <row r="128" spans="1:27" x14ac:dyDescent="0.25">
      <c r="A128" s="171" t="str">
        <f t="shared" si="24"/>
        <v>Muslinger</v>
      </c>
      <c r="B128" s="171" t="str">
        <f t="shared" si="25"/>
        <v>Havbiomasse</v>
      </c>
      <c r="C128" s="171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1</v>
      </c>
      <c r="D128" s="171">
        <f t="shared" si="27"/>
        <v>1</v>
      </c>
      <c r="E128" s="171">
        <f t="shared" si="26"/>
        <v>2050</v>
      </c>
      <c r="F128" t="s">
        <v>23</v>
      </c>
      <c r="G128" s="94">
        <f>IF(F128="Vestdanmark",SUMIFS(IF(E128=År1,'Resultater - Vestdanmark'!H$3:H$504,IF(E128=År2,'Resultater - Vestdanmark'!I$3:I$504,'Resultater - Vestdanmark'!J$3:J$504)),'Resultater - Vestdanmark'!$F$3:$F$504,$A128,IF(E128=År1,'Resultater - Vestdanmark'!H$3:H$504,IF(E128=År2,'Resultater - Vestdanmark'!I$3:I$504,'Resultater - Vestdanmark'!J$3:J$504)),"&gt;0"),SUMIFS(IF(E128=År1,'Resultater - Østdanmark'!H$3:H$504,IF(E128=År2,'Resultater - Østdanmark'!I$3:I$504,'Resultater - Østdanmark'!J$3:J$504)),'Resultater - Østdanmark'!$F$3:$F$504,$A128,IF(E128=År1,'Resultater - Østdanmark'!H$3:H$504,IF(E128=År2,'Resultater - Østdanmark'!I$3:I$504,'Resultater - Østdanmark'!J$3:J$504)),"&gt;0"))</f>
        <v>878.90231344976178</v>
      </c>
      <c r="H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forbrug'!H$3,'Forbrug af biomasse'!$B$2:$B$425,$F128)</f>
        <v>0</v>
      </c>
      <c r="I128">
        <f>IF(F128="Vestdanmark",-IF(A128="Halm",SUMIFS(IF(E128=År1,'Resultater - Vestdanmark'!H$3:H$504,IF(E128=År2,'Resultater - Vestdanmark'!I$3:I$504,'Resultater - Vestdanmark'!J$3:J$504)),'Resultater - Vestdanmark'!$F$3:$F$504,$A128,'Resultater - Vestdanmark'!H$3:H$504,"&lt;0"),0),-IF(A128="Halm",SUMIFS(IF(E128=År1,'Resultater - Østdanmark'!H$3:H$504,IF(E128=År2,'Resultater - Østdanmark'!I$3:I$504,'Resultater - Østdanmark'!J$3:J$504)),'Resultater - Østdanmark'!$F$3:$F$504,$A128,'Resultater - Østdanmark'!H$3:H$504,"&lt;0"),0))</f>
        <v>0</v>
      </c>
      <c r="J128" s="94"/>
      <c r="K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forbrug'!K$3,'Forbrug af biomasse'!$B$2:$B$425,$F128)</f>
        <v>0</v>
      </c>
      <c r="L128" s="94">
        <f>SUMIFS('Forbrug af biomasse'!$E$2:$E$425,'Forbrug af biomasse'!$C$2:$C$425,'Resultat-Produktion &amp; forbrug'!$A128,'Forbrug af biomasse'!$D$2:$D$425,'Resultat-Produktion &amp; forbrug'!$E128,'Forbrug af biomasse'!$A$2:$A$425,'Resultat-Produktion &amp; forbrug'!L$3,'Forbrug af biomasse'!$B$2:$B$425,$F128)</f>
        <v>0</v>
      </c>
      <c r="M128" s="94">
        <f>IF(A128&lt;&gt;"Biogas",SUMIFS('Forbrug af biomasse'!$E$2:$E$425,'Forbrug af biomasse'!$C$2:$C$425,'Resultat-Produktion &amp; forbrug'!$A128,'Forbrug af biomasse'!$D$2:$D$425,'Resultat-Produktion &amp; forbrug'!$E128,'Forbrug af biomasse'!$A$2:$A$425,'Resultat-Produktion &amp; forbrug'!M$3,'Forbrug af biomasse'!$B$2:$B$425,$F128),G128)</f>
        <v>0</v>
      </c>
      <c r="N128" s="94">
        <f>SUMIFS('Forbrug af biomasse'!E:E,'Forbrug af biomasse'!C:C,'Resultat-Produktion &amp; forbrug'!$A128,'Forbrug af biomasse'!D:D,'Resultat-Produktion &amp; forbrug'!$E128,'Forbrug af biomasse'!G:G,1,'Forbrug af biomasse'!B:B,$F128)</f>
        <v>0</v>
      </c>
      <c r="O128" s="179">
        <f t="shared" si="20"/>
        <v>878.90231344976178</v>
      </c>
      <c r="P128" s="94">
        <f t="shared" si="17"/>
        <v>878.90231344976178</v>
      </c>
      <c r="Q128" s="180">
        <f t="shared" si="21"/>
        <v>0</v>
      </c>
      <c r="R128">
        <f>IFERROR(VLOOKUP(A128,[1]Energiindhold!$A$2:$C$11,3,FALSE),IFERROR(VLOOKUP(A128,[1]Biogasudbytte!$A$2:$B$18,2,FALSE)*[1]Energiindhold!$C$10,0))*P128</f>
        <v>7.8881482632116122E-4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IF(A128&lt;&gt;"Biogas",IFERROR(VLOOKUP(A128,[1]Biogasudbytte!$A$2:$B$18,2,FALSE)*[1]Energiindhold!$C$10,0)*K128*IFERROR(VLOOKUP(A128,Biogasanlæg!$F$3:$G$8,2,FALSE),1)+IFERROR(VLOOKUP(A128,[1]Energiindhold!$A$2:$C$11,3,FALSE),0)*M128+IF(E128&lt;&gt;År1,R128,0),0)</f>
        <v>7.8881482632116122E-4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2"/>
        <v>7.8881482632116122E-4</v>
      </c>
      <c r="V128" s="169">
        <f>P128*IFERROR(VLOOKUP(A128,[1]Tørstofindhold!A$2:B$24,2,FALSE),0)</f>
        <v>131.83534701746427</v>
      </c>
      <c r="W128">
        <f>IF(E128=År1,Q128,SUM(P128,Q128))*IFERROR(VLOOKUP(A128,[1]Tørstofindhold!A$2:B$24,2,FALSE),0)</f>
        <v>131.83534701746427</v>
      </c>
      <c r="X128">
        <f>K128*IFERROR(VLOOKUP(A128,[1]Tørstofindhold!A$2:B$24,2,FALSE),0)</f>
        <v>0</v>
      </c>
      <c r="Y128" s="170">
        <f t="shared" si="23"/>
        <v>131.83534701746427</v>
      </c>
      <c r="Z128">
        <f t="shared" si="18"/>
        <v>0</v>
      </c>
      <c r="AA128">
        <f t="shared" si="19"/>
        <v>1</v>
      </c>
    </row>
    <row r="129" spans="1:27" x14ac:dyDescent="0.25">
      <c r="A129" s="171" t="str">
        <f t="shared" si="24"/>
        <v>Oksekød</v>
      </c>
      <c r="B129" s="171" t="str">
        <f t="shared" si="25"/>
        <v/>
      </c>
      <c r="C129" s="171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71">
        <f t="shared" si="27"/>
        <v>1</v>
      </c>
      <c r="E129" s="171">
        <f t="shared" si="26"/>
        <v>2050</v>
      </c>
      <c r="F129" t="s">
        <v>23</v>
      </c>
      <c r="G129" s="94">
        <f>IF(F129="Vestdanmark",SUMIFS(IF(E129=År1,'Resultater - Vestdanmark'!H$3:H$504,IF(E129=År2,'Resultater - Vestdanmark'!I$3:I$504,'Resultater - Vestdanmark'!J$3:J$504)),'Resultater - Vestdanmark'!$F$3:$F$504,$A129,IF(E129=År1,'Resultater - Vestdanmark'!H$3:H$504,IF(E129=År2,'Resultater - Vestdanmark'!I$3:I$504,'Resultater - Vestdanmark'!J$3:J$504)),"&gt;0"),SUMIFS(IF(E129=År1,'Resultater - Østdanmark'!H$3:H$504,IF(E129=År2,'Resultater - Østdanmark'!I$3:I$504,'Resultater - Østdanmark'!J$3:J$504)),'Resultater - Østdanmark'!$F$3:$F$504,$A129,IF(E129=År1,'Resultater - Østdanmark'!H$3:H$504,IF(E129=År2,'Resultater - Østdanmark'!I$3:I$504,'Resultater - Østdanmark'!J$3:J$504)),"&gt;0"))</f>
        <v>3915.1017916004403</v>
      </c>
      <c r="H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forbrug'!H$3,'Forbrug af biomasse'!$B$2:$B$425,$F129)</f>
        <v>0</v>
      </c>
      <c r="I129">
        <f>IF(F129="Vestdanmark",-IF(A129="Halm",SUMIFS(IF(E129=År1,'Resultater - Vestdanmark'!H$3:H$504,IF(E129=År2,'Resultater - Vestdanmark'!I$3:I$504,'Resultater - Vestdanmark'!J$3:J$504)),'Resultater - Vestdanmark'!$F$3:$F$504,$A129,'Resultater - Vestdanmark'!H$3:H$504,"&lt;0"),0),-IF(A129="Halm",SUMIFS(IF(E129=År1,'Resultater - Østdanmark'!H$3:H$504,IF(E129=År2,'Resultater - Østdanmark'!I$3:I$504,'Resultater - Østdanmark'!J$3:J$504)),'Resultater - Østdanmark'!$F$3:$F$504,$A129,'Resultater - Østdanmark'!H$3:H$504,"&lt;0"),0))</f>
        <v>0</v>
      </c>
      <c r="J129" s="94"/>
      <c r="K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forbrug'!K$3,'Forbrug af biomasse'!$B$2:$B$425,$F129)</f>
        <v>0</v>
      </c>
      <c r="L129" s="94">
        <f>SUMIFS('Forbrug af biomasse'!$E$2:$E$425,'Forbrug af biomasse'!$C$2:$C$425,'Resultat-Produktion &amp; forbrug'!$A129,'Forbrug af biomasse'!$D$2:$D$425,'Resultat-Produktion &amp; forbrug'!$E129,'Forbrug af biomasse'!$A$2:$A$425,'Resultat-Produktion &amp; forbrug'!L$3,'Forbrug af biomasse'!$B$2:$B$425,$F129)</f>
        <v>0</v>
      </c>
      <c r="M129" s="94">
        <f>IF(A129&lt;&gt;"Biogas",SUMIFS('Forbrug af biomasse'!$E$2:$E$425,'Forbrug af biomasse'!$C$2:$C$425,'Resultat-Produktion &amp; forbrug'!$A129,'Forbrug af biomasse'!$D$2:$D$425,'Resultat-Produktion &amp; forbrug'!$E129,'Forbrug af biomasse'!$A$2:$A$425,'Resultat-Produktion &amp; forbrug'!M$3,'Forbrug af biomasse'!$B$2:$B$425,$F129),G129)</f>
        <v>0</v>
      </c>
      <c r="N129" s="94">
        <f>SUMIFS('Forbrug af biomasse'!E:E,'Forbrug af biomasse'!C:C,'Resultat-Produktion &amp; forbrug'!$A129,'Forbrug af biomasse'!D:D,'Resultat-Produktion &amp; forbrug'!$E129,'Forbrug af biomasse'!G:G,1,'Forbrug af biomasse'!B:B,$F129)</f>
        <v>0</v>
      </c>
      <c r="O129" s="179">
        <f t="shared" si="20"/>
        <v>3915.1017916004403</v>
      </c>
      <c r="P129" s="94">
        <f t="shared" si="17"/>
        <v>0</v>
      </c>
      <c r="Q129" s="180">
        <f t="shared" si="21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IF(A129&lt;&gt;"Biogas",IFERROR(VLOOKUP(A129,[1]Biogasudbytte!$A$2:$B$18,2,FALSE)*[1]Energiindhold!$C$10,0)*K129*IFERROR(VLOOKUP(A129,Biogasanlæg!$F$3:$G$8,2,FALSE),1)+IFERROR(VLOOKUP(A129,[1]Energiindhold!$A$2:$C$11,3,FALSE),0)*M129+IF(E129&lt;&gt;År1,R129,0),0)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2"/>
        <v>0</v>
      </c>
      <c r="V129" s="169">
        <f>P129*IFERROR(VLOOKUP(A129,[1]Tørstofindhold!A$2:B$24,2,FALSE),0)</f>
        <v>0</v>
      </c>
      <c r="W129">
        <f>IF(E129=År1,Q129,SUM(P129,Q129))*IFERROR(VLOOKUP(A129,[1]Tørstofindhold!A$2:B$24,2,FALSE),0)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3"/>
        <v>0</v>
      </c>
      <c r="Z129">
        <f t="shared" si="18"/>
        <v>0</v>
      </c>
      <c r="AA129">
        <f t="shared" si="19"/>
        <v>1</v>
      </c>
    </row>
    <row r="130" spans="1:27" x14ac:dyDescent="0.25">
      <c r="A130" s="171" t="str">
        <f t="shared" si="24"/>
        <v>Øvrige</v>
      </c>
      <c r="B130" s="171" t="str">
        <f t="shared" si="25"/>
        <v/>
      </c>
      <c r="C130" s="171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0</v>
      </c>
      <c r="D130" s="171">
        <f t="shared" si="27"/>
        <v>1</v>
      </c>
      <c r="E130" s="171">
        <f t="shared" si="26"/>
        <v>2050</v>
      </c>
      <c r="F130" t="s">
        <v>23</v>
      </c>
      <c r="G130" s="94">
        <f>IF(F130="Vestdanmark",SUMIFS(IF(E130=År1,'Resultater - Vestdanmark'!H$3:H$504,IF(E130=År2,'Resultater - Vestdanmark'!I$3:I$504,'Resultater - Vestdanmark'!J$3:J$504)),'Resultater - Vestdanmark'!$F$3:$F$504,$A130,IF(E130=År1,'Resultater - Vestdanmark'!H$3:H$504,IF(E130=År2,'Resultater - Vestdanmark'!I$3:I$504,'Resultater - Vestdanmark'!J$3:J$504)),"&gt;0"),SUMIFS(IF(E130=År1,'Resultater - Østdanmark'!H$3:H$504,IF(E130=År2,'Resultater - Østdanmark'!I$3:I$504,'Resultater - Østdanmark'!J$3:J$504)),'Resultater - Østdanmark'!$F$3:$F$504,$A130,IF(E130=År1,'Resultater - Østdanmark'!H$3:H$504,IF(E130=År2,'Resultater - Østdanmark'!I$3:I$504,'Resultater - Østdanmark'!J$3:J$504)),"&gt;0"))</f>
        <v>90697.791194463221</v>
      </c>
      <c r="H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forbrug'!H$3,'Forbrug af biomasse'!$B$2:$B$425,$F130)</f>
        <v>0</v>
      </c>
      <c r="I130">
        <f>IF(F130="Vestdanmark",-IF(A130="Halm",SUMIFS(IF(E130=År1,'Resultater - Vestdanmark'!H$3:H$504,IF(E130=År2,'Resultater - Vestdanmark'!I$3:I$504,'Resultater - Vestdanmark'!J$3:J$504)),'Resultater - Vestdanmark'!$F$3:$F$504,$A130,'Resultater - Vestdanmark'!H$3:H$504,"&lt;0"),0),-IF(A130="Halm",SUMIFS(IF(E130=År1,'Resultater - Østdanmark'!H$3:H$504,IF(E130=År2,'Resultater - Østdanmark'!I$3:I$504,'Resultater - Østdanmark'!J$3:J$504)),'Resultater - Østdanmark'!$F$3:$F$504,$A130,'Resultater - Østdanmark'!H$3:H$504,"&lt;0"),0))</f>
        <v>0</v>
      </c>
      <c r="J130" s="94"/>
      <c r="K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forbrug'!K$3,'Forbrug af biomasse'!$B$2:$B$425,$F130)</f>
        <v>0</v>
      </c>
      <c r="L130" s="94">
        <f>SUMIFS('Forbrug af biomasse'!$E$2:$E$425,'Forbrug af biomasse'!$C$2:$C$425,'Resultat-Produktion &amp; forbrug'!$A130,'Forbrug af biomasse'!$D$2:$D$425,'Resultat-Produktion &amp; forbrug'!$E130,'Forbrug af biomasse'!$A$2:$A$425,'Resultat-Produktion &amp; forbrug'!L$3,'Forbrug af biomasse'!$B$2:$B$425,$F130)</f>
        <v>0</v>
      </c>
      <c r="M130" s="94">
        <f>IF(A130&lt;&gt;"Biogas",SUMIFS('Forbrug af biomasse'!$E$2:$E$425,'Forbrug af biomasse'!$C$2:$C$425,'Resultat-Produktion &amp; forbrug'!$A130,'Forbrug af biomasse'!$D$2:$D$425,'Resultat-Produktion &amp; forbrug'!$E130,'Forbrug af biomasse'!$A$2:$A$425,'Resultat-Produktion &amp; forbrug'!M$3,'Forbrug af biomasse'!$B$2:$B$425,$F130),G130)</f>
        <v>0</v>
      </c>
      <c r="N130" s="94">
        <f>SUMIFS('Forbrug af biomasse'!E:E,'Forbrug af biomasse'!C:C,'Resultat-Produktion &amp; forbrug'!$A130,'Forbrug af biomasse'!D:D,'Resultat-Produktion &amp; forbrug'!$E130,'Forbrug af biomasse'!G:G,1,'Forbrug af biomasse'!B:B,$F130)</f>
        <v>0</v>
      </c>
      <c r="O130" s="179">
        <f t="shared" si="20"/>
        <v>90697.791194463221</v>
      </c>
      <c r="P130" s="94">
        <f t="shared" si="17"/>
        <v>0</v>
      </c>
      <c r="Q130" s="180">
        <f t="shared" si="21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IF(A130&lt;&gt;"Biogas",IFERROR(VLOOKUP(A130,[1]Biogasudbytte!$A$2:$B$18,2,FALSE)*[1]Energiindhold!$C$10,0)*K130*IFERROR(VLOOKUP(A130,Biogasanlæg!$F$3:$G$8,2,FALSE),1)+IFERROR(VLOOKUP(A130,[1]Energiindhold!$A$2:$C$11,3,FALSE),0)*M130+IF(E130&lt;&gt;År1,R130,0),0)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2"/>
        <v>0</v>
      </c>
      <c r="V130" s="169">
        <f>P130*IFERROR(VLOOKUP(A130,[1]Tørstofindhold!A$2:B$24,2,FALSE),0)</f>
        <v>0</v>
      </c>
      <c r="W130">
        <f>IF(E130=År1,Q130,SUM(P130,Q130))*IFERROR(VLOOKUP(A130,[1]Tørstofindhold!A$2:B$24,2,FALSE),0)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3"/>
        <v>0</v>
      </c>
      <c r="Z130">
        <f t="shared" si="18"/>
        <v>0</v>
      </c>
      <c r="AA130">
        <f t="shared" si="19"/>
        <v>1</v>
      </c>
    </row>
    <row r="131" spans="1:27" x14ac:dyDescent="0.25">
      <c r="A131" s="171" t="str">
        <f t="shared" si="24"/>
        <v>Pil &amp; poppel</v>
      </c>
      <c r="B131" s="171" t="str">
        <f t="shared" si="25"/>
        <v>Vedmasse</v>
      </c>
      <c r="C131" s="171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71">
        <f t="shared" si="27"/>
        <v>0</v>
      </c>
      <c r="E131" s="171">
        <f t="shared" si="26"/>
        <v>2050</v>
      </c>
      <c r="F131" t="s">
        <v>23</v>
      </c>
      <c r="G131" s="94">
        <f>IF(F131="Vestdanmark",SUMIFS(IF(E131=År1,'Resultater - Vestdanmark'!H$3:H$504,IF(E131=År2,'Resultater - Vestdanmark'!I$3:I$504,'Resultater - Vestdanmark'!J$3:J$504)),'Resultater - Vestdanmark'!$F$3:$F$504,$A131,IF(E131=År1,'Resultater - Vestdanmark'!H$3:H$504,IF(E131=År2,'Resultater - Vestdanmark'!I$3:I$504,'Resultater - Vestdanmark'!J$3:J$504)),"&gt;0"),SUMIFS(IF(E131=År1,'Resultater - Østdanmark'!H$3:H$504,IF(E131=År2,'Resultater - Østdanmark'!I$3:I$504,'Resultater - Østdanmark'!J$3:J$504)),'Resultater - Østdanmark'!$F$3:$F$504,$A131,IF(E131=År1,'Resultater - Østdanmark'!H$3:H$504,IF(E131=År2,'Resultater - Østdanmark'!I$3:I$504,'Resultater - Østdanmark'!J$3:J$504)),"&gt;0"))</f>
        <v>1315903.5397993135</v>
      </c>
      <c r="H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forbrug'!H$3,'Forbrug af biomasse'!$B$2:$B$425,$F131)</f>
        <v>0</v>
      </c>
      <c r="I131">
        <f>IF(F131="Vestdanmark",-IF(A131="Halm",SUMIFS(IF(E131=År1,'Resultater - Vestdanmark'!H$3:H$504,IF(E131=År2,'Resultater - Vestdanmark'!I$3:I$504,'Resultater - Vestdanmark'!J$3:J$504)),'Resultater - Vestdanmark'!$F$3:$F$504,$A131,'Resultater - Vestdanmark'!H$3:H$504,"&lt;0"),0),-IF(A131="Halm",SUMIFS(IF(E131=År1,'Resultater - Østdanmark'!H$3:H$504,IF(E131=År2,'Resultater - Østdanmark'!I$3:I$504,'Resultater - Østdanmark'!J$3:J$504)),'Resultater - Østdanmark'!$F$3:$F$504,$A131,'Resultater - Østdanmark'!H$3:H$504,"&lt;0"),0))</f>
        <v>0</v>
      </c>
      <c r="J131" s="94"/>
      <c r="K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forbrug'!K$3,'Forbrug af biomasse'!$B$2:$B$425,$F131)</f>
        <v>0</v>
      </c>
      <c r="L131" s="94">
        <f>SUMIFS('Forbrug af biomasse'!$E$2:$E$425,'Forbrug af biomasse'!$C$2:$C$425,'Resultat-Produktion &amp; forbrug'!$A131,'Forbrug af biomasse'!$D$2:$D$425,'Resultat-Produktion &amp; forbrug'!$E131,'Forbrug af biomasse'!$A$2:$A$425,'Resultat-Produktion &amp; forbrug'!L$3,'Forbrug af biomasse'!$B$2:$B$425,$F131)</f>
        <v>0</v>
      </c>
      <c r="M131" s="94">
        <f>IF(A131&lt;&gt;"Biogas",SUMIFS('Forbrug af biomasse'!$E$2:$E$425,'Forbrug af biomasse'!$C$2:$C$425,'Resultat-Produktion &amp; forbrug'!$A131,'Forbrug af biomasse'!$D$2:$D$425,'Resultat-Produktion &amp; forbrug'!$E131,'Forbrug af biomasse'!$A$2:$A$425,'Resultat-Produktion &amp; forbrug'!M$3,'Forbrug af biomasse'!$B$2:$B$425,$F131),G131)</f>
        <v>1315903.5397993135</v>
      </c>
      <c r="N131" s="94">
        <f>SUMIFS('Forbrug af biomasse'!E:E,'Forbrug af biomasse'!C:C,'Resultat-Produktion &amp; forbrug'!$A131,'Forbrug af biomasse'!D:D,'Resultat-Produktion &amp; forbrug'!$E131,'Forbrug af biomasse'!G:G,1,'Forbrug af biomasse'!B:B,$F131)</f>
        <v>0</v>
      </c>
      <c r="O131" s="179">
        <f t="shared" si="20"/>
        <v>0</v>
      </c>
      <c r="P131" s="94">
        <f t="shared" si="17"/>
        <v>0</v>
      </c>
      <c r="Q131" s="180">
        <f t="shared" si="21"/>
        <v>1315903.5397993135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IF(A131&lt;&gt;"Biogas",IFERROR(VLOOKUP(A131,[1]Biogasudbytte!$A$2:$B$18,2,FALSE)*[1]Energiindhold!$C$10,0)*K131*IFERROR(VLOOKUP(A131,Biogasanlæg!$F$3:$G$8,2,FALSE),1)+IFERROR(VLOOKUP(A131,[1]Energiindhold!$A$2:$C$11,3,FALSE),0)*M131+IF(E131&lt;&gt;År1,R131,0),0)</f>
        <v>24.212625132307366</v>
      </c>
      <c r="T131">
        <f>IFERROR(VLOOKUP(A131,[1]Biogasudbytte!$A$2:$B$18,2,FALSE)*[1]Energiindhold!$C$10,0)*K131*IFERROR(VLOOKUP(A131,Biogasanlæg!$F$3:$G$8,2,FALSE),1)</f>
        <v>0</v>
      </c>
      <c r="U131" s="170">
        <f t="shared" si="22"/>
        <v>24.212625132307366</v>
      </c>
      <c r="V131" s="169">
        <f>P131*IFERROR(VLOOKUP(A131,[1]Tørstofindhold!A$2:B$24,2,FALSE),0)</f>
        <v>0</v>
      </c>
      <c r="W131">
        <f>IF(E131=År1,Q131,SUM(P131,Q131))*IFERROR(VLOOKUP(A131,[1]Tørstofindhold!A$2:B$24,2,FALSE),0)</f>
        <v>546099.96901671519</v>
      </c>
      <c r="X131">
        <f>K131*IFERROR(VLOOKUP(A131,[1]Tørstofindhold!A$2:B$24,2,FALSE),0)</f>
        <v>0</v>
      </c>
      <c r="Y131" s="170">
        <f t="shared" si="23"/>
        <v>546099.96901671519</v>
      </c>
      <c r="Z131">
        <f t="shared" si="18"/>
        <v>0</v>
      </c>
      <c r="AA131">
        <f t="shared" si="19"/>
        <v>0</v>
      </c>
    </row>
    <row r="132" spans="1:27" x14ac:dyDescent="0.25">
      <c r="A132" s="171" t="str">
        <f>A84</f>
        <v>Pyrolysegas</v>
      </c>
      <c r="B132" s="171" t="str">
        <f>IF(B84&lt;&gt;"",B84,"")</f>
        <v>Pyrolyseprodukter</v>
      </c>
      <c r="C132" s="171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71">
        <f t="shared" si="27"/>
        <v>0</v>
      </c>
      <c r="E132" s="171">
        <f t="shared" si="26"/>
        <v>2050</v>
      </c>
      <c r="F132" t="s">
        <v>23</v>
      </c>
      <c r="G132" s="94">
        <f>IF(F132="Vestdanmark",SUMIFS(IF(E132=År1,'Resultater - Vestdanmark'!H$3:H$504,IF(E132=År2,'Resultater - Vestdanmark'!I$3:I$504,'Resultater - Vestdanmark'!J$3:J$504)),'Resultater - Vestdanmark'!$F$3:$F$504,$A132,IF(E132=År1,'Resultater - Vestdanmark'!H$3:H$504,IF(E132=År2,'Resultater - Vestdanmark'!I$3:I$504,'Resultater - Vestdanmark'!J$3:J$504)),"&gt;0"),SUMIFS(IF(E132=År1,'Resultater - Østdanmark'!H$3:H$504,IF(E132=År2,'Resultater - Østdanmark'!I$3:I$504,'Resultater - Østdanmark'!J$3:J$504)),'Resultater - Østdanmark'!$F$3:$F$504,$A132,IF(E132=År1,'Resultater - Østdanmark'!H$3:H$504,IF(E132=År2,'Resultater - Østdanmark'!I$3:I$504,'Resultater - Østdanmark'!J$3:J$504)),"&gt;0"))</f>
        <v>0</v>
      </c>
      <c r="H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forbrug'!H$3,'Forbrug af biomasse'!$B$2:$B$425,$F132)</f>
        <v>0</v>
      </c>
      <c r="I132">
        <f>IF(F132="Vestdanmark",-IF(A132="Halm",SUMIFS(IF(E132=År1,'Resultater - Vestdanmark'!H$3:H$504,IF(E132=År2,'Resultater - Vestdanmark'!I$3:I$504,'Resultater - Vestdanmark'!J$3:J$504)),'Resultater - Vestdanmark'!$F$3:$F$504,$A132,'Resultater - Vestdanmark'!H$3:H$504,"&lt;0"),0),-IF(A132="Halm",SUMIFS(IF(E132=År1,'Resultater - Østdanmark'!H$3:H$504,IF(E132=År2,'Resultater - Østdanmark'!I$3:I$504,'Resultater - Østdanmark'!J$3:J$504)),'Resultater - Østdanmark'!$F$3:$F$504,$A132,'Resultater - Østdanmark'!H$3:H$504,"&lt;0"),0))</f>
        <v>0</v>
      </c>
      <c r="J132" s="94"/>
      <c r="K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forbrug'!K$3,'Forbrug af biomasse'!$B$2:$B$425,$F132)</f>
        <v>0</v>
      </c>
      <c r="L132" s="94">
        <f>SUMIFS('Forbrug af biomasse'!$E$2:$E$425,'Forbrug af biomasse'!$C$2:$C$425,'Resultat-Produktion &amp; forbrug'!$A132,'Forbrug af biomasse'!$D$2:$D$425,'Resultat-Produktion &amp; forbrug'!$E132,'Forbrug af biomasse'!$A$2:$A$425,'Resultat-Produktion &amp; forbrug'!L$3,'Forbrug af biomasse'!$B$2:$B$425,$F132)</f>
        <v>0</v>
      </c>
      <c r="M132" s="94">
        <f>IF(A132&lt;&gt;"Biogas",SUMIFS('Forbrug af biomasse'!$E$2:$E$425,'Forbrug af biomasse'!$C$2:$C$425,'Resultat-Produktion &amp; forbrug'!$A132,'Forbrug af biomasse'!$D$2:$D$425,'Resultat-Produktion &amp; forbrug'!$E132,'Forbrug af biomasse'!$A$2:$A$425,'Resultat-Produktion &amp; forbrug'!M$3,'Forbrug af biomasse'!$B$2:$B$425,$F132),G132)</f>
        <v>0</v>
      </c>
      <c r="N132" s="94">
        <f>SUMIFS('Forbrug af biomasse'!E:E,'Forbrug af biomasse'!C:C,'Resultat-Produktion &amp; forbrug'!$A132,'Forbrug af biomasse'!D:D,'Resultat-Produktion &amp; forbrug'!$E132,'Forbrug af biomasse'!G:G,1,'Forbrug af biomasse'!B:B,$F132)</f>
        <v>0</v>
      </c>
      <c r="O132" s="179">
        <f>G132-SUM(H132:N132)</f>
        <v>0</v>
      </c>
      <c r="P132" s="94">
        <f t="shared" ref="P132:P195" si="28">IF(C132=1,IF(O132+IF(SUMIFS($O$4:$O$291,$A$4:$A$291,A132,$E$4:$E$291,E132,$F$4:$F$291,"&lt;&gt;"&amp;F132)&lt;0,SUMIFS($O$4:$O$291,$A$4:$A$291,A132,$E$4:$E$291,E132,$F$4:$F$291,"&lt;&gt;"&amp;F132),0)&gt;0,O132+IF(SUMIFS($O$4:$O$291,$A$4:$A$291,A132,$E$4:$E$291,E132,$F$4:$F$291,"&lt;&gt;"&amp;F132)&lt;0,SUMIFS($O$4:$O$291,$A$4:$A$291,A132,$E$4:$E$291,E132,$F$4:$F$291,"&lt;&gt;"&amp;F132),0),0),0)</f>
        <v>0</v>
      </c>
      <c r="Q132" s="180">
        <f>SUM(K132,M132)</f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IF(A132&lt;&gt;"Biogas",IFERROR(VLOOKUP(A132,[1]Biogasudbytte!$A$2:$B$18,2,FALSE)*[1]Energiindhold!$C$10,0)*K132*IFERROR(VLOOKUP(A132,Biogasanlæg!$F$3:$G$8,2,FALSE),1)+IFERROR(VLOOKUP(A132,[1]Energiindhold!$A$2:$C$11,3,FALSE),0)*M132+IF(E132&lt;&gt;År1,R132,0),0)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>S132-T132</f>
        <v>0</v>
      </c>
      <c r="V132" s="169">
        <f>P132*IFERROR(VLOOKUP(A132,[1]Tørstofindhold!A$2:B$24,2,FALSE),0)</f>
        <v>0</v>
      </c>
      <c r="W132">
        <f>IF(E132=År1,Q132,SUM(P132,Q132))*IFERROR(VLOOKUP(A132,[1]Tørstofindhold!A$2:B$24,2,FALSE),0)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>W132-X132</f>
        <v>0</v>
      </c>
      <c r="Z132">
        <f t="shared" ref="Z132:Z195" si="29">IF(SUMIFS($O$4:$O$291,$A$4:$A$291,A132,$E$4:$E$291,E132)&lt;0,1,0)</f>
        <v>0</v>
      </c>
      <c r="AA132">
        <f t="shared" ref="AA132:AA195" si="30">IF(SUMIFS($O$4:$O$291,$A$4:$A$291,A132,$E$4:$E$291,E132)&gt;0,1,0)</f>
        <v>0</v>
      </c>
    </row>
    <row r="133" spans="1:27" x14ac:dyDescent="0.25">
      <c r="A133" s="171" t="str">
        <f>A85</f>
        <v>Pyrolyseolie</v>
      </c>
      <c r="B133" s="171" t="str">
        <f>IF(B85&lt;&gt;"",B85,"")</f>
        <v>Pyrolyseprodukter</v>
      </c>
      <c r="C133" s="171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1</v>
      </c>
      <c r="D133" s="171">
        <f t="shared" si="27"/>
        <v>0</v>
      </c>
      <c r="E133" s="171">
        <f t="shared" si="26"/>
        <v>2050</v>
      </c>
      <c r="F133" t="s">
        <v>23</v>
      </c>
      <c r="G133" s="94">
        <f>IF(F133="Vestdanmark",SUMIFS(IF(E133=År1,'Resultater - Vestdanmark'!H$3:H$504,IF(E133=År2,'Resultater - Vestdanmark'!I$3:I$504,'Resultater - Vestdanmark'!J$3:J$504)),'Resultater - Vestdanmark'!$F$3:$F$504,$A133,IF(E133=År1,'Resultater - Vestdanmark'!H$3:H$504,IF(E133=År2,'Resultater - Vestdanmark'!I$3:I$504,'Resultater - Vestdanmark'!J$3:J$504)),"&gt;0"),SUMIFS(IF(E133=År1,'Resultater - Østdanmark'!H$3:H$504,IF(E133=År2,'Resultater - Østdanmark'!I$3:I$504,'Resultater - Østdanmark'!J$3:J$504)),'Resultater - Østdanmark'!$F$3:$F$504,$A133,IF(E133=År1,'Resultater - Østdanmark'!H$3:H$504,IF(E133=År2,'Resultater - Østdanmark'!I$3:I$504,'Resultater - Østdanmark'!J$3:J$504)),"&gt;0"))</f>
        <v>0</v>
      </c>
      <c r="H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forbrug'!H$3,'Forbrug af biomasse'!$B$2:$B$425,$F133)</f>
        <v>0</v>
      </c>
      <c r="I133">
        <f>IF(F133="Vestdanmark",-IF(A133="Halm",SUMIFS(IF(E133=År1,'Resultater - Vestdanmark'!H$3:H$504,IF(E133=År2,'Resultater - Vestdanmark'!I$3:I$504,'Resultater - Vestdanmark'!J$3:J$504)),'Resultater - Vestdanmark'!$F$3:$F$504,$A133,'Resultater - Vestdanmark'!H$3:H$504,"&lt;0"),0),-IF(A133="Halm",SUMIFS(IF(E133=År1,'Resultater - Østdanmark'!H$3:H$504,IF(E133=År2,'Resultater - Østdanmark'!I$3:I$504,'Resultater - Østdanmark'!J$3:J$504)),'Resultater - Østdanmark'!$F$3:$F$504,$A133,'Resultater - Østdanmark'!H$3:H$504,"&lt;0"),0))</f>
        <v>0</v>
      </c>
      <c r="J133" s="94"/>
      <c r="K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forbrug'!K$3,'Forbrug af biomasse'!$B$2:$B$425,$F133)</f>
        <v>0</v>
      </c>
      <c r="L133" s="94">
        <f>SUMIFS('Forbrug af biomasse'!$E$2:$E$425,'Forbrug af biomasse'!$C$2:$C$425,'Resultat-Produktion &amp; forbrug'!$A133,'Forbrug af biomasse'!$D$2:$D$425,'Resultat-Produktion &amp; forbrug'!$E133,'Forbrug af biomasse'!$A$2:$A$425,'Resultat-Produktion &amp; forbrug'!L$3,'Forbrug af biomasse'!$B$2:$B$425,$F133)</f>
        <v>0</v>
      </c>
      <c r="M133" s="94">
        <f>IF(A133&lt;&gt;"Biogas",SUMIFS('Forbrug af biomasse'!$E$2:$E$425,'Forbrug af biomasse'!$C$2:$C$425,'Resultat-Produktion &amp; forbrug'!$A133,'Forbrug af biomasse'!$D$2:$D$425,'Resultat-Produktion &amp; forbrug'!$E133,'Forbrug af biomasse'!$A$2:$A$425,'Resultat-Produktion &amp; forbrug'!M$3,'Forbrug af biomasse'!$B$2:$B$425,$F133),G133)</f>
        <v>0</v>
      </c>
      <c r="N133" s="94">
        <f>SUMIFS('Forbrug af biomasse'!E:E,'Forbrug af biomasse'!C:C,'Resultat-Produktion &amp; forbrug'!$A133,'Forbrug af biomasse'!D:D,'Resultat-Produktion &amp; forbrug'!$E133,'Forbrug af biomasse'!G:G,1,'Forbrug af biomasse'!B:B,$F133)</f>
        <v>0</v>
      </c>
      <c r="O133" s="179">
        <f>G133-SUM(H133:N133)</f>
        <v>0</v>
      </c>
      <c r="P133" s="94">
        <f t="shared" si="28"/>
        <v>0</v>
      </c>
      <c r="Q133" s="180">
        <f>SUM(K133,M133)</f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IF(A133&lt;&gt;"Biogas",IFERROR(VLOOKUP(A133,[1]Biogasudbytte!$A$2:$B$18,2,FALSE)*[1]Energiindhold!$C$10,0)*K133*IFERROR(VLOOKUP(A133,Biogasanlæg!$F$3:$G$8,2,FALSE),1)+IFERROR(VLOOKUP(A133,[1]Energiindhold!$A$2:$C$11,3,FALSE),0)*M133+IF(E133&lt;&gt;År1,R133,0),0)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>S133-T133</f>
        <v>0</v>
      </c>
      <c r="V133" s="169">
        <f>P133*IFERROR(VLOOKUP(A133,[1]Tørstofindhold!A$2:B$24,2,FALSE),0)</f>
        <v>0</v>
      </c>
      <c r="W133">
        <f>IF(E133=År1,Q133,SUM(P133,Q133))*IFERROR(VLOOKUP(A133,[1]Tørstofindhold!A$2:B$24,2,FALSE),0)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>W133-X133</f>
        <v>0</v>
      </c>
      <c r="Z133">
        <f t="shared" si="29"/>
        <v>0</v>
      </c>
      <c r="AA133">
        <f t="shared" si="30"/>
        <v>0</v>
      </c>
    </row>
    <row r="134" spans="1:27" x14ac:dyDescent="0.25">
      <c r="A134" s="171" t="str">
        <f t="shared" ref="A134:A147" si="31">A86</f>
        <v>Råmælk</v>
      </c>
      <c r="B134" s="171" t="str">
        <f t="shared" ref="B134:B147" si="32">IF(B86&lt;&gt;"",B86,"")</f>
        <v/>
      </c>
      <c r="C134" s="171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71">
        <f t="shared" si="27"/>
        <v>0</v>
      </c>
      <c r="E134" s="171">
        <f t="shared" si="26"/>
        <v>2050</v>
      </c>
      <c r="F134" t="s">
        <v>23</v>
      </c>
      <c r="G134" s="94">
        <f>IF(F134="Vestdanmark",SUMIFS(IF(E134=År1,'Resultater - Vestdanmark'!H$3:H$504,IF(E134=År2,'Resultater - Vestdanmark'!I$3:I$504,'Resultater - Vestdanmark'!J$3:J$504)),'Resultater - Vestdanmark'!$F$3:$F$504,$A134,IF(E134=År1,'Resultater - Vestdanmark'!H$3:H$504,IF(E134=År2,'Resultater - Vestdanmark'!I$3:I$504,'Resultater - Vestdanmark'!J$3:J$504)),"&gt;0"),SUMIFS(IF(E134=År1,'Resultater - Østdanmark'!H$3:H$504,IF(E134=År2,'Resultater - Østdanmark'!I$3:I$504,'Resultater - Østdanmark'!J$3:J$504)),'Resultater - Østdanmark'!$F$3:$F$504,$A134,IF(E134=År1,'Resultater - Østdanmark'!H$3:H$504,IF(E134=År2,'Resultater - Østdanmark'!I$3:I$504,'Resultater - Østdanmark'!J$3:J$504)),"&gt;0"))</f>
        <v>0</v>
      </c>
      <c r="H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forbrug'!H$3,'Forbrug af biomasse'!$B$2:$B$425,$F134)</f>
        <v>0</v>
      </c>
      <c r="I134">
        <f>IF(F134="Vestdanmark",-IF(A134="Halm",SUMIFS(IF(E134=År1,'Resultater - Vestdanmark'!H$3:H$504,IF(E134=År2,'Resultater - Vestdanmark'!I$3:I$504,'Resultater - Vestdanmark'!J$3:J$504)),'Resultater - Vestdanmark'!$F$3:$F$504,$A134,'Resultater - Vestdanmark'!H$3:H$504,"&lt;0"),0),-IF(A134="Halm",SUMIFS(IF(E134=År1,'Resultater - Østdanmark'!H$3:H$504,IF(E134=År2,'Resultater - Østdanmark'!I$3:I$504,'Resultater - Østdanmark'!J$3:J$504)),'Resultater - Østdanmark'!$F$3:$F$504,$A134,'Resultater - Østdanmark'!H$3:H$504,"&lt;0"),0))</f>
        <v>0</v>
      </c>
      <c r="J134" s="94"/>
      <c r="K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forbrug'!K$3,'Forbrug af biomasse'!$B$2:$B$425,$F134)</f>
        <v>0</v>
      </c>
      <c r="L134" s="94">
        <f>SUMIFS('Forbrug af biomasse'!$E$2:$E$425,'Forbrug af biomasse'!$C$2:$C$425,'Resultat-Produktion &amp; forbrug'!$A134,'Forbrug af biomasse'!$D$2:$D$425,'Resultat-Produktion &amp; forbrug'!$E134,'Forbrug af biomasse'!$A$2:$A$425,'Resultat-Produktion &amp; forbrug'!L$3,'Forbrug af biomasse'!$B$2:$B$425,$F134)</f>
        <v>0</v>
      </c>
      <c r="M134" s="94">
        <f>IF(A134&lt;&gt;"Biogas",SUMIFS('Forbrug af biomasse'!$E$2:$E$425,'Forbrug af biomasse'!$C$2:$C$425,'Resultat-Produktion &amp; forbrug'!$A134,'Forbrug af biomasse'!$D$2:$D$425,'Resultat-Produktion &amp; forbrug'!$E134,'Forbrug af biomasse'!$A$2:$A$425,'Resultat-Produktion &amp; forbrug'!M$3,'Forbrug af biomasse'!$B$2:$B$425,$F134),G134)</f>
        <v>0</v>
      </c>
      <c r="N134" s="94">
        <f>SUMIFS('Forbrug af biomasse'!E:E,'Forbrug af biomasse'!C:C,'Resultat-Produktion &amp; forbrug'!$A134,'Forbrug af biomasse'!D:D,'Resultat-Produktion &amp; forbrug'!$E134,'Forbrug af biomasse'!G:G,1,'Forbrug af biomasse'!B:B,$F134)</f>
        <v>0</v>
      </c>
      <c r="O134" s="179">
        <f t="shared" si="20"/>
        <v>0</v>
      </c>
      <c r="P134" s="94">
        <f t="shared" si="28"/>
        <v>0</v>
      </c>
      <c r="Q134" s="180">
        <f t="shared" si="21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IF(A134&lt;&gt;"Biogas",IFERROR(VLOOKUP(A134,[1]Biogasudbytte!$A$2:$B$18,2,FALSE)*[1]Energiindhold!$C$10,0)*K134*IFERROR(VLOOKUP(A134,Biogasanlæg!$F$3:$G$8,2,FALSE),1)+IFERROR(VLOOKUP(A134,[1]Energiindhold!$A$2:$C$11,3,FALSE),0)*M134+IF(E134&lt;&gt;År1,R134,0),0)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2"/>
        <v>0</v>
      </c>
      <c r="V134" s="169">
        <f>P134*IFERROR(VLOOKUP(A134,[1]Tørstofindhold!A$2:B$24,2,FALSE),0)</f>
        <v>0</v>
      </c>
      <c r="W134">
        <f>IF(E134=År1,Q134,SUM(P134,Q134))*IFERROR(VLOOKUP(A134,[1]Tørstofindhold!A$2:B$24,2,FALSE),0)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3"/>
        <v>0</v>
      </c>
      <c r="Z134">
        <f t="shared" si="29"/>
        <v>0</v>
      </c>
      <c r="AA134">
        <f t="shared" si="30"/>
        <v>0</v>
      </c>
    </row>
    <row r="135" spans="1:27" x14ac:dyDescent="0.25">
      <c r="A135" s="171" t="str">
        <f t="shared" si="31"/>
        <v>Raps</v>
      </c>
      <c r="B135" s="171" t="str">
        <f t="shared" si="32"/>
        <v/>
      </c>
      <c r="C135" s="171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71">
        <f t="shared" si="27"/>
        <v>0</v>
      </c>
      <c r="E135" s="171">
        <f t="shared" si="26"/>
        <v>2050</v>
      </c>
      <c r="F135" t="s">
        <v>23</v>
      </c>
      <c r="G135" s="94">
        <f>IF(F135="Vestdanmark",SUMIFS(IF(E135=År1,'Resultater - Vestdanmark'!H$3:H$504,IF(E135=År2,'Resultater - Vestdanmark'!I$3:I$504,'Resultater - Vestdanmark'!J$3:J$504)),'Resultater - Vestdanmark'!$F$3:$F$504,$A135,IF(E135=År1,'Resultater - Vestdanmark'!H$3:H$504,IF(E135=År2,'Resultater - Vestdanmark'!I$3:I$504,'Resultater - Vestdanmark'!J$3:J$504)),"&gt;0"),SUMIFS(IF(E135=År1,'Resultater - Østdanmark'!H$3:H$504,IF(E135=År2,'Resultater - Østdanmark'!I$3:I$504,'Resultater - Østdanmark'!J$3:J$504)),'Resultater - Østdanmark'!$F$3:$F$504,$A135,IF(E135=År1,'Resultater - Østdanmark'!H$3:H$504,IF(E135=År2,'Resultater - Østdanmark'!I$3:I$504,'Resultater - Østdanmark'!J$3:J$504)),"&gt;0"))</f>
        <v>649292.34846099082</v>
      </c>
      <c r="H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forbrug'!H$3,'Forbrug af biomasse'!$B$2:$B$425,$F135)</f>
        <v>0</v>
      </c>
      <c r="I135">
        <f>IF(F135="Vestdanmark",-IF(A135="Halm",SUMIFS(IF(E135=År1,'Resultater - Vestdanmark'!H$3:H$504,IF(E135=År2,'Resultater - Vestdanmark'!I$3:I$504,'Resultater - Vestdanmark'!J$3:J$504)),'Resultater - Vestdanmark'!$F$3:$F$504,$A135,'Resultater - Vestdanmark'!H$3:H$504,"&lt;0"),0),-IF(A135="Halm",SUMIFS(IF(E135=År1,'Resultater - Østdanmark'!H$3:H$504,IF(E135=År2,'Resultater - Østdanmark'!I$3:I$504,'Resultater - Østdanmark'!J$3:J$504)),'Resultater - Østdanmark'!$F$3:$F$504,$A135,'Resultater - Østdanmark'!H$3:H$504,"&lt;0"),0))</f>
        <v>0</v>
      </c>
      <c r="J135" s="94"/>
      <c r="K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forbrug'!K$3,'Forbrug af biomasse'!$B$2:$B$425,$F135)</f>
        <v>0</v>
      </c>
      <c r="L135" s="94">
        <f>SUMIFS('Forbrug af biomasse'!$E$2:$E$425,'Forbrug af biomasse'!$C$2:$C$425,'Resultat-Produktion &amp; forbrug'!$A135,'Forbrug af biomasse'!$D$2:$D$425,'Resultat-Produktion &amp; forbrug'!$E135,'Forbrug af biomasse'!$A$2:$A$425,'Resultat-Produktion &amp; forbrug'!L$3,'Forbrug af biomasse'!$B$2:$B$425,$F135)</f>
        <v>0</v>
      </c>
      <c r="M135" s="94">
        <f>IF(A135&lt;&gt;"Biogas",SUMIFS('Forbrug af biomasse'!$E$2:$E$425,'Forbrug af biomasse'!$C$2:$C$425,'Resultat-Produktion &amp; forbrug'!$A135,'Forbrug af biomasse'!$D$2:$D$425,'Resultat-Produktion &amp; forbrug'!$E135,'Forbrug af biomasse'!$A$2:$A$425,'Resultat-Produktion &amp; forbrug'!M$3,'Forbrug af biomasse'!$B$2:$B$425,$F135),G135)</f>
        <v>0</v>
      </c>
      <c r="N135" s="94">
        <f>SUMIFS('Forbrug af biomasse'!E:E,'Forbrug af biomasse'!C:C,'Resultat-Produktion &amp; forbrug'!$A135,'Forbrug af biomasse'!D:D,'Resultat-Produktion &amp; forbrug'!$E135,'Forbrug af biomasse'!G:G,1,'Forbrug af biomasse'!B:B,$F135)</f>
        <v>649292.34846099082</v>
      </c>
      <c r="O135" s="179">
        <f t="shared" si="20"/>
        <v>0</v>
      </c>
      <c r="P135" s="94">
        <f t="shared" si="28"/>
        <v>0</v>
      </c>
      <c r="Q135" s="180">
        <f t="shared" si="21"/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IF(A135&lt;&gt;"Biogas",IFERROR(VLOOKUP(A135,[1]Biogasudbytte!$A$2:$B$18,2,FALSE)*[1]Energiindhold!$C$10,0)*K135*IFERROR(VLOOKUP(A135,Biogasanlæg!$F$3:$G$8,2,FALSE),1)+IFERROR(VLOOKUP(A135,[1]Energiindhold!$A$2:$C$11,3,FALSE),0)*M135+IF(E135&lt;&gt;År1,R135,0),0)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si="22"/>
        <v>0</v>
      </c>
      <c r="V135" s="169">
        <f>P135*IFERROR(VLOOKUP(A135,[1]Tørstofindhold!A$2:B$24,2,FALSE),0)</f>
        <v>0</v>
      </c>
      <c r="W135">
        <f>IF(E135=År1,Q135,SUM(P135,Q135))*IFERROR(VLOOKUP(A135,[1]Tørstofindhold!A$2:B$24,2,FALSE),0)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si="23"/>
        <v>0</v>
      </c>
      <c r="Z135">
        <f t="shared" si="29"/>
        <v>0</v>
      </c>
      <c r="AA135">
        <f t="shared" si="30"/>
        <v>0</v>
      </c>
    </row>
    <row r="136" spans="1:27" x14ac:dyDescent="0.25">
      <c r="A136" s="171" t="str">
        <f t="shared" si="31"/>
        <v>Rapskage</v>
      </c>
      <c r="B136" s="171" t="str">
        <f t="shared" si="32"/>
        <v/>
      </c>
      <c r="C136" s="171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0</v>
      </c>
      <c r="D136" s="171">
        <f t="shared" si="27"/>
        <v>0</v>
      </c>
      <c r="E136" s="171">
        <f t="shared" si="26"/>
        <v>2050</v>
      </c>
      <c r="F136" t="s">
        <v>23</v>
      </c>
      <c r="G136" s="94">
        <f>IF(F136="Vestdanmark",SUMIFS(IF(E136=År1,'Resultater - Vestdanmark'!H$3:H$504,IF(E136=År2,'Resultater - Vestdanmark'!I$3:I$504,'Resultater - Vestdanmark'!J$3:J$504)),'Resultater - Vestdanmark'!$F$3:$F$504,$A136,IF(E136=År1,'Resultater - Vestdanmark'!H$3:H$504,IF(E136=År2,'Resultater - Vestdanmark'!I$3:I$504,'Resultater - Vestdanmark'!J$3:J$504)),"&gt;0"),SUMIFS(IF(E136=År1,'Resultater - Østdanmark'!H$3:H$504,IF(E136=År2,'Resultater - Østdanmark'!I$3:I$504,'Resultater - Østdanmark'!J$3:J$504)),'Resultater - Østdanmark'!$F$3:$F$504,$A136,IF(E136=År1,'Resultater - Østdanmark'!H$3:H$504,IF(E136=År2,'Resultater - Østdanmark'!I$3:I$504,'Resultater - Østdanmark'!J$3:J$504)),"&gt;0"))</f>
        <v>324646.17423049541</v>
      </c>
      <c r="H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forbrug'!H$3,'Forbrug af biomasse'!$B$2:$B$425,$F136)</f>
        <v>385620.59434870677</v>
      </c>
      <c r="I136">
        <f>IF(F136="Vestdanmark",-IF(A136="Halm",SUMIFS(IF(E136=År1,'Resultater - Vestdanmark'!H$3:H$504,IF(E136=År2,'Resultater - Vestdanmark'!I$3:I$504,'Resultater - Vestdanmark'!J$3:J$504)),'Resultater - Vestdanmark'!$F$3:$F$504,$A136,'Resultater - Vestdanmark'!H$3:H$504,"&lt;0"),0),-IF(A136="Halm",SUMIFS(IF(E136=År1,'Resultater - Østdanmark'!H$3:H$504,IF(E136=År2,'Resultater - Østdanmark'!I$3:I$504,'Resultater - Østdanmark'!J$3:J$504)),'Resultater - Østdanmark'!$F$3:$F$504,$A136,'Resultater - Østdanmark'!H$3:H$504,"&lt;0"),0))</f>
        <v>0</v>
      </c>
      <c r="J136" s="94"/>
      <c r="K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forbrug'!K$3,'Forbrug af biomasse'!$B$2:$B$425,$F136)</f>
        <v>0</v>
      </c>
      <c r="L136" s="94">
        <f>SUMIFS('Forbrug af biomasse'!$E$2:$E$425,'Forbrug af biomasse'!$C$2:$C$425,'Resultat-Produktion &amp; forbrug'!$A136,'Forbrug af biomasse'!$D$2:$D$425,'Resultat-Produktion &amp; forbrug'!$E136,'Forbrug af biomasse'!$A$2:$A$425,'Resultat-Produktion &amp; forbrug'!L$3,'Forbrug af biomasse'!$B$2:$B$425,$F136)</f>
        <v>0</v>
      </c>
      <c r="M136" s="94">
        <f>IF(A136&lt;&gt;"Biogas",SUMIFS('Forbrug af biomasse'!$E$2:$E$425,'Forbrug af biomasse'!$C$2:$C$425,'Resultat-Produktion &amp; forbrug'!$A136,'Forbrug af biomasse'!$D$2:$D$425,'Resultat-Produktion &amp; forbrug'!$E136,'Forbrug af biomasse'!$A$2:$A$425,'Resultat-Produktion &amp; forbrug'!M$3,'Forbrug af biomasse'!$B$2:$B$425,$F136),G136)</f>
        <v>0</v>
      </c>
      <c r="N136" s="94">
        <f>SUMIFS('Forbrug af biomasse'!E:E,'Forbrug af biomasse'!C:C,'Resultat-Produktion &amp; forbrug'!$A136,'Forbrug af biomasse'!D:D,'Resultat-Produktion &amp; forbrug'!$E136,'Forbrug af biomasse'!G:G,1,'Forbrug af biomasse'!B:B,$F136)</f>
        <v>0</v>
      </c>
      <c r="O136" s="179">
        <f t="shared" si="20"/>
        <v>-60974.420118211361</v>
      </c>
      <c r="P136" s="94">
        <f t="shared" si="28"/>
        <v>0</v>
      </c>
      <c r="Q136" s="180">
        <f t="shared" si="21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IF(A136&lt;&gt;"Biogas",IFERROR(VLOOKUP(A136,[1]Biogasudbytte!$A$2:$B$18,2,FALSE)*[1]Energiindhold!$C$10,0)*K136*IFERROR(VLOOKUP(A136,Biogasanlæg!$F$3:$G$8,2,FALSE),1)+IFERROR(VLOOKUP(A136,[1]Energiindhold!$A$2:$C$11,3,FALSE),0)*M136+IF(E136&lt;&gt;År1,R136,0),0)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22"/>
        <v>0</v>
      </c>
      <c r="V136" s="169">
        <f>P136*IFERROR(VLOOKUP(A136,[1]Tørstofindhold!A$2:B$24,2,FALSE),0)</f>
        <v>0</v>
      </c>
      <c r="W136">
        <f>IF(E136=År1,Q136,SUM(P136,Q136))*IFERROR(VLOOKUP(A136,[1]Tørstofindhold!A$2:B$24,2,FALSE),0)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23"/>
        <v>0</v>
      </c>
      <c r="Z136">
        <f t="shared" si="29"/>
        <v>1</v>
      </c>
      <c r="AA136">
        <f t="shared" si="30"/>
        <v>0</v>
      </c>
    </row>
    <row r="137" spans="1:27" x14ac:dyDescent="0.25">
      <c r="A137" s="171" t="str">
        <f t="shared" si="31"/>
        <v>Rapsolie</v>
      </c>
      <c r="B137" s="171" t="str">
        <f t="shared" si="32"/>
        <v>Rapsolie</v>
      </c>
      <c r="C137" s="171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71">
        <f t="shared" si="27"/>
        <v>1</v>
      </c>
      <c r="E137" s="171">
        <f t="shared" si="26"/>
        <v>2050</v>
      </c>
      <c r="F137" t="s">
        <v>23</v>
      </c>
      <c r="G137" s="94">
        <f>IF(F137="Vestdanmark",SUMIFS(IF(E137=År1,'Resultater - Vestdanmark'!H$3:H$504,IF(E137=År2,'Resultater - Vestdanmark'!I$3:I$504,'Resultater - Vestdanmark'!J$3:J$504)),'Resultater - Vestdanmark'!$F$3:$F$504,$A137,IF(E137=År1,'Resultater - Vestdanmark'!H$3:H$504,IF(E137=År2,'Resultater - Vestdanmark'!I$3:I$504,'Resultater - Vestdanmark'!J$3:J$504)),"&gt;0"),SUMIFS(IF(E137=År1,'Resultater - Østdanmark'!H$3:H$504,IF(E137=År2,'Resultater - Østdanmark'!I$3:I$504,'Resultater - Østdanmark'!J$3:J$504)),'Resultater - Østdanmark'!$F$3:$F$504,$A137,IF(E137=År1,'Resultater - Østdanmark'!H$3:H$504,IF(E137=År2,'Resultater - Østdanmark'!I$3:I$504,'Resultater - Østdanmark'!J$3:J$504)),"&gt;0"))</f>
        <v>207773.55150751706</v>
      </c>
      <c r="H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forbrug'!H$3,'Forbrug af biomasse'!$B$2:$B$425,$F137)</f>
        <v>0</v>
      </c>
      <c r="I137">
        <f>IF(F137="Vestdanmark",-IF(A137="Halm",SUMIFS(IF(E137=År1,'Resultater - Vestdanmark'!H$3:H$504,IF(E137=År2,'Resultater - Vestdanmark'!I$3:I$504,'Resultater - Vestdanmark'!J$3:J$504)),'Resultater - Vestdanmark'!$F$3:$F$504,$A137,'Resultater - Vestdanmark'!H$3:H$504,"&lt;0"),0),-IF(A137="Halm",SUMIFS(IF(E137=År1,'Resultater - Østdanmark'!H$3:H$504,IF(E137=År2,'Resultater - Østdanmark'!I$3:I$504,'Resultater - Østdanmark'!J$3:J$504)),'Resultater - Østdanmark'!$F$3:$F$504,$A137,'Resultater - Østdanmark'!H$3:H$504,"&lt;0"),0))</f>
        <v>0</v>
      </c>
      <c r="J137" s="94"/>
      <c r="K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forbrug'!K$3,'Forbrug af biomasse'!$B$2:$B$425,$F137)</f>
        <v>0</v>
      </c>
      <c r="L137" s="94">
        <f>SUMIFS('Forbrug af biomasse'!$E$2:$E$425,'Forbrug af biomasse'!$C$2:$C$425,'Resultat-Produktion &amp; forbrug'!$A137,'Forbrug af biomasse'!$D$2:$D$425,'Resultat-Produktion &amp; forbrug'!$E137,'Forbrug af biomasse'!$A$2:$A$425,'Resultat-Produktion &amp; forbrug'!L$3,'Forbrug af biomasse'!$B$2:$B$425,$F137)</f>
        <v>0</v>
      </c>
      <c r="M137" s="94">
        <f>IF(A137&lt;&gt;"Biogas",SUMIFS('Forbrug af biomasse'!$E$2:$E$425,'Forbrug af biomasse'!$C$2:$C$425,'Resultat-Produktion &amp; forbrug'!$A137,'Forbrug af biomasse'!$D$2:$D$425,'Resultat-Produktion &amp; forbrug'!$E137,'Forbrug af biomasse'!$A$2:$A$425,'Resultat-Produktion &amp; forbrug'!M$3,'Forbrug af biomasse'!$B$2:$B$425,$F137),G137)</f>
        <v>207773.55150751706</v>
      </c>
      <c r="N137" s="94">
        <f>SUMIFS('Forbrug af biomasse'!E:E,'Forbrug af biomasse'!C:C,'Resultat-Produktion &amp; forbrug'!$A137,'Forbrug af biomasse'!D:D,'Resultat-Produktion &amp; forbrug'!$E137,'Forbrug af biomasse'!G:G,1,'Forbrug af biomasse'!B:B,$F137)</f>
        <v>0</v>
      </c>
      <c r="O137" s="179">
        <f t="shared" si="20"/>
        <v>0</v>
      </c>
      <c r="P137" s="94">
        <f t="shared" si="28"/>
        <v>0</v>
      </c>
      <c r="Q137" s="180">
        <f t="shared" si="21"/>
        <v>207773.55150751706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IF(A137&lt;&gt;"Biogas",IFERROR(VLOOKUP(A137,[1]Biogasudbytte!$A$2:$B$18,2,FALSE)*[1]Energiindhold!$C$10,0)*K137*IFERROR(VLOOKUP(A137,Biogasanlæg!$F$3:$G$8,2,FALSE),1)+IFERROR(VLOOKUP(A137,[1]Energiindhold!$A$2:$C$11,3,FALSE),0)*M137+IF(E137&lt;&gt;År1,R137,0),0)</f>
        <v>7.2720743027630963</v>
      </c>
      <c r="T137">
        <f>IFERROR(VLOOKUP(A137,[1]Biogasudbytte!$A$2:$B$18,2,FALSE)*[1]Energiindhold!$C$10,0)*K137*IFERROR(VLOOKUP(A137,Biogasanlæg!$F$3:$G$8,2,FALSE),1)</f>
        <v>0</v>
      </c>
      <c r="U137" s="170">
        <f t="shared" si="22"/>
        <v>7.2720743027630963</v>
      </c>
      <c r="V137" s="169">
        <f>P137*IFERROR(VLOOKUP(A137,[1]Tørstofindhold!A$2:B$24,2,FALSE),0)</f>
        <v>0</v>
      </c>
      <c r="W137">
        <f>IF(E137=År1,Q137,SUM(P137,Q137))*IFERROR(VLOOKUP(A137,[1]Tørstofindhold!A$2:B$24,2,FALSE),0)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23"/>
        <v>0</v>
      </c>
      <c r="Z137">
        <f t="shared" si="29"/>
        <v>0</v>
      </c>
      <c r="AA137">
        <f t="shared" si="30"/>
        <v>0</v>
      </c>
    </row>
    <row r="138" spans="1:27" x14ac:dyDescent="0.25">
      <c r="A138" s="171" t="str">
        <f t="shared" si="31"/>
        <v>Roer</v>
      </c>
      <c r="B138" s="171" t="str">
        <f t="shared" si="32"/>
        <v>Græs og urter</v>
      </c>
      <c r="C138" s="171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1</v>
      </c>
      <c r="D138" s="171">
        <f t="shared" si="27"/>
        <v>1</v>
      </c>
      <c r="E138" s="171">
        <f t="shared" si="26"/>
        <v>2050</v>
      </c>
      <c r="F138" t="s">
        <v>23</v>
      </c>
      <c r="G138" s="94">
        <f>IF(F138="Vestdanmark",SUMIFS(IF(E138=År1,'Resultater - Vestdanmark'!H$3:H$504,IF(E138=År2,'Resultater - Vestdanmark'!I$3:I$504,'Resultater - Vestdanmark'!J$3:J$504)),'Resultater - Vestdanmark'!$F$3:$F$504,$A138,IF(E138=År1,'Resultater - Vestdanmark'!H$3:H$504,IF(E138=År2,'Resultater - Vestdanmark'!I$3:I$504,'Resultater - Vestdanmark'!J$3:J$504)),"&gt;0"),SUMIFS(IF(E138=År1,'Resultater - Østdanmark'!H$3:H$504,IF(E138=År2,'Resultater - Østdanmark'!I$3:I$504,'Resultater - Østdanmark'!J$3:J$504)),'Resultater - Østdanmark'!$F$3:$F$504,$A138,IF(E138=År1,'Resultater - Østdanmark'!H$3:H$504,IF(E138=År2,'Resultater - Østdanmark'!I$3:I$504,'Resultater - Østdanmark'!J$3:J$504)),"&gt;0"))</f>
        <v>2749867.8949207771</v>
      </c>
      <c r="H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forbrug'!H$3,'Forbrug af biomasse'!$B$2:$B$425,$F138)</f>
        <v>494518.64926980395</v>
      </c>
      <c r="I138">
        <f>IF(F138="Vestdanmark",-IF(A138="Halm",SUMIFS(IF(E138=År1,'Resultater - Vestdanmark'!H$3:H$504,IF(E138=År2,'Resultater - Vestdanmark'!I$3:I$504,'Resultater - Vestdanmark'!J$3:J$504)),'Resultater - Vestdanmark'!$F$3:$F$504,$A138,'Resultater - Vestdanmark'!H$3:H$504,"&lt;0"),0),-IF(A138="Halm",SUMIFS(IF(E138=År1,'Resultater - Østdanmark'!H$3:H$504,IF(E138=År2,'Resultater - Østdanmark'!I$3:I$504,'Resultater - Østdanmark'!J$3:J$504)),'Resultater - Østdanmark'!$F$3:$F$504,$A138,'Resultater - Østdanmark'!H$3:H$504,"&lt;0"),0))</f>
        <v>0</v>
      </c>
      <c r="J138" s="94"/>
      <c r="K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forbrug'!K$3,'Forbrug af biomasse'!$B$2:$B$425,$F138)</f>
        <v>0</v>
      </c>
      <c r="L138" s="94">
        <f>SUMIFS('Forbrug af biomasse'!$E$2:$E$425,'Forbrug af biomasse'!$C$2:$C$425,'Resultat-Produktion &amp; forbrug'!$A138,'Forbrug af biomasse'!$D$2:$D$425,'Resultat-Produktion &amp; forbrug'!$E138,'Forbrug af biomasse'!$A$2:$A$425,'Resultat-Produktion &amp; forbrug'!L$3,'Forbrug af biomasse'!$B$2:$B$425,$F138)</f>
        <v>0</v>
      </c>
      <c r="M138" s="94">
        <f>IF(A138&lt;&gt;"Biogas",SUMIFS('Forbrug af biomasse'!$E$2:$E$425,'Forbrug af biomasse'!$C$2:$C$425,'Resultat-Produktion &amp; forbrug'!$A138,'Forbrug af biomasse'!$D$2:$D$425,'Resultat-Produktion &amp; forbrug'!$E138,'Forbrug af biomasse'!$A$2:$A$425,'Resultat-Produktion &amp; forbrug'!M$3,'Forbrug af biomasse'!$B$2:$B$425,$F138),G138)</f>
        <v>0</v>
      </c>
      <c r="N138" s="94">
        <f>SUMIFS('Forbrug af biomasse'!E:E,'Forbrug af biomasse'!C:C,'Resultat-Produktion &amp; forbrug'!$A138,'Forbrug af biomasse'!D:D,'Resultat-Produktion &amp; forbrug'!$E138,'Forbrug af biomasse'!G:G,1,'Forbrug af biomasse'!B:B,$F138)</f>
        <v>0</v>
      </c>
      <c r="O138" s="179">
        <f t="shared" si="20"/>
        <v>2255349.2456509732</v>
      </c>
      <c r="P138" s="94">
        <f t="shared" si="28"/>
        <v>2255349.2456509732</v>
      </c>
      <c r="Q138" s="180">
        <f t="shared" si="21"/>
        <v>0</v>
      </c>
      <c r="R138">
        <f>IFERROR(VLOOKUP(A138,[1]Energiindhold!$A$2:$C$11,3,FALSE),IFERROR(VLOOKUP(A138,[1]Biogasudbytte!$A$2:$B$18,2,FALSE)*[1]Energiindhold!$C$10,0))*P138</f>
        <v>6.1211080666665669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IF(A138&lt;&gt;"Biogas",IFERROR(VLOOKUP(A138,[1]Biogasudbytte!$A$2:$B$18,2,FALSE)*[1]Energiindhold!$C$10,0)*K138*IFERROR(VLOOKUP(A138,Biogasanlæg!$F$3:$G$8,2,FALSE),1)+IFERROR(VLOOKUP(A138,[1]Energiindhold!$A$2:$C$11,3,FALSE),0)*M138+IF(E138&lt;&gt;År1,R138,0),0)</f>
        <v>6.1211080666665669</v>
      </c>
      <c r="T138">
        <f>IFERROR(VLOOKUP(A138,[1]Biogasudbytte!$A$2:$B$18,2,FALSE)*[1]Energiindhold!$C$10,0)*K138*IFERROR(VLOOKUP(A138,Biogasanlæg!$F$3:$G$8,2,FALSE),1)</f>
        <v>0</v>
      </c>
      <c r="U138" s="170">
        <f t="shared" si="22"/>
        <v>6.1211080666665669</v>
      </c>
      <c r="V138" s="169">
        <f>P138*IFERROR(VLOOKUP(A138,[1]Tørstofindhold!A$2:B$24,2,FALSE),0)</f>
        <v>451069.84913019463</v>
      </c>
      <c r="W138">
        <f>IF(E138=År1,Q138,SUM(P138,Q138))*IFERROR(VLOOKUP(A138,[1]Tørstofindhold!A$2:B$24,2,FALSE),0)</f>
        <v>451069.84913019463</v>
      </c>
      <c r="X138">
        <f>K138*IFERROR(VLOOKUP(A138,[1]Tørstofindhold!A$2:B$24,2,FALSE),0)</f>
        <v>0</v>
      </c>
      <c r="Y138" s="170">
        <f t="shared" si="23"/>
        <v>451069.84913019463</v>
      </c>
      <c r="Z138">
        <f t="shared" si="29"/>
        <v>0</v>
      </c>
      <c r="AA138">
        <f t="shared" si="30"/>
        <v>1</v>
      </c>
    </row>
    <row r="139" spans="1:27" x14ac:dyDescent="0.25">
      <c r="A139" s="171" t="str">
        <f t="shared" si="31"/>
        <v>Slagteriaffald til andet</v>
      </c>
      <c r="B139" s="171" t="str">
        <f t="shared" si="32"/>
        <v/>
      </c>
      <c r="C139" s="171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71">
        <f t="shared" si="27"/>
        <v>0</v>
      </c>
      <c r="E139" s="171">
        <f t="shared" si="26"/>
        <v>2050</v>
      </c>
      <c r="F139" t="s">
        <v>23</v>
      </c>
      <c r="G139" s="94">
        <f>IF(F139="Vestdanmark",SUMIFS(IF(E139=År1,'Resultater - Vestdanmark'!H$3:H$504,IF(E139=År2,'Resultater - Vestdanmark'!I$3:I$504,'Resultater - Vestdanmark'!J$3:J$504)),'Resultater - Vestdanmark'!$F$3:$F$504,$A139,IF(E139=År1,'Resultater - Vestdanmark'!H$3:H$504,IF(E139=År2,'Resultater - Vestdanmark'!I$3:I$504,'Resultater - Vestdanmark'!J$3:J$504)),"&gt;0"),SUMIFS(IF(E139=År1,'Resultater - Østdanmark'!H$3:H$504,IF(E139=År2,'Resultater - Østdanmark'!I$3:I$504,'Resultater - Østdanmark'!J$3:J$504)),'Resultater - Østdanmark'!$F$3:$F$504,$A139,IF(E139=År1,'Resultater - Østdanmark'!H$3:H$504,IF(E139=År2,'Resultater - Østdanmark'!I$3:I$504,'Resultater - Østdanmark'!J$3:J$504)),"&gt;0"))</f>
        <v>37051.567701476815</v>
      </c>
      <c r="H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forbrug'!H$3,'Forbrug af biomasse'!$B$2:$B$425,$F139)</f>
        <v>0</v>
      </c>
      <c r="I139">
        <f>IF(F139="Vestdanmark",-IF(A139="Halm",SUMIFS(IF(E139=År1,'Resultater - Vestdanmark'!H$3:H$504,IF(E139=År2,'Resultater - Vestdanmark'!I$3:I$504,'Resultater - Vestdanmark'!J$3:J$504)),'Resultater - Vestdanmark'!$F$3:$F$504,$A139,'Resultater - Vestdanmark'!H$3:H$504,"&lt;0"),0),-IF(A139="Halm",SUMIFS(IF(E139=År1,'Resultater - Østdanmark'!H$3:H$504,IF(E139=År2,'Resultater - Østdanmark'!I$3:I$504,'Resultater - Østdanmark'!J$3:J$504)),'Resultater - Østdanmark'!$F$3:$F$504,$A139,'Resultater - Østdanmark'!H$3:H$504,"&lt;0"),0))</f>
        <v>0</v>
      </c>
      <c r="J139" s="94"/>
      <c r="K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forbrug'!K$3,'Forbrug af biomasse'!$B$2:$B$425,$F139)</f>
        <v>0</v>
      </c>
      <c r="L139" s="94">
        <f>SUMIFS('Forbrug af biomasse'!$E$2:$E$425,'Forbrug af biomasse'!$C$2:$C$425,'Resultat-Produktion &amp; forbrug'!$A139,'Forbrug af biomasse'!$D$2:$D$425,'Resultat-Produktion &amp; forbrug'!$E139,'Forbrug af biomasse'!$A$2:$A$425,'Resultat-Produktion &amp; forbrug'!L$3,'Forbrug af biomasse'!$B$2:$B$425,$F139)</f>
        <v>0</v>
      </c>
      <c r="M139" s="94">
        <f>IF(A139&lt;&gt;"Biogas",SUMIFS('Forbrug af biomasse'!$E$2:$E$425,'Forbrug af biomasse'!$C$2:$C$425,'Resultat-Produktion &amp; forbrug'!$A139,'Forbrug af biomasse'!$D$2:$D$425,'Resultat-Produktion &amp; forbrug'!$E139,'Forbrug af biomasse'!$A$2:$A$425,'Resultat-Produktion &amp; forbrug'!M$3,'Forbrug af biomasse'!$B$2:$B$425,$F139),G139)</f>
        <v>0</v>
      </c>
      <c r="N139" s="94">
        <f>SUMIFS('Forbrug af biomasse'!E:E,'Forbrug af biomasse'!C:C,'Resultat-Produktion &amp; forbrug'!$A139,'Forbrug af biomasse'!D:D,'Resultat-Produktion &amp; forbrug'!$E139,'Forbrug af biomasse'!G:G,1,'Forbrug af biomasse'!B:B,$F139)</f>
        <v>0</v>
      </c>
      <c r="O139" s="179">
        <f t="shared" si="20"/>
        <v>37051.567701476815</v>
      </c>
      <c r="P139" s="94">
        <f t="shared" si="28"/>
        <v>0</v>
      </c>
      <c r="Q139" s="180">
        <f t="shared" si="21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IF(A139&lt;&gt;"Biogas",IFERROR(VLOOKUP(A139,[1]Biogasudbytte!$A$2:$B$18,2,FALSE)*[1]Energiindhold!$C$10,0)*K139*IFERROR(VLOOKUP(A139,Biogasanlæg!$F$3:$G$8,2,FALSE),1)+IFERROR(VLOOKUP(A139,[1]Energiindhold!$A$2:$C$11,3,FALSE),0)*M139+IF(E139&lt;&gt;År1,R139,0),0)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22"/>
        <v>0</v>
      </c>
      <c r="V139" s="169">
        <f>P139*IFERROR(VLOOKUP(A139,[1]Tørstofindhold!A$2:B$24,2,FALSE),0)</f>
        <v>0</v>
      </c>
      <c r="W139">
        <f>IF(E139=År1,Q139,SUM(P139,Q139))*IFERROR(VLOOKUP(A139,[1]Tørstofindhold!A$2:B$24,2,FALSE),0)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23"/>
        <v>0</v>
      </c>
      <c r="Z139">
        <f t="shared" si="29"/>
        <v>0</v>
      </c>
      <c r="AA139">
        <f t="shared" si="30"/>
        <v>1</v>
      </c>
    </row>
    <row r="140" spans="1:27" x14ac:dyDescent="0.25">
      <c r="A140" s="171" t="str">
        <f t="shared" si="31"/>
        <v>Slagteriaffald til foder</v>
      </c>
      <c r="B140" s="171" t="str">
        <f t="shared" si="32"/>
        <v/>
      </c>
      <c r="C140" s="171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0</v>
      </c>
      <c r="D140" s="171">
        <f t="shared" si="27"/>
        <v>0</v>
      </c>
      <c r="E140" s="171">
        <f t="shared" si="26"/>
        <v>2050</v>
      </c>
      <c r="F140" t="s">
        <v>23</v>
      </c>
      <c r="G140" s="94">
        <f>IF(F140="Vestdanmark",SUMIFS(IF(E140=År1,'Resultater - Vestdanmark'!H$3:H$504,IF(E140=År2,'Resultater - Vestdanmark'!I$3:I$504,'Resultater - Vestdanmark'!J$3:J$504)),'Resultater - Vestdanmark'!$F$3:$F$504,$A140,IF(E140=År1,'Resultater - Vestdanmark'!H$3:H$504,IF(E140=År2,'Resultater - Vestdanmark'!I$3:I$504,'Resultater - Vestdanmark'!J$3:J$504)),"&gt;0"),SUMIFS(IF(E140=År1,'Resultater - Østdanmark'!H$3:H$504,IF(E140=År2,'Resultater - Østdanmark'!I$3:I$504,'Resultater - Østdanmark'!J$3:J$504)),'Resultater - Østdanmark'!$F$3:$F$504,$A140,IF(E140=År1,'Resultater - Østdanmark'!H$3:H$504,IF(E140=År2,'Resultater - Østdanmark'!I$3:I$504,'Resultater - Østdanmark'!J$3:J$504)),"&gt;0"))</f>
        <v>35190.671439715443</v>
      </c>
      <c r="H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forbrug'!H$3,'Forbrug af biomasse'!$B$2:$B$425,$F140)</f>
        <v>39591.750029137664</v>
      </c>
      <c r="I140">
        <f>IF(F140="Vestdanmark",-IF(A140="Halm",SUMIFS(IF(E140=År1,'Resultater - Vestdanmark'!H$3:H$504,IF(E140=År2,'Resultater - Vestdanmark'!I$3:I$504,'Resultater - Vestdanmark'!J$3:J$504)),'Resultater - Vestdanmark'!$F$3:$F$504,$A140,'Resultater - Vestdanmark'!H$3:H$504,"&lt;0"),0),-IF(A140="Halm",SUMIFS(IF(E140=År1,'Resultater - Østdanmark'!H$3:H$504,IF(E140=År2,'Resultater - Østdanmark'!I$3:I$504,'Resultater - Østdanmark'!J$3:J$504)),'Resultater - Østdanmark'!$F$3:$F$504,$A140,'Resultater - Østdanmark'!H$3:H$504,"&lt;0"),0))</f>
        <v>0</v>
      </c>
      <c r="J140" s="94"/>
      <c r="K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forbrug'!K$3,'Forbrug af biomasse'!$B$2:$B$425,$F140)</f>
        <v>0</v>
      </c>
      <c r="L140" s="94">
        <f>SUMIFS('Forbrug af biomasse'!$E$2:$E$425,'Forbrug af biomasse'!$C$2:$C$425,'Resultat-Produktion &amp; forbrug'!$A140,'Forbrug af biomasse'!$D$2:$D$425,'Resultat-Produktion &amp; forbrug'!$E140,'Forbrug af biomasse'!$A$2:$A$425,'Resultat-Produktion &amp; forbrug'!L$3,'Forbrug af biomasse'!$B$2:$B$425,$F140)</f>
        <v>0</v>
      </c>
      <c r="M140" s="94">
        <f>IF(A140&lt;&gt;"Biogas",SUMIFS('Forbrug af biomasse'!$E$2:$E$425,'Forbrug af biomasse'!$C$2:$C$425,'Resultat-Produktion &amp; forbrug'!$A140,'Forbrug af biomasse'!$D$2:$D$425,'Resultat-Produktion &amp; forbrug'!$E140,'Forbrug af biomasse'!$A$2:$A$425,'Resultat-Produktion &amp; forbrug'!M$3,'Forbrug af biomasse'!$B$2:$B$425,$F140),G140)</f>
        <v>0</v>
      </c>
      <c r="N140" s="94">
        <f>SUMIFS('Forbrug af biomasse'!E:E,'Forbrug af biomasse'!C:C,'Resultat-Produktion &amp; forbrug'!$A140,'Forbrug af biomasse'!D:D,'Resultat-Produktion &amp; forbrug'!$E140,'Forbrug af biomasse'!G:G,1,'Forbrug af biomasse'!B:B,$F140)</f>
        <v>0</v>
      </c>
      <c r="O140" s="179">
        <f t="shared" si="20"/>
        <v>-4401.0785894222208</v>
      </c>
      <c r="P140" s="94">
        <f t="shared" si="28"/>
        <v>0</v>
      </c>
      <c r="Q140" s="180">
        <f t="shared" si="21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IF(A140&lt;&gt;"Biogas",IFERROR(VLOOKUP(A140,[1]Biogasudbytte!$A$2:$B$18,2,FALSE)*[1]Energiindhold!$C$10,0)*K140*IFERROR(VLOOKUP(A140,Biogasanlæg!$F$3:$G$8,2,FALSE),1)+IFERROR(VLOOKUP(A140,[1]Energiindhold!$A$2:$C$11,3,FALSE),0)*M140+IF(E140&lt;&gt;År1,R140,0),0)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22"/>
        <v>0</v>
      </c>
      <c r="V140" s="169">
        <f>P140*IFERROR(VLOOKUP(A140,[1]Tørstofindhold!A$2:B$24,2,FALSE),0)</f>
        <v>0</v>
      </c>
      <c r="W140">
        <f>IF(E140=År1,Q140,SUM(P140,Q140))*IFERROR(VLOOKUP(A140,[1]Tørstofindhold!A$2:B$24,2,FALSE),0)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23"/>
        <v>0</v>
      </c>
      <c r="Z140">
        <f t="shared" si="29"/>
        <v>1</v>
      </c>
      <c r="AA140">
        <f t="shared" si="30"/>
        <v>0</v>
      </c>
    </row>
    <row r="141" spans="1:27" x14ac:dyDescent="0.25">
      <c r="A141" s="171" t="str">
        <f t="shared" si="31"/>
        <v>Spildevandsslam</v>
      </c>
      <c r="B141" s="171" t="str">
        <f t="shared" si="32"/>
        <v>Bionedbrydeligt affald</v>
      </c>
      <c r="C141" s="171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71">
        <f t="shared" si="27"/>
        <v>0</v>
      </c>
      <c r="E141" s="171">
        <f t="shared" si="26"/>
        <v>2050</v>
      </c>
      <c r="F141" t="s">
        <v>23</v>
      </c>
      <c r="G141" s="94">
        <f>IF(F141="Vestdanmark",SUMIFS(IF(E141=År1,'Resultater - Vestdanmark'!H$3:H$504,IF(E141=År2,'Resultater - Vestdanmark'!I$3:I$504,'Resultater - Vestdanmark'!J$3:J$504)),'Resultater - Vestdanmark'!$F$3:$F$504,$A141,IF(E141=År1,'Resultater - Vestdanmark'!H$3:H$504,IF(E141=År2,'Resultater - Vestdanmark'!I$3:I$504,'Resultater - Vestdanmark'!J$3:J$504)),"&gt;0"),SUMIFS(IF(E141=År1,'Resultater - Østdanmark'!H$3:H$504,IF(E141=År2,'Resultater - Østdanmark'!I$3:I$504,'Resultater - Østdanmark'!J$3:J$504)),'Resultater - Østdanmark'!$F$3:$F$504,$A141,IF(E141=År1,'Resultater - Østdanmark'!H$3:H$504,IF(E141=År2,'Resultater - Østdanmark'!I$3:I$504,'Resultater - Østdanmark'!J$3:J$504)),"&gt;0"))</f>
        <v>4002333.5486616795</v>
      </c>
      <c r="H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forbrug'!H$3,'Forbrug af biomasse'!$B$2:$B$425,$F141)</f>
        <v>0</v>
      </c>
      <c r="I141">
        <f>IF(F141="Vestdanmark",-IF(A141="Halm",SUMIFS(IF(E141=År1,'Resultater - Vestdanmark'!H$3:H$504,IF(E141=År2,'Resultater - Vestdanmark'!I$3:I$504,'Resultater - Vestdanmark'!J$3:J$504)),'Resultater - Vestdanmark'!$F$3:$F$504,$A141,'Resultater - Vestdanmark'!H$3:H$504,"&lt;0"),0),-IF(A141="Halm",SUMIFS(IF(E141=År1,'Resultater - Østdanmark'!H$3:H$504,IF(E141=År2,'Resultater - Østdanmark'!I$3:I$504,'Resultater - Østdanmark'!J$3:J$504)),'Resultater - Østdanmark'!$F$3:$F$504,$A141,'Resultater - Østdanmark'!H$3:H$504,"&lt;0"),0))</f>
        <v>0</v>
      </c>
      <c r="J141" s="94"/>
      <c r="K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forbrug'!K$3,'Forbrug af biomasse'!$B$2:$B$425,$F141)</f>
        <v>1517880.3720548805</v>
      </c>
      <c r="L141" s="94">
        <f>SUMIFS('Forbrug af biomasse'!$E$2:$E$425,'Forbrug af biomasse'!$C$2:$C$425,'Resultat-Produktion &amp; forbrug'!$A141,'Forbrug af biomasse'!$D$2:$D$425,'Resultat-Produktion &amp; forbrug'!$E141,'Forbrug af biomasse'!$A$2:$A$425,'Resultat-Produktion &amp; forbrug'!L$3,'Forbrug af biomasse'!$B$2:$B$425,$F141)</f>
        <v>0</v>
      </c>
      <c r="M141" s="94">
        <f>IF(A141&lt;&gt;"Biogas",SUMIFS('Forbrug af biomasse'!$E$2:$E$425,'Forbrug af biomasse'!$C$2:$C$425,'Resultat-Produktion &amp; forbrug'!$A141,'Forbrug af biomasse'!$D$2:$D$425,'Resultat-Produktion &amp; forbrug'!$E141,'Forbrug af biomasse'!$A$2:$A$425,'Resultat-Produktion &amp; forbrug'!M$3,'Forbrug af biomasse'!$B$2:$B$425,$F141),G141)</f>
        <v>0</v>
      </c>
      <c r="N141" s="94">
        <f>SUMIFS('Forbrug af biomasse'!E:E,'Forbrug af biomasse'!C:C,'Resultat-Produktion &amp; forbrug'!$A141,'Forbrug af biomasse'!D:D,'Resultat-Produktion &amp; forbrug'!$E141,'Forbrug af biomasse'!G:G,1,'Forbrug af biomasse'!B:B,$F141)</f>
        <v>0</v>
      </c>
      <c r="O141" s="179">
        <f t="shared" si="20"/>
        <v>2484453.176606799</v>
      </c>
      <c r="P141" s="94">
        <f t="shared" si="28"/>
        <v>2484453.176606799</v>
      </c>
      <c r="Q141" s="180">
        <f t="shared" si="21"/>
        <v>1517880.3720548805</v>
      </c>
      <c r="R141">
        <f>IFERROR(VLOOKUP(A141,[1]Energiindhold!$A$2:$C$11,3,FALSE),IFERROR(VLOOKUP(A141,[1]Biogasudbytte!$A$2:$B$18,2,FALSE)*[1]Energiindhold!$C$10,0))*P141</f>
        <v>1.2397669796585589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IF(A141&lt;&gt;"Biogas",IFERROR(VLOOKUP(A141,[1]Biogasudbytte!$A$2:$B$18,2,FALSE)*[1]Energiindhold!$C$10,0)*K141*IFERROR(VLOOKUP(A141,Biogasanlæg!$F$3:$G$8,2,FALSE),1)+IFERROR(VLOOKUP(A141,[1]Energiindhold!$A$2:$C$11,3,FALSE),0)*M141+IF(E141&lt;&gt;År1,R141,0),0)</f>
        <v>1.9972044641176647</v>
      </c>
      <c r="T141">
        <f>IFERROR(VLOOKUP(A141,[1]Biogasudbytte!$A$2:$B$18,2,FALSE)*[1]Energiindhold!$C$10,0)*K141*IFERROR(VLOOKUP(A141,Biogasanlæg!$F$3:$G$8,2,FALSE),1)</f>
        <v>0.75743748445910597</v>
      </c>
      <c r="U141" s="170">
        <f t="shared" si="22"/>
        <v>1.2397669796585586</v>
      </c>
      <c r="V141" s="169">
        <f>P141*IFERROR(VLOOKUP(A141,[1]Tørstofindhold!A$2:B$24,2,FALSE),0)</f>
        <v>149067.19059640795</v>
      </c>
      <c r="W141">
        <f>IF(E141=År1,Q141,SUM(P141,Q141))*IFERROR(VLOOKUP(A141,[1]Tørstofindhold!A$2:B$24,2,FALSE),0)</f>
        <v>240140.01291970076</v>
      </c>
      <c r="X141">
        <f>K141*IFERROR(VLOOKUP(A141,[1]Tørstofindhold!A$2:B$24,2,FALSE),0)</f>
        <v>91072.822323292829</v>
      </c>
      <c r="Y141" s="170">
        <f t="shared" si="23"/>
        <v>149067.19059640792</v>
      </c>
      <c r="Z141">
        <f t="shared" si="29"/>
        <v>0</v>
      </c>
      <c r="AA141">
        <f t="shared" si="30"/>
        <v>1</v>
      </c>
    </row>
    <row r="142" spans="1:27" x14ac:dyDescent="0.25">
      <c r="A142" s="171" t="str">
        <f t="shared" si="31"/>
        <v>Svinegylle</v>
      </c>
      <c r="B142" s="171" t="str">
        <f t="shared" si="32"/>
        <v>Husdyrgødning</v>
      </c>
      <c r="C142" s="171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1</v>
      </c>
      <c r="D142" s="171">
        <f t="shared" si="27"/>
        <v>0</v>
      </c>
      <c r="E142" s="171">
        <f t="shared" si="26"/>
        <v>2050</v>
      </c>
      <c r="F142" t="s">
        <v>23</v>
      </c>
      <c r="G142" s="94">
        <f>IF(F142="Vestdanmark",SUMIFS(IF(E142=År1,'Resultater - Vestdanmark'!H$3:H$504,IF(E142=År2,'Resultater - Vestdanmark'!I$3:I$504,'Resultater - Vestdanmark'!J$3:J$504)),'Resultater - Vestdanmark'!$F$3:$F$504,$A142,IF(E142=År1,'Resultater - Vestdanmark'!H$3:H$504,IF(E142=År2,'Resultater - Vestdanmark'!I$3:I$504,'Resultater - Vestdanmark'!J$3:J$504)),"&gt;0"),SUMIFS(IF(E142=År1,'Resultater - Østdanmark'!H$3:H$504,IF(E142=År2,'Resultater - Østdanmark'!I$3:I$504,'Resultater - Østdanmark'!J$3:J$504)),'Resultater - Østdanmark'!$F$3:$F$504,$A142,IF(E142=År1,'Resultater - Østdanmark'!H$3:H$504,IF(E142=År2,'Resultater - Østdanmark'!I$3:I$504,'Resultater - Østdanmark'!J$3:J$504)),"&gt;0"))</f>
        <v>0</v>
      </c>
      <c r="H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forbrug'!H$3,'Forbrug af biomasse'!$B$2:$B$425,$F142)</f>
        <v>0</v>
      </c>
      <c r="I142">
        <f>IF(F142="Vestdanmark",-IF(A142="Halm",SUMIFS(IF(E142=År1,'Resultater - Vestdanmark'!H$3:H$504,IF(E142=År2,'Resultater - Vestdanmark'!I$3:I$504,'Resultater - Vestdanmark'!J$3:J$504)),'Resultater - Vestdanmark'!$F$3:$F$504,$A142,'Resultater - Vestdanmark'!H$3:H$504,"&lt;0"),0),-IF(A142="Halm",SUMIFS(IF(E142=År1,'Resultater - Østdanmark'!H$3:H$504,IF(E142=År2,'Resultater - Østdanmark'!I$3:I$504,'Resultater - Østdanmark'!J$3:J$504)),'Resultater - Østdanmark'!$F$3:$F$504,$A142,'Resultater - Østdanmark'!H$3:H$504,"&lt;0"),0))</f>
        <v>0</v>
      </c>
      <c r="J142" s="94"/>
      <c r="K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forbrug'!K$3,'Forbrug af biomasse'!$B$2:$B$425,$F142)</f>
        <v>0</v>
      </c>
      <c r="L142" s="94">
        <f>SUMIFS('Forbrug af biomasse'!$E$2:$E$425,'Forbrug af biomasse'!$C$2:$C$425,'Resultat-Produktion &amp; forbrug'!$A142,'Forbrug af biomasse'!$D$2:$D$425,'Resultat-Produktion &amp; forbrug'!$E142,'Forbrug af biomasse'!$A$2:$A$425,'Resultat-Produktion &amp; forbrug'!L$3,'Forbrug af biomasse'!$B$2:$B$425,$F142)</f>
        <v>0</v>
      </c>
      <c r="M142" s="94">
        <f>IF(A142&lt;&gt;"Biogas",SUMIFS('Forbrug af biomasse'!$E$2:$E$425,'Forbrug af biomasse'!$C$2:$C$425,'Resultat-Produktion &amp; forbrug'!$A142,'Forbrug af biomasse'!$D$2:$D$425,'Resultat-Produktion &amp; forbrug'!$E142,'Forbrug af biomasse'!$A$2:$A$425,'Resultat-Produktion &amp; forbrug'!M$3,'Forbrug af biomasse'!$B$2:$B$425,$F142),G142)</f>
        <v>0</v>
      </c>
      <c r="N142" s="94">
        <f>SUMIFS('Forbrug af biomasse'!E:E,'Forbrug af biomasse'!C:C,'Resultat-Produktion &amp; forbrug'!$A142,'Forbrug af biomasse'!D:D,'Resultat-Produktion &amp; forbrug'!$E142,'Forbrug af biomasse'!G:G,1,'Forbrug af biomasse'!B:B,$F142)</f>
        <v>0</v>
      </c>
      <c r="O142" s="179">
        <f t="shared" si="20"/>
        <v>0</v>
      </c>
      <c r="P142" s="94">
        <f t="shared" si="28"/>
        <v>0</v>
      </c>
      <c r="Q142" s="180">
        <f t="shared" si="21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IF(A142&lt;&gt;"Biogas",IFERROR(VLOOKUP(A142,[1]Biogasudbytte!$A$2:$B$18,2,FALSE)*[1]Energiindhold!$C$10,0)*K142*IFERROR(VLOOKUP(A142,Biogasanlæg!$F$3:$G$8,2,FALSE),1)+IFERROR(VLOOKUP(A142,[1]Energiindhold!$A$2:$C$11,3,FALSE),0)*M142+IF(E142&lt;&gt;År1,R142,0),0)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22"/>
        <v>0</v>
      </c>
      <c r="V142" s="169">
        <f>P142*IFERROR(VLOOKUP(A142,[1]Tørstofindhold!A$2:B$24,2,FALSE),0)</f>
        <v>0</v>
      </c>
      <c r="W142">
        <f>IF(E142=År1,Q142,SUM(P142,Q142))*IFERROR(VLOOKUP(A142,[1]Tørstofindhold!A$2:B$24,2,FALSE),0)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23"/>
        <v>0</v>
      </c>
      <c r="Z142">
        <f t="shared" si="29"/>
        <v>0</v>
      </c>
      <c r="AA142">
        <f t="shared" si="30"/>
        <v>0</v>
      </c>
    </row>
    <row r="143" spans="1:27" x14ac:dyDescent="0.25">
      <c r="A143" s="171" t="str">
        <f t="shared" si="31"/>
        <v>Svinekød</v>
      </c>
      <c r="B143" s="171" t="str">
        <f t="shared" si="32"/>
        <v/>
      </c>
      <c r="C143" s="171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0</v>
      </c>
      <c r="D143" s="171">
        <f t="shared" si="27"/>
        <v>1</v>
      </c>
      <c r="E143" s="171">
        <f t="shared" si="26"/>
        <v>2050</v>
      </c>
      <c r="F143" t="s">
        <v>23</v>
      </c>
      <c r="G143" s="94">
        <f>IF(F143="Vestdanmark",SUMIFS(IF(E143=År1,'Resultater - Vestdanmark'!H$3:H$504,IF(E143=År2,'Resultater - Vestdanmark'!I$3:I$504,'Resultater - Vestdanmark'!J$3:J$504)),'Resultater - Vestdanmark'!$F$3:$F$504,$A143,IF(E143=År1,'Resultater - Vestdanmark'!H$3:H$504,IF(E143=År2,'Resultater - Vestdanmark'!I$3:I$504,'Resultater - Vestdanmark'!J$3:J$504)),"&gt;0"),SUMIFS(IF(E143=År1,'Resultater - Østdanmark'!H$3:H$504,IF(E143=År2,'Resultater - Østdanmark'!I$3:I$504,'Resultater - Østdanmark'!J$3:J$504)),'Resultater - Østdanmark'!$F$3:$F$504,$A143,IF(E143=År1,'Resultater - Østdanmark'!H$3:H$504,IF(E143=År2,'Resultater - Østdanmark'!I$3:I$504,'Resultater - Østdanmark'!J$3:J$504)),"&gt;0"))</f>
        <v>391775.30687639397</v>
      </c>
      <c r="H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forbrug'!H$3,'Forbrug af biomasse'!$B$2:$B$425,$F143)</f>
        <v>0</v>
      </c>
      <c r="I143">
        <f>IF(F143="Vestdanmark",-IF(A143="Halm",SUMIFS(IF(E143=År1,'Resultater - Vestdanmark'!H$3:H$504,IF(E143=År2,'Resultater - Vestdanmark'!I$3:I$504,'Resultater - Vestdanmark'!J$3:J$504)),'Resultater - Vestdanmark'!$F$3:$F$504,$A143,'Resultater - Vestdanmark'!H$3:H$504,"&lt;0"),0),-IF(A143="Halm",SUMIFS(IF(E143=År1,'Resultater - Østdanmark'!H$3:H$504,IF(E143=År2,'Resultater - Østdanmark'!I$3:I$504,'Resultater - Østdanmark'!J$3:J$504)),'Resultater - Østdanmark'!$F$3:$F$504,$A143,'Resultater - Østdanmark'!H$3:H$504,"&lt;0"),0))</f>
        <v>0</v>
      </c>
      <c r="J143" s="94"/>
      <c r="K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forbrug'!K$3,'Forbrug af biomasse'!$B$2:$B$425,$F143)</f>
        <v>0</v>
      </c>
      <c r="L143" s="94">
        <f>SUMIFS('Forbrug af biomasse'!$E$2:$E$425,'Forbrug af biomasse'!$C$2:$C$425,'Resultat-Produktion &amp; forbrug'!$A143,'Forbrug af biomasse'!$D$2:$D$425,'Resultat-Produktion &amp; forbrug'!$E143,'Forbrug af biomasse'!$A$2:$A$425,'Resultat-Produktion &amp; forbrug'!L$3,'Forbrug af biomasse'!$B$2:$B$425,$F143)</f>
        <v>0</v>
      </c>
      <c r="M143" s="94">
        <f>IF(A143&lt;&gt;"Biogas",SUMIFS('Forbrug af biomasse'!$E$2:$E$425,'Forbrug af biomasse'!$C$2:$C$425,'Resultat-Produktion &amp; forbrug'!$A143,'Forbrug af biomasse'!$D$2:$D$425,'Resultat-Produktion &amp; forbrug'!$E143,'Forbrug af biomasse'!$A$2:$A$425,'Resultat-Produktion &amp; forbrug'!M$3,'Forbrug af biomasse'!$B$2:$B$425,$F143),G143)</f>
        <v>0</v>
      </c>
      <c r="N143" s="94">
        <f>SUMIFS('Forbrug af biomasse'!E:E,'Forbrug af biomasse'!C:C,'Resultat-Produktion &amp; forbrug'!$A143,'Forbrug af biomasse'!D:D,'Resultat-Produktion &amp; forbrug'!$E143,'Forbrug af biomasse'!G:G,1,'Forbrug af biomasse'!B:B,$F143)</f>
        <v>0</v>
      </c>
      <c r="O143" s="179">
        <f t="shared" si="20"/>
        <v>391775.30687639397</v>
      </c>
      <c r="P143" s="94">
        <f t="shared" si="28"/>
        <v>0</v>
      </c>
      <c r="Q143" s="180">
        <f t="shared" si="21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IF(A143&lt;&gt;"Biogas",IFERROR(VLOOKUP(A143,[1]Biogasudbytte!$A$2:$B$18,2,FALSE)*[1]Energiindhold!$C$10,0)*K143*IFERROR(VLOOKUP(A143,Biogasanlæg!$F$3:$G$8,2,FALSE),1)+IFERROR(VLOOKUP(A143,[1]Energiindhold!$A$2:$C$11,3,FALSE),0)*M143+IF(E143&lt;&gt;År1,R143,0),0)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22"/>
        <v>0</v>
      </c>
      <c r="V143" s="169">
        <f>P143*IFERROR(VLOOKUP(A143,[1]Tørstofindhold!A$2:B$24,2,FALSE),0)</f>
        <v>0</v>
      </c>
      <c r="W143">
        <f>IF(E143=År1,Q143,SUM(P143,Q143))*IFERROR(VLOOKUP(A143,[1]Tørstofindhold!A$2:B$24,2,FALSE),0)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23"/>
        <v>0</v>
      </c>
      <c r="Z143">
        <f t="shared" si="29"/>
        <v>0</v>
      </c>
      <c r="AA143">
        <f t="shared" si="30"/>
        <v>1</v>
      </c>
    </row>
    <row r="144" spans="1:27" x14ac:dyDescent="0.25">
      <c r="A144" s="171" t="str">
        <f t="shared" si="31"/>
        <v>Tang</v>
      </c>
      <c r="B144" s="171" t="str">
        <f t="shared" si="32"/>
        <v>Havbiomasse</v>
      </c>
      <c r="C144" s="171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71">
        <f t="shared" si="27"/>
        <v>1</v>
      </c>
      <c r="E144" s="171">
        <f t="shared" si="26"/>
        <v>2050</v>
      </c>
      <c r="F144" t="s">
        <v>23</v>
      </c>
      <c r="G144" s="94">
        <f>IF(F144="Vestdanmark",SUMIFS(IF(E144=År1,'Resultater - Vestdanmark'!H$3:H$504,IF(E144=År2,'Resultater - Vestdanmark'!I$3:I$504,'Resultater - Vestdanmark'!J$3:J$504)),'Resultater - Vestdanmark'!$F$3:$F$504,$A144,IF(E144=År1,'Resultater - Vestdanmark'!H$3:H$504,IF(E144=År2,'Resultater - Vestdanmark'!I$3:I$504,'Resultater - Vestdanmark'!J$3:J$504)),"&gt;0"),SUMIFS(IF(E144=År1,'Resultater - Østdanmark'!H$3:H$504,IF(E144=År2,'Resultater - Østdanmark'!I$3:I$504,'Resultater - Østdanmark'!J$3:J$504)),'Resultater - Østdanmark'!$F$3:$F$504,$A144,IF(E144=År1,'Resultater - Østdanmark'!H$3:H$504,IF(E144=År2,'Resultater - Østdanmark'!I$3:I$504,'Resultater - Østdanmark'!J$3:J$504)),"&gt;0"))</f>
        <v>76.5</v>
      </c>
      <c r="H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forbrug'!H$3,'Forbrug af biomasse'!$B$2:$B$425,$F144)</f>
        <v>0</v>
      </c>
      <c r="I144">
        <f>IF(F144="Vestdanmark",-IF(A144="Halm",SUMIFS(IF(E144=År1,'Resultater - Vestdanmark'!H$3:H$504,IF(E144=År2,'Resultater - Vestdanmark'!I$3:I$504,'Resultater - Vestdanmark'!J$3:J$504)),'Resultater - Vestdanmark'!$F$3:$F$504,$A144,'Resultater - Vestdanmark'!H$3:H$504,"&lt;0"),0),-IF(A144="Halm",SUMIFS(IF(E144=År1,'Resultater - Østdanmark'!H$3:H$504,IF(E144=År2,'Resultater - Østdanmark'!I$3:I$504,'Resultater - Østdanmark'!J$3:J$504)),'Resultater - Østdanmark'!$F$3:$F$504,$A144,'Resultater - Østdanmark'!H$3:H$504,"&lt;0"),0))</f>
        <v>0</v>
      </c>
      <c r="J144" s="94"/>
      <c r="K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forbrug'!K$3,'Forbrug af biomasse'!$B$2:$B$425,$F144)</f>
        <v>0</v>
      </c>
      <c r="L144" s="94">
        <f>SUMIFS('Forbrug af biomasse'!$E$2:$E$425,'Forbrug af biomasse'!$C$2:$C$425,'Resultat-Produktion &amp; forbrug'!$A144,'Forbrug af biomasse'!$D$2:$D$425,'Resultat-Produktion &amp; forbrug'!$E144,'Forbrug af biomasse'!$A$2:$A$425,'Resultat-Produktion &amp; forbrug'!L$3,'Forbrug af biomasse'!$B$2:$B$425,$F144)</f>
        <v>0</v>
      </c>
      <c r="M144" s="94">
        <f>IF(A144&lt;&gt;"Biogas",SUMIFS('Forbrug af biomasse'!$E$2:$E$425,'Forbrug af biomasse'!$C$2:$C$425,'Resultat-Produktion &amp; forbrug'!$A144,'Forbrug af biomasse'!$D$2:$D$425,'Resultat-Produktion &amp; forbrug'!$E144,'Forbrug af biomasse'!$A$2:$A$425,'Resultat-Produktion &amp; forbrug'!M$3,'Forbrug af biomasse'!$B$2:$B$425,$F144),G144)</f>
        <v>0</v>
      </c>
      <c r="N144" s="94">
        <f>SUMIFS('Forbrug af biomasse'!E:E,'Forbrug af biomasse'!C:C,'Resultat-Produktion &amp; forbrug'!$A144,'Forbrug af biomasse'!D:D,'Resultat-Produktion &amp; forbrug'!$E144,'Forbrug af biomasse'!G:G,1,'Forbrug af biomasse'!B:B,$F144)</f>
        <v>0</v>
      </c>
      <c r="O144" s="179">
        <f t="shared" si="20"/>
        <v>76.5</v>
      </c>
      <c r="P144" s="94">
        <f t="shared" si="28"/>
        <v>76.5</v>
      </c>
      <c r="Q144" s="180">
        <f t="shared" si="21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IF(A144&lt;&gt;"Biogas",IFERROR(VLOOKUP(A144,[1]Biogasudbytte!$A$2:$B$18,2,FALSE)*[1]Energiindhold!$C$10,0)*K144*IFERROR(VLOOKUP(A144,Biogasanlæg!$F$3:$G$8,2,FALSE),1)+IFERROR(VLOOKUP(A144,[1]Energiindhold!$A$2:$C$11,3,FALSE),0)*M144+IF(E144&lt;&gt;År1,R144,0),0)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22"/>
        <v>6.8658750000000004E-5</v>
      </c>
      <c r="V144" s="169">
        <f>P144*IFERROR(VLOOKUP(A144,[1]Tørstofindhold!A$2:B$24,2,FALSE),0)</f>
        <v>11.475</v>
      </c>
      <c r="W144">
        <f>IF(E144=År1,Q144,SUM(P144,Q144))*IFERROR(VLOOKUP(A144,[1]Tørstofindhold!A$2:B$24,2,FALSE),0)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23"/>
        <v>11.475</v>
      </c>
      <c r="Z144">
        <f t="shared" si="29"/>
        <v>0</v>
      </c>
      <c r="AA144">
        <f t="shared" si="30"/>
        <v>1</v>
      </c>
    </row>
    <row r="145" spans="1:27" x14ac:dyDescent="0.25">
      <c r="A145" s="171" t="str">
        <f t="shared" si="31"/>
        <v>Total til biogas</v>
      </c>
      <c r="B145" s="171" t="str">
        <f t="shared" si="32"/>
        <v/>
      </c>
      <c r="C145" s="171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71">
        <f t="shared" si="27"/>
        <v>0</v>
      </c>
      <c r="E145" s="171">
        <f t="shared" si="26"/>
        <v>2050</v>
      </c>
      <c r="F145" t="s">
        <v>23</v>
      </c>
      <c r="G145" s="94">
        <f>IF(F145="Vestdanmark",SUMIFS(IF(E145=År1,'Resultater - Vestdanmark'!H$3:H$504,IF(E145=År2,'Resultater - Vestdanmark'!I$3:I$504,'Resultater - Vestdanmark'!J$3:J$504)),'Resultater - Vestdanmark'!$F$3:$F$504,$A145,IF(E145=År1,'Resultater - Vestdanmark'!H$3:H$504,IF(E145=År2,'Resultater - Vestdanmark'!I$3:I$504,'Resultater - Vestdanmark'!J$3:J$504)),"&gt;0"),SUMIFS(IF(E145=År1,'Resultater - Østdanmark'!H$3:H$504,IF(E145=År2,'Resultater - Østdanmark'!I$3:I$504,'Resultater - Østdanmark'!J$3:J$504)),'Resultater - Østdanmark'!$F$3:$F$504,$A145,IF(E145=År1,'Resultater - Østdanmark'!H$3:H$504,IF(E145=År2,'Resultater - Østdanmark'!I$3:I$504,'Resultater - Østdanmark'!J$3:J$504)),"&gt;0"))</f>
        <v>0</v>
      </c>
      <c r="H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forbrug'!H$3,'Forbrug af biomasse'!$B$2:$B$425,$F145)</f>
        <v>0</v>
      </c>
      <c r="I145">
        <f>IF(F145="Vestdanmark",-IF(A145="Halm",SUMIFS(IF(E145=År1,'Resultater - Vestdanmark'!H$3:H$504,IF(E145=År2,'Resultater - Vestdanmark'!I$3:I$504,'Resultater - Vestdanmark'!J$3:J$504)),'Resultater - Vestdanmark'!$F$3:$F$504,$A145,'Resultater - Vestdanmark'!H$3:H$504,"&lt;0"),0),-IF(A145="Halm",SUMIFS(IF(E145=År1,'Resultater - Østdanmark'!H$3:H$504,IF(E145=År2,'Resultater - Østdanmark'!I$3:I$504,'Resultater - Østdanmark'!J$3:J$504)),'Resultater - Østdanmark'!$F$3:$F$504,$A145,'Resultater - Østdanmark'!H$3:H$504,"&lt;0"),0))</f>
        <v>0</v>
      </c>
      <c r="J145" s="94"/>
      <c r="K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forbrug'!K$3,'Forbrug af biomasse'!$B$2:$B$425,$F145)</f>
        <v>0</v>
      </c>
      <c r="L145" s="94">
        <f>SUMIFS('Forbrug af biomasse'!$E$2:$E$425,'Forbrug af biomasse'!$C$2:$C$425,'Resultat-Produktion &amp; forbrug'!$A145,'Forbrug af biomasse'!$D$2:$D$425,'Resultat-Produktion &amp; forbrug'!$E145,'Forbrug af biomasse'!$A$2:$A$425,'Resultat-Produktion &amp; forbrug'!L$3,'Forbrug af biomasse'!$B$2:$B$425,$F145)</f>
        <v>0</v>
      </c>
      <c r="M145" s="94">
        <f>IF(A145&lt;&gt;"Biogas",SUMIFS('Forbrug af biomasse'!$E$2:$E$425,'Forbrug af biomasse'!$C$2:$C$425,'Resultat-Produktion &amp; forbrug'!$A145,'Forbrug af biomasse'!$D$2:$D$425,'Resultat-Produktion &amp; forbrug'!$E145,'Forbrug af biomasse'!$A$2:$A$425,'Resultat-Produktion &amp; forbrug'!M$3,'Forbrug af biomasse'!$B$2:$B$425,$F145),G145)</f>
        <v>0</v>
      </c>
      <c r="N145" s="94">
        <f>SUMIFS('Forbrug af biomasse'!E:E,'Forbrug af biomasse'!C:C,'Resultat-Produktion &amp; forbrug'!$A145,'Forbrug af biomasse'!D:D,'Resultat-Produktion &amp; forbrug'!$E145,'Forbrug af biomasse'!G:G,1,'Forbrug af biomasse'!B:B,$F145)</f>
        <v>0</v>
      </c>
      <c r="O145" s="179">
        <f t="shared" si="20"/>
        <v>0</v>
      </c>
      <c r="P145" s="94">
        <f t="shared" si="28"/>
        <v>0</v>
      </c>
      <c r="Q145" s="180">
        <f t="shared" si="21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IF(A145&lt;&gt;"Biogas",IFERROR(VLOOKUP(A145,[1]Biogasudbytte!$A$2:$B$18,2,FALSE)*[1]Energiindhold!$C$10,0)*K145*IFERROR(VLOOKUP(A145,Biogasanlæg!$F$3:$G$8,2,FALSE),1)+IFERROR(VLOOKUP(A145,[1]Energiindhold!$A$2:$C$11,3,FALSE),0)*M145+IF(E145&lt;&gt;År1,R145,0),0)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22"/>
        <v>0</v>
      </c>
      <c r="V145" s="169">
        <f>P145*IFERROR(VLOOKUP(A145,[1]Tørstofindhold!A$2:B$24,2,FALSE),0)</f>
        <v>0</v>
      </c>
      <c r="W145">
        <f>IF(E145=År1,Q145,SUM(P145,Q145))*IFERROR(VLOOKUP(A145,[1]Tørstofindhold!A$2:B$24,2,FALSE),0)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23"/>
        <v>0</v>
      </c>
      <c r="Z145">
        <f t="shared" si="29"/>
        <v>0</v>
      </c>
      <c r="AA145">
        <f t="shared" si="30"/>
        <v>0</v>
      </c>
    </row>
    <row r="146" spans="1:27" x14ac:dyDescent="0.25">
      <c r="A146" s="171" t="str">
        <f t="shared" si="31"/>
        <v>Træ til energi</v>
      </c>
      <c r="B146" s="171" t="str">
        <f t="shared" si="32"/>
        <v>Vedmasse</v>
      </c>
      <c r="C146" s="171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1</v>
      </c>
      <c r="D146" s="171">
        <f t="shared" si="27"/>
        <v>0</v>
      </c>
      <c r="E146" s="171">
        <f t="shared" si="26"/>
        <v>2050</v>
      </c>
      <c r="F146" t="s">
        <v>23</v>
      </c>
      <c r="G146" s="94">
        <f ca="1">IF(F146="Vestdanmark",SUMIFS(IF(E146=År1,'Resultater - Vestdanmark'!H$3:H$504,IF(E146=År2,'Resultater - Vestdanmark'!I$3:I$504,'Resultater - Vestdanmark'!J$3:J$504)),'Resultater - Vestdanmark'!$F$3:$F$504,$A146,IF(E146=År1,'Resultater - Vestdanmark'!H$3:H$504,IF(E146=År2,'Resultater - Vestdanmark'!I$3:I$504,'Resultater - Vestdanmark'!J$3:J$504)),"&gt;0"),SUMIFS(IF(E146=År1,'Resultater - Østdanmark'!H$3:H$504,IF(E146=År2,'Resultater - Østdanmark'!I$3:I$504,'Resultater - Østdanmark'!J$3:J$504)),'Resultater - Østdanmark'!$F$3:$F$504,$A146,IF(E146=År1,'Resultater - Østdanmark'!H$3:H$504,IF(E146=År2,'Resultater - Østdanmark'!I$3:I$504,'Resultater - Østdanmark'!J$3:J$504)),"&gt;0"))</f>
        <v>2149322.1793498904</v>
      </c>
      <c r="H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forbrug'!H$3,'Forbrug af biomasse'!$B$2:$B$425,$F146)</f>
        <v>0</v>
      </c>
      <c r="I146">
        <f>IF(F146="Vestdanmark",-IF(A146="Halm",SUMIFS(IF(E146=År1,'Resultater - Vestdanmark'!H$3:H$504,IF(E146=År2,'Resultater - Vestdanmark'!I$3:I$504,'Resultater - Vestdanmark'!J$3:J$504)),'Resultater - Vestdanmark'!$F$3:$F$504,$A146,'Resultater - Vestdanmark'!H$3:H$504,"&lt;0"),0),-IF(A146="Halm",SUMIFS(IF(E146=År1,'Resultater - Østdanmark'!H$3:H$504,IF(E146=År2,'Resultater - Østdanmark'!I$3:I$504,'Resultater - Østdanmark'!J$3:J$504)),'Resultater - Østdanmark'!$F$3:$F$504,$A146,'Resultater - Østdanmark'!H$3:H$504,"&lt;0"),0))</f>
        <v>0</v>
      </c>
      <c r="J146" s="94"/>
      <c r="K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forbrug'!K$3,'Forbrug af biomasse'!$B$2:$B$425,$F146)</f>
        <v>0</v>
      </c>
      <c r="L146" s="94">
        <f>SUMIFS('Forbrug af biomasse'!$E$2:$E$425,'Forbrug af biomasse'!$C$2:$C$425,'Resultat-Produktion &amp; forbrug'!$A146,'Forbrug af biomasse'!$D$2:$D$425,'Resultat-Produktion &amp; forbrug'!$E146,'Forbrug af biomasse'!$A$2:$A$425,'Resultat-Produktion &amp; forbrug'!L$3,'Forbrug af biomasse'!$B$2:$B$425,$F146)</f>
        <v>0</v>
      </c>
      <c r="M146" s="94">
        <f ca="1">IF(A146&lt;&gt;"Biogas",SUMIFS('Forbrug af biomasse'!$E$2:$E$425,'Forbrug af biomasse'!$C$2:$C$425,'Resultat-Produktion &amp; forbrug'!$A146,'Forbrug af biomasse'!$D$2:$D$425,'Resultat-Produktion &amp; forbrug'!$E146,'Forbrug af biomasse'!$A$2:$A$425,'Resultat-Produktion &amp; forbrug'!M$3,'Forbrug af biomasse'!$B$2:$B$425,$F146),G146)</f>
        <v>2149322.1793498904</v>
      </c>
      <c r="N146" s="94">
        <f>SUMIFS('Forbrug af biomasse'!E:E,'Forbrug af biomasse'!C:C,'Resultat-Produktion &amp; forbrug'!$A146,'Forbrug af biomasse'!D:D,'Resultat-Produktion &amp; forbrug'!$E146,'Forbrug af biomasse'!G:G,1,'Forbrug af biomasse'!B:B,$F146)</f>
        <v>0</v>
      </c>
      <c r="O146" s="179">
        <f t="shared" ca="1" si="20"/>
        <v>0</v>
      </c>
      <c r="P146" s="94">
        <f t="shared" ca="1" si="28"/>
        <v>0</v>
      </c>
      <c r="Q146" s="180">
        <f t="shared" ca="1" si="21"/>
        <v>2149322.1793498904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IF(A146&lt;&gt;"Biogas",IFERROR(VLOOKUP(A146,[1]Biogasudbytte!$A$2:$B$18,2,FALSE)*[1]Energiindhold!$C$10,0)*K146*IFERROR(VLOOKUP(A146,Biogasanlæg!$F$3:$G$8,2,FALSE),1)+IFERROR(VLOOKUP(A146,[1]Energiindhold!$A$2:$C$11,3,FALSE),0)*M146+IF(E146&lt;&gt;År1,R146,0),0)</f>
        <v>31.151349096372208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22"/>
        <v>31.151349096372208</v>
      </c>
      <c r="V146" s="169">
        <f ca="1">P146*IFERROR(VLOOKUP(A146,[1]Tørstofindhold!A$2:B$24,2,FALSE),0)</f>
        <v>0</v>
      </c>
      <c r="W146">
        <f ca="1">IF(E146=År1,Q146,SUM(P146,Q146))*IFERROR(VLOOKUP(A146,[1]Tørstofindhold!A$2:B$24,2,FALSE),0)</f>
        <v>1063018.9278701332</v>
      </c>
      <c r="X146">
        <f>K146*IFERROR(VLOOKUP(A146,[1]Tørstofindhold!A$2:B$24,2,FALSE),0)</f>
        <v>0</v>
      </c>
      <c r="Y146" s="170">
        <f t="shared" ca="1" si="23"/>
        <v>1063018.9278701332</v>
      </c>
      <c r="Z146">
        <f t="shared" ca="1" si="29"/>
        <v>0</v>
      </c>
      <c r="AA146">
        <f t="shared" ca="1" si="30"/>
        <v>0</v>
      </c>
    </row>
    <row r="147" spans="1:27" x14ac:dyDescent="0.25">
      <c r="A147" s="171" t="str">
        <f t="shared" si="31"/>
        <v>Træmaterialer</v>
      </c>
      <c r="B147" s="171" t="str">
        <f t="shared" si="32"/>
        <v/>
      </c>
      <c r="C147" s="171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71">
        <f t="shared" si="27"/>
        <v>0</v>
      </c>
      <c r="E147" s="171">
        <f t="shared" si="26"/>
        <v>2050</v>
      </c>
      <c r="F147" t="s">
        <v>23</v>
      </c>
      <c r="G147" s="94">
        <f ca="1">IF(F147="Vestdanmark",SUMIFS(IF(E147=År1,'Resultater - Vestdanmark'!H$3:H$504,IF(E147=År2,'Resultater - Vestdanmark'!I$3:I$504,'Resultater - Vestdanmark'!J$3:J$504)),'Resultater - Vestdanmark'!$F$3:$F$504,$A147,IF(E147=År1,'Resultater - Vestdanmark'!H$3:H$504,IF(E147=År2,'Resultater - Vestdanmark'!I$3:I$504,'Resultater - Vestdanmark'!J$3:J$504)),"&gt;0"),SUMIFS(IF(E147=År1,'Resultater - Østdanmark'!H$3:H$504,IF(E147=År2,'Resultater - Østdanmark'!I$3:I$504,'Resultater - Østdanmark'!J$3:J$504)),'Resultater - Østdanmark'!$F$3:$F$504,$A147,IF(E147=År1,'Resultater - Østdanmark'!H$3:H$504,IF(E147=År2,'Resultater - Østdanmark'!I$3:I$504,'Resultater - Østdanmark'!J$3:J$504)),"&gt;0"))</f>
        <v>637679.95429535187</v>
      </c>
      <c r="H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forbrug'!H$3,'Forbrug af biomasse'!$B$2:$B$425,$F147)</f>
        <v>0</v>
      </c>
      <c r="I147">
        <f>IF(F147="Vestdanmark",-IF(A147="Halm",SUMIFS(IF(E147=År1,'Resultater - Vestdanmark'!H$3:H$504,IF(E147=År2,'Resultater - Vestdanmark'!I$3:I$504,'Resultater - Vestdanmark'!J$3:J$504)),'Resultater - Vestdanmark'!$F$3:$F$504,$A147,'Resultater - Vestdanmark'!H$3:H$504,"&lt;0"),0),-IF(A147="Halm",SUMIFS(IF(E147=År1,'Resultater - Østdanmark'!H$3:H$504,IF(E147=År2,'Resultater - Østdanmark'!I$3:I$504,'Resultater - Østdanmark'!J$3:J$504)),'Resultater - Østdanmark'!$F$3:$F$504,$A147,'Resultater - Østdanmark'!H$3:H$504,"&lt;0"),0))</f>
        <v>0</v>
      </c>
      <c r="J147" s="94"/>
      <c r="K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forbrug'!K$3,'Forbrug af biomasse'!$B$2:$B$425,$F147)</f>
        <v>0</v>
      </c>
      <c r="L147" s="94">
        <f>SUMIFS('Forbrug af biomasse'!$E$2:$E$425,'Forbrug af biomasse'!$C$2:$C$425,'Resultat-Produktion &amp; forbrug'!$A147,'Forbrug af biomasse'!$D$2:$D$425,'Resultat-Produktion &amp; forbrug'!$E147,'Forbrug af biomasse'!$A$2:$A$425,'Resultat-Produktion &amp; forbrug'!L$3,'Forbrug af biomasse'!$B$2:$B$425,$F147)</f>
        <v>0</v>
      </c>
      <c r="M147" s="94">
        <f>IF(A147&lt;&gt;"Biogas",SUMIFS('Forbrug af biomasse'!$E$2:$E$425,'Forbrug af biomasse'!$C$2:$C$425,'Resultat-Produktion &amp; forbrug'!$A147,'Forbrug af biomasse'!$D$2:$D$425,'Resultat-Produktion &amp; forbrug'!$E147,'Forbrug af biomasse'!$A$2:$A$425,'Resultat-Produktion &amp; forbrug'!M$3,'Forbrug af biomasse'!$B$2:$B$425,$F147),G147)</f>
        <v>0</v>
      </c>
      <c r="N147" s="94">
        <f ca="1">SUMIFS('Forbrug af biomasse'!E:E,'Forbrug af biomasse'!C:C,'Resultat-Produktion &amp; forbrug'!$A147,'Forbrug af biomasse'!D:D,'Resultat-Produktion &amp; forbrug'!$E147,'Forbrug af biomasse'!G:G,1,'Forbrug af biomasse'!B:B,$F147)</f>
        <v>637679.95429535187</v>
      </c>
      <c r="O147" s="179">
        <f t="shared" ca="1" si="20"/>
        <v>0</v>
      </c>
      <c r="P147" s="94">
        <f t="shared" si="28"/>
        <v>0</v>
      </c>
      <c r="Q147" s="180">
        <f t="shared" si="21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IF(A147&lt;&gt;"Biogas",IFERROR(VLOOKUP(A147,[1]Biogasudbytte!$A$2:$B$18,2,FALSE)*[1]Energiindhold!$C$10,0)*K147*IFERROR(VLOOKUP(A147,Biogasanlæg!$F$3:$G$8,2,FALSE),1)+IFERROR(VLOOKUP(A147,[1]Energiindhold!$A$2:$C$11,3,FALSE),0)*M147+IF(E147&lt;&gt;År1,R147,0),0)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22"/>
        <v>0</v>
      </c>
      <c r="V147" s="169">
        <f>P147*IFERROR(VLOOKUP(A147,[1]Tørstofindhold!A$2:B$24,2,FALSE),0)</f>
        <v>0</v>
      </c>
      <c r="W147">
        <f>IF(E147=År1,Q147,SUM(P147,Q147))*IFERROR(VLOOKUP(A147,[1]Tørstofindhold!A$2:B$24,2,FALSE),0)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23"/>
        <v>0</v>
      </c>
      <c r="Z147">
        <f t="shared" ca="1" si="29"/>
        <v>0</v>
      </c>
      <c r="AA147">
        <f t="shared" ca="1" si="30"/>
        <v>0</v>
      </c>
    </row>
    <row r="148" spans="1:27" x14ac:dyDescent="0.25">
      <c r="A148" s="171" t="s">
        <v>15</v>
      </c>
      <c r="B148" s="171"/>
      <c r="C148" s="171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71">
        <f t="shared" si="27"/>
        <v>1</v>
      </c>
      <c r="E148" s="171">
        <f t="shared" ref="E148:E195" si="33">År1</f>
        <v>2019</v>
      </c>
      <c r="F148" t="s">
        <v>24</v>
      </c>
      <c r="G148" s="94">
        <f>IF(F148="Vestdanmark",SUMIFS(IF(E148=År1,'Resultater - Vestdanmark'!H$3:H$504,IF(E148=År2,'Resultater - Vestdanmark'!I$3:I$504,'Resultater - Vestdanmark'!J$3:J$504)),'Resultater - Vestdanmark'!$F$3:$F$504,$A148,IF(E148=År1,'Resultater - Vestdanmark'!H$3:H$504,IF(E148=År2,'Resultater - Vestdanmark'!I$3:I$504,'Resultater - Vestdanmark'!J$3:J$504)),"&gt;0"),SUMIFS(IF(E148=År1,'Resultater - Østdanmark'!H$3:H$504,IF(E148=År2,'Resultater - Østdanmark'!I$3:I$504,'Resultater - Østdanmark'!J$3:J$504)),'Resultater - Østdanmark'!$F$3:$F$504,$A148,IF(E148=År1,'Resultater - Østdanmark'!H$3:H$504,IF(E148=År2,'Resultater - Østdanmark'!I$3:I$504,'Resultater - Østdanmark'!J$3:J$504)),"&gt;0"))</f>
        <v>18450.007031483605</v>
      </c>
      <c r="H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forbrug'!H$3,'Forbrug af biomasse'!$B$2:$B$425,$F148)</f>
        <v>0</v>
      </c>
      <c r="I148">
        <f>IF(F148="Vestdanmark",-IF(A148="Halm",SUMIFS(IF(E148=År1,'Resultater - Vestdanmark'!H$3:H$504,IF(E148=År2,'Resultater - Vestdanmark'!I$3:I$504,'Resultater - Vestdanmark'!J$3:J$504)),'Resultater - Vestdanmark'!$F$3:$F$504,$A148,'Resultater - Vestdanmark'!H$3:H$504,"&lt;0"),0),-IF(A148="Halm",SUMIFS(IF(E148=År1,'Resultater - Østdanmark'!H$3:H$504,IF(E148=År2,'Resultater - Østdanmark'!I$3:I$504,'Resultater - Østdanmark'!J$3:J$504)),'Resultater - Østdanmark'!$F$3:$F$504,$A148,'Resultater - Østdanmark'!H$3:H$504,"&lt;0"),0))</f>
        <v>0</v>
      </c>
      <c r="J148" s="94"/>
      <c r="K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forbrug'!K$3,'Forbrug af biomasse'!$B$2:$B$425,$F148)</f>
        <v>0</v>
      </c>
      <c r="L148" s="94">
        <f>SUMIFS('Forbrug af biomasse'!$E$2:$E$425,'Forbrug af biomasse'!$C$2:$C$425,'Resultat-Produktion &amp; forbrug'!$A148,'Forbrug af biomasse'!$D$2:$D$425,'Resultat-Produktion &amp; forbrug'!$E148,'Forbrug af biomasse'!$A$2:$A$425,'Resultat-Produktion &amp; forbrug'!L$3,'Forbrug af biomasse'!$B$2:$B$425,$F148)</f>
        <v>0</v>
      </c>
      <c r="M148" s="94">
        <f>IF(A148&lt;&gt;"Biogas",SUMIFS('Forbrug af biomasse'!$E$2:$E$425,'Forbrug af biomasse'!$C$2:$C$425,'Resultat-Produktion &amp; forbrug'!$A148,'Forbrug af biomasse'!$D$2:$D$425,'Resultat-Produktion &amp; forbrug'!$E148,'Forbrug af biomasse'!$A$2:$A$425,'Resultat-Produktion &amp; forbrug'!M$3,'Forbrug af biomasse'!$B$2:$B$425,$F148),G148)</f>
        <v>0</v>
      </c>
      <c r="N148" s="94">
        <f>SUMIFS('Forbrug af biomasse'!E:E,'Forbrug af biomasse'!C:C,'Resultat-Produktion &amp; forbrug'!$A148,'Forbrug af biomasse'!D:D,'Resultat-Produktion &amp; forbrug'!$E148,'Forbrug af biomasse'!G:G,1,'Forbrug af biomasse'!B:B,$F148)</f>
        <v>0</v>
      </c>
      <c r="O148" s="179">
        <f t="shared" si="20"/>
        <v>18450.007031483605</v>
      </c>
      <c r="P148" s="94">
        <f t="shared" si="28"/>
        <v>0</v>
      </c>
      <c r="Q148" s="180">
        <f t="shared" si="21"/>
        <v>0</v>
      </c>
      <c r="R148">
        <f>IFERROR(VLOOKUP(A148,[1]Energiindhold!$A$2:$C$11,3,FALSE),IFERROR(VLOOKUP(A148,[1]Biogasudbytte!$A$2:$B$18,2,FALSE)*[1]Energiindhold!$C$10,0))*P148</f>
        <v>0</v>
      </c>
      <c r="S148">
        <f>IF(A148&lt;&gt;"Biogas",IFERROR(VLOOKUP(A148,[1]Biogasudbytte!$A$2:$B$18,2,FALSE)*[1]Energiindhold!$C$10,0)*K148*IFERROR(VLOOKUP(A148,Biogasanlæg!$F$3:$G$8,2,FALSE),1)+IFERROR(VLOOKUP(A148,[1]Energiindhold!$A$2:$C$11,3,FALSE),0)*M148+IF(E148&lt;&gt;År1,R148,0),0)</f>
        <v>0</v>
      </c>
      <c r="T148">
        <f>IFERROR(VLOOKUP(A148,[1]Biogasudbytte!$A$2:$B$18,2,FALSE)*[1]Energiindhold!$C$10,0)*K148*IFERROR(VLOOKUP(A148,Biogasanlæg!$F$3:$G$8,2,FALSE),1)</f>
        <v>0</v>
      </c>
      <c r="U148" s="170">
        <f t="shared" si="22"/>
        <v>0</v>
      </c>
      <c r="V148" s="169">
        <f>P148*IFERROR(VLOOKUP(A148,[1]Tørstofindhold!A$2:B$24,2,FALSE),0)</f>
        <v>0</v>
      </c>
      <c r="W148">
        <f>IF(E148=År1,Q148,SUM(P148,Q148))*IFERROR(VLOOKUP(A148,[1]Tørstofindhold!A$2:B$24,2,FALSE),0)</f>
        <v>0</v>
      </c>
      <c r="X148">
        <f>K148*IFERROR(VLOOKUP(A148,[1]Tørstofindhold!A$2:B$24,2,FALSE),0)</f>
        <v>0</v>
      </c>
      <c r="Y148" s="170">
        <f t="shared" si="23"/>
        <v>0</v>
      </c>
      <c r="Z148">
        <f t="shared" si="29"/>
        <v>0</v>
      </c>
      <c r="AA148">
        <f t="shared" si="30"/>
        <v>1</v>
      </c>
    </row>
    <row r="149" spans="1:27" x14ac:dyDescent="0.25">
      <c r="A149" s="171" t="s">
        <v>49</v>
      </c>
      <c r="B149" s="171"/>
      <c r="C149" s="171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0</v>
      </c>
      <c r="D149" s="171">
        <f t="shared" si="27"/>
        <v>1</v>
      </c>
      <c r="E149" s="171">
        <f t="shared" si="33"/>
        <v>2019</v>
      </c>
      <c r="F149" t="s">
        <v>24</v>
      </c>
      <c r="G149" s="94">
        <f>IF(F149="Vestdanmark",SUMIFS(IF(E149=År1,'Resultater - Vestdanmark'!H$3:H$504,IF(E149=År2,'Resultater - Vestdanmark'!I$3:I$504,'Resultater - Vestdanmark'!J$3:J$504)),'Resultater - Vestdanmark'!$F$3:$F$504,$A149,IF(E149=År1,'Resultater - Vestdanmark'!H$3:H$504,IF(E149=År2,'Resultater - Vestdanmark'!I$3:I$504,'Resultater - Vestdanmark'!J$3:J$504)),"&gt;0"),SUMIFS(IF(E149=År1,'Resultater - Østdanmark'!H$3:H$504,IF(E149=År2,'Resultater - Østdanmark'!I$3:I$504,'Resultater - Østdanmark'!J$3:J$504)),'Resultater - Østdanmark'!$F$3:$F$504,$A149,IF(E149=År1,'Resultater - Østdanmark'!H$3:H$504,IF(E149=År2,'Resultater - Østdanmark'!I$3:I$504,'Resultater - Østdanmark'!J$3:J$504)),"&gt;0"))</f>
        <v>26972.495538657848</v>
      </c>
      <c r="H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forbrug'!H$3,'Forbrug af biomasse'!$B$2:$B$425,$F149)</f>
        <v>7916.616753740097</v>
      </c>
      <c r="I149">
        <f>IF(F149="Vestdanmark",-IF(A149="Halm",SUMIFS(IF(E149=År1,'Resultater - Vestdanmark'!H$3:H$504,IF(E149=År2,'Resultater - Vestdanmark'!I$3:I$504,'Resultater - Vestdanmark'!J$3:J$504)),'Resultater - Vestdanmark'!$F$3:$F$504,$A149,'Resultater - Vestdanmark'!H$3:H$504,"&lt;0"),0),-IF(A149="Halm",SUMIFS(IF(E149=År1,'Resultater - Østdanmark'!H$3:H$504,IF(E149=År2,'Resultater - Østdanmark'!I$3:I$504,'Resultater - Østdanmark'!J$3:J$504)),'Resultater - Østdanmark'!$F$3:$F$504,$A149,'Resultater - Østdanmark'!H$3:H$504,"&lt;0"),0))</f>
        <v>0</v>
      </c>
      <c r="J149" s="94"/>
      <c r="K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forbrug'!K$3,'Forbrug af biomasse'!$B$2:$B$425,$F149)</f>
        <v>0</v>
      </c>
      <c r="L149" s="94">
        <f>SUMIFS('Forbrug af biomasse'!$E$2:$E$425,'Forbrug af biomasse'!$C$2:$C$425,'Resultat-Produktion &amp; forbrug'!$A149,'Forbrug af biomasse'!$D$2:$D$425,'Resultat-Produktion &amp; forbrug'!$E149,'Forbrug af biomasse'!$A$2:$A$425,'Resultat-Produktion &amp; forbrug'!L$3,'Forbrug af biomasse'!$B$2:$B$425,$F149)</f>
        <v>0</v>
      </c>
      <c r="M149" s="94">
        <f>IF(A149&lt;&gt;"Biogas",SUMIFS('Forbrug af biomasse'!$E$2:$E$425,'Forbrug af biomasse'!$C$2:$C$425,'Resultat-Produktion &amp; forbrug'!$A149,'Forbrug af biomasse'!$D$2:$D$425,'Resultat-Produktion &amp; forbrug'!$E149,'Forbrug af biomasse'!$A$2:$A$425,'Resultat-Produktion &amp; forbrug'!M$3,'Forbrug af biomasse'!$B$2:$B$425,$F149),G149)</f>
        <v>0</v>
      </c>
      <c r="N149" s="94">
        <f>SUMIFS('Forbrug af biomasse'!E:E,'Forbrug af biomasse'!C:C,'Resultat-Produktion &amp; forbrug'!$A149,'Forbrug af biomasse'!D:D,'Resultat-Produktion &amp; forbrug'!$E149,'Forbrug af biomasse'!G:G,1,'Forbrug af biomasse'!B:B,$F149)</f>
        <v>0</v>
      </c>
      <c r="O149" s="179">
        <f t="shared" si="20"/>
        <v>19055.87878491775</v>
      </c>
      <c r="P149" s="94">
        <f t="shared" si="28"/>
        <v>0</v>
      </c>
      <c r="Q149" s="180">
        <f t="shared" si="21"/>
        <v>0</v>
      </c>
      <c r="R149">
        <f>IFERROR(VLOOKUP(A149,[1]Energiindhold!$A$2:$C$11,3,FALSE),IFERROR(VLOOKUP(A149,[1]Biogasudbytte!$A$2:$B$18,2,FALSE)*[1]Energiindhold!$C$10,0))*P149</f>
        <v>0</v>
      </c>
      <c r="S149">
        <f>IF(A149&lt;&gt;"Biogas",IFERROR(VLOOKUP(A149,[1]Biogasudbytte!$A$2:$B$18,2,FALSE)*[1]Energiindhold!$C$10,0)*K149*IFERROR(VLOOKUP(A149,Biogasanlæg!$F$3:$G$8,2,FALSE),1)+IFERROR(VLOOKUP(A149,[1]Energiindhold!$A$2:$C$11,3,FALSE),0)*M149+IF(E149&lt;&gt;År1,R149,0),0)</f>
        <v>0</v>
      </c>
      <c r="T149">
        <f>IFERROR(VLOOKUP(A149,[1]Biogasudbytte!$A$2:$B$18,2,FALSE)*[1]Energiindhold!$C$10,0)*K149*IFERROR(VLOOKUP(A149,Biogasanlæg!$F$3:$G$8,2,FALSE),1)</f>
        <v>0</v>
      </c>
      <c r="U149" s="170">
        <f t="shared" si="22"/>
        <v>0</v>
      </c>
      <c r="V149" s="169">
        <f>P149*IFERROR(VLOOKUP(A149,[1]Tørstofindhold!A$2:B$24,2,FALSE),0)</f>
        <v>0</v>
      </c>
      <c r="W149">
        <f>IF(E149=År1,Q149,SUM(P149,Q149))*IFERROR(VLOOKUP(A149,[1]Tørstofindhold!A$2:B$24,2,FALSE),0)</f>
        <v>0</v>
      </c>
      <c r="X149">
        <f>K149*IFERROR(VLOOKUP(A149,[1]Tørstofindhold!A$2:B$24,2,FALSE),0)</f>
        <v>0</v>
      </c>
      <c r="Y149" s="170">
        <f t="shared" si="23"/>
        <v>0</v>
      </c>
      <c r="Z149">
        <f t="shared" si="29"/>
        <v>0</v>
      </c>
      <c r="AA149">
        <f t="shared" si="30"/>
        <v>1</v>
      </c>
    </row>
    <row r="150" spans="1:27" x14ac:dyDescent="0.25">
      <c r="A150" s="171" t="s">
        <v>102</v>
      </c>
      <c r="B150" s="171" t="s">
        <v>229</v>
      </c>
      <c r="C150" s="171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71">
        <f t="shared" si="27"/>
        <v>0</v>
      </c>
      <c r="E150" s="171">
        <f t="shared" si="33"/>
        <v>2019</v>
      </c>
      <c r="F150" t="s">
        <v>24</v>
      </c>
      <c r="G150" s="94">
        <f ca="1">IF(F150="Vestdanmark",SUMIFS(IF(E150=År1,'Resultater - Vestdanmark'!H$3:H$504,IF(E150=År2,'Resultater - Vestdanmark'!I$3:I$504,'Resultater - Vestdanmark'!J$3:J$504)),'Resultater - Vestdanmark'!$F$3:$F$504,$A150,IF(E150=År1,'Resultater - Vestdanmark'!H$3:H$504,IF(E150=År2,'Resultater - Vestdanmark'!I$3:I$504,'Resultater - Vestdanmark'!J$3:J$504)),"&gt;0"),SUMIFS(IF(E150=År1,'Resultater - Østdanmark'!H$3:H$504,IF(E150=År2,'Resultater - Østdanmark'!I$3:I$504,'Resultater - Østdanmark'!J$3:J$504)),'Resultater - Østdanmark'!$F$3:$F$504,$A150,IF(E150=År1,'Resultater - Østdanmark'!H$3:H$504,IF(E150=År2,'Resultater - Østdanmark'!I$3:I$504,'Resultater - Østdanmark'!J$3:J$504)),"&gt;0"))</f>
        <v>165083.0224523381</v>
      </c>
      <c r="H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forbrug'!H$3,'Forbrug af biomasse'!$B$2:$B$425,$F150)</f>
        <v>0</v>
      </c>
      <c r="I150">
        <f>IF(F150="Vestdanmark",-IF(A150="Halm",SUMIFS(IF(E150=År1,'Resultater - Vestdanmark'!H$3:H$504,IF(E150=År2,'Resultater - Vestdanmark'!I$3:I$504,'Resultater - Vestdanmark'!J$3:J$504)),'Resultater - Vestdanmark'!$F$3:$F$504,$A150,'Resultater - Vestdanmark'!H$3:H$504,"&lt;0"),0),-IF(A150="Halm",SUMIFS(IF(E150=År1,'Resultater - Østdanmark'!H$3:H$504,IF(E150=År2,'Resultater - Østdanmark'!I$3:I$504,'Resultater - Østdanmark'!J$3:J$504)),'Resultater - Østdanmark'!$F$3:$F$504,$A150,'Resultater - Østdanmark'!H$3:H$504,"&lt;0"),0))</f>
        <v>0</v>
      </c>
      <c r="J150" s="94"/>
      <c r="K150" s="94">
        <f ca="1">SUMIFS('Forbrug af biomasse'!$E$2:$E$425,'Forbrug af biomasse'!$C$2:$C$425,'Resultat-Produktion &amp; forbrug'!$A150,'Forbrug af biomasse'!$D$2:$D$425,'Resultat-Produktion &amp; forbrug'!$E150,'Forbrug af biomasse'!$A$2:$A$425,'Resultat-Produktion &amp; forbrug'!K$3,'Forbrug af biomasse'!$B$2:$B$425,$F150)</f>
        <v>335590.35573220561</v>
      </c>
      <c r="L150" s="94">
        <f>SUMIFS('Forbrug af biomasse'!$E$2:$E$425,'Forbrug af biomasse'!$C$2:$C$425,'Resultat-Produktion &amp; forbrug'!$A150,'Forbrug af biomasse'!$D$2:$D$425,'Resultat-Produktion &amp; forbrug'!$E150,'Forbrug af biomasse'!$A$2:$A$425,'Resultat-Produktion &amp; forbrug'!L$3,'Forbrug af biomasse'!$B$2:$B$425,$F150)</f>
        <v>0</v>
      </c>
      <c r="M150" s="94">
        <f ca="1">IF(A150&lt;&gt;"Biogas",SUMIFS('Forbrug af biomasse'!$E$2:$E$425,'Forbrug af biomasse'!$C$2:$C$425,'Resultat-Produktion &amp; forbrug'!$A150,'Forbrug af biomasse'!$D$2:$D$425,'Resultat-Produktion &amp; forbrug'!$E150,'Forbrug af biomasse'!$A$2:$A$425,'Resultat-Produktion &amp; forbrug'!M$3,'Forbrug af biomasse'!$B$2:$B$425,$F150),G150)</f>
        <v>0</v>
      </c>
      <c r="N150" s="94">
        <f ca="1">SUMIFS('Forbrug af biomasse'!E:E,'Forbrug af biomasse'!C:C,'Resultat-Produktion &amp; forbrug'!$A150,'Forbrug af biomasse'!D:D,'Resultat-Produktion &amp; forbrug'!$E150,'Forbrug af biomasse'!G:G,1,'Forbrug af biomasse'!B:B,$F150)</f>
        <v>0</v>
      </c>
      <c r="O150" s="179">
        <f t="shared" ca="1" si="20"/>
        <v>-170507.33327986751</v>
      </c>
      <c r="P150" s="94">
        <f t="shared" ca="1" si="28"/>
        <v>0</v>
      </c>
      <c r="Q150" s="180">
        <f t="shared" ca="1" si="21"/>
        <v>335590.35573220561</v>
      </c>
      <c r="R150">
        <f ca="1">IFERROR(VLOOKUP(A150,[1]Energiindhold!$A$2:$C$11,3,FALSE),IFERROR(VLOOKUP(A150,[1]Biogasudbytte!$A$2:$B$18,2,FALSE)*[1]Energiindhold!$C$10,0))*P150</f>
        <v>0</v>
      </c>
      <c r="S150">
        <f ca="1">IF(A150&lt;&gt;"Biogas",IFERROR(VLOOKUP(A150,[1]Biogasudbytte!$A$2:$B$18,2,FALSE)*[1]Energiindhold!$C$10,0)*K150*IFERROR(VLOOKUP(A150,Biogasanlæg!$F$3:$G$8,2,FALSE),1)+IFERROR(VLOOKUP(A150,[1]Energiindhold!$A$2:$C$11,3,FALSE),0)*M150+IF(E150&lt;&gt;År1,R150,0),0)</f>
        <v>1.1433261388476088</v>
      </c>
      <c r="T150">
        <f ca="1">IFERROR(VLOOKUP(A150,[1]Biogasudbytte!$A$2:$B$18,2,FALSE)*[1]Energiindhold!$C$10,0)*K150*IFERROR(VLOOKUP(A150,Biogasanlæg!$F$3:$G$8,2,FALSE),1)</f>
        <v>1.1433261388476088</v>
      </c>
      <c r="U150" s="170">
        <f t="shared" ca="1" si="22"/>
        <v>0</v>
      </c>
      <c r="V150" s="169">
        <f ca="1">P150*IFERROR(VLOOKUP(A150,[1]Tørstofindhold!A$2:B$24,2,FALSE),0)</f>
        <v>0</v>
      </c>
      <c r="W150">
        <f ca="1">IF(E150=År1,Q150,SUM(P150,Q150))*IFERROR(VLOOKUP(A150,[1]Tørstofindhold!A$2:B$24,2,FALSE),0)</f>
        <v>93965.299605017586</v>
      </c>
      <c r="X150">
        <f ca="1">K150*IFERROR(VLOOKUP(A150,[1]Tørstofindhold!A$2:B$24,2,FALSE),0)</f>
        <v>93965.299605017586</v>
      </c>
      <c r="Y150" s="170">
        <f t="shared" ca="1" si="23"/>
        <v>0</v>
      </c>
      <c r="Z150">
        <f t="shared" ca="1" si="29"/>
        <v>1</v>
      </c>
      <c r="AA150">
        <f t="shared" ca="1" si="30"/>
        <v>0</v>
      </c>
    </row>
    <row r="151" spans="1:27" x14ac:dyDescent="0.25">
      <c r="A151" s="171" t="s">
        <v>109</v>
      </c>
      <c r="B151" s="171"/>
      <c r="C151" s="171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1</v>
      </c>
      <c r="D151" s="171">
        <f t="shared" si="27"/>
        <v>0</v>
      </c>
      <c r="E151" s="171">
        <f t="shared" si="33"/>
        <v>2019</v>
      </c>
      <c r="F151" t="s">
        <v>24</v>
      </c>
      <c r="G151" s="94">
        <f ca="1">IF(F151="Vestdanmark",SUMIFS(IF(E151=År1,'Resultater - Vestdanmark'!H$3:H$504,IF(E151=År2,'Resultater - Vestdanmark'!I$3:I$504,'Resultater - Vestdanmark'!J$3:J$504)),'Resultater - Vestdanmark'!$F$3:$F$504,$A151,IF(E151=År1,'Resultater - Vestdanmark'!H$3:H$504,IF(E151=År2,'Resultater - Vestdanmark'!I$3:I$504,'Resultater - Vestdanmark'!J$3:J$504)),"&gt;0"),SUMIFS(IF(E151=År1,'Resultater - Østdanmark'!H$3:H$504,IF(E151=År2,'Resultater - Østdanmark'!I$3:I$504,'Resultater - Østdanmark'!J$3:J$504)),'Resultater - Østdanmark'!$F$3:$F$504,$A151,IF(E151=År1,'Resultater - Østdanmark'!H$3:H$504,IF(E151=År2,'Resultater - Østdanmark'!I$3:I$504,'Resultater - Østdanmark'!J$3:J$504)),"&gt;0"))</f>
        <v>110817068.59908372</v>
      </c>
      <c r="H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forbrug'!H$3,'Forbrug af biomasse'!$B$2:$B$425,$F151)</f>
        <v>0</v>
      </c>
      <c r="I151">
        <f>IF(F151="Vestdanmark",-IF(A151="Halm",SUMIFS(IF(E151=År1,'Resultater - Vestdanmark'!H$3:H$504,IF(E151=År2,'Resultater - Vestdanmark'!I$3:I$504,'Resultater - Vestdanmark'!J$3:J$504)),'Resultater - Vestdanmark'!$F$3:$F$504,$A151,'Resultater - Vestdanmark'!H$3:H$504,"&lt;0"),0),-IF(A151="Halm",SUMIFS(IF(E151=År1,'Resultater - Østdanmark'!H$3:H$504,IF(E151=År2,'Resultater - Østdanmark'!I$3:I$504,'Resultater - Østdanmark'!J$3:J$504)),'Resultater - Østdanmark'!$F$3:$F$504,$A151,'Resultater - Østdanmark'!H$3:H$504,"&lt;0"),0))</f>
        <v>0</v>
      </c>
      <c r="J151" s="94"/>
      <c r="K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forbrug'!K$3,'Forbrug af biomasse'!$B$2:$B$425,$F151)</f>
        <v>0</v>
      </c>
      <c r="L151" s="94">
        <f>SUMIFS('Forbrug af biomasse'!$E$2:$E$425,'Forbrug af biomasse'!$C$2:$C$425,'Resultat-Produktion &amp; forbrug'!$A151,'Forbrug af biomasse'!$D$2:$D$425,'Resultat-Produktion &amp; forbrug'!$E151,'Forbrug af biomasse'!$A$2:$A$425,'Resultat-Produktion &amp; forbrug'!L$3,'Forbrug af biomasse'!$B$2:$B$425,$F151)</f>
        <v>0</v>
      </c>
      <c r="M151" s="94">
        <f ca="1">IF(A151&lt;&gt;"Biogas",SUMIFS('Forbrug af biomasse'!$E$2:$E$425,'Forbrug af biomasse'!$C$2:$C$425,'Resultat-Produktion &amp; forbrug'!$A151,'Forbrug af biomasse'!$D$2:$D$425,'Resultat-Produktion &amp; forbrug'!$E151,'Forbrug af biomasse'!$A$2:$A$425,'Resultat-Produktion &amp; forbrug'!M$3,'Forbrug af biomasse'!$B$2:$B$425,$F151),G151)</f>
        <v>110817068.59908372</v>
      </c>
      <c r="N151" s="94">
        <f>SUMIFS('Forbrug af biomasse'!E:E,'Forbrug af biomasse'!C:C,'Resultat-Produktion &amp; forbrug'!$A151,'Forbrug af biomasse'!D:D,'Resultat-Produktion &amp; forbrug'!$E151,'Forbrug af biomasse'!G:G,1,'Forbrug af biomasse'!B:B,$F151)</f>
        <v>0</v>
      </c>
      <c r="O151" s="179">
        <f t="shared" ref="O151:O216" ca="1" si="34">G151-SUM(H151:N151)</f>
        <v>0</v>
      </c>
      <c r="P151" s="94">
        <f t="shared" ca="1" si="28"/>
        <v>0</v>
      </c>
      <c r="Q151" s="180">
        <f t="shared" ref="Q151:Q216" ca="1" si="35">SUM(K151,M151)</f>
        <v>110817068.59908372</v>
      </c>
      <c r="R151">
        <f ca="1">IFERROR(VLOOKUP(A151,[1]Energiindhold!$A$2:$C$11,3,FALSE),IFERROR(VLOOKUP(A151,[1]Biogasudbytte!$A$2:$B$18,2,FALSE)*[1]Energiindhold!$C$10,0))*P151</f>
        <v>0</v>
      </c>
      <c r="S151">
        <f>IF(A151&lt;&gt;"Biogas",IFERROR(VLOOKUP(A151,[1]Biogasudbytte!$A$2:$B$18,2,FALSE)*[1]Energiindhold!$C$10,0)*K151*IFERROR(VLOOKUP(A151,Biogasanlæg!$F$3:$G$8,2,FALSE),1)+IFERROR(VLOOKUP(A151,[1]Energiindhold!$A$2:$C$11,3,FALSE),0)*M151+IF(E151&lt;&gt;År1,R151,0),0)</f>
        <v>0</v>
      </c>
      <c r="T151">
        <f>IFERROR(VLOOKUP(A151,[1]Biogasudbytte!$A$2:$B$18,2,FALSE)*[1]Energiindhold!$C$10,0)*K151*IFERROR(VLOOKUP(A151,Biogasanlæg!$F$3:$G$8,2,FALSE),1)</f>
        <v>0</v>
      </c>
      <c r="U151" s="170">
        <f t="shared" ref="U151:U216" si="36">S151-T151</f>
        <v>0</v>
      </c>
      <c r="V151" s="169">
        <f ca="1">P151*IFERROR(VLOOKUP(A151,[1]Tørstofindhold!A$2:B$24,2,FALSE),0)</f>
        <v>0</v>
      </c>
      <c r="W151">
        <f ca="1">IF(E151=År1,Q151,SUM(P151,Q151))*IFERROR(VLOOKUP(A151,[1]Tørstofindhold!A$2:B$24,2,FALSE),0)</f>
        <v>0</v>
      </c>
      <c r="X151">
        <f>K151*IFERROR(VLOOKUP(A151,[1]Tørstofindhold!A$2:B$24,2,FALSE),0)</f>
        <v>0</v>
      </c>
      <c r="Y151" s="170">
        <f t="shared" ref="Y151:Y216" ca="1" si="37">W151-X151</f>
        <v>0</v>
      </c>
      <c r="Z151">
        <f t="shared" ca="1" si="29"/>
        <v>0</v>
      </c>
      <c r="AA151">
        <f t="shared" ca="1" si="30"/>
        <v>0</v>
      </c>
    </row>
    <row r="152" spans="1:27" x14ac:dyDescent="0.25">
      <c r="A152" s="171" t="s">
        <v>110</v>
      </c>
      <c r="B152" s="171"/>
      <c r="C152" s="171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0</v>
      </c>
      <c r="D152" s="171">
        <f t="shared" si="27"/>
        <v>0</v>
      </c>
      <c r="E152" s="171">
        <f t="shared" si="33"/>
        <v>2019</v>
      </c>
      <c r="F152" t="s">
        <v>24</v>
      </c>
      <c r="G152" s="94">
        <f ca="1">IF(F152="Vestdanmark",SUMIFS(IF(E152=År1,'Resultater - Vestdanmark'!H$3:H$504,IF(E152=År2,'Resultater - Vestdanmark'!I$3:I$504,'Resultater - Vestdanmark'!J$3:J$504)),'Resultater - Vestdanmark'!$F$3:$F$504,$A152,IF(E152=År1,'Resultater - Vestdanmark'!H$3:H$504,IF(E152=År2,'Resultater - Vestdanmark'!I$3:I$504,'Resultater - Vestdanmark'!J$3:J$504)),"&gt;0"),SUMIFS(IF(E152=År1,'Resultater - Østdanmark'!H$3:H$504,IF(E152=År2,'Resultater - Østdanmark'!I$3:I$504,'Resultater - Østdanmark'!J$3:J$504)),'Resultater - Østdanmark'!$F$3:$F$504,$A152,IF(E152=År1,'Resultater - Østdanmark'!H$3:H$504,IF(E152=År2,'Resultater - Østdanmark'!I$3:I$504,'Resultater - Østdanmark'!J$3:J$504)),"&gt;0"))</f>
        <v>2463073.3914116896</v>
      </c>
      <c r="H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forbrug'!H$3,'Forbrug af biomasse'!$B$2:$B$425,$F152)</f>
        <v>0</v>
      </c>
      <c r="I152">
        <f>IF(F152="Vestdanmark",-IF(A152="Halm",SUMIFS(IF(E152=År1,'Resultater - Vestdanmark'!H$3:H$504,IF(E152=År2,'Resultater - Vestdanmark'!I$3:I$504,'Resultater - Vestdanmark'!J$3:J$504)),'Resultater - Vestdanmark'!$F$3:$F$504,$A152,'Resultater - Vestdanmark'!H$3:H$504,"&lt;0"),0),-IF(A152="Halm",SUMIFS(IF(E152=År1,'Resultater - Østdanmark'!H$3:H$504,IF(E152=År2,'Resultater - Østdanmark'!I$3:I$504,'Resultater - Østdanmark'!J$3:J$504)),'Resultater - Østdanmark'!$F$3:$F$504,$A152,'Resultater - Østdanmark'!H$3:H$504,"&lt;0"),0))</f>
        <v>0</v>
      </c>
      <c r="J152" s="94"/>
      <c r="K152" s="94">
        <f>SUMIFS('Forbrug af biomasse'!$E$2:$E$425,'Forbrug af biomasse'!$C$2:$C$425,'Resultat-Produktion &amp; forbrug'!$A152,'Forbrug af biomasse'!$D$2:$D$425,'Resultat-Produktion &amp; forbrug'!$E152,'Forbrug af biomasse'!$A$2:$A$425,'Resultat-Produktion &amp; forbrug'!K$3,'Forbrug af biomasse'!$B$2:$B$425,$F152)</f>
        <v>0</v>
      </c>
      <c r="L152" s="94">
        <f ca="1">SUMIFS('Forbrug af biomasse'!$E$2:$E$425,'Forbrug af biomasse'!$C$2:$C$425,'Resultat-Produktion &amp; forbrug'!$A152,'Forbrug af biomasse'!$D$2:$D$425,'Resultat-Produktion &amp; forbrug'!$E152,'Forbrug af biomasse'!$A$2:$A$425,'Resultat-Produktion &amp; forbrug'!L$3,'Forbrug af biomasse'!$B$2:$B$425,$F152)</f>
        <v>1801862.1200388186</v>
      </c>
      <c r="M152" s="94">
        <f>IF(A152&lt;&gt;"Biogas",SUMIFS('Forbrug af biomasse'!$E$2:$E$425,'Forbrug af biomasse'!$C$2:$C$425,'Resultat-Produktion &amp; forbrug'!$A152,'Forbrug af biomasse'!$D$2:$D$425,'Resultat-Produktion &amp; forbrug'!$E152,'Forbrug af biomasse'!$A$2:$A$425,'Resultat-Produktion &amp; forbrug'!M$3,'Forbrug af biomasse'!$B$2:$B$425,$F152),G152)</f>
        <v>0</v>
      </c>
      <c r="N152" s="94">
        <f>SUMIFS('Forbrug af biomasse'!E:E,'Forbrug af biomasse'!C:C,'Resultat-Produktion &amp; forbrug'!$A152,'Forbrug af biomasse'!D:D,'Resultat-Produktion &amp; forbrug'!$E152,'Forbrug af biomasse'!G:G,1,'Forbrug af biomasse'!B:B,$F152)</f>
        <v>0</v>
      </c>
      <c r="O152" s="179">
        <f t="shared" ca="1" si="34"/>
        <v>661211.27137287101</v>
      </c>
      <c r="P152" s="94">
        <f t="shared" si="28"/>
        <v>0</v>
      </c>
      <c r="Q152" s="180">
        <f t="shared" si="35"/>
        <v>0</v>
      </c>
      <c r="R152">
        <f>IFERROR(VLOOKUP(A152,[1]Energiindhold!$A$2:$C$11,3,FALSE),IFERROR(VLOOKUP(A152,[1]Biogasudbytte!$A$2:$B$18,2,FALSE)*[1]Energiindhold!$C$10,0))*P152</f>
        <v>0</v>
      </c>
      <c r="S152">
        <f>IF(A152&lt;&gt;"Biogas",IFERROR(VLOOKUP(A152,[1]Biogasudbytte!$A$2:$B$18,2,FALSE)*[1]Energiindhold!$C$10,0)*K152*IFERROR(VLOOKUP(A152,Biogasanlæg!$F$3:$G$8,2,FALSE),1)+IFERROR(VLOOKUP(A152,[1]Energiindhold!$A$2:$C$11,3,FALSE),0)*M152+IF(E152&lt;&gt;År1,R152,0),0)</f>
        <v>0</v>
      </c>
      <c r="T152">
        <f>IFERROR(VLOOKUP(A152,[1]Biogasudbytte!$A$2:$B$18,2,FALSE)*[1]Energiindhold!$C$10,0)*K152*IFERROR(VLOOKUP(A152,Biogasanlæg!$F$3:$G$8,2,FALSE),1)</f>
        <v>0</v>
      </c>
      <c r="U152" s="170">
        <f t="shared" si="36"/>
        <v>0</v>
      </c>
      <c r="V152" s="169">
        <f>P152*IFERROR(VLOOKUP(A152,[1]Tørstofindhold!A$2:B$24,2,FALSE),0)</f>
        <v>0</v>
      </c>
      <c r="W152">
        <f>IF(E152=År1,Q152,SUM(P152,Q152))*IFERROR(VLOOKUP(A152,[1]Tørstofindhold!A$2:B$24,2,FALSE),0)</f>
        <v>0</v>
      </c>
      <c r="X152">
        <f>K152*IFERROR(VLOOKUP(A152,[1]Tørstofindhold!A$2:B$24,2,FALSE),0)</f>
        <v>0</v>
      </c>
      <c r="Y152" s="170">
        <f t="shared" si="37"/>
        <v>0</v>
      </c>
      <c r="Z152">
        <f t="shared" ca="1" si="29"/>
        <v>0</v>
      </c>
      <c r="AA152">
        <f t="shared" ca="1" si="30"/>
        <v>1</v>
      </c>
    </row>
    <row r="153" spans="1:27" x14ac:dyDescent="0.25">
      <c r="A153" s="171" t="s">
        <v>207</v>
      </c>
      <c r="B153" s="171" t="s">
        <v>229</v>
      </c>
      <c r="C153" s="171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71">
        <f t="shared" si="27"/>
        <v>0</v>
      </c>
      <c r="E153" s="171">
        <f t="shared" si="33"/>
        <v>2019</v>
      </c>
      <c r="F153" t="s">
        <v>24</v>
      </c>
      <c r="G153" s="94">
        <f>IF(F153="Vestdanmark",SUMIFS(IF(E153=År1,'Resultater - Vestdanmark'!H$3:H$504,IF(E153=År2,'Resultater - Vestdanmark'!I$3:I$504,'Resultater - Vestdanmark'!J$3:J$504)),'Resultater - Vestdanmark'!$F$3:$F$504,$A153,IF(E153=År1,'Resultater - Vestdanmark'!H$3:H$504,IF(E153=År2,'Resultater - Vestdanmark'!I$3:I$504,'Resultater - Vestdanmark'!J$3:J$504)),"&gt;0"),SUMIFS(IF(E153=År1,'Resultater - Østdanmark'!H$3:H$504,IF(E153=År2,'Resultater - Østdanmark'!I$3:I$504,'Resultater - Østdanmark'!J$3:J$504)),'Resultater - Østdanmark'!$F$3:$F$504,$A153,IF(E153=År1,'Resultater - Østdanmark'!H$3:H$504,IF(E153=År2,'Resultater - Østdanmark'!I$3:I$504,'Resultater - Østdanmark'!J$3:J$504)),"&gt;0"))</f>
        <v>0</v>
      </c>
      <c r="H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forbrug'!H$3,'Forbrug af biomasse'!$B$2:$B$425,$F153)</f>
        <v>0</v>
      </c>
      <c r="I153">
        <f>IF(F153="Vestdanmark",-IF(A153="Halm",SUMIFS(IF(E153=År1,'Resultater - Vestdanmark'!H$3:H$504,IF(E153=År2,'Resultater - Vestdanmark'!I$3:I$504,'Resultater - Vestdanmark'!J$3:J$504)),'Resultater - Vestdanmark'!$F$3:$F$504,$A153,'Resultater - Vestdanmark'!H$3:H$504,"&lt;0"),0),-IF(A153="Halm",SUMIFS(IF(E153=År1,'Resultater - Østdanmark'!H$3:H$504,IF(E153=År2,'Resultater - Østdanmark'!I$3:I$504,'Resultater - Østdanmark'!J$3:J$504)),'Resultater - Østdanmark'!$F$3:$F$504,$A153,'Resultater - Østdanmark'!H$3:H$504,"&lt;0"),0))</f>
        <v>0</v>
      </c>
      <c r="J153" s="94"/>
      <c r="K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forbrug'!K$3,'Forbrug af biomasse'!$B$2:$B$425,$F153)</f>
        <v>0</v>
      </c>
      <c r="L153" s="94">
        <f>SUMIFS('Forbrug af biomasse'!$E$2:$E$425,'Forbrug af biomasse'!$C$2:$C$425,'Resultat-Produktion &amp; forbrug'!$A153,'Forbrug af biomasse'!$D$2:$D$425,'Resultat-Produktion &amp; forbrug'!$E153,'Forbrug af biomasse'!$A$2:$A$425,'Resultat-Produktion &amp; forbrug'!L$3,'Forbrug af biomasse'!$B$2:$B$425,$F153)</f>
        <v>0</v>
      </c>
      <c r="M153" s="94">
        <f>IF(A153&lt;&gt;"Biogas",SUMIFS('Forbrug af biomasse'!$E$2:$E$425,'Forbrug af biomasse'!$C$2:$C$425,'Resultat-Produktion &amp; forbrug'!$A153,'Forbrug af biomasse'!$D$2:$D$425,'Resultat-Produktion &amp; forbrug'!$E153,'Forbrug af biomasse'!$A$2:$A$425,'Resultat-Produktion &amp; forbrug'!M$3,'Forbrug af biomasse'!$B$2:$B$425,$F153),G153)</f>
        <v>0</v>
      </c>
      <c r="N153" s="94">
        <f>SUMIFS('Forbrug af biomasse'!E:E,'Forbrug af biomasse'!C:C,'Resultat-Produktion &amp; forbrug'!$A153,'Forbrug af biomasse'!D:D,'Resultat-Produktion &amp; forbrug'!$E153,'Forbrug af biomasse'!G:G,1,'Forbrug af biomasse'!B:B,$F153)</f>
        <v>0</v>
      </c>
      <c r="O153" s="179">
        <f t="shared" si="34"/>
        <v>0</v>
      </c>
      <c r="P153" s="94">
        <f t="shared" si="28"/>
        <v>0</v>
      </c>
      <c r="Q153" s="180">
        <f t="shared" si="35"/>
        <v>0</v>
      </c>
      <c r="R153">
        <f>IFERROR(VLOOKUP(A153,[1]Energiindhold!$A$2:$C$11,3,FALSE),IFERROR(VLOOKUP(A153,[1]Biogasudbytte!$A$2:$B$18,2,FALSE)*[1]Energiindhold!$C$10,0))*P153</f>
        <v>0</v>
      </c>
      <c r="S153">
        <f>IF(A153&lt;&gt;"Biogas",IFERROR(VLOOKUP(A153,[1]Biogasudbytte!$A$2:$B$18,2,FALSE)*[1]Energiindhold!$C$10,0)*K153*IFERROR(VLOOKUP(A153,Biogasanlæg!$F$3:$G$8,2,FALSE),1)+IFERROR(VLOOKUP(A153,[1]Energiindhold!$A$2:$C$11,3,FALSE),0)*M153+IF(E153&lt;&gt;År1,R153,0),0)</f>
        <v>0</v>
      </c>
      <c r="T153">
        <f>IFERROR(VLOOKUP(A153,[1]Biogasudbytte!$A$2:$B$18,2,FALSE)*[1]Energiindhold!$C$10,0)*K153*IFERROR(VLOOKUP(A153,Biogasanlæg!$F$3:$G$8,2,FALSE),1)</f>
        <v>0</v>
      </c>
      <c r="U153" s="170">
        <f t="shared" si="36"/>
        <v>0</v>
      </c>
      <c r="V153" s="169">
        <f>P153*IFERROR(VLOOKUP(A153,[1]Tørstofindhold!A$2:B$24,2,FALSE),0)</f>
        <v>0</v>
      </c>
      <c r="W153">
        <f>IF(E153=År1,Q153,SUM(P153,Q153))*IFERROR(VLOOKUP(A153,[1]Tørstofindhold!A$2:B$24,2,FALSE),0)</f>
        <v>0</v>
      </c>
      <c r="X153">
        <f>K153*IFERROR(VLOOKUP(A153,[1]Tørstofindhold!A$2:B$24,2,FALSE),0)</f>
        <v>0</v>
      </c>
      <c r="Y153" s="170">
        <f t="shared" si="37"/>
        <v>0</v>
      </c>
      <c r="Z153">
        <f t="shared" si="29"/>
        <v>0</v>
      </c>
      <c r="AA153">
        <f t="shared" si="30"/>
        <v>0</v>
      </c>
    </row>
    <row r="154" spans="1:27" x14ac:dyDescent="0.25">
      <c r="A154" t="s">
        <v>101</v>
      </c>
      <c r="B154" s="171" t="s">
        <v>221</v>
      </c>
      <c r="C154" s="171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1</v>
      </c>
      <c r="D154" s="171">
        <f t="shared" si="27"/>
        <v>0</v>
      </c>
      <c r="E154" s="171">
        <f t="shared" si="33"/>
        <v>2019</v>
      </c>
      <c r="F154" t="s">
        <v>24</v>
      </c>
      <c r="G154" s="94">
        <f>IF(F154="Vestdanmark",SUMIFS(IF(E154=År1,'Resultater - Vestdanmark'!H$3:H$504,IF(E154=År2,'Resultater - Vestdanmark'!I$3:I$504,'Resultater - Vestdanmark'!J$3:J$504)),'Resultater - Vestdanmark'!$F$3:$F$504,$A154,IF(E154=År1,'Resultater - Vestdanmark'!H$3:H$504,IF(E154=År2,'Resultater - Vestdanmark'!I$3:I$504,'Resultater - Vestdanmark'!J$3:J$504)),"&gt;0"),SUMIFS(IF(E154=År1,'Resultater - Østdanmark'!H$3:H$504,IF(E154=År2,'Resultater - Østdanmark'!I$3:I$504,'Resultater - Østdanmark'!J$3:J$504)),'Resultater - Østdanmark'!$F$3:$F$504,$A154,IF(E154=År1,'Resultater - Østdanmark'!H$3:H$504,IF(E154=År2,'Resultater - Østdanmark'!I$3:I$504,'Resultater - Østdanmark'!J$3:J$504)),"&gt;0"))</f>
        <v>332759.92297580565</v>
      </c>
      <c r="H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forbrug'!H$3,'Forbrug af biomasse'!$B$2:$B$425,$F154)</f>
        <v>0</v>
      </c>
      <c r="I154">
        <f>IF(F154="Vestdanmark",-IF(A154="Halm",SUMIFS(IF(E154=År1,'Resultater - Vestdanmark'!H$3:H$504,IF(E154=År2,'Resultater - Vestdanmark'!I$3:I$504,'Resultater - Vestdanmark'!J$3:J$504)),'Resultater - Vestdanmark'!$F$3:$F$504,$A154,'Resultater - Vestdanmark'!H$3:H$504,"&lt;0"),0),-IF(A154="Halm",SUMIFS(IF(E154=År1,'Resultater - Østdanmark'!H$3:H$504,IF(E154=År2,'Resultater - Østdanmark'!I$3:I$504,'Resultater - Østdanmark'!J$3:J$504)),'Resultater - Østdanmark'!$F$3:$F$504,$A154,'Resultater - Østdanmark'!H$3:H$504,"&lt;0"),0))</f>
        <v>0</v>
      </c>
      <c r="J154" s="94"/>
      <c r="K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forbrug'!K$3,'Forbrug af biomasse'!$B$2:$B$425,$F154)</f>
        <v>85892.328449707566</v>
      </c>
      <c r="L154" s="94">
        <f>SUMIFS('Forbrug af biomasse'!$E$2:$E$425,'Forbrug af biomasse'!$C$2:$C$425,'Resultat-Produktion &amp; forbrug'!$A154,'Forbrug af biomasse'!$D$2:$D$425,'Resultat-Produktion &amp; forbrug'!$E154,'Forbrug af biomasse'!$A$2:$A$425,'Resultat-Produktion &amp; forbrug'!L$3,'Forbrug af biomasse'!$B$2:$B$425,$F154)</f>
        <v>93457.017927737121</v>
      </c>
      <c r="M154" s="94">
        <f>IF(A154&lt;&gt;"Biogas",SUMIFS('Forbrug af biomasse'!$E$2:$E$425,'Forbrug af biomasse'!$C$2:$C$425,'Resultat-Produktion &amp; forbrug'!$A154,'Forbrug af biomasse'!$D$2:$D$425,'Resultat-Produktion &amp; forbrug'!$E154,'Forbrug af biomasse'!$A$2:$A$425,'Resultat-Produktion &amp; forbrug'!M$3,'Forbrug af biomasse'!$B$2:$B$425,$F154),G154)</f>
        <v>0</v>
      </c>
      <c r="N154" s="94">
        <f>SUMIFS('Forbrug af biomasse'!E:E,'Forbrug af biomasse'!C:C,'Resultat-Produktion &amp; forbrug'!$A154,'Forbrug af biomasse'!D:D,'Resultat-Produktion &amp; forbrug'!$E154,'Forbrug af biomasse'!G:G,1,'Forbrug af biomasse'!B:B,$F154)</f>
        <v>0</v>
      </c>
      <c r="O154" s="179">
        <f t="shared" si="34"/>
        <v>153410.57659836096</v>
      </c>
      <c r="P154" s="94">
        <f t="shared" si="28"/>
        <v>153410.57659836096</v>
      </c>
      <c r="Q154" s="180">
        <f t="shared" si="35"/>
        <v>85892.328449707566</v>
      </c>
      <c r="R154">
        <f>IFERROR(VLOOKUP(A154,[1]Energiindhold!$A$2:$C$11,3,FALSE),IFERROR(VLOOKUP(A154,[1]Biogasudbytte!$A$2:$B$18,2,FALSE)*[1]Energiindhold!$C$10,0))*P154</f>
        <v>0.33044638199286952</v>
      </c>
      <c r="S154">
        <f>IF(A154&lt;&gt;"Biogas",IFERROR(VLOOKUP(A154,[1]Biogasudbytte!$A$2:$B$18,2,FALSE)*[1]Energiindhold!$C$10,0)*K154*IFERROR(VLOOKUP(A154,Biogasanlæg!$F$3:$G$8,2,FALSE),1)+IFERROR(VLOOKUP(A154,[1]Energiindhold!$A$2:$C$11,3,FALSE),0)*M154+IF(E154&lt;&gt;År1,R154,0),0)</f>
        <v>0.18501207548067011</v>
      </c>
      <c r="T154">
        <f>IFERROR(VLOOKUP(A154,[1]Biogasudbytte!$A$2:$B$18,2,FALSE)*[1]Energiindhold!$C$10,0)*K154*IFERROR(VLOOKUP(A154,Biogasanlæg!$F$3:$G$8,2,FALSE),1)</f>
        <v>0.18501207548067011</v>
      </c>
      <c r="U154" s="170">
        <f t="shared" si="36"/>
        <v>0</v>
      </c>
      <c r="V154" s="169">
        <f>P154*IFERROR(VLOOKUP(A154,[1]Tørstofindhold!A$2:B$24,2,FALSE),0)</f>
        <v>46023.172979508287</v>
      </c>
      <c r="W154">
        <f>IF(E154=År1,Q154,SUM(P154,Q154))*IFERROR(VLOOKUP(A154,[1]Tørstofindhold!A$2:B$24,2,FALSE),0)</f>
        <v>25767.69853491227</v>
      </c>
      <c r="X154">
        <f>K154*IFERROR(VLOOKUP(A154,[1]Tørstofindhold!A$2:B$24,2,FALSE),0)</f>
        <v>25767.69853491227</v>
      </c>
      <c r="Y154" s="170">
        <f t="shared" si="37"/>
        <v>0</v>
      </c>
      <c r="Z154">
        <f t="shared" si="29"/>
        <v>0</v>
      </c>
      <c r="AA154">
        <f t="shared" si="30"/>
        <v>1</v>
      </c>
    </row>
    <row r="155" spans="1:27" x14ac:dyDescent="0.25">
      <c r="A155" t="s">
        <v>203</v>
      </c>
      <c r="B155" s="171"/>
      <c r="C155" s="171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0</v>
      </c>
      <c r="D155" s="171">
        <f t="shared" si="27"/>
        <v>0</v>
      </c>
      <c r="E155" s="171">
        <f t="shared" si="33"/>
        <v>2019</v>
      </c>
      <c r="F155" t="s">
        <v>24</v>
      </c>
      <c r="G155" s="94">
        <f>IF(F155="Vestdanmark",SUMIFS(IF(E155=År1,'Resultater - Vestdanmark'!H$3:H$504,IF(E155=År2,'Resultater - Vestdanmark'!I$3:I$504,'Resultater - Vestdanmark'!J$3:J$504)),'Resultater - Vestdanmark'!$F$3:$F$504,$A155,IF(E155=År1,'Resultater - Vestdanmark'!H$3:H$504,IF(E155=År2,'Resultater - Vestdanmark'!I$3:I$504,'Resultater - Vestdanmark'!J$3:J$504)),"&gt;0"),SUMIFS(IF(E155=År1,'Resultater - Østdanmark'!H$3:H$504,IF(E155=År2,'Resultater - Østdanmark'!I$3:I$504,'Resultater - Østdanmark'!J$3:J$504)),'Resultater - Østdanmark'!$F$3:$F$504,$A155,IF(E155=År1,'Resultater - Østdanmark'!H$3:H$504,IF(E155=År2,'Resultater - Østdanmark'!I$3:I$504,'Resultater - Østdanmark'!J$3:J$504)),"&gt;0"))</f>
        <v>0</v>
      </c>
      <c r="H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forbrug'!H$3,'Forbrug af biomasse'!$B$2:$B$425,$F155)</f>
        <v>0</v>
      </c>
      <c r="I155">
        <f>IF(F155="Vestdanmark",-IF(A155="Halm",SUMIFS(IF(E155=År1,'Resultater - Vestdanmark'!H$3:H$504,IF(E155=År2,'Resultater - Vestdanmark'!I$3:I$504,'Resultater - Vestdanmark'!J$3:J$504)),'Resultater - Vestdanmark'!$F$3:$F$504,$A155,'Resultater - Vestdanmark'!H$3:H$504,"&lt;0"),0),-IF(A155="Halm",SUMIFS(IF(E155=År1,'Resultater - Østdanmark'!H$3:H$504,IF(E155=År2,'Resultater - Østdanmark'!I$3:I$504,'Resultater - Østdanmark'!J$3:J$504)),'Resultater - Østdanmark'!$F$3:$F$504,$A155,'Resultater - Østdanmark'!H$3:H$504,"&lt;0"),0))</f>
        <v>0</v>
      </c>
      <c r="J155" s="94"/>
      <c r="K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forbrug'!K$3,'Forbrug af biomasse'!$B$2:$B$425,$F155)</f>
        <v>0</v>
      </c>
      <c r="L155" s="94">
        <f>SUMIFS('Forbrug af biomasse'!$E$2:$E$425,'Forbrug af biomasse'!$C$2:$C$425,'Resultat-Produktion &amp; forbrug'!$A155,'Forbrug af biomasse'!$D$2:$D$425,'Resultat-Produktion &amp; forbrug'!$E155,'Forbrug af biomasse'!$A$2:$A$425,'Resultat-Produktion &amp; forbrug'!L$3,'Forbrug af biomasse'!$B$2:$B$425,$F155)</f>
        <v>0</v>
      </c>
      <c r="M155" s="94">
        <f>IF(A155&lt;&gt;"Biogas",SUMIFS('Forbrug af biomasse'!$E$2:$E$425,'Forbrug af biomasse'!$C$2:$C$425,'Resultat-Produktion &amp; forbrug'!$A155,'Forbrug af biomasse'!$D$2:$D$425,'Resultat-Produktion &amp; forbrug'!$E155,'Forbrug af biomasse'!$A$2:$A$425,'Resultat-Produktion &amp; forbrug'!M$3,'Forbrug af biomasse'!$B$2:$B$425,$F155),G155)</f>
        <v>0</v>
      </c>
      <c r="N155" s="94">
        <f>SUMIFS('Forbrug af biomasse'!E:E,'Forbrug af biomasse'!C:C,'Resultat-Produktion &amp; forbrug'!$A155,'Forbrug af biomasse'!D:D,'Resultat-Produktion &amp; forbrug'!$E155,'Forbrug af biomasse'!G:G,1,'Forbrug af biomasse'!B:B,$F155)</f>
        <v>0</v>
      </c>
      <c r="O155" s="179">
        <f t="shared" si="34"/>
        <v>0</v>
      </c>
      <c r="P155" s="94">
        <f t="shared" si="28"/>
        <v>0</v>
      </c>
      <c r="Q155" s="180">
        <f t="shared" si="35"/>
        <v>0</v>
      </c>
      <c r="R155">
        <f>IFERROR(VLOOKUP(A155,[1]Energiindhold!$A$2:$C$11,3,FALSE),IFERROR(VLOOKUP(A155,[1]Biogasudbytte!$A$2:$B$18,2,FALSE)*[1]Energiindhold!$C$10,0))*P155</f>
        <v>0</v>
      </c>
      <c r="S155">
        <f>IF(A155&lt;&gt;"Biogas",IFERROR(VLOOKUP(A155,[1]Biogasudbytte!$A$2:$B$18,2,FALSE)*[1]Energiindhold!$C$10,0)*K155*IFERROR(VLOOKUP(A155,Biogasanlæg!$F$3:$G$8,2,FALSE),1)+IFERROR(VLOOKUP(A155,[1]Energiindhold!$A$2:$C$11,3,FALSE),0)*M155+IF(E155&lt;&gt;År1,R155,0),0)</f>
        <v>0</v>
      </c>
      <c r="T155">
        <f>IFERROR(VLOOKUP(A155,[1]Biogasudbytte!$A$2:$B$18,2,FALSE)*[1]Energiindhold!$C$10,0)*K155*IFERROR(VLOOKUP(A155,Biogasanlæg!$F$3:$G$8,2,FALSE),1)</f>
        <v>0</v>
      </c>
      <c r="U155" s="170">
        <f t="shared" si="36"/>
        <v>0</v>
      </c>
      <c r="V155" s="169">
        <f>P155*IFERROR(VLOOKUP(A155,[1]Tørstofindhold!A$2:B$24,2,FALSE),0)</f>
        <v>0</v>
      </c>
      <c r="W155">
        <f>IF(E155=År1,Q155,SUM(P155,Q155))*IFERROR(VLOOKUP(A155,[1]Tørstofindhold!A$2:B$24,2,FALSE),0)</f>
        <v>0</v>
      </c>
      <c r="X155">
        <f>K155*IFERROR(VLOOKUP(A155,[1]Tørstofindhold!A$2:B$24,2,FALSE),0)</f>
        <v>0</v>
      </c>
      <c r="Y155" s="170">
        <f t="shared" si="37"/>
        <v>0</v>
      </c>
      <c r="Z155">
        <f t="shared" si="29"/>
        <v>0</v>
      </c>
      <c r="AA155">
        <f t="shared" si="30"/>
        <v>0</v>
      </c>
    </row>
    <row r="156" spans="1:27" x14ac:dyDescent="0.25">
      <c r="A156" t="s">
        <v>137</v>
      </c>
      <c r="B156" s="171" t="s">
        <v>221</v>
      </c>
      <c r="C156" s="171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1</v>
      </c>
      <c r="D156" s="171">
        <f t="shared" si="27"/>
        <v>0</v>
      </c>
      <c r="E156" s="171">
        <f t="shared" si="33"/>
        <v>2019</v>
      </c>
      <c r="F156" t="s">
        <v>24</v>
      </c>
      <c r="G156" s="94">
        <f>IF(F156="Vestdanmark",SUMIFS(IF(E156=År1,'Resultater - Vestdanmark'!H$3:H$504,IF(E156=År2,'Resultater - Vestdanmark'!I$3:I$504,'Resultater - Vestdanmark'!J$3:J$504)),'Resultater - Vestdanmark'!$F$3:$F$504,$A156,IF(E156=År1,'Resultater - Vestdanmark'!H$3:H$504,IF(E156=År2,'Resultater - Vestdanmark'!I$3:I$504,'Resultater - Vestdanmark'!J$3:J$504)),"&gt;0"),SUMIFS(IF(E156=År1,'Resultater - Østdanmark'!H$3:H$504,IF(E156=År2,'Resultater - Østdanmark'!I$3:I$504,'Resultater - Østdanmark'!J$3:J$504)),'Resultater - Østdanmark'!$F$3:$F$504,$A156,IF(E156=År1,'Resultater - Østdanmark'!H$3:H$504,IF(E156=År2,'Resultater - Østdanmark'!I$3:I$504,'Resultater - Østdanmark'!J$3:J$504)),"&gt;0"))</f>
        <v>675.387643904882</v>
      </c>
      <c r="H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forbrug'!H$3,'Forbrug af biomasse'!$B$2:$B$425,$F156)</f>
        <v>0</v>
      </c>
      <c r="I156">
        <f>IF(F156="Vestdanmark",-IF(A156="Halm",SUMIFS(IF(E156=År1,'Resultater - Vestdanmark'!H$3:H$504,IF(E156=År2,'Resultater - Vestdanmark'!I$3:I$504,'Resultater - Vestdanmark'!J$3:J$504)),'Resultater - Vestdanmark'!$F$3:$F$504,$A156,'Resultater - Vestdanmark'!H$3:H$504,"&lt;0"),0),-IF(A156="Halm",SUMIFS(IF(E156=År1,'Resultater - Østdanmark'!H$3:H$504,IF(E156=År2,'Resultater - Østdanmark'!I$3:I$504,'Resultater - Østdanmark'!J$3:J$504)),'Resultater - Østdanmark'!$F$3:$F$504,$A156,'Resultater - Østdanmark'!H$3:H$504,"&lt;0"),0))</f>
        <v>0</v>
      </c>
      <c r="J156" s="94"/>
      <c r="K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forbrug'!K$3,'Forbrug af biomasse'!$B$2:$B$425,$F156)</f>
        <v>337.693821952441</v>
      </c>
      <c r="L156" s="94">
        <f>SUMIFS('Forbrug af biomasse'!$E$2:$E$425,'Forbrug af biomasse'!$C$2:$C$425,'Resultat-Produktion &amp; forbrug'!$A156,'Forbrug af biomasse'!$D$2:$D$425,'Resultat-Produktion &amp; forbrug'!$E156,'Forbrug af biomasse'!$A$2:$A$425,'Resultat-Produktion &amp; forbrug'!L$3,'Forbrug af biomasse'!$B$2:$B$425,$F156)</f>
        <v>337.693821952441</v>
      </c>
      <c r="M156" s="94">
        <f>IF(A156&lt;&gt;"Biogas",SUMIFS('Forbrug af biomasse'!$E$2:$E$425,'Forbrug af biomasse'!$C$2:$C$425,'Resultat-Produktion &amp; forbrug'!$A156,'Forbrug af biomasse'!$D$2:$D$425,'Resultat-Produktion &amp; forbrug'!$E156,'Forbrug af biomasse'!$A$2:$A$425,'Resultat-Produktion &amp; forbrug'!M$3,'Forbrug af biomasse'!$B$2:$B$425,$F156),G156)</f>
        <v>0</v>
      </c>
      <c r="N156" s="94">
        <f>SUMIFS('Forbrug af biomasse'!E:E,'Forbrug af biomasse'!C:C,'Resultat-Produktion &amp; forbrug'!$A156,'Forbrug af biomasse'!D:D,'Resultat-Produktion &amp; forbrug'!$E156,'Forbrug af biomasse'!G:G,1,'Forbrug af biomasse'!B:B,$F156)</f>
        <v>0</v>
      </c>
      <c r="O156" s="179">
        <f t="shared" si="34"/>
        <v>0</v>
      </c>
      <c r="P156" s="94">
        <f t="shared" si="28"/>
        <v>0</v>
      </c>
      <c r="Q156" s="180">
        <f t="shared" si="35"/>
        <v>337.693821952441</v>
      </c>
      <c r="R156">
        <f>IFERROR(VLOOKUP(A156,[1]Energiindhold!$A$2:$C$11,3,FALSE),IFERROR(VLOOKUP(A156,[1]Biogasudbytte!$A$2:$B$18,2,FALSE)*[1]Energiindhold!$C$10,0))*P156</f>
        <v>0</v>
      </c>
      <c r="S156">
        <f>IF(A156&lt;&gt;"Biogas",IFERROR(VLOOKUP(A156,[1]Biogasudbytte!$A$2:$B$18,2,FALSE)*[1]Energiindhold!$C$10,0)*K156*IFERROR(VLOOKUP(A156,Biogasanlæg!$F$3:$G$8,2,FALSE),1)+IFERROR(VLOOKUP(A156,[1]Energiindhold!$A$2:$C$11,3,FALSE),0)*M156+IF(E156&lt;&gt;År1,R156,0),0)</f>
        <v>1.5881402752601349E-4</v>
      </c>
      <c r="T156">
        <f>IFERROR(VLOOKUP(A156,[1]Biogasudbytte!$A$2:$B$18,2,FALSE)*[1]Energiindhold!$C$10,0)*K156*IFERROR(VLOOKUP(A156,Biogasanlæg!$F$3:$G$8,2,FALSE),1)</f>
        <v>1.5881402752601349E-4</v>
      </c>
      <c r="U156" s="170">
        <f t="shared" si="36"/>
        <v>0</v>
      </c>
      <c r="V156" s="169">
        <f>P156*IFERROR(VLOOKUP(A156,[1]Tørstofindhold!A$2:B$24,2,FALSE),0)</f>
        <v>0</v>
      </c>
      <c r="W156">
        <f>IF(E156=År1,Q156,SUM(P156,Q156))*IFERROR(VLOOKUP(A156,[1]Tørstofindhold!A$2:B$24,2,FALSE),0)</f>
        <v>21.274710783003783</v>
      </c>
      <c r="X156">
        <f>K156*IFERROR(VLOOKUP(A156,[1]Tørstofindhold!A$2:B$24,2,FALSE),0)</f>
        <v>21.274710783003783</v>
      </c>
      <c r="Y156" s="170">
        <f t="shared" si="37"/>
        <v>0</v>
      </c>
      <c r="Z156">
        <f t="shared" si="29"/>
        <v>0</v>
      </c>
      <c r="AA156">
        <f t="shared" si="30"/>
        <v>0</v>
      </c>
    </row>
    <row r="157" spans="1:27" x14ac:dyDescent="0.25">
      <c r="A157" t="s">
        <v>96</v>
      </c>
      <c r="B157" s="171"/>
      <c r="C157" s="171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71">
        <f t="shared" si="27"/>
        <v>1</v>
      </c>
      <c r="E157" s="171">
        <f t="shared" si="33"/>
        <v>2019</v>
      </c>
      <c r="F157" t="s">
        <v>24</v>
      </c>
      <c r="G157" s="94">
        <f>IF(F157="Vestdanmark",SUMIFS(IF(E157=År1,'Resultater - Vestdanmark'!H$3:H$504,IF(E157=År2,'Resultater - Vestdanmark'!I$3:I$504,'Resultater - Vestdanmark'!J$3:J$504)),'Resultater - Vestdanmark'!$F$3:$F$504,$A157,IF(E157=År1,'Resultater - Vestdanmark'!H$3:H$504,IF(E157=År2,'Resultater - Vestdanmark'!I$3:I$504,'Resultater - Vestdanmark'!J$3:J$504)),"&gt;0"),SUMIFS(IF(E157=År1,'Resultater - Østdanmark'!H$3:H$504,IF(E157=År2,'Resultater - Østdanmark'!I$3:I$504,'Resultater - Østdanmark'!J$3:J$504)),'Resultater - Østdanmark'!$F$3:$F$504,$A157,IF(E157=År1,'Resultater - Østdanmark'!H$3:H$504,IF(E157=År2,'Resultater - Østdanmark'!I$3:I$504,'Resultater - Østdanmark'!J$3:J$504)),"&gt;0"))</f>
        <v>15969.006082579654</v>
      </c>
      <c r="H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forbrug'!H$3,'Forbrug af biomasse'!$B$2:$B$425,$F157)</f>
        <v>0</v>
      </c>
      <c r="I157">
        <f>IF(F157="Vestdanmark",-IF(A157="Halm",SUMIFS(IF(E157=År1,'Resultater - Vestdanmark'!H$3:H$504,IF(E157=År2,'Resultater - Vestdanmark'!I$3:I$504,'Resultater - Vestdanmark'!J$3:J$504)),'Resultater - Vestdanmark'!$F$3:$F$504,$A157,'Resultater - Vestdanmark'!H$3:H$504,"&lt;0"),0),-IF(A157="Halm",SUMIFS(IF(E157=År1,'Resultater - Østdanmark'!H$3:H$504,IF(E157=År2,'Resultater - Østdanmark'!I$3:I$504,'Resultater - Østdanmark'!J$3:J$504)),'Resultater - Østdanmark'!$F$3:$F$504,$A157,'Resultater - Østdanmark'!H$3:H$504,"&lt;0"),0))</f>
        <v>0</v>
      </c>
      <c r="J157" s="94"/>
      <c r="K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forbrug'!K$3,'Forbrug af biomasse'!$B$2:$B$425,$F157)</f>
        <v>0</v>
      </c>
      <c r="L157" s="94">
        <f>SUMIFS('Forbrug af biomasse'!$E$2:$E$425,'Forbrug af biomasse'!$C$2:$C$425,'Resultat-Produktion &amp; forbrug'!$A157,'Forbrug af biomasse'!$D$2:$D$425,'Resultat-Produktion &amp; forbrug'!$E157,'Forbrug af biomasse'!$A$2:$A$425,'Resultat-Produktion &amp; forbrug'!L$3,'Forbrug af biomasse'!$B$2:$B$425,$F157)</f>
        <v>0</v>
      </c>
      <c r="M157" s="94">
        <f>IF(A157&lt;&gt;"Biogas",SUMIFS('Forbrug af biomasse'!$E$2:$E$425,'Forbrug af biomasse'!$C$2:$C$425,'Resultat-Produktion &amp; forbrug'!$A157,'Forbrug af biomasse'!$D$2:$D$425,'Resultat-Produktion &amp; forbrug'!$E157,'Forbrug af biomasse'!$A$2:$A$425,'Resultat-Produktion &amp; forbrug'!M$3,'Forbrug af biomasse'!$B$2:$B$425,$F157),G157)</f>
        <v>0</v>
      </c>
      <c r="N157" s="94">
        <f>SUMIFS('Forbrug af biomasse'!E:E,'Forbrug af biomasse'!C:C,'Resultat-Produktion &amp; forbrug'!$A157,'Forbrug af biomasse'!D:D,'Resultat-Produktion &amp; forbrug'!$E157,'Forbrug af biomasse'!G:G,1,'Forbrug af biomasse'!B:B,$F157)</f>
        <v>0</v>
      </c>
      <c r="O157" s="179">
        <f t="shared" si="34"/>
        <v>15969.006082579654</v>
      </c>
      <c r="P157" s="94">
        <f t="shared" si="28"/>
        <v>0</v>
      </c>
      <c r="Q157" s="180">
        <f t="shared" si="35"/>
        <v>0</v>
      </c>
      <c r="R157">
        <f>IFERROR(VLOOKUP(A157,[1]Energiindhold!$A$2:$C$11,3,FALSE),IFERROR(VLOOKUP(A157,[1]Biogasudbytte!$A$2:$B$18,2,FALSE)*[1]Energiindhold!$C$10,0))*P157</f>
        <v>0</v>
      </c>
      <c r="S157">
        <f>IF(A157&lt;&gt;"Biogas",IFERROR(VLOOKUP(A157,[1]Biogasudbytte!$A$2:$B$18,2,FALSE)*[1]Energiindhold!$C$10,0)*K157*IFERROR(VLOOKUP(A157,Biogasanlæg!$F$3:$G$8,2,FALSE),1)+IFERROR(VLOOKUP(A157,[1]Energiindhold!$A$2:$C$11,3,FALSE),0)*M157+IF(E157&lt;&gt;År1,R157,0),0)</f>
        <v>0</v>
      </c>
      <c r="T157">
        <f>IFERROR(VLOOKUP(A157,[1]Biogasudbytte!$A$2:$B$18,2,FALSE)*[1]Energiindhold!$C$10,0)*K157*IFERROR(VLOOKUP(A157,Biogasanlæg!$F$3:$G$8,2,FALSE),1)</f>
        <v>0</v>
      </c>
      <c r="U157" s="170">
        <f t="shared" si="36"/>
        <v>0</v>
      </c>
      <c r="V157" s="169">
        <f>P157*IFERROR(VLOOKUP(A157,[1]Tørstofindhold!A$2:B$24,2,FALSE),0)</f>
        <v>0</v>
      </c>
      <c r="W157">
        <f>IF(E157=År1,Q157,SUM(P157,Q157))*IFERROR(VLOOKUP(A157,[1]Tørstofindhold!A$2:B$24,2,FALSE),0)</f>
        <v>0</v>
      </c>
      <c r="X157">
        <f>K157*IFERROR(VLOOKUP(A157,[1]Tørstofindhold!A$2:B$24,2,FALSE),0)</f>
        <v>0</v>
      </c>
      <c r="Y157" s="170">
        <f t="shared" si="37"/>
        <v>0</v>
      </c>
      <c r="Z157">
        <f t="shared" si="29"/>
        <v>0</v>
      </c>
      <c r="AA157">
        <f t="shared" si="30"/>
        <v>1</v>
      </c>
    </row>
    <row r="158" spans="1:27" x14ac:dyDescent="0.25">
      <c r="A158" t="s">
        <v>113</v>
      </c>
      <c r="B158" s="171"/>
      <c r="C158" s="171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71">
        <f t="shared" si="27"/>
        <v>0</v>
      </c>
      <c r="E158" s="171">
        <f t="shared" si="33"/>
        <v>2019</v>
      </c>
      <c r="F158" t="s">
        <v>24</v>
      </c>
      <c r="G158" s="94">
        <f>IF(F158="Vestdanmark",SUMIFS(IF(E158=År1,'Resultater - Vestdanmark'!H$3:H$504,IF(E158=År2,'Resultater - Vestdanmark'!I$3:I$504,'Resultater - Vestdanmark'!J$3:J$504)),'Resultater - Vestdanmark'!$F$3:$F$504,$A158,IF(E158=År1,'Resultater - Vestdanmark'!H$3:H$504,IF(E158=År2,'Resultater - Vestdanmark'!I$3:I$504,'Resultater - Vestdanmark'!J$3:J$504)),"&gt;0"),SUMIFS(IF(E158=År1,'Resultater - Østdanmark'!H$3:H$504,IF(E158=År2,'Resultater - Østdanmark'!I$3:I$504,'Resultater - Østdanmark'!J$3:J$504)),'Resultater - Østdanmark'!$F$3:$F$504,$A158,IF(E158=År1,'Resultater - Østdanmark'!H$3:H$504,IF(E158=År2,'Resultater - Østdanmark'!I$3:I$504,'Resultater - Østdanmark'!J$3:J$504)),"&gt;0"))</f>
        <v>620445.82725004398</v>
      </c>
      <c r="H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forbrug'!H$3,'Forbrug af biomasse'!$B$2:$B$425,$F158)</f>
        <v>0</v>
      </c>
      <c r="I158">
        <f>IF(F158="Vestdanmark",-IF(A158="Halm",SUMIFS(IF(E158=År1,'Resultater - Vestdanmark'!H$3:H$504,IF(E158=År2,'Resultater - Vestdanmark'!I$3:I$504,'Resultater - Vestdanmark'!J$3:J$504)),'Resultater - Vestdanmark'!$F$3:$F$504,$A158,'Resultater - Vestdanmark'!H$3:H$504,"&lt;0"),0),-IF(A158="Halm",SUMIFS(IF(E158=År1,'Resultater - Østdanmark'!H$3:H$504,IF(E158=År2,'Resultater - Østdanmark'!I$3:I$504,'Resultater - Østdanmark'!J$3:J$504)),'Resultater - Østdanmark'!$F$3:$F$504,$A158,'Resultater - Østdanmark'!H$3:H$504,"&lt;0"),0))</f>
        <v>0</v>
      </c>
      <c r="J158" s="94"/>
      <c r="K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forbrug'!K$3,'Forbrug af biomasse'!$B$2:$B$425,$F158)</f>
        <v>0</v>
      </c>
      <c r="L158" s="94">
        <f>SUMIFS('Forbrug af biomasse'!$E$2:$E$425,'Forbrug af biomasse'!$C$2:$C$425,'Resultat-Produktion &amp; forbrug'!$A158,'Forbrug af biomasse'!$D$2:$D$425,'Resultat-Produktion &amp; forbrug'!$E158,'Forbrug af biomasse'!$A$2:$A$425,'Resultat-Produktion &amp; forbrug'!L$3,'Forbrug af biomasse'!$B$2:$B$425,$F158)</f>
        <v>0</v>
      </c>
      <c r="M158" s="94">
        <f>IF(A158&lt;&gt;"Biogas",SUMIFS('Forbrug af biomasse'!$E$2:$E$425,'Forbrug af biomasse'!$C$2:$C$425,'Resultat-Produktion &amp; forbrug'!$A158,'Forbrug af biomasse'!$D$2:$D$425,'Resultat-Produktion &amp; forbrug'!$E158,'Forbrug af biomasse'!$A$2:$A$425,'Resultat-Produktion &amp; forbrug'!M$3,'Forbrug af biomasse'!$B$2:$B$425,$F158),G158)</f>
        <v>0</v>
      </c>
      <c r="N158" s="94">
        <f>SUMIFS('Forbrug af biomasse'!E:E,'Forbrug af biomasse'!C:C,'Resultat-Produktion &amp; forbrug'!$A158,'Forbrug af biomasse'!D:D,'Resultat-Produktion &amp; forbrug'!$E158,'Forbrug af biomasse'!G:G,1,'Forbrug af biomasse'!B:B,$F158)</f>
        <v>0</v>
      </c>
      <c r="O158" s="179">
        <f t="shared" si="34"/>
        <v>620445.82725004398</v>
      </c>
      <c r="P158" s="94">
        <f t="shared" si="28"/>
        <v>0</v>
      </c>
      <c r="Q158" s="180">
        <f t="shared" si="35"/>
        <v>0</v>
      </c>
      <c r="R158">
        <f>IFERROR(VLOOKUP(A158,[1]Energiindhold!$A$2:$C$11,3,FALSE),IFERROR(VLOOKUP(A158,[1]Biogasudbytte!$A$2:$B$18,2,FALSE)*[1]Energiindhold!$C$10,0))*P158</f>
        <v>0</v>
      </c>
      <c r="S158">
        <f>IF(A158&lt;&gt;"Biogas",IFERROR(VLOOKUP(A158,[1]Biogasudbytte!$A$2:$B$18,2,FALSE)*[1]Energiindhold!$C$10,0)*K158*IFERROR(VLOOKUP(A158,Biogasanlæg!$F$3:$G$8,2,FALSE),1)+IFERROR(VLOOKUP(A158,[1]Energiindhold!$A$2:$C$11,3,FALSE),0)*M158+IF(E158&lt;&gt;År1,R158,0),0)</f>
        <v>0</v>
      </c>
      <c r="T158">
        <f>IFERROR(VLOOKUP(A158,[1]Biogasudbytte!$A$2:$B$18,2,FALSE)*[1]Energiindhold!$C$10,0)*K158*IFERROR(VLOOKUP(A158,Biogasanlæg!$F$3:$G$8,2,FALSE),1)</f>
        <v>0</v>
      </c>
      <c r="U158" s="170">
        <f t="shared" si="36"/>
        <v>0</v>
      </c>
      <c r="V158" s="169">
        <f>P158*IFERROR(VLOOKUP(A158,[1]Tørstofindhold!A$2:B$24,2,FALSE),0)</f>
        <v>0</v>
      </c>
      <c r="W158">
        <f>IF(E158=År1,Q158,SUM(P158,Q158))*IFERROR(VLOOKUP(A158,[1]Tørstofindhold!A$2:B$24,2,FALSE),0)</f>
        <v>0</v>
      </c>
      <c r="X158">
        <f>K158*IFERROR(VLOOKUP(A158,[1]Tørstofindhold!A$2:B$24,2,FALSE),0)</f>
        <v>0</v>
      </c>
      <c r="Y158" s="170">
        <f t="shared" si="37"/>
        <v>0</v>
      </c>
      <c r="Z158">
        <f t="shared" si="29"/>
        <v>0</v>
      </c>
      <c r="AA158">
        <f t="shared" si="30"/>
        <v>1</v>
      </c>
    </row>
    <row r="159" spans="1:27" x14ac:dyDescent="0.25">
      <c r="A159" t="s">
        <v>54</v>
      </c>
      <c r="B159" s="171"/>
      <c r="C159" s="171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0</v>
      </c>
      <c r="D159" s="171">
        <f t="shared" si="27"/>
        <v>1</v>
      </c>
      <c r="E159" s="171">
        <f t="shared" si="33"/>
        <v>2019</v>
      </c>
      <c r="F159" t="s">
        <v>24</v>
      </c>
      <c r="G159" s="94">
        <f>IF(F159="Vestdanmark",SUMIFS(IF(E159=År1,'Resultater - Vestdanmark'!H$3:H$504,IF(E159=År2,'Resultater - Vestdanmark'!I$3:I$504,'Resultater - Vestdanmark'!J$3:J$504)),'Resultater - Vestdanmark'!$F$3:$F$504,$A159,IF(E159=År1,'Resultater - Vestdanmark'!H$3:H$504,IF(E159=År2,'Resultater - Vestdanmark'!I$3:I$504,'Resultater - Vestdanmark'!J$3:J$504)),"&gt;0"),SUMIFS(IF(E159=År1,'Resultater - Østdanmark'!H$3:H$504,IF(E159=År2,'Resultater - Østdanmark'!I$3:I$504,'Resultater - Østdanmark'!J$3:J$504)),'Resultater - Østdanmark'!$F$3:$F$504,$A159,IF(E159=År1,'Resultater - Østdanmark'!H$3:H$504,IF(E159=År2,'Resultater - Østdanmark'!I$3:I$504,'Resultater - Østdanmark'!J$3:J$504)),"&gt;0"))</f>
        <v>15780.226177538038</v>
      </c>
      <c r="H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forbrug'!H$3,'Forbrug af biomasse'!$B$2:$B$425,$F159)</f>
        <v>0</v>
      </c>
      <c r="I159">
        <f>IF(F159="Vestdanmark",-IF(A159="Halm",SUMIFS(IF(E159=År1,'Resultater - Vestdanmark'!H$3:H$504,IF(E159=År2,'Resultater - Vestdanmark'!I$3:I$504,'Resultater - Vestdanmark'!J$3:J$504)),'Resultater - Vestdanmark'!$F$3:$F$504,$A159,'Resultater - Vestdanmark'!H$3:H$504,"&lt;0"),0),-IF(A159="Halm",SUMIFS(IF(E159=År1,'Resultater - Østdanmark'!H$3:H$504,IF(E159=År2,'Resultater - Østdanmark'!I$3:I$504,'Resultater - Østdanmark'!J$3:J$504)),'Resultater - Østdanmark'!$F$3:$F$504,$A159,'Resultater - Østdanmark'!H$3:H$504,"&lt;0"),0))</f>
        <v>0</v>
      </c>
      <c r="J159" s="94"/>
      <c r="K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forbrug'!K$3,'Forbrug af biomasse'!$B$2:$B$425,$F159)</f>
        <v>0</v>
      </c>
      <c r="L159" s="94">
        <f>SUMIFS('Forbrug af biomasse'!$E$2:$E$425,'Forbrug af biomasse'!$C$2:$C$425,'Resultat-Produktion &amp; forbrug'!$A159,'Forbrug af biomasse'!$D$2:$D$425,'Resultat-Produktion &amp; forbrug'!$E159,'Forbrug af biomasse'!$A$2:$A$425,'Resultat-Produktion &amp; forbrug'!L$3,'Forbrug af biomasse'!$B$2:$B$425,$F159)</f>
        <v>0</v>
      </c>
      <c r="M159" s="94">
        <f>IF(A159&lt;&gt;"Biogas",SUMIFS('Forbrug af biomasse'!$E$2:$E$425,'Forbrug af biomasse'!$C$2:$C$425,'Resultat-Produktion &amp; forbrug'!$A159,'Forbrug af biomasse'!$D$2:$D$425,'Resultat-Produktion &amp; forbrug'!$E159,'Forbrug af biomasse'!$A$2:$A$425,'Resultat-Produktion &amp; forbrug'!M$3,'Forbrug af biomasse'!$B$2:$B$425,$F159),G159)</f>
        <v>0</v>
      </c>
      <c r="N159" s="94">
        <f>SUMIFS('Forbrug af biomasse'!E:E,'Forbrug af biomasse'!C:C,'Resultat-Produktion &amp; forbrug'!$A159,'Forbrug af biomasse'!D:D,'Resultat-Produktion &amp; forbrug'!$E159,'Forbrug af biomasse'!G:G,1,'Forbrug af biomasse'!B:B,$F159)</f>
        <v>0</v>
      </c>
      <c r="O159" s="179">
        <f t="shared" si="34"/>
        <v>15780.226177538038</v>
      </c>
      <c r="P159" s="94">
        <f t="shared" si="28"/>
        <v>0</v>
      </c>
      <c r="Q159" s="180">
        <f t="shared" si="35"/>
        <v>0</v>
      </c>
      <c r="R159">
        <f>IFERROR(VLOOKUP(A159,[1]Energiindhold!$A$2:$C$11,3,FALSE),IFERROR(VLOOKUP(A159,[1]Biogasudbytte!$A$2:$B$18,2,FALSE)*[1]Energiindhold!$C$10,0))*P159</f>
        <v>0</v>
      </c>
      <c r="S159">
        <f>IF(A159&lt;&gt;"Biogas",IFERROR(VLOOKUP(A159,[1]Biogasudbytte!$A$2:$B$18,2,FALSE)*[1]Energiindhold!$C$10,0)*K159*IFERROR(VLOOKUP(A159,Biogasanlæg!$F$3:$G$8,2,FALSE),1)+IFERROR(VLOOKUP(A159,[1]Energiindhold!$A$2:$C$11,3,FALSE),0)*M159+IF(E159&lt;&gt;År1,R159,0),0)</f>
        <v>0</v>
      </c>
      <c r="T159">
        <f>IFERROR(VLOOKUP(A159,[1]Biogasudbytte!$A$2:$B$18,2,FALSE)*[1]Energiindhold!$C$10,0)*K159*IFERROR(VLOOKUP(A159,Biogasanlæg!$F$3:$G$8,2,FALSE),1)</f>
        <v>0</v>
      </c>
      <c r="U159" s="170">
        <f t="shared" si="36"/>
        <v>0</v>
      </c>
      <c r="V159" s="169">
        <f>P159*IFERROR(VLOOKUP(A159,[1]Tørstofindhold!A$2:B$24,2,FALSE),0)</f>
        <v>0</v>
      </c>
      <c r="W159">
        <f>IF(E159=År1,Q159,SUM(P159,Q159))*IFERROR(VLOOKUP(A159,[1]Tørstofindhold!A$2:B$24,2,FALSE),0)</f>
        <v>0</v>
      </c>
      <c r="X159">
        <f>K159*IFERROR(VLOOKUP(A159,[1]Tørstofindhold!A$2:B$24,2,FALSE),0)</f>
        <v>0</v>
      </c>
      <c r="Y159" s="170">
        <f t="shared" si="37"/>
        <v>0</v>
      </c>
      <c r="Z159">
        <f t="shared" si="29"/>
        <v>1</v>
      </c>
      <c r="AA159">
        <f t="shared" si="30"/>
        <v>0</v>
      </c>
    </row>
    <row r="160" spans="1:27" x14ac:dyDescent="0.25">
      <c r="A160" s="171" t="s">
        <v>158</v>
      </c>
      <c r="B160" s="171" t="s">
        <v>158</v>
      </c>
      <c r="C160" s="171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71">
        <f t="shared" si="27"/>
        <v>0</v>
      </c>
      <c r="E160" s="171">
        <f t="shared" si="33"/>
        <v>2019</v>
      </c>
      <c r="F160" t="s">
        <v>24</v>
      </c>
      <c r="G160" s="94">
        <f>IF(F160="Vestdanmark",SUMIFS(IF(E160=År1,'Resultater - Vestdanmark'!H$3:H$504,IF(E160=År2,'Resultater - Vestdanmark'!I$3:I$504,'Resultater - Vestdanmark'!J$3:J$504)),'Resultater - Vestdanmark'!$F$3:$F$504,$A160,IF(E160=År1,'Resultater - Vestdanmark'!H$3:H$504,IF(E160=År2,'Resultater - Vestdanmark'!I$3:I$504,'Resultater - Vestdanmark'!J$3:J$504)),"&gt;0"),SUMIFS(IF(E160=År1,'Resultater - Østdanmark'!H$3:H$504,IF(E160=År2,'Resultater - Østdanmark'!I$3:I$504,'Resultater - Østdanmark'!J$3:J$504)),'Resultater - Østdanmark'!$F$3:$F$504,$A160,IF(E160=År1,'Resultater - Østdanmark'!H$3:H$504,IF(E160=År2,'Resultater - Østdanmark'!I$3:I$504,'Resultater - Østdanmark'!J$3:J$504)),"&gt;0"))</f>
        <v>0</v>
      </c>
      <c r="H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forbrug'!H$3,'Forbrug af biomasse'!$B$2:$B$425,$F160)</f>
        <v>0</v>
      </c>
      <c r="I160">
        <f>IF(F160="Vestdanmark",-IF(A160="Halm",SUMIFS(IF(E160=År1,'Resultater - Vestdanmark'!H$3:H$504,IF(E160=År2,'Resultater - Vestdanmark'!I$3:I$504,'Resultater - Vestdanmark'!J$3:J$504)),'Resultater - Vestdanmark'!$F$3:$F$504,$A160,'Resultater - Vestdanmark'!H$3:H$504,"&lt;0"),0),-IF(A160="Halm",SUMIFS(IF(E160=År1,'Resultater - Østdanmark'!H$3:H$504,IF(E160=År2,'Resultater - Østdanmark'!I$3:I$504,'Resultater - Østdanmark'!J$3:J$504)),'Resultater - Østdanmark'!$F$3:$F$504,$A160,'Resultater - Østdanmark'!H$3:H$504,"&lt;0"),0))</f>
        <v>0</v>
      </c>
      <c r="J160" s="94"/>
      <c r="K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forbrug'!K$3,'Forbrug af biomasse'!$B$2:$B$425,$F160)</f>
        <v>28548.400000000001</v>
      </c>
      <c r="L160" s="94">
        <f>SUMIFS('Forbrug af biomasse'!$E$2:$E$425,'Forbrug af biomasse'!$C$2:$C$425,'Resultat-Produktion &amp; forbrug'!$A160,'Forbrug af biomasse'!$D$2:$D$425,'Resultat-Produktion &amp; forbrug'!$E160,'Forbrug af biomasse'!$A$2:$A$425,'Resultat-Produktion &amp; forbrug'!L$3,'Forbrug af biomasse'!$B$2:$B$425,$F160)</f>
        <v>0</v>
      </c>
      <c r="M160" s="94">
        <f>IF(A160&lt;&gt;"Biogas",SUMIFS('Forbrug af biomasse'!$E$2:$E$425,'Forbrug af biomasse'!$C$2:$C$425,'Resultat-Produktion &amp; forbrug'!$A160,'Forbrug af biomasse'!$D$2:$D$425,'Resultat-Produktion &amp; forbrug'!$E160,'Forbrug af biomasse'!$A$2:$A$425,'Resultat-Produktion &amp; forbrug'!M$3,'Forbrug af biomasse'!$B$2:$B$425,$F160),G160)</f>
        <v>0</v>
      </c>
      <c r="N160" s="94">
        <f>SUMIFS('Forbrug af biomasse'!E:E,'Forbrug af biomasse'!C:C,'Resultat-Produktion &amp; forbrug'!$A160,'Forbrug af biomasse'!D:D,'Resultat-Produktion &amp; forbrug'!$E160,'Forbrug af biomasse'!G:G,1,'Forbrug af biomasse'!B:B,$F160)</f>
        <v>0</v>
      </c>
      <c r="O160" s="179">
        <f t="shared" si="34"/>
        <v>-28548.400000000001</v>
      </c>
      <c r="P160" s="94">
        <f t="shared" si="28"/>
        <v>0</v>
      </c>
      <c r="Q160" s="180">
        <f t="shared" si="35"/>
        <v>28548.400000000001</v>
      </c>
      <c r="R160">
        <f>IFERROR(VLOOKUP(A160,[1]Energiindhold!$A$2:$C$11,3,FALSE),IFERROR(VLOOKUP(A160,[1]Biogasudbytte!$A$2:$B$18,2,FALSE)*[1]Energiindhold!$C$10,0))*P160</f>
        <v>0</v>
      </c>
      <c r="S160">
        <f>IF(A160&lt;&gt;"Biogas",IFERROR(VLOOKUP(A160,[1]Biogasudbytte!$A$2:$B$18,2,FALSE)*[1]Energiindhold!$C$10,0)*K160*IFERROR(VLOOKUP(A160,Biogasanlæg!$F$3:$G$8,2,FALSE),1)+IFERROR(VLOOKUP(A160,[1]Energiindhold!$A$2:$C$11,3,FALSE),0)*M160+IF(E160&lt;&gt;År1,R160,0),0)</f>
        <v>0.43389639740160008</v>
      </c>
      <c r="T160">
        <f>IFERROR(VLOOKUP(A160,[1]Biogasudbytte!$A$2:$B$18,2,FALSE)*[1]Energiindhold!$C$10,0)*K160*IFERROR(VLOOKUP(A160,Biogasanlæg!$F$3:$G$8,2,FALSE),1)</f>
        <v>0.43389639740160008</v>
      </c>
      <c r="U160" s="170">
        <f t="shared" si="36"/>
        <v>0</v>
      </c>
      <c r="V160" s="169">
        <f>P160*IFERROR(VLOOKUP(A160,[1]Tørstofindhold!A$2:B$24,2,FALSE),0)</f>
        <v>0</v>
      </c>
      <c r="W160">
        <f>IF(E160=År1,Q160,SUM(P160,Q160))*IFERROR(VLOOKUP(A160,[1]Tørstofindhold!A$2:B$24,2,FALSE),0)</f>
        <v>25693.56</v>
      </c>
      <c r="X160">
        <f>K160*IFERROR(VLOOKUP(A160,[1]Tørstofindhold!A$2:B$24,2,FALSE),0)</f>
        <v>25693.56</v>
      </c>
      <c r="Y160" s="170">
        <f t="shared" si="37"/>
        <v>0</v>
      </c>
      <c r="Z160">
        <f t="shared" si="29"/>
        <v>1</v>
      </c>
      <c r="AA160">
        <f t="shared" si="30"/>
        <v>0</v>
      </c>
    </row>
    <row r="161" spans="1:27" x14ac:dyDescent="0.25">
      <c r="A161" s="171" t="s">
        <v>51</v>
      </c>
      <c r="B161" s="171" t="s">
        <v>223</v>
      </c>
      <c r="C161" s="171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1</v>
      </c>
      <c r="D161" s="171">
        <f t="shared" si="27"/>
        <v>0</v>
      </c>
      <c r="E161" s="171">
        <f t="shared" si="33"/>
        <v>2019</v>
      </c>
      <c r="F161" t="s">
        <v>24</v>
      </c>
      <c r="G161" s="94">
        <f>IF(F161="Vestdanmark",SUMIFS(IF(E161=År1,'Resultater - Vestdanmark'!H$3:H$504,IF(E161=År2,'Resultater - Vestdanmark'!I$3:I$504,'Resultater - Vestdanmark'!J$3:J$504)),'Resultater - Vestdanmark'!$F$3:$F$504,$A161,IF(E161=År1,'Resultater - Vestdanmark'!H$3:H$504,IF(E161=År2,'Resultater - Vestdanmark'!I$3:I$504,'Resultater - Vestdanmark'!J$3:J$504)),"&gt;0"),SUMIFS(IF(E161=År1,'Resultater - Østdanmark'!H$3:H$504,IF(E161=År2,'Resultater - Østdanmark'!I$3:I$504,'Resultater - Østdanmark'!J$3:J$504)),'Resultater - Østdanmark'!$F$3:$F$504,$A161,IF(E161=År1,'Resultater - Østdanmark'!H$3:H$504,IF(E161=År2,'Resultater - Østdanmark'!I$3:I$504,'Resultater - Østdanmark'!J$3:J$504)),"&gt;0"))</f>
        <v>2148848.2010935447</v>
      </c>
      <c r="H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forbrug'!H$3,'Forbrug af biomasse'!$B$2:$B$425,$F161)</f>
        <v>1502068.0760117143</v>
      </c>
      <c r="I161">
        <f>IF(F161="Vestdanmark",-IF(A161="Halm",SUMIFS(IF(E161=År1,'Resultater - Vestdanmark'!H$3:H$504,IF(E161=År2,'Resultater - Vestdanmark'!I$3:I$504,'Resultater - Vestdanmark'!J$3:J$504)),'Resultater - Vestdanmark'!$F$3:$F$504,$A161,'Resultater - Vestdanmark'!H$3:H$504,"&lt;0"),0),-IF(A161="Halm",SUMIFS(IF(E161=År1,'Resultater - Østdanmark'!H$3:H$504,IF(E161=År2,'Resultater - Østdanmark'!I$3:I$504,'Resultater - Østdanmark'!J$3:J$504)),'Resultater - Østdanmark'!$F$3:$F$504,$A161,'Resultater - Østdanmark'!H$3:H$504,"&lt;0"),0))</f>
        <v>0</v>
      </c>
      <c r="J161" s="94"/>
      <c r="K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forbrug'!K$3,'Forbrug af biomasse'!$B$2:$B$425,$F161)</f>
        <v>10277.831749012612</v>
      </c>
      <c r="L161" s="94">
        <f>SUMIFS('Forbrug af biomasse'!$E$2:$E$425,'Forbrug af biomasse'!$C$2:$C$425,'Resultat-Produktion &amp; forbrug'!$A161,'Forbrug af biomasse'!$D$2:$D$425,'Resultat-Produktion &amp; forbrug'!$E161,'Forbrug af biomasse'!$A$2:$A$425,'Resultat-Produktion &amp; forbrug'!L$3,'Forbrug af biomasse'!$B$2:$B$425,$F161)</f>
        <v>0</v>
      </c>
      <c r="M161" s="94">
        <f>IF(A161&lt;&gt;"Biogas",SUMIFS('Forbrug af biomasse'!$E$2:$E$425,'Forbrug af biomasse'!$C$2:$C$425,'Resultat-Produktion &amp; forbrug'!$A161,'Forbrug af biomasse'!$D$2:$D$425,'Resultat-Produktion &amp; forbrug'!$E161,'Forbrug af biomasse'!$A$2:$A$425,'Resultat-Produktion &amp; forbrug'!M$3,'Forbrug af biomasse'!$B$2:$B$425,$F161),G161)</f>
        <v>0</v>
      </c>
      <c r="N161" s="94">
        <f>SUMIFS('Forbrug af biomasse'!E:E,'Forbrug af biomasse'!C:C,'Resultat-Produktion &amp; forbrug'!$A161,'Forbrug af biomasse'!D:D,'Resultat-Produktion &amp; forbrug'!$E161,'Forbrug af biomasse'!G:G,1,'Forbrug af biomasse'!B:B,$F161)</f>
        <v>0</v>
      </c>
      <c r="O161" s="179">
        <f t="shared" si="34"/>
        <v>636502.29333281773</v>
      </c>
      <c r="P161" s="94">
        <f t="shared" si="28"/>
        <v>636502.29333281773</v>
      </c>
      <c r="Q161" s="180">
        <f t="shared" si="35"/>
        <v>10277.831749012612</v>
      </c>
      <c r="R161">
        <f>IFERROR(VLOOKUP(A161,[1]Energiindhold!$A$2:$C$11,3,FALSE),IFERROR(VLOOKUP(A161,[1]Biogasudbytte!$A$2:$B$18,2,FALSE)*[1]Energiindhold!$C$10,0))*P161</f>
        <v>1.1710846569457181</v>
      </c>
      <c r="S161">
        <f>IF(A161&lt;&gt;"Biogas",IFERROR(VLOOKUP(A161,[1]Biogasudbytte!$A$2:$B$18,2,FALSE)*[1]Energiindhold!$C$10,0)*K161*IFERROR(VLOOKUP(A161,Biogasanlæg!$F$3:$G$8,2,FALSE),1)+IFERROR(VLOOKUP(A161,[1]Energiindhold!$A$2:$C$11,3,FALSE),0)*M161+IF(E161&lt;&gt;År1,R161,0),0)</f>
        <v>1.8909925689214579E-2</v>
      </c>
      <c r="T161">
        <f>IFERROR(VLOOKUP(A161,[1]Biogasudbytte!$A$2:$B$18,2,FALSE)*[1]Energiindhold!$C$10,0)*K161*IFERROR(VLOOKUP(A161,Biogasanlæg!$F$3:$G$8,2,FALSE),1)</f>
        <v>1.8909925689214579E-2</v>
      </c>
      <c r="U161" s="170">
        <f t="shared" si="36"/>
        <v>0</v>
      </c>
      <c r="V161" s="169">
        <f>P161*IFERROR(VLOOKUP(A161,[1]Tørstofindhold!A$2:B$24,2,FALSE),0)</f>
        <v>178220.64213318899</v>
      </c>
      <c r="W161">
        <f>IF(E161=År1,Q161,SUM(P161,Q161))*IFERROR(VLOOKUP(A161,[1]Tørstofindhold!A$2:B$24,2,FALSE),0)</f>
        <v>2877.7928897235315</v>
      </c>
      <c r="X161">
        <f>K161*IFERROR(VLOOKUP(A161,[1]Tørstofindhold!A$2:B$24,2,FALSE),0)</f>
        <v>2877.7928897235315</v>
      </c>
      <c r="Y161" s="170">
        <f t="shared" si="37"/>
        <v>0</v>
      </c>
      <c r="Z161">
        <f t="shared" si="29"/>
        <v>0</v>
      </c>
      <c r="AA161">
        <f t="shared" si="30"/>
        <v>1</v>
      </c>
    </row>
    <row r="162" spans="1:27" x14ac:dyDescent="0.25">
      <c r="A162" s="171" t="s">
        <v>202</v>
      </c>
      <c r="B162" s="171"/>
      <c r="C162" s="171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71">
        <f t="shared" si="27"/>
        <v>0</v>
      </c>
      <c r="E162" s="171">
        <f t="shared" si="33"/>
        <v>2019</v>
      </c>
      <c r="F162" t="s">
        <v>24</v>
      </c>
      <c r="G162" s="94">
        <f>IF(F162="Vestdanmark",SUMIFS(IF(E162=År1,'Resultater - Vestdanmark'!H$3:H$504,IF(E162=År2,'Resultater - Vestdanmark'!I$3:I$504,'Resultater - Vestdanmark'!J$3:J$504)),'Resultater - Vestdanmark'!$F$3:$F$504,$A162,IF(E162=År1,'Resultater - Vestdanmark'!H$3:H$504,IF(E162=År2,'Resultater - Vestdanmark'!I$3:I$504,'Resultater - Vestdanmark'!J$3:J$504)),"&gt;0"),SUMIFS(IF(E162=År1,'Resultater - Østdanmark'!H$3:H$504,IF(E162=År2,'Resultater - Østdanmark'!I$3:I$504,'Resultater - Østdanmark'!J$3:J$504)),'Resultater - Østdanmark'!$F$3:$F$504,$A162,IF(E162=År1,'Resultater - Østdanmark'!H$3:H$504,IF(E162=År2,'Resultater - Østdanmark'!I$3:I$504,'Resultater - Østdanmark'!J$3:J$504)),"&gt;0"))</f>
        <v>0</v>
      </c>
      <c r="H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forbrug'!H$3,'Forbrug af biomasse'!$B$2:$B$425,$F162)</f>
        <v>0</v>
      </c>
      <c r="I162">
        <f>IF(F162="Vestdanmark",-IF(A162="Halm",SUMIFS(IF(E162=År1,'Resultater - Vestdanmark'!H$3:H$504,IF(E162=År2,'Resultater - Vestdanmark'!I$3:I$504,'Resultater - Vestdanmark'!J$3:J$504)),'Resultater - Vestdanmark'!$F$3:$F$504,$A162,'Resultater - Vestdanmark'!H$3:H$504,"&lt;0"),0),-IF(A162="Halm",SUMIFS(IF(E162=År1,'Resultater - Østdanmark'!H$3:H$504,IF(E162=År2,'Resultater - Østdanmark'!I$3:I$504,'Resultater - Østdanmark'!J$3:J$504)),'Resultater - Østdanmark'!$F$3:$F$504,$A162,'Resultater - Østdanmark'!H$3:H$504,"&lt;0"),0))</f>
        <v>0</v>
      </c>
      <c r="J162" s="94"/>
      <c r="K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forbrug'!K$3,'Forbrug af biomasse'!$B$2:$B$425,$F162)</f>
        <v>0</v>
      </c>
      <c r="L162" s="94">
        <f>SUMIFS('Forbrug af biomasse'!$E$2:$E$425,'Forbrug af biomasse'!$C$2:$C$425,'Resultat-Produktion &amp; forbrug'!$A162,'Forbrug af biomasse'!$D$2:$D$425,'Resultat-Produktion &amp; forbrug'!$E162,'Forbrug af biomasse'!$A$2:$A$425,'Resultat-Produktion &amp; forbrug'!L$3,'Forbrug af biomasse'!$B$2:$B$425,$F162)</f>
        <v>0</v>
      </c>
      <c r="M162" s="94">
        <f>IF(A162&lt;&gt;"Biogas",SUMIFS('Forbrug af biomasse'!$E$2:$E$425,'Forbrug af biomasse'!$C$2:$C$425,'Resultat-Produktion &amp; forbrug'!$A162,'Forbrug af biomasse'!$D$2:$D$425,'Resultat-Produktion &amp; forbrug'!$E162,'Forbrug af biomasse'!$A$2:$A$425,'Resultat-Produktion &amp; forbrug'!M$3,'Forbrug af biomasse'!$B$2:$B$425,$F162),G162)</f>
        <v>0</v>
      </c>
      <c r="N162" s="94">
        <f>SUMIFS('Forbrug af biomasse'!E:E,'Forbrug af biomasse'!C:C,'Resultat-Produktion &amp; forbrug'!$A162,'Forbrug af biomasse'!D:D,'Resultat-Produktion &amp; forbrug'!$E162,'Forbrug af biomasse'!G:G,1,'Forbrug af biomasse'!B:B,$F162)</f>
        <v>0</v>
      </c>
      <c r="O162" s="179">
        <f t="shared" si="34"/>
        <v>0</v>
      </c>
      <c r="P162" s="94">
        <f t="shared" si="28"/>
        <v>0</v>
      </c>
      <c r="Q162" s="180">
        <f t="shared" si="35"/>
        <v>0</v>
      </c>
      <c r="R162">
        <f>IFERROR(VLOOKUP(A162,[1]Energiindhold!$A$2:$C$11,3,FALSE),IFERROR(VLOOKUP(A162,[1]Biogasudbytte!$A$2:$B$18,2,FALSE)*[1]Energiindhold!$C$10,0))*P162</f>
        <v>0</v>
      </c>
      <c r="S162">
        <f>IF(A162&lt;&gt;"Biogas",IFERROR(VLOOKUP(A162,[1]Biogasudbytte!$A$2:$B$18,2,FALSE)*[1]Energiindhold!$C$10,0)*K162*IFERROR(VLOOKUP(A162,Biogasanlæg!$F$3:$G$8,2,FALSE),1)+IFERROR(VLOOKUP(A162,[1]Energiindhold!$A$2:$C$11,3,FALSE),0)*M162+IF(E162&lt;&gt;År1,R162,0),0)</f>
        <v>0</v>
      </c>
      <c r="T162">
        <f>IFERROR(VLOOKUP(A162,[1]Biogasudbytte!$A$2:$B$18,2,FALSE)*[1]Energiindhold!$C$10,0)*K162*IFERROR(VLOOKUP(A162,Biogasanlæg!$F$3:$G$8,2,FALSE),1)</f>
        <v>0</v>
      </c>
      <c r="U162" s="170">
        <f t="shared" si="36"/>
        <v>0</v>
      </c>
      <c r="V162" s="169">
        <f>P162*IFERROR(VLOOKUP(A162,[1]Tørstofindhold!A$2:B$24,2,FALSE),0)</f>
        <v>0</v>
      </c>
      <c r="W162">
        <f>IF(E162=År1,Q162,SUM(P162,Q162))*IFERROR(VLOOKUP(A162,[1]Tørstofindhold!A$2:B$24,2,FALSE),0)</f>
        <v>0</v>
      </c>
      <c r="X162">
        <f>K162*IFERROR(VLOOKUP(A162,[1]Tørstofindhold!A$2:B$24,2,FALSE),0)</f>
        <v>0</v>
      </c>
      <c r="Y162" s="170">
        <f t="shared" si="37"/>
        <v>0</v>
      </c>
      <c r="Z162">
        <f t="shared" si="29"/>
        <v>0</v>
      </c>
      <c r="AA162">
        <f t="shared" si="30"/>
        <v>0</v>
      </c>
    </row>
    <row r="163" spans="1:27" x14ac:dyDescent="0.25">
      <c r="A163" s="171" t="s">
        <v>6</v>
      </c>
      <c r="B163" s="171"/>
      <c r="C163" s="171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0</v>
      </c>
      <c r="D163" s="171">
        <f t="shared" si="27"/>
        <v>1</v>
      </c>
      <c r="E163" s="171">
        <f t="shared" si="33"/>
        <v>2019</v>
      </c>
      <c r="F163" t="s">
        <v>24</v>
      </c>
      <c r="G163" s="94">
        <f>IF(F163="Vestdanmark",SUMIFS(IF(E163=År1,'Resultater - Vestdanmark'!H$3:H$504,IF(E163=År2,'Resultater - Vestdanmark'!I$3:I$504,'Resultater - Vestdanmark'!J$3:J$504)),'Resultater - Vestdanmark'!$F$3:$F$504,$A163,IF(E163=År1,'Resultater - Vestdanmark'!H$3:H$504,IF(E163=År2,'Resultater - Vestdanmark'!I$3:I$504,'Resultater - Vestdanmark'!J$3:J$504)),"&gt;0"),SUMIFS(IF(E163=År1,'Resultater - Østdanmark'!H$3:H$504,IF(E163=År2,'Resultater - Østdanmark'!I$3:I$504,'Resultater - Østdanmark'!J$3:J$504)),'Resultater - Østdanmark'!$F$3:$F$504,$A163,IF(E163=År1,'Resultater - Østdanmark'!H$3:H$504,IF(E163=År2,'Resultater - Østdanmark'!I$3:I$504,'Resultater - Østdanmark'!J$3:J$504)),"&gt;0"))</f>
        <v>95299.46904386401</v>
      </c>
      <c r="H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forbrug'!H$3,'Forbrug af biomasse'!$B$2:$B$425,$F163)</f>
        <v>0</v>
      </c>
      <c r="I163">
        <f>IF(F163="Vestdanmark",-IF(A163="Halm",SUMIFS(IF(E163=År1,'Resultater - Vestdanmark'!H$3:H$504,IF(E163=År2,'Resultater - Vestdanmark'!I$3:I$504,'Resultater - Vestdanmark'!J$3:J$504)),'Resultater - Vestdanmark'!$F$3:$F$504,$A163,'Resultater - Vestdanmark'!H$3:H$504,"&lt;0"),0),-IF(A163="Halm",SUMIFS(IF(E163=År1,'Resultater - Østdanmark'!H$3:H$504,IF(E163=År2,'Resultater - Østdanmark'!I$3:I$504,'Resultater - Østdanmark'!J$3:J$504)),'Resultater - Østdanmark'!$F$3:$F$504,$A163,'Resultater - Østdanmark'!H$3:H$504,"&lt;0"),0))</f>
        <v>0</v>
      </c>
      <c r="J163" s="94"/>
      <c r="K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forbrug'!K$3,'Forbrug af biomasse'!$B$2:$B$425,$F163)</f>
        <v>0</v>
      </c>
      <c r="L163" s="94">
        <f>SUMIFS('Forbrug af biomasse'!$E$2:$E$425,'Forbrug af biomasse'!$C$2:$C$425,'Resultat-Produktion &amp; forbrug'!$A163,'Forbrug af biomasse'!$D$2:$D$425,'Resultat-Produktion &amp; forbrug'!$E163,'Forbrug af biomasse'!$A$2:$A$425,'Resultat-Produktion &amp; forbrug'!L$3,'Forbrug af biomasse'!$B$2:$B$425,$F163)</f>
        <v>0</v>
      </c>
      <c r="M163" s="94">
        <f>IF(A163&lt;&gt;"Biogas",SUMIFS('Forbrug af biomasse'!$E$2:$E$425,'Forbrug af biomasse'!$C$2:$C$425,'Resultat-Produktion &amp; forbrug'!$A163,'Forbrug af biomasse'!$D$2:$D$425,'Resultat-Produktion &amp; forbrug'!$E163,'Forbrug af biomasse'!$A$2:$A$425,'Resultat-Produktion &amp; forbrug'!M$3,'Forbrug af biomasse'!$B$2:$B$425,$F163),G163)</f>
        <v>0</v>
      </c>
      <c r="N163" s="94">
        <f>SUMIFS('Forbrug af biomasse'!E:E,'Forbrug af biomasse'!C:C,'Resultat-Produktion &amp; forbrug'!$A163,'Forbrug af biomasse'!D:D,'Resultat-Produktion &amp; forbrug'!$E163,'Forbrug af biomasse'!G:G,1,'Forbrug af biomasse'!B:B,$F163)</f>
        <v>0</v>
      </c>
      <c r="O163" s="179">
        <f t="shared" si="34"/>
        <v>95299.46904386401</v>
      </c>
      <c r="P163" s="94">
        <f t="shared" si="28"/>
        <v>0</v>
      </c>
      <c r="Q163" s="180">
        <f t="shared" si="35"/>
        <v>0</v>
      </c>
      <c r="R163">
        <f>IFERROR(VLOOKUP(A163,[1]Energiindhold!$A$2:$C$11,3,FALSE),IFERROR(VLOOKUP(A163,[1]Biogasudbytte!$A$2:$B$18,2,FALSE)*[1]Energiindhold!$C$10,0))*P163</f>
        <v>0</v>
      </c>
      <c r="S163">
        <f>IF(A163&lt;&gt;"Biogas",IFERROR(VLOOKUP(A163,[1]Biogasudbytte!$A$2:$B$18,2,FALSE)*[1]Energiindhold!$C$10,0)*K163*IFERROR(VLOOKUP(A163,Biogasanlæg!$F$3:$G$8,2,FALSE),1)+IFERROR(VLOOKUP(A163,[1]Energiindhold!$A$2:$C$11,3,FALSE),0)*M163+IF(E163&lt;&gt;År1,R163,0),0)</f>
        <v>0</v>
      </c>
      <c r="T163">
        <f>IFERROR(VLOOKUP(A163,[1]Biogasudbytte!$A$2:$B$18,2,FALSE)*[1]Energiindhold!$C$10,0)*K163*IFERROR(VLOOKUP(A163,Biogasanlæg!$F$3:$G$8,2,FALSE),1)</f>
        <v>0</v>
      </c>
      <c r="U163" s="170">
        <f t="shared" si="36"/>
        <v>0</v>
      </c>
      <c r="V163" s="169">
        <f>P163*IFERROR(VLOOKUP(A163,[1]Tørstofindhold!A$2:B$24,2,FALSE),0)</f>
        <v>0</v>
      </c>
      <c r="W163">
        <f>IF(E163=År1,Q163,SUM(P163,Q163))*IFERROR(VLOOKUP(A163,[1]Tørstofindhold!A$2:B$24,2,FALSE),0)</f>
        <v>0</v>
      </c>
      <c r="X163">
        <f>K163*IFERROR(VLOOKUP(A163,[1]Tørstofindhold!A$2:B$24,2,FALSE),0)</f>
        <v>0</v>
      </c>
      <c r="Y163" s="170">
        <f t="shared" si="37"/>
        <v>0</v>
      </c>
      <c r="Z163">
        <f t="shared" si="29"/>
        <v>0</v>
      </c>
      <c r="AA163">
        <f t="shared" si="30"/>
        <v>1</v>
      </c>
    </row>
    <row r="164" spans="1:27" x14ac:dyDescent="0.25">
      <c r="A164" s="171" t="s">
        <v>67</v>
      </c>
      <c r="B164" s="171" t="s">
        <v>226</v>
      </c>
      <c r="C164" s="171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71">
        <f t="shared" si="27"/>
        <v>0</v>
      </c>
      <c r="E164" s="171">
        <f t="shared" si="33"/>
        <v>2019</v>
      </c>
      <c r="F164" t="s">
        <v>24</v>
      </c>
      <c r="G164" s="94">
        <f>IF(F164="Vestdanmark",SUMIFS(IF(E164=År1,'Resultater - Vestdanmark'!H$3:H$504,IF(E164=År2,'Resultater - Vestdanmark'!I$3:I$504,'Resultater - Vestdanmark'!J$3:J$504)),'Resultater - Vestdanmark'!$F$3:$F$504,$A164,IF(E164=År1,'Resultater - Vestdanmark'!H$3:H$504,IF(E164=År2,'Resultater - Vestdanmark'!I$3:I$504,'Resultater - Vestdanmark'!J$3:J$504)),"&gt;0"),SUMIFS(IF(E164=År1,'Resultater - Østdanmark'!H$3:H$504,IF(E164=År2,'Resultater - Østdanmark'!I$3:I$504,'Resultater - Østdanmark'!J$3:J$504)),'Resultater - Østdanmark'!$F$3:$F$504,$A164,IF(E164=År1,'Resultater - Østdanmark'!H$3:H$504,IF(E164=År2,'Resultater - Østdanmark'!I$3:I$504,'Resultater - Østdanmark'!J$3:J$504)),"&gt;0"))</f>
        <v>954412.72069157928</v>
      </c>
      <c r="H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forbrug'!H$3,'Forbrug af biomasse'!$B$2:$B$425,$F164)</f>
        <v>94889.448034412548</v>
      </c>
      <c r="I164">
        <f>IF(F164="Vestdanmark",-IF(A164="Halm",SUMIFS(IF(E164=År1,'Resultater - Vestdanmark'!H$3:H$504,IF(E164=År2,'Resultater - Vestdanmark'!I$3:I$504,'Resultater - Vestdanmark'!J$3:J$504)),'Resultater - Vestdanmark'!$F$3:$F$504,$A164,'Resultater - Vestdanmark'!H$3:H$504,"&lt;0"),0),-IF(A164="Halm",SUMIFS(IF(E164=År1,'Resultater - Østdanmark'!H$3:H$504,IF(E164=År2,'Resultater - Østdanmark'!I$3:I$504,'Resultater - Østdanmark'!J$3:J$504)),'Resultater - Østdanmark'!$F$3:$F$504,$A164,'Resultater - Østdanmark'!H$3:H$504,"&lt;0"),0))</f>
        <v>104128.58905499999</v>
      </c>
      <c r="J164" s="94"/>
      <c r="K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forbrug'!K$3,'Forbrug af biomasse'!$B$2:$B$425,$F164)</f>
        <v>22739.095393183845</v>
      </c>
      <c r="L164" s="94">
        <f>SUMIFS('Forbrug af biomasse'!$E$2:$E$425,'Forbrug af biomasse'!$C$2:$C$425,'Resultat-Produktion &amp; forbrug'!$A164,'Forbrug af biomasse'!$D$2:$D$425,'Resultat-Produktion &amp; forbrug'!$E164,'Forbrug af biomasse'!$A$2:$A$425,'Resultat-Produktion &amp; forbrug'!L$3,'Forbrug af biomasse'!$B$2:$B$425,$F164)</f>
        <v>0</v>
      </c>
      <c r="M164" s="94">
        <f>IF(A164&lt;&gt;"Biogas",SUMIFS('Forbrug af biomasse'!$E$2:$E$425,'Forbrug af biomasse'!$C$2:$C$425,'Resultat-Produktion &amp; forbrug'!$A164,'Forbrug af biomasse'!$D$2:$D$425,'Resultat-Produktion &amp; forbrug'!$E164,'Forbrug af biomasse'!$A$2:$A$425,'Resultat-Produktion &amp; forbrug'!M$3,'Forbrug af biomasse'!$B$2:$B$425,$F164),G164)</f>
        <v>732655.58820898295</v>
      </c>
      <c r="N164" s="94">
        <f>SUMIFS('Forbrug af biomasse'!E:E,'Forbrug af biomasse'!C:C,'Resultat-Produktion &amp; forbrug'!$A164,'Forbrug af biomasse'!D:D,'Resultat-Produktion &amp; forbrug'!$E164,'Forbrug af biomasse'!G:G,1,'Forbrug af biomasse'!B:B,$F164)</f>
        <v>0</v>
      </c>
      <c r="O164" s="179">
        <f t="shared" si="34"/>
        <v>0</v>
      </c>
      <c r="P164" s="94">
        <f t="shared" si="28"/>
        <v>0</v>
      </c>
      <c r="Q164" s="180">
        <f t="shared" si="35"/>
        <v>755394.68360216683</v>
      </c>
      <c r="R164">
        <f>IFERROR(VLOOKUP(A164,[1]Energiindhold!$A$2:$C$11,3,FALSE),IFERROR(VLOOKUP(A164,[1]Biogasudbytte!$A$2:$B$18,2,FALSE)*[1]Energiindhold!$C$10,0))*P164</f>
        <v>0</v>
      </c>
      <c r="S164">
        <f>IF(A164&lt;&gt;"Biogas",IFERROR(VLOOKUP(A164,[1]Biogasudbytte!$A$2:$B$18,2,FALSE)*[1]Energiindhold!$C$10,0)*K164*IFERROR(VLOOKUP(A164,Biogasanlæg!$F$3:$G$8,2,FALSE),1)+IFERROR(VLOOKUP(A164,[1]Energiindhold!$A$2:$C$11,3,FALSE),0)*M164+IF(E164&lt;&gt;År1,R164,0),0)</f>
        <v>7.7036894370658402</v>
      </c>
      <c r="T164">
        <f>IFERROR(VLOOKUP(A164,[1]Biogasudbytte!$A$2:$B$18,2,FALSE)*[1]Energiindhold!$C$10,0)*K164*IFERROR(VLOOKUP(A164,Biogasanlæg!$F$3:$G$8,2,FALSE),1)</f>
        <v>0.1311031640532172</v>
      </c>
      <c r="U164" s="170">
        <f t="shared" si="36"/>
        <v>7.5725862730126234</v>
      </c>
      <c r="V164" s="169">
        <f>P164*IFERROR(VLOOKUP(A164,[1]Tørstofindhold!A$2:B$24,2,FALSE),0)</f>
        <v>0</v>
      </c>
      <c r="W164">
        <f>IF(E164=År1,Q164,SUM(P164,Q164))*IFERROR(VLOOKUP(A164,[1]Tørstofindhold!A$2:B$24,2,FALSE),0)</f>
        <v>642085.48106184183</v>
      </c>
      <c r="X164">
        <f>K164*IFERROR(VLOOKUP(A164,[1]Tørstofindhold!A$2:B$24,2,FALSE),0)</f>
        <v>19328.231084206269</v>
      </c>
      <c r="Y164" s="170">
        <f t="shared" si="37"/>
        <v>622757.24997763557</v>
      </c>
      <c r="Z164">
        <f t="shared" si="29"/>
        <v>0</v>
      </c>
      <c r="AA164">
        <f t="shared" si="30"/>
        <v>0</v>
      </c>
    </row>
    <row r="165" spans="1:27" x14ac:dyDescent="0.25">
      <c r="A165" s="171" t="s">
        <v>162</v>
      </c>
      <c r="B165" s="171" t="s">
        <v>229</v>
      </c>
      <c r="C165" s="171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1</v>
      </c>
      <c r="D165" s="171">
        <f t="shared" si="27"/>
        <v>0</v>
      </c>
      <c r="E165" s="171">
        <f t="shared" si="33"/>
        <v>2019</v>
      </c>
      <c r="F165" t="s">
        <v>24</v>
      </c>
      <c r="G165" s="94">
        <f>IF(F165="Vestdanmark",SUMIFS(IF(E165=År1,'Resultater - Vestdanmark'!H$3:H$504,IF(E165=År2,'Resultater - Vestdanmark'!I$3:I$504,'Resultater - Vestdanmark'!J$3:J$504)),'Resultater - Vestdanmark'!$F$3:$F$504,$A165,IF(E165=År1,'Resultater - Vestdanmark'!H$3:H$504,IF(E165=År2,'Resultater - Vestdanmark'!I$3:I$504,'Resultater - Vestdanmark'!J$3:J$504)),"&gt;0"),SUMIFS(IF(E165=År1,'Resultater - Østdanmark'!H$3:H$504,IF(E165=År2,'Resultater - Østdanmark'!I$3:I$504,'Resultater - Østdanmark'!J$3:J$504)),'Resultater - Østdanmark'!$F$3:$F$504,$A165,IF(E165=År1,'Resultater - Østdanmark'!H$3:H$504,IF(E165=År2,'Resultater - Østdanmark'!I$3:I$504,'Resultater - Østdanmark'!J$3:J$504)),"&gt;0"))</f>
        <v>452346.51233766804</v>
      </c>
      <c r="H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forbrug'!H$3,'Forbrug af biomasse'!$B$2:$B$425,$F165)</f>
        <v>0</v>
      </c>
      <c r="I165">
        <f>IF(F165="Vestdanmark",-IF(A165="Halm",SUMIFS(IF(E165=År1,'Resultater - Vestdanmark'!H$3:H$504,IF(E165=År2,'Resultater - Vestdanmark'!I$3:I$504,'Resultater - Vestdanmark'!J$3:J$504)),'Resultater - Vestdanmark'!$F$3:$F$504,$A165,'Resultater - Vestdanmark'!H$3:H$504,"&lt;0"),0),-IF(A165="Halm",SUMIFS(IF(E165=År1,'Resultater - Østdanmark'!H$3:H$504,IF(E165=År2,'Resultater - Østdanmark'!I$3:I$504,'Resultater - Østdanmark'!J$3:J$504)),'Resultater - Østdanmark'!$F$3:$F$504,$A165,'Resultater - Østdanmark'!H$3:H$504,"&lt;0"),0))</f>
        <v>0</v>
      </c>
      <c r="J165" s="94"/>
      <c r="K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forbrug'!K$3,'Forbrug af biomasse'!$B$2:$B$425,$F165)</f>
        <v>35.900188095894634</v>
      </c>
      <c r="L165" s="94">
        <f>SUMIFS('Forbrug af biomasse'!$E$2:$E$425,'Forbrug af biomasse'!$C$2:$C$425,'Resultat-Produktion &amp; forbrug'!$A165,'Forbrug af biomasse'!$D$2:$D$425,'Resultat-Produktion &amp; forbrug'!$E165,'Forbrug af biomasse'!$A$2:$A$425,'Resultat-Produktion &amp; forbrug'!L$3,'Forbrug af biomasse'!$B$2:$B$425,$F165)</f>
        <v>0</v>
      </c>
      <c r="M165" s="94">
        <f>IF(A165&lt;&gt;"Biogas",SUMIFS('Forbrug af biomasse'!$E$2:$E$425,'Forbrug af biomasse'!$C$2:$C$425,'Resultat-Produktion &amp; forbrug'!$A165,'Forbrug af biomasse'!$D$2:$D$425,'Resultat-Produktion &amp; forbrug'!$E165,'Forbrug af biomasse'!$A$2:$A$425,'Resultat-Produktion &amp; forbrug'!M$3,'Forbrug af biomasse'!$B$2:$B$425,$F165),G165)</f>
        <v>452310.61214957217</v>
      </c>
      <c r="N165" s="94">
        <f>SUMIFS('Forbrug af biomasse'!E:E,'Forbrug af biomasse'!C:C,'Resultat-Produktion &amp; forbrug'!$A165,'Forbrug af biomasse'!D:D,'Resultat-Produktion &amp; forbrug'!$E165,'Forbrug af biomasse'!G:G,1,'Forbrug af biomasse'!B:B,$F165)</f>
        <v>0</v>
      </c>
      <c r="O165" s="179">
        <f t="shared" si="34"/>
        <v>0</v>
      </c>
      <c r="P165" s="94">
        <f t="shared" si="28"/>
        <v>0</v>
      </c>
      <c r="Q165" s="180">
        <f t="shared" si="35"/>
        <v>452346.51233766804</v>
      </c>
      <c r="R165">
        <f>IFERROR(VLOOKUP(A165,[1]Energiindhold!$A$2:$C$11,3,FALSE),IFERROR(VLOOKUP(A165,[1]Biogasudbytte!$A$2:$B$18,2,FALSE)*[1]Energiindhold!$C$10,0))*P165</f>
        <v>0</v>
      </c>
      <c r="S165">
        <f>IF(A165&lt;&gt;"Biogas",IFERROR(VLOOKUP(A165,[1]Biogasudbytte!$A$2:$B$18,2,FALSE)*[1]Energiindhold!$C$10,0)*K165*IFERROR(VLOOKUP(A165,Biogasanlæg!$F$3:$G$8,2,FALSE),1)+IFERROR(VLOOKUP(A165,[1]Energiindhold!$A$2:$C$11,3,FALSE),0)*M165+IF(E165&lt;&gt;År1,R165,0),0)</f>
        <v>8.0748097529675267</v>
      </c>
      <c r="T165">
        <f>IFERROR(VLOOKUP(A165,[1]Biogasudbytte!$A$2:$B$18,2,FALSE)*[1]Energiindhold!$C$10,0)*K165*IFERROR(VLOOKUP(A165,Biogasanlæg!$F$3:$G$8,2,FALSE),1)</f>
        <v>6.0961032399995807E-5</v>
      </c>
      <c r="U165" s="170">
        <f t="shared" si="36"/>
        <v>8.0747487919351268</v>
      </c>
      <c r="V165" s="169">
        <f>P165*IFERROR(VLOOKUP(A165,[1]Tørstofindhold!A$2:B$24,2,FALSE),0)</f>
        <v>0</v>
      </c>
      <c r="W165">
        <f>IF(E165=År1,Q165,SUM(P165,Q165))*IFERROR(VLOOKUP(A165,[1]Tørstofindhold!A$2:B$24,2,FALSE),0)</f>
        <v>135703.9537013004</v>
      </c>
      <c r="X165">
        <f>K165*IFERROR(VLOOKUP(A165,[1]Tørstofindhold!A$2:B$24,2,FALSE),0)</f>
        <v>10.77005642876839</v>
      </c>
      <c r="Y165" s="170">
        <f t="shared" si="37"/>
        <v>135693.18364487163</v>
      </c>
      <c r="Z165">
        <f t="shared" si="29"/>
        <v>0</v>
      </c>
      <c r="AA165">
        <f t="shared" si="30"/>
        <v>0</v>
      </c>
    </row>
    <row r="166" spans="1:27" x14ac:dyDescent="0.25">
      <c r="A166" t="s">
        <v>159</v>
      </c>
      <c r="B166" s="171"/>
      <c r="C166" s="171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0</v>
      </c>
      <c r="D166" s="171">
        <f t="shared" si="27"/>
        <v>1</v>
      </c>
      <c r="E166" s="171">
        <f t="shared" si="33"/>
        <v>2019</v>
      </c>
      <c r="F166" t="s">
        <v>24</v>
      </c>
      <c r="G166" s="94">
        <f>IF(F166="Vestdanmark",SUMIFS(IF(E166=År1,'Resultater - Vestdanmark'!H$3:H$504,IF(E166=År2,'Resultater - Vestdanmark'!I$3:I$504,'Resultater - Vestdanmark'!J$3:J$504)),'Resultater - Vestdanmark'!$F$3:$F$504,$A166,IF(E166=År1,'Resultater - Vestdanmark'!H$3:H$504,IF(E166=År2,'Resultater - Vestdanmark'!I$3:I$504,'Resultater - Vestdanmark'!J$3:J$504)),"&gt;0"),SUMIFS(IF(E166=År1,'Resultater - Østdanmark'!H$3:H$504,IF(E166=År2,'Resultater - Østdanmark'!I$3:I$504,'Resultater - Østdanmark'!J$3:J$504)),'Resultater - Østdanmark'!$F$3:$F$504,$A166,IF(E166=År1,'Resultater - Østdanmark'!H$3:H$504,IF(E166=År2,'Resultater - Østdanmark'!I$3:I$504,'Resultater - Østdanmark'!J$3:J$504)),"&gt;0"))</f>
        <v>0</v>
      </c>
      <c r="H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forbrug'!H$3,'Forbrug af biomasse'!$B$2:$B$425,$F166)</f>
        <v>592646.72642582108</v>
      </c>
      <c r="I166">
        <f>IF(F166="Vestdanmark",-IF(A166="Halm",SUMIFS(IF(E166=År1,'Resultater - Vestdanmark'!H$3:H$504,IF(E166=År2,'Resultater - Vestdanmark'!I$3:I$504,'Resultater - Vestdanmark'!J$3:J$504)),'Resultater - Vestdanmark'!$F$3:$F$504,$A166,'Resultater - Vestdanmark'!H$3:H$504,"&lt;0"),0),-IF(A166="Halm",SUMIFS(IF(E166=År1,'Resultater - Østdanmark'!H$3:H$504,IF(E166=År2,'Resultater - Østdanmark'!I$3:I$504,'Resultater - Østdanmark'!J$3:J$504)),'Resultater - Østdanmark'!$F$3:$F$504,$A166,'Resultater - Østdanmark'!H$3:H$504,"&lt;0"),0))</f>
        <v>0</v>
      </c>
      <c r="J166" s="94"/>
      <c r="K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forbrug'!K$3,'Forbrug af biomasse'!$B$2:$B$425,$F166)</f>
        <v>0</v>
      </c>
      <c r="L166" s="94">
        <f>SUMIFS('Forbrug af biomasse'!$E$2:$E$425,'Forbrug af biomasse'!$C$2:$C$425,'Resultat-Produktion &amp; forbrug'!$A166,'Forbrug af biomasse'!$D$2:$D$425,'Resultat-Produktion &amp; forbrug'!$E166,'Forbrug af biomasse'!$A$2:$A$425,'Resultat-Produktion &amp; forbrug'!L$3,'Forbrug af biomasse'!$B$2:$B$425,$F166)</f>
        <v>0</v>
      </c>
      <c r="M166" s="94">
        <f>IF(A166&lt;&gt;"Biogas",SUMIFS('Forbrug af biomasse'!$E$2:$E$425,'Forbrug af biomasse'!$C$2:$C$425,'Resultat-Produktion &amp; forbrug'!$A166,'Forbrug af biomasse'!$D$2:$D$425,'Resultat-Produktion &amp; forbrug'!$E166,'Forbrug af biomasse'!$A$2:$A$425,'Resultat-Produktion &amp; forbrug'!M$3,'Forbrug af biomasse'!$B$2:$B$425,$F166),G166)</f>
        <v>0</v>
      </c>
      <c r="N166" s="94">
        <f>SUMIFS('Forbrug af biomasse'!E:E,'Forbrug af biomasse'!C:C,'Resultat-Produktion &amp; forbrug'!$A166,'Forbrug af biomasse'!D:D,'Resultat-Produktion &amp; forbrug'!$E166,'Forbrug af biomasse'!G:G,1,'Forbrug af biomasse'!B:B,$F166)</f>
        <v>0</v>
      </c>
      <c r="O166" s="179">
        <f t="shared" si="34"/>
        <v>-592646.72642582108</v>
      </c>
      <c r="P166" s="94">
        <f t="shared" si="28"/>
        <v>0</v>
      </c>
      <c r="Q166" s="180">
        <f t="shared" si="35"/>
        <v>0</v>
      </c>
      <c r="R166">
        <f>IFERROR(VLOOKUP(A166,[1]Energiindhold!$A$2:$C$11,3,FALSE),IFERROR(VLOOKUP(A166,[1]Biogasudbytte!$A$2:$B$18,2,FALSE)*[1]Energiindhold!$C$10,0))*P166</f>
        <v>0</v>
      </c>
      <c r="S166">
        <f>IF(A166&lt;&gt;"Biogas",IFERROR(VLOOKUP(A166,[1]Biogasudbytte!$A$2:$B$18,2,FALSE)*[1]Energiindhold!$C$10,0)*K166*IFERROR(VLOOKUP(A166,Biogasanlæg!$F$3:$G$8,2,FALSE),1)+IFERROR(VLOOKUP(A166,[1]Energiindhold!$A$2:$C$11,3,FALSE),0)*M166+IF(E166&lt;&gt;År1,R166,0),0)</f>
        <v>0</v>
      </c>
      <c r="T166">
        <f>IFERROR(VLOOKUP(A166,[1]Biogasudbytte!$A$2:$B$18,2,FALSE)*[1]Energiindhold!$C$10,0)*K166*IFERROR(VLOOKUP(A166,Biogasanlæg!$F$3:$G$8,2,FALSE),1)</f>
        <v>0</v>
      </c>
      <c r="U166" s="170">
        <f t="shared" si="36"/>
        <v>0</v>
      </c>
      <c r="V166" s="169">
        <f>P166*IFERROR(VLOOKUP(A166,[1]Tørstofindhold!A$2:B$24,2,FALSE),0)</f>
        <v>0</v>
      </c>
      <c r="W166">
        <f>IF(E166=År1,Q166,SUM(P166,Q166))*IFERROR(VLOOKUP(A166,[1]Tørstofindhold!A$2:B$24,2,FALSE),0)</f>
        <v>0</v>
      </c>
      <c r="X166">
        <f>K166*IFERROR(VLOOKUP(A166,[1]Tørstofindhold!A$2:B$24,2,FALSE),0)</f>
        <v>0</v>
      </c>
      <c r="Y166" s="170">
        <f t="shared" si="37"/>
        <v>0</v>
      </c>
      <c r="Z166">
        <f t="shared" si="29"/>
        <v>1</v>
      </c>
      <c r="AA166">
        <f t="shared" si="30"/>
        <v>0</v>
      </c>
    </row>
    <row r="167" spans="1:27" x14ac:dyDescent="0.25">
      <c r="A167" s="171" t="s">
        <v>103</v>
      </c>
      <c r="B167" s="171" t="s">
        <v>229</v>
      </c>
      <c r="C167" s="171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1</v>
      </c>
      <c r="D167" s="171">
        <f t="shared" si="27"/>
        <v>0</v>
      </c>
      <c r="E167" s="171">
        <f t="shared" si="33"/>
        <v>2019</v>
      </c>
      <c r="F167" t="s">
        <v>24</v>
      </c>
      <c r="G167" s="94">
        <f>IF(F167="Vestdanmark",SUMIFS(IF(E167=År1,'Resultater - Vestdanmark'!H$3:H$504,IF(E167=År2,'Resultater - Vestdanmark'!I$3:I$504,'Resultater - Vestdanmark'!J$3:J$504)),'Resultater - Vestdanmark'!$F$3:$F$504,$A167,IF(E167=År1,'Resultater - Vestdanmark'!H$3:H$504,IF(E167=År2,'Resultater - Vestdanmark'!I$3:I$504,'Resultater - Vestdanmark'!J$3:J$504)),"&gt;0"),SUMIFS(IF(E167=År1,'Resultater - Østdanmark'!H$3:H$504,IF(E167=År2,'Resultater - Østdanmark'!I$3:I$504,'Resultater - Østdanmark'!J$3:J$504)),'Resultater - Østdanmark'!$F$3:$F$504,$A167,IF(E167=År1,'Resultater - Østdanmark'!H$3:H$504,IF(E167=År2,'Resultater - Østdanmark'!I$3:I$504,'Resultater - Østdanmark'!J$3:J$504)),"&gt;0"))</f>
        <v>200279.74928693369</v>
      </c>
      <c r="H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forbrug'!H$3,'Forbrug af biomasse'!$B$2:$B$425,$F167)</f>
        <v>0</v>
      </c>
      <c r="I167">
        <f>IF(F167="Vestdanmark",-IF(A167="Halm",SUMIFS(IF(E167=År1,'Resultater - Vestdanmark'!H$3:H$504,IF(E167=År2,'Resultater - Vestdanmark'!I$3:I$504,'Resultater - Vestdanmark'!J$3:J$504)),'Resultater - Vestdanmark'!$F$3:$F$504,$A167,'Resultater - Vestdanmark'!H$3:H$504,"&lt;0"),0),-IF(A167="Halm",SUMIFS(IF(E167=År1,'Resultater - Østdanmark'!H$3:H$504,IF(E167=År2,'Resultater - Østdanmark'!I$3:I$504,'Resultater - Østdanmark'!J$3:J$504)),'Resultater - Østdanmark'!$F$3:$F$504,$A167,'Resultater - Østdanmark'!H$3:H$504,"&lt;0"),0))</f>
        <v>0</v>
      </c>
      <c r="J167" s="94"/>
      <c r="K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forbrug'!K$3,'Forbrug af biomasse'!$B$2:$B$425,$F167)</f>
        <v>279550.24796430691</v>
      </c>
      <c r="L167" s="94">
        <f>SUMIFS('Forbrug af biomasse'!$E$2:$E$425,'Forbrug af biomasse'!$C$2:$C$425,'Resultat-Produktion &amp; forbrug'!$A167,'Forbrug af biomasse'!$D$2:$D$425,'Resultat-Produktion &amp; forbrug'!$E167,'Forbrug af biomasse'!$A$2:$A$425,'Resultat-Produktion &amp; forbrug'!L$3,'Forbrug af biomasse'!$B$2:$B$425,$F167)</f>
        <v>0</v>
      </c>
      <c r="M167" s="94">
        <f>IF(A167&lt;&gt;"Biogas",SUMIFS('Forbrug af biomasse'!$E$2:$E$425,'Forbrug af biomasse'!$C$2:$C$425,'Resultat-Produktion &amp; forbrug'!$A167,'Forbrug af biomasse'!$D$2:$D$425,'Resultat-Produktion &amp; forbrug'!$E167,'Forbrug af biomasse'!$A$2:$A$425,'Resultat-Produktion &amp; forbrug'!M$3,'Forbrug af biomasse'!$B$2:$B$425,$F167),G167)</f>
        <v>0</v>
      </c>
      <c r="N167" s="94">
        <f>SUMIFS('Forbrug af biomasse'!E:E,'Forbrug af biomasse'!C:C,'Resultat-Produktion &amp; forbrug'!$A167,'Forbrug af biomasse'!D:D,'Resultat-Produktion &amp; forbrug'!$E167,'Forbrug af biomasse'!G:G,1,'Forbrug af biomasse'!B:B,$F167)</f>
        <v>0</v>
      </c>
      <c r="O167" s="179">
        <f t="shared" si="34"/>
        <v>-79270.498677373223</v>
      </c>
      <c r="P167" s="94">
        <f t="shared" si="28"/>
        <v>0</v>
      </c>
      <c r="Q167" s="180">
        <f t="shared" si="35"/>
        <v>279550.24796430691</v>
      </c>
      <c r="R167">
        <f>IFERROR(VLOOKUP(A167,[1]Energiindhold!$A$2:$C$11,3,FALSE),IFERROR(VLOOKUP(A167,[1]Biogasudbytte!$A$2:$B$18,2,FALSE)*[1]Energiindhold!$C$10,0))*P167</f>
        <v>0</v>
      </c>
      <c r="S167">
        <f>IF(A167&lt;&gt;"Biogas",IFERROR(VLOOKUP(A167,[1]Biogasudbytte!$A$2:$B$18,2,FALSE)*[1]Energiindhold!$C$10,0)*K167*IFERROR(VLOOKUP(A167,Biogasanlæg!$F$3:$G$8,2,FALSE),1)+IFERROR(VLOOKUP(A167,[1]Energiindhold!$A$2:$C$11,3,FALSE),0)*M167+IF(E167&lt;&gt;År1,R167,0),0)</f>
        <v>1.0296284310673407</v>
      </c>
      <c r="T167">
        <f>IFERROR(VLOOKUP(A167,[1]Biogasudbytte!$A$2:$B$18,2,FALSE)*[1]Energiindhold!$C$10,0)*K167*IFERROR(VLOOKUP(A167,Biogasanlæg!$F$3:$G$8,2,FALSE),1)</f>
        <v>1.0296284310673407</v>
      </c>
      <c r="U167" s="170">
        <f t="shared" si="36"/>
        <v>0</v>
      </c>
      <c r="V167" s="169">
        <f>P167*IFERROR(VLOOKUP(A167,[1]Tørstofindhold!A$2:B$24,2,FALSE),0)</f>
        <v>0</v>
      </c>
      <c r="W167">
        <f>IF(E167=År1,Q167,SUM(P167,Q167))*IFERROR(VLOOKUP(A167,[1]Tørstofindhold!A$2:B$24,2,FALSE),0)</f>
        <v>117411.1041450089</v>
      </c>
      <c r="X167">
        <f>K167*IFERROR(VLOOKUP(A167,[1]Tørstofindhold!A$2:B$24,2,FALSE),0)</f>
        <v>117411.1041450089</v>
      </c>
      <c r="Y167" s="170">
        <f t="shared" si="37"/>
        <v>0</v>
      </c>
      <c r="Z167">
        <f t="shared" si="29"/>
        <v>1</v>
      </c>
      <c r="AA167">
        <f t="shared" si="30"/>
        <v>0</v>
      </c>
    </row>
    <row r="168" spans="1:27" x14ac:dyDescent="0.25">
      <c r="A168" s="171" t="s">
        <v>56</v>
      </c>
      <c r="B168" s="171"/>
      <c r="C168" s="171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71">
        <f t="shared" si="27"/>
        <v>0</v>
      </c>
      <c r="E168" s="171">
        <f t="shared" si="33"/>
        <v>2019</v>
      </c>
      <c r="F168" t="s">
        <v>24</v>
      </c>
      <c r="G168" s="94">
        <f>IF(F168="Vestdanmark",SUMIFS(IF(E168=År1,'Resultater - Vestdanmark'!H$3:H$504,IF(E168=År2,'Resultater - Vestdanmark'!I$3:I$504,'Resultater - Vestdanmark'!J$3:J$504)),'Resultater - Vestdanmark'!$F$3:$F$504,$A168,IF(E168=År1,'Resultater - Vestdanmark'!H$3:H$504,IF(E168=År2,'Resultater - Vestdanmark'!I$3:I$504,'Resultater - Vestdanmark'!J$3:J$504)),"&gt;0"),SUMIFS(IF(E168=År1,'Resultater - Østdanmark'!H$3:H$504,IF(E168=År2,'Resultater - Østdanmark'!I$3:I$504,'Resultater - Østdanmark'!J$3:J$504)),'Resultater - Østdanmark'!$F$3:$F$504,$A168,IF(E168=År1,'Resultater - Østdanmark'!H$3:H$504,IF(E168=År2,'Resultater - Østdanmark'!I$3:I$504,'Resultater - Østdanmark'!J$3:J$504)),"&gt;0"))</f>
        <v>145627.35347864506</v>
      </c>
      <c r="H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forbrug'!H$3,'Forbrug af biomasse'!$B$2:$B$425,$F168)</f>
        <v>0</v>
      </c>
      <c r="I168">
        <f>IF(F168="Vestdanmark",-IF(A168="Halm",SUMIFS(IF(E168=År1,'Resultater - Vestdanmark'!H$3:H$504,IF(E168=År2,'Resultater - Vestdanmark'!I$3:I$504,'Resultater - Vestdanmark'!J$3:J$504)),'Resultater - Vestdanmark'!$F$3:$F$504,$A168,'Resultater - Vestdanmark'!H$3:H$504,"&lt;0"),0),-IF(A168="Halm",SUMIFS(IF(E168=År1,'Resultater - Østdanmark'!H$3:H$504,IF(E168=År2,'Resultater - Østdanmark'!I$3:I$504,'Resultater - Østdanmark'!J$3:J$504)),'Resultater - Østdanmark'!$F$3:$F$504,$A168,'Resultater - Østdanmark'!H$3:H$504,"&lt;0"),0))</f>
        <v>0</v>
      </c>
      <c r="J168" s="94"/>
      <c r="K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forbrug'!K$3,'Forbrug af biomasse'!$B$2:$B$425,$F168)</f>
        <v>0</v>
      </c>
      <c r="L168" s="94">
        <f>SUMIFS('Forbrug af biomasse'!$E$2:$E$425,'Forbrug af biomasse'!$C$2:$C$425,'Resultat-Produktion &amp; forbrug'!$A168,'Forbrug af biomasse'!$D$2:$D$425,'Resultat-Produktion &amp; forbrug'!$E168,'Forbrug af biomasse'!$A$2:$A$425,'Resultat-Produktion &amp; forbrug'!L$3,'Forbrug af biomasse'!$B$2:$B$425,$F168)</f>
        <v>0</v>
      </c>
      <c r="M168" s="94">
        <f>IF(A168&lt;&gt;"Biogas",SUMIFS('Forbrug af biomasse'!$E$2:$E$425,'Forbrug af biomasse'!$C$2:$C$425,'Resultat-Produktion &amp; forbrug'!$A168,'Forbrug af biomasse'!$D$2:$D$425,'Resultat-Produktion &amp; forbrug'!$E168,'Forbrug af biomasse'!$A$2:$A$425,'Resultat-Produktion &amp; forbrug'!M$3,'Forbrug af biomasse'!$B$2:$B$425,$F168),G168)</f>
        <v>0</v>
      </c>
      <c r="N168" s="94">
        <f>SUMIFS('Forbrug af biomasse'!E:E,'Forbrug af biomasse'!C:C,'Resultat-Produktion &amp; forbrug'!$A168,'Forbrug af biomasse'!D:D,'Resultat-Produktion &amp; forbrug'!$E168,'Forbrug af biomasse'!G:G,1,'Forbrug af biomasse'!B:B,$F168)</f>
        <v>0</v>
      </c>
      <c r="O168" s="179">
        <f t="shared" si="34"/>
        <v>145627.35347864506</v>
      </c>
      <c r="P168" s="94">
        <f t="shared" si="28"/>
        <v>0</v>
      </c>
      <c r="Q168" s="180">
        <f t="shared" si="35"/>
        <v>0</v>
      </c>
      <c r="R168">
        <f>IFERROR(VLOOKUP(A168,[1]Energiindhold!$A$2:$C$11,3,FALSE),IFERROR(VLOOKUP(A168,[1]Biogasudbytte!$A$2:$B$18,2,FALSE)*[1]Energiindhold!$C$10,0))*P168</f>
        <v>0</v>
      </c>
      <c r="S168">
        <f>IF(A168&lt;&gt;"Biogas",IFERROR(VLOOKUP(A168,[1]Biogasudbytte!$A$2:$B$18,2,FALSE)*[1]Energiindhold!$C$10,0)*K168*IFERROR(VLOOKUP(A168,Biogasanlæg!$F$3:$G$8,2,FALSE),1)+IFERROR(VLOOKUP(A168,[1]Energiindhold!$A$2:$C$11,3,FALSE),0)*M168+IF(E168&lt;&gt;År1,R168,0),0)</f>
        <v>0</v>
      </c>
      <c r="T168">
        <f>IFERROR(VLOOKUP(A168,[1]Biogasudbytte!$A$2:$B$18,2,FALSE)*[1]Energiindhold!$C$10,0)*K168*IFERROR(VLOOKUP(A168,Biogasanlæg!$F$3:$G$8,2,FALSE),1)</f>
        <v>0</v>
      </c>
      <c r="U168" s="170">
        <f t="shared" si="36"/>
        <v>0</v>
      </c>
      <c r="V168" s="169">
        <f>P168*IFERROR(VLOOKUP(A168,[1]Tørstofindhold!A$2:B$24,2,FALSE),0)</f>
        <v>0</v>
      </c>
      <c r="W168">
        <f>IF(E168=År1,Q168,SUM(P168,Q168))*IFERROR(VLOOKUP(A168,[1]Tørstofindhold!A$2:B$24,2,FALSE),0)</f>
        <v>0</v>
      </c>
      <c r="X168">
        <f>K168*IFERROR(VLOOKUP(A168,[1]Tørstofindhold!A$2:B$24,2,FALSE),0)</f>
        <v>0</v>
      </c>
      <c r="Y168" s="170">
        <f t="shared" si="37"/>
        <v>0</v>
      </c>
      <c r="Z168">
        <f t="shared" si="29"/>
        <v>0</v>
      </c>
      <c r="AA168">
        <f t="shared" si="30"/>
        <v>1</v>
      </c>
    </row>
    <row r="169" spans="1:27" x14ac:dyDescent="0.25">
      <c r="A169" s="171" t="s">
        <v>12</v>
      </c>
      <c r="B169" s="171"/>
      <c r="C169" s="171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0</v>
      </c>
      <c r="D169" s="171">
        <f t="shared" si="27"/>
        <v>1</v>
      </c>
      <c r="E169" s="171">
        <f t="shared" si="33"/>
        <v>2019</v>
      </c>
      <c r="F169" t="s">
        <v>24</v>
      </c>
      <c r="G169" s="94">
        <f>IF(F169="Vestdanmark",SUMIFS(IF(E169=År1,'Resultater - Vestdanmark'!H$3:H$504,IF(E169=År2,'Resultater - Vestdanmark'!I$3:I$504,'Resultater - Vestdanmark'!J$3:J$504)),'Resultater - Vestdanmark'!$F$3:$F$504,$A169,IF(E169=År1,'Resultater - Vestdanmark'!H$3:H$504,IF(E169=År2,'Resultater - Vestdanmark'!I$3:I$504,'Resultater - Vestdanmark'!J$3:J$504)),"&gt;0"),SUMIFS(IF(E169=År1,'Resultater - Østdanmark'!H$3:H$504,IF(E169=År2,'Resultater - Østdanmark'!I$3:I$504,'Resultater - Østdanmark'!J$3:J$504)),'Resultater - Østdanmark'!$F$3:$F$504,$A169,IF(E169=År1,'Resultater - Østdanmark'!H$3:H$504,IF(E169=År2,'Resultater - Østdanmark'!I$3:I$504,'Resultater - Østdanmark'!J$3:J$504)),"&gt;0"))</f>
        <v>116539.79424410909</v>
      </c>
      <c r="H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forbrug'!H$3,'Forbrug af biomasse'!$B$2:$B$425,$F169)</f>
        <v>0</v>
      </c>
      <c r="I169">
        <f>IF(F169="Vestdanmark",-IF(A169="Halm",SUMIFS(IF(E169=År1,'Resultater - Vestdanmark'!H$3:H$504,IF(E169=År2,'Resultater - Vestdanmark'!I$3:I$504,'Resultater - Vestdanmark'!J$3:J$504)),'Resultater - Vestdanmark'!$F$3:$F$504,$A169,'Resultater - Vestdanmark'!H$3:H$504,"&lt;0"),0),-IF(A169="Halm",SUMIFS(IF(E169=År1,'Resultater - Østdanmark'!H$3:H$504,IF(E169=År2,'Resultater - Østdanmark'!I$3:I$504,'Resultater - Østdanmark'!J$3:J$504)),'Resultater - Østdanmark'!$F$3:$F$504,$A169,'Resultater - Østdanmark'!H$3:H$504,"&lt;0"),0))</f>
        <v>0</v>
      </c>
      <c r="J169" s="94"/>
      <c r="K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forbrug'!K$3,'Forbrug af biomasse'!$B$2:$B$425,$F169)</f>
        <v>0</v>
      </c>
      <c r="L169" s="94">
        <f>SUMIFS('Forbrug af biomasse'!$E$2:$E$425,'Forbrug af biomasse'!$C$2:$C$425,'Resultat-Produktion &amp; forbrug'!$A169,'Forbrug af biomasse'!$D$2:$D$425,'Resultat-Produktion &amp; forbrug'!$E169,'Forbrug af biomasse'!$A$2:$A$425,'Resultat-Produktion &amp; forbrug'!L$3,'Forbrug af biomasse'!$B$2:$B$425,$F169)</f>
        <v>0</v>
      </c>
      <c r="M169" s="94">
        <f>IF(A169&lt;&gt;"Biogas",SUMIFS('Forbrug af biomasse'!$E$2:$E$425,'Forbrug af biomasse'!$C$2:$C$425,'Resultat-Produktion &amp; forbrug'!$A169,'Forbrug af biomasse'!$D$2:$D$425,'Resultat-Produktion &amp; forbrug'!$E169,'Forbrug af biomasse'!$A$2:$A$425,'Resultat-Produktion &amp; forbrug'!M$3,'Forbrug af biomasse'!$B$2:$B$425,$F169),G169)</f>
        <v>0</v>
      </c>
      <c r="N169" s="94">
        <f>SUMIFS('Forbrug af biomasse'!E:E,'Forbrug af biomasse'!C:C,'Resultat-Produktion &amp; forbrug'!$A169,'Forbrug af biomasse'!D:D,'Resultat-Produktion &amp; forbrug'!$E169,'Forbrug af biomasse'!G:G,1,'Forbrug af biomasse'!B:B,$F169)</f>
        <v>0</v>
      </c>
      <c r="O169" s="179">
        <f t="shared" si="34"/>
        <v>116539.79424410909</v>
      </c>
      <c r="P169" s="94">
        <f t="shared" si="28"/>
        <v>0</v>
      </c>
      <c r="Q169" s="180">
        <f t="shared" si="35"/>
        <v>0</v>
      </c>
      <c r="R169">
        <f>IFERROR(VLOOKUP(A169,[1]Energiindhold!$A$2:$C$11,3,FALSE),IFERROR(VLOOKUP(A169,[1]Biogasudbytte!$A$2:$B$18,2,FALSE)*[1]Energiindhold!$C$10,0))*P169</f>
        <v>0</v>
      </c>
      <c r="S169">
        <f>IF(A169&lt;&gt;"Biogas",IFERROR(VLOOKUP(A169,[1]Biogasudbytte!$A$2:$B$18,2,FALSE)*[1]Energiindhold!$C$10,0)*K169*IFERROR(VLOOKUP(A169,Biogasanlæg!$F$3:$G$8,2,FALSE),1)+IFERROR(VLOOKUP(A169,[1]Energiindhold!$A$2:$C$11,3,FALSE),0)*M169+IF(E169&lt;&gt;År1,R169,0),0)</f>
        <v>0</v>
      </c>
      <c r="T169">
        <f>IFERROR(VLOOKUP(A169,[1]Biogasudbytte!$A$2:$B$18,2,FALSE)*[1]Energiindhold!$C$10,0)*K169*IFERROR(VLOOKUP(A169,Biogasanlæg!$F$3:$G$8,2,FALSE),1)</f>
        <v>0</v>
      </c>
      <c r="U169" s="170">
        <f t="shared" si="36"/>
        <v>0</v>
      </c>
      <c r="V169" s="169">
        <f>P169*IFERROR(VLOOKUP(A169,[1]Tørstofindhold!A$2:B$24,2,FALSE),0)</f>
        <v>0</v>
      </c>
      <c r="W169">
        <f>IF(E169=År1,Q169,SUM(P169,Q169))*IFERROR(VLOOKUP(A169,[1]Tørstofindhold!A$2:B$24,2,FALSE),0)</f>
        <v>0</v>
      </c>
      <c r="X169">
        <f>K169*IFERROR(VLOOKUP(A169,[1]Tørstofindhold!A$2:B$24,2,FALSE),0)</f>
        <v>0</v>
      </c>
      <c r="Y169" s="170">
        <f t="shared" si="37"/>
        <v>0</v>
      </c>
      <c r="Z169">
        <f t="shared" si="29"/>
        <v>0</v>
      </c>
      <c r="AA169">
        <f t="shared" si="30"/>
        <v>1</v>
      </c>
    </row>
    <row r="170" spans="1:27" x14ac:dyDescent="0.25">
      <c r="A170" s="171" t="s">
        <v>48</v>
      </c>
      <c r="B170" s="171" t="s">
        <v>226</v>
      </c>
      <c r="C170" s="171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1</v>
      </c>
      <c r="D170" s="171">
        <f t="shared" si="27"/>
        <v>1</v>
      </c>
      <c r="E170" s="171">
        <f t="shared" si="33"/>
        <v>2019</v>
      </c>
      <c r="F170" t="s">
        <v>24</v>
      </c>
      <c r="G170" s="94">
        <f>IF(F170="Vestdanmark",SUMIFS(IF(E170=År1,'Resultater - Vestdanmark'!H$3:H$504,IF(E170=År2,'Resultater - Vestdanmark'!I$3:I$504,'Resultater - Vestdanmark'!J$3:J$504)),'Resultater - Vestdanmark'!$F$3:$F$504,$A170,IF(E170=År1,'Resultater - Vestdanmark'!H$3:H$504,IF(E170=År2,'Resultater - Vestdanmark'!I$3:I$504,'Resultater - Vestdanmark'!J$3:J$504)),"&gt;0"),SUMIFS(IF(E170=År1,'Resultater - Østdanmark'!H$3:H$504,IF(E170=År2,'Resultater - Østdanmark'!I$3:I$504,'Resultater - Østdanmark'!J$3:J$504)),'Resultater - Østdanmark'!$F$3:$F$504,$A170,IF(E170=År1,'Resultater - Østdanmark'!H$3:H$504,IF(E170=År2,'Resultater - Østdanmark'!I$3:I$504,'Resultater - Østdanmark'!J$3:J$504)),"&gt;0"))</f>
        <v>2268650.5850062412</v>
      </c>
      <c r="H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forbrug'!H$3,'Forbrug af biomasse'!$B$2:$B$425,$F170)</f>
        <v>721621.60770550335</v>
      </c>
      <c r="I170">
        <f>IF(F170="Vestdanmark",-IF(A170="Halm",SUMIFS(IF(E170=År1,'Resultater - Vestdanmark'!H$3:H$504,IF(E170=År2,'Resultater - Vestdanmark'!I$3:I$504,'Resultater - Vestdanmark'!J$3:J$504)),'Resultater - Vestdanmark'!$F$3:$F$504,$A170,'Resultater - Vestdanmark'!H$3:H$504,"&lt;0"),0),-IF(A170="Halm",SUMIFS(IF(E170=År1,'Resultater - Østdanmark'!H$3:H$504,IF(E170=År2,'Resultater - Østdanmark'!I$3:I$504,'Resultater - Østdanmark'!J$3:J$504)),'Resultater - Østdanmark'!$F$3:$F$504,$A170,'Resultater - Østdanmark'!H$3:H$504,"&lt;0"),0))</f>
        <v>0</v>
      </c>
      <c r="J170" s="94"/>
      <c r="K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forbrug'!K$3,'Forbrug af biomasse'!$B$2:$B$425,$F170)</f>
        <v>942.6064741945944</v>
      </c>
      <c r="L170" s="94">
        <f>SUMIFS('Forbrug af biomasse'!$E$2:$E$425,'Forbrug af biomasse'!$C$2:$C$425,'Resultat-Produktion &amp; forbrug'!$A170,'Forbrug af biomasse'!$D$2:$D$425,'Resultat-Produktion &amp; forbrug'!$E170,'Forbrug af biomasse'!$A$2:$A$425,'Resultat-Produktion &amp; forbrug'!L$3,'Forbrug af biomasse'!$B$2:$B$425,$F170)</f>
        <v>0</v>
      </c>
      <c r="M170" s="94">
        <f>IF(A170&lt;&gt;"Biogas",SUMIFS('Forbrug af biomasse'!$E$2:$E$425,'Forbrug af biomasse'!$C$2:$C$425,'Resultat-Produktion &amp; forbrug'!$A170,'Forbrug af biomasse'!$D$2:$D$425,'Resultat-Produktion &amp; forbrug'!$E170,'Forbrug af biomasse'!$A$2:$A$425,'Resultat-Produktion &amp; forbrug'!M$3,'Forbrug af biomasse'!$B$2:$B$425,$F170),G170)</f>
        <v>0</v>
      </c>
      <c r="N170" s="94">
        <f>SUMIFS('Forbrug af biomasse'!E:E,'Forbrug af biomasse'!C:C,'Resultat-Produktion &amp; forbrug'!$A170,'Forbrug af biomasse'!D:D,'Resultat-Produktion &amp; forbrug'!$E170,'Forbrug af biomasse'!G:G,1,'Forbrug af biomasse'!B:B,$F170)</f>
        <v>0</v>
      </c>
      <c r="O170" s="179">
        <f t="shared" si="34"/>
        <v>1546086.3708265433</v>
      </c>
      <c r="P170" s="94">
        <f t="shared" si="28"/>
        <v>1546086.3708265433</v>
      </c>
      <c r="Q170" s="180">
        <f t="shared" si="35"/>
        <v>942.6064741945944</v>
      </c>
      <c r="R170">
        <f>IFERROR(VLOOKUP(A170,[1]Energiindhold!$A$2:$C$11,3,FALSE),IFERROR(VLOOKUP(A170,[1]Biogasudbytte!$A$2:$B$18,2,FALSE)*[1]Energiindhold!$C$10,0))*P170</f>
        <v>5.2951293679889959</v>
      </c>
      <c r="S170">
        <f>IF(A170&lt;&gt;"Biogas",IFERROR(VLOOKUP(A170,[1]Biogasudbytte!$A$2:$B$18,2,FALSE)*[1]Energiindhold!$C$10,0)*K170*IFERROR(VLOOKUP(A170,Biogasanlæg!$F$3:$G$8,2,FALSE),1)+IFERROR(VLOOKUP(A170,[1]Energiindhold!$A$2:$C$11,3,FALSE),0)*M170+IF(E170&lt;&gt;År1,R170,0),0)</f>
        <v>3.2282952092100993E-3</v>
      </c>
      <c r="T170">
        <f>IFERROR(VLOOKUP(A170,[1]Biogasudbytte!$A$2:$B$18,2,FALSE)*[1]Energiindhold!$C$10,0)*K170*IFERROR(VLOOKUP(A170,Biogasanlæg!$F$3:$G$8,2,FALSE),1)</f>
        <v>3.2282952092100993E-3</v>
      </c>
      <c r="U170" s="170">
        <f t="shared" si="36"/>
        <v>0</v>
      </c>
      <c r="V170" s="169">
        <f>P170*IFERROR(VLOOKUP(A170,[1]Tørstofindhold!A$2:B$24,2,FALSE),0)</f>
        <v>479286.77495622844</v>
      </c>
      <c r="W170">
        <f>IF(E170=År1,Q170,SUM(P170,Q170))*IFERROR(VLOOKUP(A170,[1]Tørstofindhold!A$2:B$24,2,FALSE),0)</f>
        <v>292.20800700032424</v>
      </c>
      <c r="X170">
        <f>K170*IFERROR(VLOOKUP(A170,[1]Tørstofindhold!A$2:B$24,2,FALSE),0)</f>
        <v>292.20800700032424</v>
      </c>
      <c r="Y170" s="170">
        <f t="shared" si="37"/>
        <v>0</v>
      </c>
      <c r="Z170">
        <f t="shared" si="29"/>
        <v>0</v>
      </c>
      <c r="AA170">
        <f t="shared" si="30"/>
        <v>1</v>
      </c>
    </row>
    <row r="171" spans="1:27" x14ac:dyDescent="0.25">
      <c r="A171" s="171" t="s">
        <v>115</v>
      </c>
      <c r="B171" s="171"/>
      <c r="C171" s="171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0</v>
      </c>
      <c r="D171" s="171">
        <f t="shared" si="27"/>
        <v>0</v>
      </c>
      <c r="E171" s="171">
        <f t="shared" si="33"/>
        <v>2019</v>
      </c>
      <c r="F171" t="s">
        <v>24</v>
      </c>
      <c r="G171" s="94">
        <f>IF(F171="Vestdanmark",SUMIFS(IF(E171=År1,'Resultater - Vestdanmark'!H$3:H$504,IF(E171=År2,'Resultater - Vestdanmark'!I$3:I$504,'Resultater - Vestdanmark'!J$3:J$504)),'Resultater - Vestdanmark'!$F$3:$F$504,$A171,IF(E171=År1,'Resultater - Vestdanmark'!H$3:H$504,IF(E171=År2,'Resultater - Vestdanmark'!I$3:I$504,'Resultater - Vestdanmark'!J$3:J$504)),"&gt;0"),SUMIFS(IF(E171=År1,'Resultater - Østdanmark'!H$3:H$504,IF(E171=År2,'Resultater - Østdanmark'!I$3:I$504,'Resultater - Østdanmark'!J$3:J$504)),'Resultater - Østdanmark'!$F$3:$F$504,$A171,IF(E171=År1,'Resultater - Østdanmark'!H$3:H$504,IF(E171=År2,'Resultater - Østdanmark'!I$3:I$504,'Resultater - Østdanmark'!J$3:J$504)),"&gt;0"))</f>
        <v>0</v>
      </c>
      <c r="H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forbrug'!H$3,'Forbrug af biomasse'!$B$2:$B$425,$F171)</f>
        <v>0</v>
      </c>
      <c r="I171">
        <f>IF(F171="Vestdanmark",-IF(A171="Halm",SUMIFS(IF(E171=År1,'Resultater - Vestdanmark'!H$3:H$504,IF(E171=År2,'Resultater - Vestdanmark'!I$3:I$504,'Resultater - Vestdanmark'!J$3:J$504)),'Resultater - Vestdanmark'!$F$3:$F$504,$A171,'Resultater - Vestdanmark'!H$3:H$504,"&lt;0"),0),-IF(A171="Halm",SUMIFS(IF(E171=År1,'Resultater - Østdanmark'!H$3:H$504,IF(E171=År2,'Resultater - Østdanmark'!I$3:I$504,'Resultater - Østdanmark'!J$3:J$504)),'Resultater - Østdanmark'!$F$3:$F$504,$A171,'Resultater - Østdanmark'!H$3:H$504,"&lt;0"),0))</f>
        <v>0</v>
      </c>
      <c r="J171" s="94"/>
      <c r="K171" s="94">
        <f>SUMIFS('Forbrug af biomasse'!$E$2:$E$425,'Forbrug af biomasse'!$C$2:$C$425,'Resultat-Produktion &amp; forbrug'!$A171,'Forbrug af biomasse'!$D$2:$D$425,'Resultat-Produktion &amp; forbrug'!$E171,'Forbrug af biomasse'!$A$2:$A$425,'Resultat-Produktion &amp; forbrug'!K$3,'Forbrug af biomasse'!$B$2:$B$425,$F171)</f>
        <v>0</v>
      </c>
      <c r="L171" s="94">
        <f ca="1">SUMIFS('Forbrug af biomasse'!$E$2:$E$425,'Forbrug af biomasse'!$C$2:$C$425,'Resultat-Produktion &amp; forbrug'!$A171,'Forbrug af biomasse'!$D$2:$D$425,'Resultat-Produktion &amp; forbrug'!$E171,'Forbrug af biomasse'!$A$2:$A$425,'Resultat-Produktion &amp; forbrug'!L$3,'Forbrug af biomasse'!$B$2:$B$425,$F171)</f>
        <v>374820.3560243976</v>
      </c>
      <c r="M171" s="94">
        <f>IF(A171&lt;&gt;"Biogas",SUMIFS('Forbrug af biomasse'!$E$2:$E$425,'Forbrug af biomasse'!$C$2:$C$425,'Resultat-Produktion &amp; forbrug'!$A171,'Forbrug af biomasse'!$D$2:$D$425,'Resultat-Produktion &amp; forbrug'!$E171,'Forbrug af biomasse'!$A$2:$A$425,'Resultat-Produktion &amp; forbrug'!M$3,'Forbrug af biomasse'!$B$2:$B$425,$F171),G171)</f>
        <v>0</v>
      </c>
      <c r="N171" s="94">
        <f>SUMIFS('Forbrug af biomasse'!E:E,'Forbrug af biomasse'!C:C,'Resultat-Produktion &amp; forbrug'!$A171,'Forbrug af biomasse'!D:D,'Resultat-Produktion &amp; forbrug'!$E171,'Forbrug af biomasse'!G:G,1,'Forbrug af biomasse'!B:B,$F171)</f>
        <v>0</v>
      </c>
      <c r="O171" s="179">
        <f t="shared" ca="1" si="34"/>
        <v>-374820.3560243976</v>
      </c>
      <c r="P171" s="94">
        <f t="shared" si="28"/>
        <v>0</v>
      </c>
      <c r="Q171" s="180">
        <f t="shared" si="35"/>
        <v>0</v>
      </c>
      <c r="R171">
        <f>IFERROR(VLOOKUP(A171,[1]Energiindhold!$A$2:$C$11,3,FALSE),IFERROR(VLOOKUP(A171,[1]Biogasudbytte!$A$2:$B$18,2,FALSE)*[1]Energiindhold!$C$10,0))*P171</f>
        <v>0</v>
      </c>
      <c r="S171">
        <f>IF(A171&lt;&gt;"Biogas",IFERROR(VLOOKUP(A171,[1]Biogasudbytte!$A$2:$B$18,2,FALSE)*[1]Energiindhold!$C$10,0)*K171*IFERROR(VLOOKUP(A171,Biogasanlæg!$F$3:$G$8,2,FALSE),1)+IFERROR(VLOOKUP(A171,[1]Energiindhold!$A$2:$C$11,3,FALSE),0)*M171+IF(E171&lt;&gt;År1,R171,0),0)</f>
        <v>0</v>
      </c>
      <c r="T171">
        <f>IFERROR(VLOOKUP(A171,[1]Biogasudbytte!$A$2:$B$18,2,FALSE)*[1]Energiindhold!$C$10,0)*K171*IFERROR(VLOOKUP(A171,Biogasanlæg!$F$3:$G$8,2,FALSE),1)</f>
        <v>0</v>
      </c>
      <c r="U171" s="170">
        <f t="shared" si="36"/>
        <v>0</v>
      </c>
      <c r="V171" s="169">
        <f>P171*IFERROR(VLOOKUP(A171,[1]Tørstofindhold!A$2:B$24,2,FALSE),0)</f>
        <v>0</v>
      </c>
      <c r="W171">
        <f>IF(E171=År1,Q171,SUM(P171,Q171))*IFERROR(VLOOKUP(A171,[1]Tørstofindhold!A$2:B$24,2,FALSE),0)</f>
        <v>0</v>
      </c>
      <c r="X171">
        <f>K171*IFERROR(VLOOKUP(A171,[1]Tørstofindhold!A$2:B$24,2,FALSE),0)</f>
        <v>0</v>
      </c>
      <c r="Y171" s="170">
        <f t="shared" si="37"/>
        <v>0</v>
      </c>
      <c r="Z171">
        <f t="shared" ca="1" si="29"/>
        <v>1</v>
      </c>
      <c r="AA171">
        <f t="shared" ca="1" si="30"/>
        <v>0</v>
      </c>
    </row>
    <row r="172" spans="1:27" x14ac:dyDescent="0.25">
      <c r="A172" s="171" t="s">
        <v>136</v>
      </c>
      <c r="B172" s="171" t="s">
        <v>221</v>
      </c>
      <c r="C172" s="171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1</v>
      </c>
      <c r="D172" s="171">
        <f t="shared" si="27"/>
        <v>0</v>
      </c>
      <c r="E172" s="171">
        <f t="shared" si="33"/>
        <v>2019</v>
      </c>
      <c r="F172" t="s">
        <v>24</v>
      </c>
      <c r="G172" s="94">
        <f>IF(F172="Vestdanmark",SUMIFS(IF(E172=År1,'Resultater - Vestdanmark'!H$3:H$504,IF(E172=År2,'Resultater - Vestdanmark'!I$3:I$504,'Resultater - Vestdanmark'!J$3:J$504)),'Resultater - Vestdanmark'!$F$3:$F$504,$A172,IF(E172=År1,'Resultater - Vestdanmark'!H$3:H$504,IF(E172=År2,'Resultater - Vestdanmark'!I$3:I$504,'Resultater - Vestdanmark'!J$3:J$504)),"&gt;0"),SUMIFS(IF(E172=År1,'Resultater - Østdanmark'!H$3:H$504,IF(E172=År2,'Resultater - Østdanmark'!I$3:I$504,'Resultater - Østdanmark'!J$3:J$504)),'Resultater - Østdanmark'!$F$3:$F$504,$A172,IF(E172=År1,'Resultater - Østdanmark'!H$3:H$504,IF(E172=År2,'Resultater - Østdanmark'!I$3:I$504,'Resultater - Østdanmark'!J$3:J$504)),"&gt;0"))</f>
        <v>925084.21922943438</v>
      </c>
      <c r="H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forbrug'!H$3,'Forbrug af biomasse'!$B$2:$B$425,$F172)</f>
        <v>0</v>
      </c>
      <c r="I172">
        <f>IF(F172="Vestdanmark",-IF(A172="Halm",SUMIFS(IF(E172=År1,'Resultater - Vestdanmark'!H$3:H$504,IF(E172=År2,'Resultater - Vestdanmark'!I$3:I$504,'Resultater - Vestdanmark'!J$3:J$504)),'Resultater - Vestdanmark'!$F$3:$F$504,$A172,'Resultater - Vestdanmark'!H$3:H$504,"&lt;0"),0),-IF(A172="Halm",SUMIFS(IF(E172=År1,'Resultater - Østdanmark'!H$3:H$504,IF(E172=År2,'Resultater - Østdanmark'!I$3:I$504,'Resultater - Østdanmark'!J$3:J$504)),'Resultater - Østdanmark'!$F$3:$F$504,$A172,'Resultater - Østdanmark'!H$3:H$504,"&lt;0"),0))</f>
        <v>0</v>
      </c>
      <c r="J172" s="94"/>
      <c r="K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forbrug'!K$3,'Forbrug af biomasse'!$B$2:$B$425,$F172)</f>
        <v>286645.05985025823</v>
      </c>
      <c r="L172" s="94">
        <f>SUMIFS('Forbrug af biomasse'!$E$2:$E$425,'Forbrug af biomasse'!$C$2:$C$425,'Resultat-Produktion &amp; forbrug'!$A172,'Forbrug af biomasse'!$D$2:$D$425,'Resultat-Produktion &amp; forbrug'!$E172,'Forbrug af biomasse'!$A$2:$A$425,'Resultat-Produktion &amp; forbrug'!L$3,'Forbrug af biomasse'!$B$2:$B$425,$F172)</f>
        <v>638439.1593791761</v>
      </c>
      <c r="M172" s="94">
        <f>IF(A172&lt;&gt;"Biogas",SUMIFS('Forbrug af biomasse'!$E$2:$E$425,'Forbrug af biomasse'!$C$2:$C$425,'Resultat-Produktion &amp; forbrug'!$A172,'Forbrug af biomasse'!$D$2:$D$425,'Resultat-Produktion &amp; forbrug'!$E172,'Forbrug af biomasse'!$A$2:$A$425,'Resultat-Produktion &amp; forbrug'!M$3,'Forbrug af biomasse'!$B$2:$B$425,$F172),G172)</f>
        <v>0</v>
      </c>
      <c r="N172" s="94">
        <f>SUMIFS('Forbrug af biomasse'!E:E,'Forbrug af biomasse'!C:C,'Resultat-Produktion &amp; forbrug'!$A172,'Forbrug af biomasse'!D:D,'Resultat-Produktion &amp; forbrug'!$E172,'Forbrug af biomasse'!G:G,1,'Forbrug af biomasse'!B:B,$F172)</f>
        <v>0</v>
      </c>
      <c r="O172" s="179">
        <f t="shared" si="34"/>
        <v>0</v>
      </c>
      <c r="P172" s="94">
        <f t="shared" si="28"/>
        <v>0</v>
      </c>
      <c r="Q172" s="180">
        <f t="shared" si="35"/>
        <v>286645.05985025823</v>
      </c>
      <c r="R172">
        <f>IFERROR(VLOOKUP(A172,[1]Energiindhold!$A$2:$C$11,3,FALSE),IFERROR(VLOOKUP(A172,[1]Biogasudbytte!$A$2:$B$18,2,FALSE)*[1]Energiindhold!$C$10,0))*P172</f>
        <v>0</v>
      </c>
      <c r="S172">
        <f>IF(A172&lt;&gt;"Biogas",IFERROR(VLOOKUP(A172,[1]Biogasudbytte!$A$2:$B$18,2,FALSE)*[1]Energiindhold!$C$10,0)*K172*IFERROR(VLOOKUP(A172,Biogasanlæg!$F$3:$G$8,2,FALSE),1)+IFERROR(VLOOKUP(A172,[1]Energiindhold!$A$2:$C$11,3,FALSE),0)*M172+IF(E172&lt;&gt;År1,R172,0),0)</f>
        <v>0.14509686284560222</v>
      </c>
      <c r="T172">
        <f>IFERROR(VLOOKUP(A172,[1]Biogasudbytte!$A$2:$B$18,2,FALSE)*[1]Energiindhold!$C$10,0)*K172*IFERROR(VLOOKUP(A172,Biogasanlæg!$F$3:$G$8,2,FALSE),1)</f>
        <v>0.14509686284560222</v>
      </c>
      <c r="U172" s="170">
        <f t="shared" si="36"/>
        <v>0</v>
      </c>
      <c r="V172" s="169">
        <f>P172*IFERROR(VLOOKUP(A172,[1]Tørstofindhold!A$2:B$24,2,FALSE),0)</f>
        <v>0</v>
      </c>
      <c r="W172">
        <f>IF(E172=År1,Q172,SUM(P172,Q172))*IFERROR(VLOOKUP(A172,[1]Tørstofindhold!A$2:B$24,2,FALSE),0)</f>
        <v>21785.024548619625</v>
      </c>
      <c r="X172">
        <f>K172*IFERROR(VLOOKUP(A172,[1]Tørstofindhold!A$2:B$24,2,FALSE),0)</f>
        <v>21785.024548619625</v>
      </c>
      <c r="Y172" s="170">
        <f t="shared" si="37"/>
        <v>0</v>
      </c>
      <c r="Z172">
        <f t="shared" si="29"/>
        <v>0</v>
      </c>
      <c r="AA172">
        <f t="shared" si="30"/>
        <v>0</v>
      </c>
    </row>
    <row r="173" spans="1:27" x14ac:dyDescent="0.25">
      <c r="A173" s="171" t="s">
        <v>108</v>
      </c>
      <c r="B173" s="171"/>
      <c r="C173" s="171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0</v>
      </c>
      <c r="D173" s="171">
        <f t="shared" si="27"/>
        <v>0</v>
      </c>
      <c r="E173" s="171">
        <f t="shared" si="33"/>
        <v>2019</v>
      </c>
      <c r="F173" t="s">
        <v>24</v>
      </c>
      <c r="G173" s="94">
        <f>IF(F173="Vestdanmark",SUMIFS(IF(E173=År1,'Resultater - Vestdanmark'!H$3:H$504,IF(E173=År2,'Resultater - Vestdanmark'!I$3:I$504,'Resultater - Vestdanmark'!J$3:J$504)),'Resultater - Vestdanmark'!$F$3:$F$504,$A173,IF(E173=År1,'Resultater - Vestdanmark'!H$3:H$504,IF(E173=År2,'Resultater - Vestdanmark'!I$3:I$504,'Resultater - Vestdanmark'!J$3:J$504)),"&gt;0"),SUMIFS(IF(E173=År1,'Resultater - Østdanmark'!H$3:H$504,IF(E173=År2,'Resultater - Østdanmark'!I$3:I$504,'Resultater - Østdanmark'!J$3:J$504)),'Resultater - Østdanmark'!$F$3:$F$504,$A173,IF(E173=År1,'Resultater - Østdanmark'!H$3:H$504,IF(E173=År2,'Resultater - Østdanmark'!I$3:I$504,'Resultater - Østdanmark'!J$3:J$504)),"&gt;0"))</f>
        <v>115489.08079619991</v>
      </c>
      <c r="H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forbrug'!H$3,'Forbrug af biomasse'!$B$2:$B$425,$F173)</f>
        <v>186040.49371289223</v>
      </c>
      <c r="I173">
        <f>IF(F173="Vestdanmark",-IF(A173="Halm",SUMIFS(IF(E173=År1,'Resultater - Vestdanmark'!H$3:H$504,IF(E173=År2,'Resultater - Vestdanmark'!I$3:I$504,'Resultater - Vestdanmark'!J$3:J$504)),'Resultater - Vestdanmark'!$F$3:$F$504,$A173,'Resultater - Vestdanmark'!H$3:H$504,"&lt;0"),0),-IF(A173="Halm",SUMIFS(IF(E173=År1,'Resultater - Østdanmark'!H$3:H$504,IF(E173=År2,'Resultater - Østdanmark'!I$3:I$504,'Resultater - Østdanmark'!J$3:J$504)),'Resultater - Østdanmark'!$F$3:$F$504,$A173,'Resultater - Østdanmark'!H$3:H$504,"&lt;0"),0))</f>
        <v>0</v>
      </c>
      <c r="J173" s="94"/>
      <c r="K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forbrug'!K$3,'Forbrug af biomasse'!$B$2:$B$425,$F173)</f>
        <v>0</v>
      </c>
      <c r="L173" s="94">
        <f>SUMIFS('Forbrug af biomasse'!$E$2:$E$425,'Forbrug af biomasse'!$C$2:$C$425,'Resultat-Produktion &amp; forbrug'!$A173,'Forbrug af biomasse'!$D$2:$D$425,'Resultat-Produktion &amp; forbrug'!$E173,'Forbrug af biomasse'!$A$2:$A$425,'Resultat-Produktion &amp; forbrug'!L$3,'Forbrug af biomasse'!$B$2:$B$425,$F173)</f>
        <v>0</v>
      </c>
      <c r="M173" s="94">
        <f>IF(A173&lt;&gt;"Biogas",SUMIFS('Forbrug af biomasse'!$E$2:$E$425,'Forbrug af biomasse'!$C$2:$C$425,'Resultat-Produktion &amp; forbrug'!$A173,'Forbrug af biomasse'!$D$2:$D$425,'Resultat-Produktion &amp; forbrug'!$E173,'Forbrug af biomasse'!$A$2:$A$425,'Resultat-Produktion &amp; forbrug'!M$3,'Forbrug af biomasse'!$B$2:$B$425,$F173),G173)</f>
        <v>0</v>
      </c>
      <c r="N173" s="94">
        <f>SUMIFS('Forbrug af biomasse'!E:E,'Forbrug af biomasse'!C:C,'Resultat-Produktion &amp; forbrug'!$A173,'Forbrug af biomasse'!D:D,'Resultat-Produktion &amp; forbrug'!$E173,'Forbrug af biomasse'!G:G,1,'Forbrug af biomasse'!B:B,$F173)</f>
        <v>0</v>
      </c>
      <c r="O173" s="179">
        <f t="shared" si="34"/>
        <v>-70551.412916692323</v>
      </c>
      <c r="P173" s="94">
        <f t="shared" si="28"/>
        <v>0</v>
      </c>
      <c r="Q173" s="180">
        <f t="shared" si="35"/>
        <v>0</v>
      </c>
      <c r="R173">
        <f>IFERROR(VLOOKUP(A173,[1]Energiindhold!$A$2:$C$11,3,FALSE),IFERROR(VLOOKUP(A173,[1]Biogasudbytte!$A$2:$B$18,2,FALSE)*[1]Energiindhold!$C$10,0))*P173</f>
        <v>0</v>
      </c>
      <c r="S173">
        <f>IF(A173&lt;&gt;"Biogas",IFERROR(VLOOKUP(A173,[1]Biogasudbytte!$A$2:$B$18,2,FALSE)*[1]Energiindhold!$C$10,0)*K173*IFERROR(VLOOKUP(A173,Biogasanlæg!$F$3:$G$8,2,FALSE),1)+IFERROR(VLOOKUP(A173,[1]Energiindhold!$A$2:$C$11,3,FALSE),0)*M173+IF(E173&lt;&gt;År1,R173,0),0)</f>
        <v>0</v>
      </c>
      <c r="T173">
        <f>IFERROR(VLOOKUP(A173,[1]Biogasudbytte!$A$2:$B$18,2,FALSE)*[1]Energiindhold!$C$10,0)*K173*IFERROR(VLOOKUP(A173,Biogasanlæg!$F$3:$G$8,2,FALSE),1)</f>
        <v>0</v>
      </c>
      <c r="U173" s="170">
        <f t="shared" si="36"/>
        <v>0</v>
      </c>
      <c r="V173" s="169">
        <f>P173*IFERROR(VLOOKUP(A173,[1]Tørstofindhold!A$2:B$24,2,FALSE),0)</f>
        <v>0</v>
      </c>
      <c r="W173">
        <f>IF(E173=År1,Q173,SUM(P173,Q173))*IFERROR(VLOOKUP(A173,[1]Tørstofindhold!A$2:B$24,2,FALSE),0)</f>
        <v>0</v>
      </c>
      <c r="X173">
        <f>K173*IFERROR(VLOOKUP(A173,[1]Tørstofindhold!A$2:B$24,2,FALSE),0)</f>
        <v>0</v>
      </c>
      <c r="Y173" s="170">
        <f t="shared" si="37"/>
        <v>0</v>
      </c>
      <c r="Z173">
        <f t="shared" si="29"/>
        <v>0</v>
      </c>
      <c r="AA173">
        <f t="shared" si="30"/>
        <v>1</v>
      </c>
    </row>
    <row r="174" spans="1:27" x14ac:dyDescent="0.25">
      <c r="A174" t="s">
        <v>53</v>
      </c>
      <c r="B174" s="171" t="s">
        <v>223</v>
      </c>
      <c r="C174" s="171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1</v>
      </c>
      <c r="D174" s="171">
        <f t="shared" si="27"/>
        <v>1</v>
      </c>
      <c r="E174" s="171">
        <f t="shared" si="33"/>
        <v>2019</v>
      </c>
      <c r="F174" t="s">
        <v>24</v>
      </c>
      <c r="G174" s="94">
        <f>IF(F174="Vestdanmark",SUMIFS(IF(E174=År1,'Resultater - Vestdanmark'!H$3:H$504,IF(E174=År2,'Resultater - Vestdanmark'!I$3:I$504,'Resultater - Vestdanmark'!J$3:J$504)),'Resultater - Vestdanmark'!$F$3:$F$504,$A174,IF(E174=År1,'Resultater - Vestdanmark'!H$3:H$504,IF(E174=År2,'Resultater - Vestdanmark'!I$3:I$504,'Resultater - Vestdanmark'!J$3:J$504)),"&gt;0"),SUMIFS(IF(E174=År1,'Resultater - Østdanmark'!H$3:H$504,IF(E174=År2,'Resultater - Østdanmark'!I$3:I$504,'Resultater - Østdanmark'!J$3:J$504)),'Resultater - Østdanmark'!$F$3:$F$504,$A174,IF(E174=År1,'Resultater - Østdanmark'!H$3:H$504,IF(E174=År2,'Resultater - Østdanmark'!I$3:I$504,'Resultater - Østdanmark'!J$3:J$504)),"&gt;0"))</f>
        <v>365245.73356828612</v>
      </c>
      <c r="H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forbrug'!H$3,'Forbrug af biomasse'!$B$2:$B$425,$F174)</f>
        <v>694353.2611092875</v>
      </c>
      <c r="I174">
        <f>IF(F174="Vestdanmark",-IF(A174="Halm",SUMIFS(IF(E174=År1,'Resultater - Vestdanmark'!H$3:H$504,IF(E174=År2,'Resultater - Vestdanmark'!I$3:I$504,'Resultater - Vestdanmark'!J$3:J$504)),'Resultater - Vestdanmark'!$F$3:$F$504,$A174,'Resultater - Vestdanmark'!H$3:H$504,"&lt;0"),0),-IF(A174="Halm",SUMIFS(IF(E174=År1,'Resultater - Østdanmark'!H$3:H$504,IF(E174=År2,'Resultater - Østdanmark'!I$3:I$504,'Resultater - Østdanmark'!J$3:J$504)),'Resultater - Østdanmark'!$F$3:$F$504,$A174,'Resultater - Østdanmark'!H$3:H$504,"&lt;0"),0))</f>
        <v>0</v>
      </c>
      <c r="J174" s="94"/>
      <c r="K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forbrug'!K$3,'Forbrug af biomasse'!$B$2:$B$425,$F174)</f>
        <v>15151.053724986185</v>
      </c>
      <c r="L174" s="94">
        <f>SUMIFS('Forbrug af biomasse'!$E$2:$E$425,'Forbrug af biomasse'!$C$2:$C$425,'Resultat-Produktion &amp; forbrug'!$A174,'Forbrug af biomasse'!$D$2:$D$425,'Resultat-Produktion &amp; forbrug'!$E174,'Forbrug af biomasse'!$A$2:$A$425,'Resultat-Produktion &amp; forbrug'!L$3,'Forbrug af biomasse'!$B$2:$B$425,$F174)</f>
        <v>0</v>
      </c>
      <c r="M174" s="94">
        <f>IF(A174&lt;&gt;"Biogas",SUMIFS('Forbrug af biomasse'!$E$2:$E$425,'Forbrug af biomasse'!$C$2:$C$425,'Resultat-Produktion &amp; forbrug'!$A174,'Forbrug af biomasse'!$D$2:$D$425,'Resultat-Produktion &amp; forbrug'!$E174,'Forbrug af biomasse'!$A$2:$A$425,'Resultat-Produktion &amp; forbrug'!M$3,'Forbrug af biomasse'!$B$2:$B$425,$F174),G174)</f>
        <v>0</v>
      </c>
      <c r="N174" s="94">
        <f>SUMIFS('Forbrug af biomasse'!E:E,'Forbrug af biomasse'!C:C,'Resultat-Produktion &amp; forbrug'!$A174,'Forbrug af biomasse'!D:D,'Resultat-Produktion &amp; forbrug'!$E174,'Forbrug af biomasse'!G:G,1,'Forbrug af biomasse'!B:B,$F174)</f>
        <v>0</v>
      </c>
      <c r="O174" s="179">
        <f t="shared" si="34"/>
        <v>-344258.58126598754</v>
      </c>
      <c r="P174" s="94">
        <f t="shared" si="28"/>
        <v>0</v>
      </c>
      <c r="Q174" s="180">
        <f t="shared" si="35"/>
        <v>15151.053724986185</v>
      </c>
      <c r="R174">
        <f>IFERROR(VLOOKUP(A174,[1]Energiindhold!$A$2:$C$11,3,FALSE),IFERROR(VLOOKUP(A174,[1]Biogasudbytte!$A$2:$B$18,2,FALSE)*[1]Energiindhold!$C$10,0))*P174</f>
        <v>0</v>
      </c>
      <c r="S174">
        <f>IF(A174&lt;&gt;"Biogas",IFERROR(VLOOKUP(A174,[1]Biogasudbytte!$A$2:$B$18,2,FALSE)*[1]Energiindhold!$C$10,0)*K174*IFERROR(VLOOKUP(A174,Biogasanlæg!$F$3:$G$8,2,FALSE),1)+IFERROR(VLOOKUP(A174,[1]Energiindhold!$A$2:$C$11,3,FALSE),0)*M174+IF(E174&lt;&gt;År1,R174,0),0)</f>
        <v>5.4392282872700405E-2</v>
      </c>
      <c r="T174">
        <f>IFERROR(VLOOKUP(A174,[1]Biogasudbytte!$A$2:$B$18,2,FALSE)*[1]Energiindhold!$C$10,0)*K174*IFERROR(VLOOKUP(A174,Biogasanlæg!$F$3:$G$8,2,FALSE),1)</f>
        <v>5.4392282872700405E-2</v>
      </c>
      <c r="U174" s="170">
        <f t="shared" si="36"/>
        <v>0</v>
      </c>
      <c r="V174" s="169">
        <f>P174*IFERROR(VLOOKUP(A174,[1]Tørstofindhold!A$2:B$24,2,FALSE),0)</f>
        <v>0</v>
      </c>
      <c r="W174">
        <f>IF(E174=År1,Q174,SUM(P174,Q174))*IFERROR(VLOOKUP(A174,[1]Tørstofindhold!A$2:B$24,2,FALSE),0)</f>
        <v>4545.316117495855</v>
      </c>
      <c r="X174">
        <f>K174*IFERROR(VLOOKUP(A174,[1]Tørstofindhold!A$2:B$24,2,FALSE),0)</f>
        <v>4545.316117495855</v>
      </c>
      <c r="Y174" s="170">
        <f t="shared" si="37"/>
        <v>0</v>
      </c>
      <c r="Z174">
        <f t="shared" si="29"/>
        <v>0</v>
      </c>
      <c r="AA174">
        <f t="shared" si="30"/>
        <v>1</v>
      </c>
    </row>
    <row r="175" spans="1:27" x14ac:dyDescent="0.25">
      <c r="A175" s="171" t="s">
        <v>116</v>
      </c>
      <c r="B175" s="171"/>
      <c r="C175" s="171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0</v>
      </c>
      <c r="D175" s="171">
        <f t="shared" si="27"/>
        <v>1</v>
      </c>
      <c r="E175" s="171">
        <f t="shared" si="33"/>
        <v>2019</v>
      </c>
      <c r="F175" t="s">
        <v>24</v>
      </c>
      <c r="G175" s="94">
        <f>IF(F175="Vestdanmark",SUMIFS(IF(E175=År1,'Resultater - Vestdanmark'!H$3:H$504,IF(E175=År2,'Resultater - Vestdanmark'!I$3:I$504,'Resultater - Vestdanmark'!J$3:J$504)),'Resultater - Vestdanmark'!$F$3:$F$504,$A175,IF(E175=År1,'Resultater - Vestdanmark'!H$3:H$504,IF(E175=År2,'Resultater - Vestdanmark'!I$3:I$504,'Resultater - Vestdanmark'!J$3:J$504)),"&gt;0"),SUMIFS(IF(E175=År1,'Resultater - Østdanmark'!H$3:H$504,IF(E175=År2,'Resultater - Østdanmark'!I$3:I$504,'Resultater - Østdanmark'!J$3:J$504)),'Resultater - Østdanmark'!$F$3:$F$504,$A175,IF(E175=År1,'Resultater - Østdanmark'!H$3:H$504,IF(E175=År2,'Resultater - Østdanmark'!I$3:I$504,'Resultater - Østdanmark'!J$3:J$504)),"&gt;0"))</f>
        <v>222833.98833453824</v>
      </c>
      <c r="H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forbrug'!H$3,'Forbrug af biomasse'!$B$2:$B$425,$F175)</f>
        <v>0</v>
      </c>
      <c r="I175">
        <f>IF(F175="Vestdanmark",-IF(A175="Halm",SUMIFS(IF(E175=År1,'Resultater - Vestdanmark'!H$3:H$504,IF(E175=År2,'Resultater - Vestdanmark'!I$3:I$504,'Resultater - Vestdanmark'!J$3:J$504)),'Resultater - Vestdanmark'!$F$3:$F$504,$A175,'Resultater - Vestdanmark'!H$3:H$504,"&lt;0"),0),-IF(A175="Halm",SUMIFS(IF(E175=År1,'Resultater - Østdanmark'!H$3:H$504,IF(E175=År2,'Resultater - Østdanmark'!I$3:I$504,'Resultater - Østdanmark'!J$3:J$504)),'Resultater - Østdanmark'!$F$3:$F$504,$A175,'Resultater - Østdanmark'!H$3:H$504,"&lt;0"),0))</f>
        <v>0</v>
      </c>
      <c r="J175" s="94"/>
      <c r="K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forbrug'!K$3,'Forbrug af biomasse'!$B$2:$B$425,$F175)</f>
        <v>0</v>
      </c>
      <c r="L175" s="94">
        <f>SUMIFS('Forbrug af biomasse'!$E$2:$E$425,'Forbrug af biomasse'!$C$2:$C$425,'Resultat-Produktion &amp; forbrug'!$A175,'Forbrug af biomasse'!$D$2:$D$425,'Resultat-Produktion &amp; forbrug'!$E175,'Forbrug af biomasse'!$A$2:$A$425,'Resultat-Produktion &amp; forbrug'!L$3,'Forbrug af biomasse'!$B$2:$B$425,$F175)</f>
        <v>0</v>
      </c>
      <c r="M175" s="94">
        <f>IF(A175&lt;&gt;"Biogas",SUMIFS('Forbrug af biomasse'!$E$2:$E$425,'Forbrug af biomasse'!$C$2:$C$425,'Resultat-Produktion &amp; forbrug'!$A175,'Forbrug af biomasse'!$D$2:$D$425,'Resultat-Produktion &amp; forbrug'!$E175,'Forbrug af biomasse'!$A$2:$A$425,'Resultat-Produktion &amp; forbrug'!M$3,'Forbrug af biomasse'!$B$2:$B$425,$F175),G175)</f>
        <v>0</v>
      </c>
      <c r="N175" s="94">
        <f>SUMIFS('Forbrug af biomasse'!E:E,'Forbrug af biomasse'!C:C,'Resultat-Produktion &amp; forbrug'!$A175,'Forbrug af biomasse'!D:D,'Resultat-Produktion &amp; forbrug'!$E175,'Forbrug af biomasse'!G:G,1,'Forbrug af biomasse'!B:B,$F175)</f>
        <v>0</v>
      </c>
      <c r="O175" s="179">
        <f t="shared" si="34"/>
        <v>222833.98833453824</v>
      </c>
      <c r="P175" s="94">
        <f t="shared" si="28"/>
        <v>0</v>
      </c>
      <c r="Q175" s="180">
        <f t="shared" si="35"/>
        <v>0</v>
      </c>
      <c r="R175">
        <f>IFERROR(VLOOKUP(A175,[1]Energiindhold!$A$2:$C$11,3,FALSE),IFERROR(VLOOKUP(A175,[1]Biogasudbytte!$A$2:$B$18,2,FALSE)*[1]Energiindhold!$C$10,0))*P175</f>
        <v>0</v>
      </c>
      <c r="S175">
        <f>IF(A175&lt;&gt;"Biogas",IFERROR(VLOOKUP(A175,[1]Biogasudbytte!$A$2:$B$18,2,FALSE)*[1]Energiindhold!$C$10,0)*K175*IFERROR(VLOOKUP(A175,Biogasanlæg!$F$3:$G$8,2,FALSE),1)+IFERROR(VLOOKUP(A175,[1]Energiindhold!$A$2:$C$11,3,FALSE),0)*M175+IF(E175&lt;&gt;År1,R175,0),0)</f>
        <v>0</v>
      </c>
      <c r="T175">
        <f>IFERROR(VLOOKUP(A175,[1]Biogasudbytte!$A$2:$B$18,2,FALSE)*[1]Energiindhold!$C$10,0)*K175*IFERROR(VLOOKUP(A175,Biogasanlæg!$F$3:$G$8,2,FALSE),1)</f>
        <v>0</v>
      </c>
      <c r="U175" s="170">
        <f t="shared" si="36"/>
        <v>0</v>
      </c>
      <c r="V175" s="169">
        <f>P175*IFERROR(VLOOKUP(A175,[1]Tørstofindhold!A$2:B$24,2,FALSE),0)</f>
        <v>0</v>
      </c>
      <c r="W175">
        <f>IF(E175=År1,Q175,SUM(P175,Q175))*IFERROR(VLOOKUP(A175,[1]Tørstofindhold!A$2:B$24,2,FALSE),0)</f>
        <v>0</v>
      </c>
      <c r="X175">
        <f>K175*IFERROR(VLOOKUP(A175,[1]Tørstofindhold!A$2:B$24,2,FALSE),0)</f>
        <v>0</v>
      </c>
      <c r="Y175" s="170">
        <f t="shared" si="37"/>
        <v>0</v>
      </c>
      <c r="Z175">
        <f t="shared" si="29"/>
        <v>0</v>
      </c>
      <c r="AA175">
        <f t="shared" si="30"/>
        <v>1</v>
      </c>
    </row>
    <row r="176" spans="1:27" x14ac:dyDescent="0.25">
      <c r="A176" s="171" t="s">
        <v>106</v>
      </c>
      <c r="B176" s="171" t="s">
        <v>225</v>
      </c>
      <c r="C176" s="171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1</v>
      </c>
      <c r="D176" s="171">
        <f t="shared" si="27"/>
        <v>1</v>
      </c>
      <c r="E176" s="171">
        <f t="shared" si="33"/>
        <v>2019</v>
      </c>
      <c r="F176" t="s">
        <v>24</v>
      </c>
      <c r="G176" s="94">
        <f>IF(F176="Vestdanmark",SUMIFS(IF(E176=År1,'Resultater - Vestdanmark'!H$3:H$504,IF(E176=År2,'Resultater - Vestdanmark'!I$3:I$504,'Resultater - Vestdanmark'!J$3:J$504)),'Resultater - Vestdanmark'!$F$3:$F$504,$A176,IF(E176=År1,'Resultater - Vestdanmark'!H$3:H$504,IF(E176=År2,'Resultater - Vestdanmark'!I$3:I$504,'Resultater - Vestdanmark'!J$3:J$504)),"&gt;0"),SUMIFS(IF(E176=År1,'Resultater - Østdanmark'!H$3:H$504,IF(E176=År2,'Resultater - Østdanmark'!I$3:I$504,'Resultater - Østdanmark'!J$3:J$504)),'Resultater - Østdanmark'!$F$3:$F$504,$A176,IF(E176=År1,'Resultater - Østdanmark'!H$3:H$504,IF(E176=År2,'Resultater - Østdanmark'!I$3:I$504,'Resultater - Østdanmark'!J$3:J$504)),"&gt;0"))</f>
        <v>1.1976865502381491</v>
      </c>
      <c r="H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forbrug'!H$3,'Forbrug af biomasse'!$B$2:$B$425,$F176)</f>
        <v>0</v>
      </c>
      <c r="I176">
        <f>IF(F176="Vestdanmark",-IF(A176="Halm",SUMIFS(IF(E176=År1,'Resultater - Vestdanmark'!H$3:H$504,IF(E176=År2,'Resultater - Vestdanmark'!I$3:I$504,'Resultater - Vestdanmark'!J$3:J$504)),'Resultater - Vestdanmark'!$F$3:$F$504,$A176,'Resultater - Vestdanmark'!H$3:H$504,"&lt;0"),0),-IF(A176="Halm",SUMIFS(IF(E176=År1,'Resultater - Østdanmark'!H$3:H$504,IF(E176=År2,'Resultater - Østdanmark'!I$3:I$504,'Resultater - Østdanmark'!J$3:J$504)),'Resultater - Østdanmark'!$F$3:$F$504,$A176,'Resultater - Østdanmark'!H$3:H$504,"&lt;0"),0))</f>
        <v>0</v>
      </c>
      <c r="J176" s="94"/>
      <c r="K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forbrug'!K$3,'Forbrug af biomasse'!$B$2:$B$425,$F176)</f>
        <v>0</v>
      </c>
      <c r="L176" s="94">
        <f>SUMIFS('Forbrug af biomasse'!$E$2:$E$425,'Forbrug af biomasse'!$C$2:$C$425,'Resultat-Produktion &amp; forbrug'!$A176,'Forbrug af biomasse'!$D$2:$D$425,'Resultat-Produktion &amp; forbrug'!$E176,'Forbrug af biomasse'!$A$2:$A$425,'Resultat-Produktion &amp; forbrug'!L$3,'Forbrug af biomasse'!$B$2:$B$425,$F176)</f>
        <v>0</v>
      </c>
      <c r="M176" s="94">
        <f>IF(A176&lt;&gt;"Biogas",SUMIFS('Forbrug af biomasse'!$E$2:$E$425,'Forbrug af biomasse'!$C$2:$C$425,'Resultat-Produktion &amp; forbrug'!$A176,'Forbrug af biomasse'!$D$2:$D$425,'Resultat-Produktion &amp; forbrug'!$E176,'Forbrug af biomasse'!$A$2:$A$425,'Resultat-Produktion &amp; forbrug'!M$3,'Forbrug af biomasse'!$B$2:$B$425,$F176),G176)</f>
        <v>0</v>
      </c>
      <c r="N176" s="94">
        <f>SUMIFS('Forbrug af biomasse'!E:E,'Forbrug af biomasse'!C:C,'Resultat-Produktion &amp; forbrug'!$A176,'Forbrug af biomasse'!D:D,'Resultat-Produktion &amp; forbrug'!$E176,'Forbrug af biomasse'!G:G,1,'Forbrug af biomasse'!B:B,$F176)</f>
        <v>0</v>
      </c>
      <c r="O176" s="179">
        <f t="shared" si="34"/>
        <v>1.1976865502381491</v>
      </c>
      <c r="P176" s="94">
        <f t="shared" si="28"/>
        <v>1.1976865502381491</v>
      </c>
      <c r="Q176" s="180">
        <f t="shared" si="35"/>
        <v>0</v>
      </c>
      <c r="R176">
        <f>IFERROR(VLOOKUP(A176,[1]Energiindhold!$A$2:$C$11,3,FALSE),IFERROR(VLOOKUP(A176,[1]Biogasudbytte!$A$2:$B$18,2,FALSE)*[1]Energiindhold!$C$10,0))*P176</f>
        <v>1.0749236788387388E-6</v>
      </c>
      <c r="S176">
        <f>IF(A176&lt;&gt;"Biogas",IFERROR(VLOOKUP(A176,[1]Biogasudbytte!$A$2:$B$18,2,FALSE)*[1]Energiindhold!$C$10,0)*K176*IFERROR(VLOOKUP(A176,Biogasanlæg!$F$3:$G$8,2,FALSE),1)+IFERROR(VLOOKUP(A176,[1]Energiindhold!$A$2:$C$11,3,FALSE),0)*M176+IF(E176&lt;&gt;År1,R176,0),0)</f>
        <v>0</v>
      </c>
      <c r="T176">
        <f>IFERROR(VLOOKUP(A176,[1]Biogasudbytte!$A$2:$B$18,2,FALSE)*[1]Energiindhold!$C$10,0)*K176*IFERROR(VLOOKUP(A176,Biogasanlæg!$F$3:$G$8,2,FALSE),1)</f>
        <v>0</v>
      </c>
      <c r="U176" s="170">
        <f t="shared" si="36"/>
        <v>0</v>
      </c>
      <c r="V176" s="169">
        <f>P176*IFERROR(VLOOKUP(A176,[1]Tørstofindhold!A$2:B$24,2,FALSE),0)</f>
        <v>0.17965298253572234</v>
      </c>
      <c r="W176">
        <f>IF(E176=År1,Q176,SUM(P176,Q176))*IFERROR(VLOOKUP(A176,[1]Tørstofindhold!A$2:B$24,2,FALSE),0)</f>
        <v>0</v>
      </c>
      <c r="X176">
        <f>K176*IFERROR(VLOOKUP(A176,[1]Tørstofindhold!A$2:B$24,2,FALSE),0)</f>
        <v>0</v>
      </c>
      <c r="Y176" s="170">
        <f t="shared" si="37"/>
        <v>0</v>
      </c>
      <c r="Z176">
        <f t="shared" si="29"/>
        <v>0</v>
      </c>
      <c r="AA176">
        <f t="shared" si="30"/>
        <v>1</v>
      </c>
    </row>
    <row r="177" spans="1:27" x14ac:dyDescent="0.25">
      <c r="A177" s="171" t="s">
        <v>14</v>
      </c>
      <c r="B177" s="171"/>
      <c r="C177" s="171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71">
        <f t="shared" si="27"/>
        <v>1</v>
      </c>
      <c r="E177" s="171">
        <f t="shared" si="33"/>
        <v>2019</v>
      </c>
      <c r="F177" t="s">
        <v>24</v>
      </c>
      <c r="G177" s="94">
        <f>IF(F177="Vestdanmark",SUMIFS(IF(E177=År1,'Resultater - Vestdanmark'!H$3:H$504,IF(E177=År2,'Resultater - Vestdanmark'!I$3:I$504,'Resultater - Vestdanmark'!J$3:J$504)),'Resultater - Vestdanmark'!$F$3:$F$504,$A177,IF(E177=År1,'Resultater - Vestdanmark'!H$3:H$504,IF(E177=År2,'Resultater - Vestdanmark'!I$3:I$504,'Resultater - Vestdanmark'!J$3:J$504)),"&gt;0"),SUMIFS(IF(E177=År1,'Resultater - Østdanmark'!H$3:H$504,IF(E177=År2,'Resultater - Østdanmark'!I$3:I$504,'Resultater - Østdanmark'!J$3:J$504)),'Resultater - Østdanmark'!$F$3:$F$504,$A177,IF(E177=År1,'Resultater - Østdanmark'!H$3:H$504,IF(E177=År2,'Resultater - Østdanmark'!I$3:I$504,'Resultater - Østdanmark'!J$3:J$504)),"&gt;0"))</f>
        <v>7577.0634215631153</v>
      </c>
      <c r="H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forbrug'!H$3,'Forbrug af biomasse'!$B$2:$B$425,$F177)</f>
        <v>0</v>
      </c>
      <c r="I177">
        <f>IF(F177="Vestdanmark",-IF(A177="Halm",SUMIFS(IF(E177=År1,'Resultater - Vestdanmark'!H$3:H$504,IF(E177=År2,'Resultater - Vestdanmark'!I$3:I$504,'Resultater - Vestdanmark'!J$3:J$504)),'Resultater - Vestdanmark'!$F$3:$F$504,$A177,'Resultater - Vestdanmark'!H$3:H$504,"&lt;0"),0),-IF(A177="Halm",SUMIFS(IF(E177=År1,'Resultater - Østdanmark'!H$3:H$504,IF(E177=År2,'Resultater - Østdanmark'!I$3:I$504,'Resultater - Østdanmark'!J$3:J$504)),'Resultater - Østdanmark'!$F$3:$F$504,$A177,'Resultater - Østdanmark'!H$3:H$504,"&lt;0"),0))</f>
        <v>0</v>
      </c>
      <c r="J177" s="94"/>
      <c r="K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forbrug'!K$3,'Forbrug af biomasse'!$B$2:$B$425,$F177)</f>
        <v>0</v>
      </c>
      <c r="L177" s="94">
        <f>SUMIFS('Forbrug af biomasse'!$E$2:$E$425,'Forbrug af biomasse'!$C$2:$C$425,'Resultat-Produktion &amp; forbrug'!$A177,'Forbrug af biomasse'!$D$2:$D$425,'Resultat-Produktion &amp; forbrug'!$E177,'Forbrug af biomasse'!$A$2:$A$425,'Resultat-Produktion &amp; forbrug'!L$3,'Forbrug af biomasse'!$B$2:$B$425,$F177)</f>
        <v>0</v>
      </c>
      <c r="M177" s="94">
        <f>IF(A177&lt;&gt;"Biogas",SUMIFS('Forbrug af biomasse'!$E$2:$E$425,'Forbrug af biomasse'!$C$2:$C$425,'Resultat-Produktion &amp; forbrug'!$A177,'Forbrug af biomasse'!$D$2:$D$425,'Resultat-Produktion &amp; forbrug'!$E177,'Forbrug af biomasse'!$A$2:$A$425,'Resultat-Produktion &amp; forbrug'!M$3,'Forbrug af biomasse'!$B$2:$B$425,$F177),G177)</f>
        <v>0</v>
      </c>
      <c r="N177" s="94">
        <f>SUMIFS('Forbrug af biomasse'!E:E,'Forbrug af biomasse'!C:C,'Resultat-Produktion &amp; forbrug'!$A177,'Forbrug af biomasse'!D:D,'Resultat-Produktion &amp; forbrug'!$E177,'Forbrug af biomasse'!G:G,1,'Forbrug af biomasse'!B:B,$F177)</f>
        <v>0</v>
      </c>
      <c r="O177" s="179">
        <f t="shared" si="34"/>
        <v>7577.0634215631153</v>
      </c>
      <c r="P177" s="94">
        <f t="shared" si="28"/>
        <v>0</v>
      </c>
      <c r="Q177" s="180">
        <f t="shared" si="35"/>
        <v>0</v>
      </c>
      <c r="R177">
        <f>IFERROR(VLOOKUP(A177,[1]Energiindhold!$A$2:$C$11,3,FALSE),IFERROR(VLOOKUP(A177,[1]Biogasudbytte!$A$2:$B$18,2,FALSE)*[1]Energiindhold!$C$10,0))*P177</f>
        <v>0</v>
      </c>
      <c r="S177">
        <f>IF(A177&lt;&gt;"Biogas",IFERROR(VLOOKUP(A177,[1]Biogasudbytte!$A$2:$B$18,2,FALSE)*[1]Energiindhold!$C$10,0)*K177*IFERROR(VLOOKUP(A177,Biogasanlæg!$F$3:$G$8,2,FALSE),1)+IFERROR(VLOOKUP(A177,[1]Energiindhold!$A$2:$C$11,3,FALSE),0)*M177+IF(E177&lt;&gt;År1,R177,0),0)</f>
        <v>0</v>
      </c>
      <c r="T177">
        <f>IFERROR(VLOOKUP(A177,[1]Biogasudbytte!$A$2:$B$18,2,FALSE)*[1]Energiindhold!$C$10,0)*K177*IFERROR(VLOOKUP(A177,Biogasanlæg!$F$3:$G$8,2,FALSE),1)</f>
        <v>0</v>
      </c>
      <c r="U177" s="170">
        <f t="shared" si="36"/>
        <v>0</v>
      </c>
      <c r="V177" s="169">
        <f>P177*IFERROR(VLOOKUP(A177,[1]Tørstofindhold!A$2:B$24,2,FALSE),0)</f>
        <v>0</v>
      </c>
      <c r="W177">
        <f>IF(E177=År1,Q177,SUM(P177,Q177))*IFERROR(VLOOKUP(A177,[1]Tørstofindhold!A$2:B$24,2,FALSE),0)</f>
        <v>0</v>
      </c>
      <c r="X177">
        <f>K177*IFERROR(VLOOKUP(A177,[1]Tørstofindhold!A$2:B$24,2,FALSE),0)</f>
        <v>0</v>
      </c>
      <c r="Y177" s="170">
        <f t="shared" si="37"/>
        <v>0</v>
      </c>
      <c r="Z177">
        <f t="shared" si="29"/>
        <v>0</v>
      </c>
      <c r="AA177">
        <f t="shared" si="30"/>
        <v>1</v>
      </c>
    </row>
    <row r="178" spans="1:27" x14ac:dyDescent="0.25">
      <c r="A178" s="171" t="s">
        <v>55</v>
      </c>
      <c r="B178" s="171"/>
      <c r="C178" s="171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0</v>
      </c>
      <c r="D178" s="171">
        <f t="shared" si="27"/>
        <v>1</v>
      </c>
      <c r="E178" s="171">
        <f t="shared" si="33"/>
        <v>2019</v>
      </c>
      <c r="F178" t="s">
        <v>24</v>
      </c>
      <c r="G178" s="94">
        <f>IF(F178="Vestdanmark",SUMIFS(IF(E178=År1,'Resultater - Vestdanmark'!H$3:H$504,IF(E178=År2,'Resultater - Vestdanmark'!I$3:I$504,'Resultater - Vestdanmark'!J$3:J$504)),'Resultater - Vestdanmark'!$F$3:$F$504,$A178,IF(E178=År1,'Resultater - Vestdanmark'!H$3:H$504,IF(E178=År2,'Resultater - Vestdanmark'!I$3:I$504,'Resultater - Vestdanmark'!J$3:J$504)),"&gt;0"),SUMIFS(IF(E178=År1,'Resultater - Østdanmark'!H$3:H$504,IF(E178=År2,'Resultater - Østdanmark'!I$3:I$504,'Resultater - Østdanmark'!J$3:J$504)),'Resultater - Østdanmark'!$F$3:$F$504,$A178,IF(E178=År1,'Resultater - Østdanmark'!H$3:H$504,IF(E178=År2,'Resultater - Østdanmark'!I$3:I$504,'Resultater - Østdanmark'!J$3:J$504)),"&gt;0"))</f>
        <v>395448.91426064254</v>
      </c>
      <c r="H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forbrug'!H$3,'Forbrug af biomasse'!$B$2:$B$425,$F178)</f>
        <v>0</v>
      </c>
      <c r="I178">
        <f>IF(F178="Vestdanmark",-IF(A178="Halm",SUMIFS(IF(E178=År1,'Resultater - Vestdanmark'!H$3:H$504,IF(E178=År2,'Resultater - Vestdanmark'!I$3:I$504,'Resultater - Vestdanmark'!J$3:J$504)),'Resultater - Vestdanmark'!$F$3:$F$504,$A178,'Resultater - Vestdanmark'!H$3:H$504,"&lt;0"),0),-IF(A178="Halm",SUMIFS(IF(E178=År1,'Resultater - Østdanmark'!H$3:H$504,IF(E178=År2,'Resultater - Østdanmark'!I$3:I$504,'Resultater - Østdanmark'!J$3:J$504)),'Resultater - Østdanmark'!$F$3:$F$504,$A178,'Resultater - Østdanmark'!H$3:H$504,"&lt;0"),0))</f>
        <v>0</v>
      </c>
      <c r="J178" s="94"/>
      <c r="K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forbrug'!K$3,'Forbrug af biomasse'!$B$2:$B$425,$F178)</f>
        <v>0</v>
      </c>
      <c r="L178" s="94">
        <f>SUMIFS('Forbrug af biomasse'!$E$2:$E$425,'Forbrug af biomasse'!$C$2:$C$425,'Resultat-Produktion &amp; forbrug'!$A178,'Forbrug af biomasse'!$D$2:$D$425,'Resultat-Produktion &amp; forbrug'!$E178,'Forbrug af biomasse'!$A$2:$A$425,'Resultat-Produktion &amp; forbrug'!L$3,'Forbrug af biomasse'!$B$2:$B$425,$F178)</f>
        <v>0</v>
      </c>
      <c r="M178" s="94">
        <f>IF(A178&lt;&gt;"Biogas",SUMIFS('Forbrug af biomasse'!$E$2:$E$425,'Forbrug af biomasse'!$C$2:$C$425,'Resultat-Produktion &amp; forbrug'!$A178,'Forbrug af biomasse'!$D$2:$D$425,'Resultat-Produktion &amp; forbrug'!$E178,'Forbrug af biomasse'!$A$2:$A$425,'Resultat-Produktion &amp; forbrug'!M$3,'Forbrug af biomasse'!$B$2:$B$425,$F178),G178)</f>
        <v>0</v>
      </c>
      <c r="N178" s="94">
        <f>SUMIFS('Forbrug af biomasse'!E:E,'Forbrug af biomasse'!C:C,'Resultat-Produktion &amp; forbrug'!$A178,'Forbrug af biomasse'!D:D,'Resultat-Produktion &amp; forbrug'!$E178,'Forbrug af biomasse'!G:G,1,'Forbrug af biomasse'!B:B,$F178)</f>
        <v>0</v>
      </c>
      <c r="O178" s="179">
        <f t="shared" si="34"/>
        <v>395448.91426064254</v>
      </c>
      <c r="P178" s="94">
        <f t="shared" si="28"/>
        <v>0</v>
      </c>
      <c r="Q178" s="180">
        <f t="shared" si="35"/>
        <v>0</v>
      </c>
      <c r="R178">
        <f>IFERROR(VLOOKUP(A178,[1]Energiindhold!$A$2:$C$11,3,FALSE),IFERROR(VLOOKUP(A178,[1]Biogasudbytte!$A$2:$B$18,2,FALSE)*[1]Energiindhold!$C$10,0))*P178</f>
        <v>0</v>
      </c>
      <c r="S178">
        <f>IF(A178&lt;&gt;"Biogas",IFERROR(VLOOKUP(A178,[1]Biogasudbytte!$A$2:$B$18,2,FALSE)*[1]Energiindhold!$C$10,0)*K178*IFERROR(VLOOKUP(A178,Biogasanlæg!$F$3:$G$8,2,FALSE),1)+IFERROR(VLOOKUP(A178,[1]Energiindhold!$A$2:$C$11,3,FALSE),0)*M178+IF(E178&lt;&gt;År1,R178,0),0)</f>
        <v>0</v>
      </c>
      <c r="T178">
        <f>IFERROR(VLOOKUP(A178,[1]Biogasudbytte!$A$2:$B$18,2,FALSE)*[1]Energiindhold!$C$10,0)*K178*IFERROR(VLOOKUP(A178,Biogasanlæg!$F$3:$G$8,2,FALSE),1)</f>
        <v>0</v>
      </c>
      <c r="U178" s="170">
        <f t="shared" si="36"/>
        <v>0</v>
      </c>
      <c r="V178" s="169">
        <f>P178*IFERROR(VLOOKUP(A178,[1]Tørstofindhold!A$2:B$24,2,FALSE),0)</f>
        <v>0</v>
      </c>
      <c r="W178">
        <f>IF(E178=År1,Q178,SUM(P178,Q178))*IFERROR(VLOOKUP(A178,[1]Tørstofindhold!A$2:B$24,2,FALSE),0)</f>
        <v>0</v>
      </c>
      <c r="X178">
        <f>K178*IFERROR(VLOOKUP(A178,[1]Tørstofindhold!A$2:B$24,2,FALSE),0)</f>
        <v>0</v>
      </c>
      <c r="Y178" s="170">
        <f t="shared" si="37"/>
        <v>0</v>
      </c>
      <c r="Z178">
        <f t="shared" si="29"/>
        <v>0</v>
      </c>
      <c r="AA178">
        <f t="shared" si="30"/>
        <v>1</v>
      </c>
    </row>
    <row r="179" spans="1:27" x14ac:dyDescent="0.25">
      <c r="A179" s="171" t="s">
        <v>95</v>
      </c>
      <c r="B179" s="171" t="s">
        <v>224</v>
      </c>
      <c r="C179" s="171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71">
        <f t="shared" si="27"/>
        <v>0</v>
      </c>
      <c r="E179" s="171">
        <f t="shared" si="33"/>
        <v>2019</v>
      </c>
      <c r="F179" t="s">
        <v>24</v>
      </c>
      <c r="G179" s="94">
        <f>IF(F179="Vestdanmark",SUMIFS(IF(E179=År1,'Resultater - Vestdanmark'!H$3:H$504,IF(E179=År2,'Resultater - Vestdanmark'!I$3:I$504,'Resultater - Vestdanmark'!J$3:J$504)),'Resultater - Vestdanmark'!$F$3:$F$504,$A179,IF(E179=År1,'Resultater - Vestdanmark'!H$3:H$504,IF(E179=År2,'Resultater - Vestdanmark'!I$3:I$504,'Resultater - Vestdanmark'!J$3:J$504)),"&gt;0"),SUMIFS(IF(E179=År1,'Resultater - Østdanmark'!H$3:H$504,IF(E179=År2,'Resultater - Østdanmark'!I$3:I$504,'Resultater - Østdanmark'!J$3:J$504)),'Resultater - Østdanmark'!$F$3:$F$504,$A179,IF(E179=År1,'Resultater - Østdanmark'!H$3:H$504,IF(E179=År2,'Resultater - Østdanmark'!I$3:I$504,'Resultater - Østdanmark'!J$3:J$504)),"&gt;0"))</f>
        <v>38860.356190289756</v>
      </c>
      <c r="H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forbrug'!H$3,'Forbrug af biomasse'!$B$2:$B$425,$F179)</f>
        <v>0</v>
      </c>
      <c r="I179">
        <f>IF(F179="Vestdanmark",-IF(A179="Halm",SUMIFS(IF(E179=År1,'Resultater - Vestdanmark'!H$3:H$504,IF(E179=År2,'Resultater - Vestdanmark'!I$3:I$504,'Resultater - Vestdanmark'!J$3:J$504)),'Resultater - Vestdanmark'!$F$3:$F$504,$A179,'Resultater - Vestdanmark'!H$3:H$504,"&lt;0"),0),-IF(A179="Halm",SUMIFS(IF(E179=År1,'Resultater - Østdanmark'!H$3:H$504,IF(E179=År2,'Resultater - Østdanmark'!I$3:I$504,'Resultater - Østdanmark'!J$3:J$504)),'Resultater - Østdanmark'!$F$3:$F$504,$A179,'Resultater - Østdanmark'!H$3:H$504,"&lt;0"),0))</f>
        <v>0</v>
      </c>
      <c r="J179" s="94"/>
      <c r="K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forbrug'!K$3,'Forbrug af biomasse'!$B$2:$B$425,$F179)</f>
        <v>0</v>
      </c>
      <c r="L179" s="94">
        <f>SUMIFS('Forbrug af biomasse'!$E$2:$E$425,'Forbrug af biomasse'!$C$2:$C$425,'Resultat-Produktion &amp; forbrug'!$A179,'Forbrug af biomasse'!$D$2:$D$425,'Resultat-Produktion &amp; forbrug'!$E179,'Forbrug af biomasse'!$A$2:$A$425,'Resultat-Produktion &amp; forbrug'!L$3,'Forbrug af biomasse'!$B$2:$B$425,$F179)</f>
        <v>0</v>
      </c>
      <c r="M179" s="94">
        <f>IF(A179&lt;&gt;"Biogas",SUMIFS('Forbrug af biomasse'!$E$2:$E$425,'Forbrug af biomasse'!$C$2:$C$425,'Resultat-Produktion &amp; forbrug'!$A179,'Forbrug af biomasse'!$D$2:$D$425,'Resultat-Produktion &amp; forbrug'!$E179,'Forbrug af biomasse'!$A$2:$A$425,'Resultat-Produktion &amp; forbrug'!M$3,'Forbrug af biomasse'!$B$2:$B$425,$F179),G179)</f>
        <v>38860.356190289756</v>
      </c>
      <c r="N179" s="94">
        <f>SUMIFS('Forbrug af biomasse'!E:E,'Forbrug af biomasse'!C:C,'Resultat-Produktion &amp; forbrug'!$A179,'Forbrug af biomasse'!D:D,'Resultat-Produktion &amp; forbrug'!$E179,'Forbrug af biomasse'!G:G,1,'Forbrug af biomasse'!B:B,$F179)</f>
        <v>0</v>
      </c>
      <c r="O179" s="179">
        <f t="shared" si="34"/>
        <v>0</v>
      </c>
      <c r="P179" s="94">
        <f t="shared" si="28"/>
        <v>0</v>
      </c>
      <c r="Q179" s="180">
        <f t="shared" si="35"/>
        <v>38860.356190289756</v>
      </c>
      <c r="R179">
        <f>IFERROR(VLOOKUP(A179,[1]Energiindhold!$A$2:$C$11,3,FALSE),IFERROR(VLOOKUP(A179,[1]Biogasudbytte!$A$2:$B$18,2,FALSE)*[1]Energiindhold!$C$10,0))*P179</f>
        <v>0</v>
      </c>
      <c r="S179">
        <f>IF(A179&lt;&gt;"Biogas",IFERROR(VLOOKUP(A179,[1]Biogasudbytte!$A$2:$B$18,2,FALSE)*[1]Energiindhold!$C$10,0)*K179*IFERROR(VLOOKUP(A179,Biogasanlæg!$F$3:$G$8,2,FALSE),1)+IFERROR(VLOOKUP(A179,[1]Energiindhold!$A$2:$C$11,3,FALSE),0)*M179+IF(E179&lt;&gt;År1,R179,0),0)</f>
        <v>0.71503055390133141</v>
      </c>
      <c r="T179">
        <f>IFERROR(VLOOKUP(A179,[1]Biogasudbytte!$A$2:$B$18,2,FALSE)*[1]Energiindhold!$C$10,0)*K179*IFERROR(VLOOKUP(A179,Biogasanlæg!$F$3:$G$8,2,FALSE),1)</f>
        <v>0</v>
      </c>
      <c r="U179" s="170">
        <f t="shared" si="36"/>
        <v>0.71503055390133141</v>
      </c>
      <c r="V179" s="169">
        <f>P179*IFERROR(VLOOKUP(A179,[1]Tørstofindhold!A$2:B$24,2,FALSE),0)</f>
        <v>0</v>
      </c>
      <c r="W179">
        <f>IF(E179=År1,Q179,SUM(P179,Q179))*IFERROR(VLOOKUP(A179,[1]Tørstofindhold!A$2:B$24,2,FALSE),0)</f>
        <v>16127.04781897025</v>
      </c>
      <c r="X179">
        <f>K179*IFERROR(VLOOKUP(A179,[1]Tørstofindhold!A$2:B$24,2,FALSE),0)</f>
        <v>0</v>
      </c>
      <c r="Y179" s="170">
        <f t="shared" si="37"/>
        <v>16127.04781897025</v>
      </c>
      <c r="Z179">
        <f t="shared" si="29"/>
        <v>0</v>
      </c>
      <c r="AA179">
        <f t="shared" si="30"/>
        <v>0</v>
      </c>
    </row>
    <row r="180" spans="1:27" x14ac:dyDescent="0.25">
      <c r="A180" s="171" t="s">
        <v>305</v>
      </c>
      <c r="B180" s="171" t="s">
        <v>311</v>
      </c>
      <c r="C180" s="171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71">
        <f t="shared" si="27"/>
        <v>0</v>
      </c>
      <c r="E180" s="171">
        <f t="shared" si="33"/>
        <v>2019</v>
      </c>
      <c r="F180" t="s">
        <v>24</v>
      </c>
      <c r="G180" s="94">
        <f>IF(F180="Vestdanmark",SUMIFS(IF(E180=År1,'Resultater - Vestdanmark'!H$3:H$504,IF(E180=År2,'Resultater - Vestdanmark'!I$3:I$504,'Resultater - Vestdanmark'!J$3:J$504)),'Resultater - Vestdanmark'!$F$3:$F$504,$A180,IF(E180=År1,'Resultater - Vestdanmark'!H$3:H$504,IF(E180=År2,'Resultater - Vestdanmark'!I$3:I$504,'Resultater - Vestdanmark'!J$3:J$504)),"&gt;0"),SUMIFS(IF(E180=År1,'Resultater - Østdanmark'!H$3:H$504,IF(E180=År2,'Resultater - Østdanmark'!I$3:I$504,'Resultater - Østdanmark'!J$3:J$504)),'Resultater - Østdanmark'!$F$3:$F$504,$A180,IF(E180=År1,'Resultater - Østdanmark'!H$3:H$504,IF(E180=År2,'Resultater - Østdanmark'!I$3:I$504,'Resultater - Østdanmark'!J$3:J$504)),"&gt;0"))</f>
        <v>0</v>
      </c>
      <c r="H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forbrug'!H$3,'Forbrug af biomasse'!$B$2:$B$425,$F180)</f>
        <v>0</v>
      </c>
      <c r="I180">
        <f>IF(F180="Vestdanmark",-IF(A180="Halm",SUMIFS(IF(E180=År1,'Resultater - Vestdanmark'!H$3:H$504,IF(E180=År2,'Resultater - Vestdanmark'!I$3:I$504,'Resultater - Vestdanmark'!J$3:J$504)),'Resultater - Vestdanmark'!$F$3:$F$504,$A180,'Resultater - Vestdanmark'!H$3:H$504,"&lt;0"),0),-IF(A180="Halm",SUMIFS(IF(E180=År1,'Resultater - Østdanmark'!H$3:H$504,IF(E180=År2,'Resultater - Østdanmark'!I$3:I$504,'Resultater - Østdanmark'!J$3:J$504)),'Resultater - Østdanmark'!$F$3:$F$504,$A180,'Resultater - Østdanmark'!H$3:H$504,"&lt;0"),0))</f>
        <v>0</v>
      </c>
      <c r="J180" s="94"/>
      <c r="K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forbrug'!K$3,'Forbrug af biomasse'!$B$2:$B$425,$F180)</f>
        <v>0</v>
      </c>
      <c r="L180" s="94">
        <f>SUMIFS('Forbrug af biomasse'!$E$2:$E$425,'Forbrug af biomasse'!$C$2:$C$425,'Resultat-Produktion &amp; forbrug'!$A180,'Forbrug af biomasse'!$D$2:$D$425,'Resultat-Produktion &amp; forbrug'!$E180,'Forbrug af biomasse'!$A$2:$A$425,'Resultat-Produktion &amp; forbrug'!L$3,'Forbrug af biomasse'!$B$2:$B$425,$F180)</f>
        <v>0</v>
      </c>
      <c r="M180" s="94">
        <f>IF(A180&lt;&gt;"Biogas",SUMIFS('Forbrug af biomasse'!$E$2:$E$425,'Forbrug af biomasse'!$C$2:$C$425,'Resultat-Produktion &amp; forbrug'!$A180,'Forbrug af biomasse'!$D$2:$D$425,'Resultat-Produktion &amp; forbrug'!$E180,'Forbrug af biomasse'!$A$2:$A$425,'Resultat-Produktion &amp; forbrug'!M$3,'Forbrug af biomasse'!$B$2:$B$425,$F180),G180)</f>
        <v>0</v>
      </c>
      <c r="N180" s="94">
        <f>SUMIFS('Forbrug af biomasse'!E:E,'Forbrug af biomasse'!C:C,'Resultat-Produktion &amp; forbrug'!$A180,'Forbrug af biomasse'!D:D,'Resultat-Produktion &amp; forbrug'!$E180,'Forbrug af biomasse'!G:G,1,'Forbrug af biomasse'!B:B,$F180)</f>
        <v>0</v>
      </c>
      <c r="O180" s="179">
        <f>G180-SUM(H180:N180)</f>
        <v>0</v>
      </c>
      <c r="P180" s="94">
        <f t="shared" si="28"/>
        <v>0</v>
      </c>
      <c r="Q180" s="180">
        <f>SUM(K180,M180)</f>
        <v>0</v>
      </c>
      <c r="R180">
        <f>IFERROR(VLOOKUP(A180,[1]Energiindhold!$A$2:$C$11,3,FALSE),IFERROR(VLOOKUP(A180,[1]Biogasudbytte!$A$2:$B$18,2,FALSE)*[1]Energiindhold!$C$10,0))*P180</f>
        <v>0</v>
      </c>
      <c r="S180">
        <f>IF(A180&lt;&gt;"Biogas",IFERROR(VLOOKUP(A180,[1]Biogasudbytte!$A$2:$B$18,2,FALSE)*[1]Energiindhold!$C$10,0)*K180*IFERROR(VLOOKUP(A180,Biogasanlæg!$F$3:$G$8,2,FALSE),1)+IFERROR(VLOOKUP(A180,[1]Energiindhold!$A$2:$C$11,3,FALSE),0)*M180+IF(E180&lt;&gt;År1,R180,0),0)</f>
        <v>0</v>
      </c>
      <c r="T180">
        <f>IFERROR(VLOOKUP(A180,[1]Biogasudbytte!$A$2:$B$18,2,FALSE)*[1]Energiindhold!$C$10,0)*K180*IFERROR(VLOOKUP(A180,Biogasanlæg!$F$3:$G$8,2,FALSE),1)</f>
        <v>0</v>
      </c>
      <c r="U180" s="170">
        <f>S180-T180</f>
        <v>0</v>
      </c>
      <c r="V180" s="169">
        <f>P180*IFERROR(VLOOKUP(A180,[1]Tørstofindhold!A$2:B$24,2,FALSE),0)</f>
        <v>0</v>
      </c>
      <c r="W180">
        <f>IF(E180=År1,Q180,SUM(P180,Q180))*IFERROR(VLOOKUP(A180,[1]Tørstofindhold!A$2:B$24,2,FALSE),0)</f>
        <v>0</v>
      </c>
      <c r="X180">
        <f>K180*IFERROR(VLOOKUP(A180,[1]Tørstofindhold!A$2:B$24,2,FALSE),0)</f>
        <v>0</v>
      </c>
      <c r="Y180" s="170">
        <f>W180-X180</f>
        <v>0</v>
      </c>
      <c r="Z180">
        <f t="shared" si="29"/>
        <v>0</v>
      </c>
      <c r="AA180">
        <f t="shared" si="30"/>
        <v>0</v>
      </c>
    </row>
    <row r="181" spans="1:27" x14ac:dyDescent="0.25">
      <c r="A181" s="171" t="s">
        <v>306</v>
      </c>
      <c r="B181" s="171" t="s">
        <v>311</v>
      </c>
      <c r="C181" s="171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1</v>
      </c>
      <c r="D181" s="171">
        <f t="shared" ref="D181:D244" si="38">D133</f>
        <v>0</v>
      </c>
      <c r="E181" s="171">
        <f t="shared" si="33"/>
        <v>2019</v>
      </c>
      <c r="F181" t="s">
        <v>24</v>
      </c>
      <c r="G181" s="94">
        <f>IF(F181="Vestdanmark",SUMIFS(IF(E181=År1,'Resultater - Vestdanmark'!H$3:H$504,IF(E181=År2,'Resultater - Vestdanmark'!I$3:I$504,'Resultater - Vestdanmark'!J$3:J$504)),'Resultater - Vestdanmark'!$F$3:$F$504,$A181,IF(E181=År1,'Resultater - Vestdanmark'!H$3:H$504,IF(E181=År2,'Resultater - Vestdanmark'!I$3:I$504,'Resultater - Vestdanmark'!J$3:J$504)),"&gt;0"),SUMIFS(IF(E181=År1,'Resultater - Østdanmark'!H$3:H$504,IF(E181=År2,'Resultater - Østdanmark'!I$3:I$504,'Resultater - Østdanmark'!J$3:J$504)),'Resultater - Østdanmark'!$F$3:$F$504,$A181,IF(E181=År1,'Resultater - Østdanmark'!H$3:H$504,IF(E181=År2,'Resultater - Østdanmark'!I$3:I$504,'Resultater - Østdanmark'!J$3:J$504)),"&gt;0"))</f>
        <v>0</v>
      </c>
      <c r="H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forbrug'!H$3,'Forbrug af biomasse'!$B$2:$B$425,$F181)</f>
        <v>0</v>
      </c>
      <c r="I181">
        <f>IF(F181="Vestdanmark",-IF(A181="Halm",SUMIFS(IF(E181=År1,'Resultater - Vestdanmark'!H$3:H$504,IF(E181=År2,'Resultater - Vestdanmark'!I$3:I$504,'Resultater - Vestdanmark'!J$3:J$504)),'Resultater - Vestdanmark'!$F$3:$F$504,$A181,'Resultater - Vestdanmark'!H$3:H$504,"&lt;0"),0),-IF(A181="Halm",SUMIFS(IF(E181=År1,'Resultater - Østdanmark'!H$3:H$504,IF(E181=År2,'Resultater - Østdanmark'!I$3:I$504,'Resultater - Østdanmark'!J$3:J$504)),'Resultater - Østdanmark'!$F$3:$F$504,$A181,'Resultater - Østdanmark'!H$3:H$504,"&lt;0"),0))</f>
        <v>0</v>
      </c>
      <c r="J181" s="94"/>
      <c r="K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forbrug'!K$3,'Forbrug af biomasse'!$B$2:$B$425,$F181)</f>
        <v>0</v>
      </c>
      <c r="L181" s="94">
        <f>SUMIFS('Forbrug af biomasse'!$E$2:$E$425,'Forbrug af biomasse'!$C$2:$C$425,'Resultat-Produktion &amp; forbrug'!$A181,'Forbrug af biomasse'!$D$2:$D$425,'Resultat-Produktion &amp; forbrug'!$E181,'Forbrug af biomasse'!$A$2:$A$425,'Resultat-Produktion &amp; forbrug'!L$3,'Forbrug af biomasse'!$B$2:$B$425,$F181)</f>
        <v>0</v>
      </c>
      <c r="M181" s="94">
        <f>IF(A181&lt;&gt;"Biogas",SUMIFS('Forbrug af biomasse'!$E$2:$E$425,'Forbrug af biomasse'!$C$2:$C$425,'Resultat-Produktion &amp; forbrug'!$A181,'Forbrug af biomasse'!$D$2:$D$425,'Resultat-Produktion &amp; forbrug'!$E181,'Forbrug af biomasse'!$A$2:$A$425,'Resultat-Produktion &amp; forbrug'!M$3,'Forbrug af biomasse'!$B$2:$B$425,$F181),G181)</f>
        <v>0</v>
      </c>
      <c r="N181" s="94">
        <f>SUMIFS('Forbrug af biomasse'!E:E,'Forbrug af biomasse'!C:C,'Resultat-Produktion &amp; forbrug'!$A181,'Forbrug af biomasse'!D:D,'Resultat-Produktion &amp; forbrug'!$E181,'Forbrug af biomasse'!G:G,1,'Forbrug af biomasse'!B:B,$F181)</f>
        <v>0</v>
      </c>
      <c r="O181" s="179">
        <f>G181-SUM(H181:N181)</f>
        <v>0</v>
      </c>
      <c r="P181" s="94">
        <f t="shared" si="28"/>
        <v>0</v>
      </c>
      <c r="Q181" s="180">
        <f>SUM(K181,M181)</f>
        <v>0</v>
      </c>
      <c r="R181">
        <f>IFERROR(VLOOKUP(A181,[1]Energiindhold!$A$2:$C$11,3,FALSE),IFERROR(VLOOKUP(A181,[1]Biogasudbytte!$A$2:$B$18,2,FALSE)*[1]Energiindhold!$C$10,0))*P181</f>
        <v>0</v>
      </c>
      <c r="S181">
        <f>IF(A181&lt;&gt;"Biogas",IFERROR(VLOOKUP(A181,[1]Biogasudbytte!$A$2:$B$18,2,FALSE)*[1]Energiindhold!$C$10,0)*K181*IFERROR(VLOOKUP(A181,Biogasanlæg!$F$3:$G$8,2,FALSE),1)+IFERROR(VLOOKUP(A181,[1]Energiindhold!$A$2:$C$11,3,FALSE),0)*M181+IF(E181&lt;&gt;År1,R181,0),0)</f>
        <v>0</v>
      </c>
      <c r="T181">
        <f>IFERROR(VLOOKUP(A181,[1]Biogasudbytte!$A$2:$B$18,2,FALSE)*[1]Energiindhold!$C$10,0)*K181*IFERROR(VLOOKUP(A181,Biogasanlæg!$F$3:$G$8,2,FALSE),1)</f>
        <v>0</v>
      </c>
      <c r="U181" s="170">
        <f>S181-T181</f>
        <v>0</v>
      </c>
      <c r="V181" s="169">
        <f>P181*IFERROR(VLOOKUP(A181,[1]Tørstofindhold!A$2:B$24,2,FALSE),0)</f>
        <v>0</v>
      </c>
      <c r="W181">
        <f>IF(E181=År1,Q181,SUM(P181,Q181))*IFERROR(VLOOKUP(A181,[1]Tørstofindhold!A$2:B$24,2,FALSE),0)</f>
        <v>0</v>
      </c>
      <c r="X181">
        <f>K181*IFERROR(VLOOKUP(A181,[1]Tørstofindhold!A$2:B$24,2,FALSE),0)</f>
        <v>0</v>
      </c>
      <c r="Y181" s="170">
        <f>W181-X181</f>
        <v>0</v>
      </c>
      <c r="Z181">
        <f t="shared" si="29"/>
        <v>0</v>
      </c>
      <c r="AA181">
        <f t="shared" si="30"/>
        <v>0</v>
      </c>
    </row>
    <row r="182" spans="1:27" x14ac:dyDescent="0.25">
      <c r="A182" s="171" t="s">
        <v>117</v>
      </c>
      <c r="B182" s="171"/>
      <c r="C182" s="171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71">
        <f t="shared" si="38"/>
        <v>0</v>
      </c>
      <c r="E182" s="171">
        <f t="shared" si="33"/>
        <v>2019</v>
      </c>
      <c r="F182" t="s">
        <v>24</v>
      </c>
      <c r="G182" s="94">
        <f>IF(F182="Vestdanmark",SUMIFS(IF(E182=År1,'Resultater - Vestdanmark'!H$3:H$504,IF(E182=År2,'Resultater - Vestdanmark'!I$3:I$504,'Resultater - Vestdanmark'!J$3:J$504)),'Resultater - Vestdanmark'!$F$3:$F$504,$A182,IF(E182=År1,'Resultater - Vestdanmark'!H$3:H$504,IF(E182=År2,'Resultater - Vestdanmark'!I$3:I$504,'Resultater - Vestdanmark'!J$3:J$504)),"&gt;0"),SUMIFS(IF(E182=År1,'Resultater - Østdanmark'!H$3:H$504,IF(E182=År2,'Resultater - Østdanmark'!I$3:I$504,'Resultater - Østdanmark'!J$3:J$504)),'Resultater - Østdanmark'!$F$3:$F$504,$A182,IF(E182=År1,'Resultater - Østdanmark'!H$3:H$504,IF(E182=År2,'Resultater - Østdanmark'!I$3:I$504,'Resultater - Østdanmark'!J$3:J$504)),"&gt;0"))</f>
        <v>346998.01962126989</v>
      </c>
      <c r="H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forbrug'!H$3,'Forbrug af biomasse'!$B$2:$B$425,$F182)</f>
        <v>0</v>
      </c>
      <c r="I182">
        <f>IF(F182="Vestdanmark",-IF(A182="Halm",SUMIFS(IF(E182=År1,'Resultater - Vestdanmark'!H$3:H$504,IF(E182=År2,'Resultater - Vestdanmark'!I$3:I$504,'Resultater - Vestdanmark'!J$3:J$504)),'Resultater - Vestdanmark'!$F$3:$F$504,$A182,'Resultater - Vestdanmark'!H$3:H$504,"&lt;0"),0),-IF(A182="Halm",SUMIFS(IF(E182=År1,'Resultater - Østdanmark'!H$3:H$504,IF(E182=År2,'Resultater - Østdanmark'!I$3:I$504,'Resultater - Østdanmark'!J$3:J$504)),'Resultater - Østdanmark'!$F$3:$F$504,$A182,'Resultater - Østdanmark'!H$3:H$504,"&lt;0"),0))</f>
        <v>0</v>
      </c>
      <c r="J182" s="94"/>
      <c r="K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forbrug'!K$3,'Forbrug af biomasse'!$B$2:$B$425,$F182)</f>
        <v>0</v>
      </c>
      <c r="L182" s="94">
        <f>SUMIFS('Forbrug af biomasse'!$E$2:$E$425,'Forbrug af biomasse'!$C$2:$C$425,'Resultat-Produktion &amp; forbrug'!$A182,'Forbrug af biomasse'!$D$2:$D$425,'Resultat-Produktion &amp; forbrug'!$E182,'Forbrug af biomasse'!$A$2:$A$425,'Resultat-Produktion &amp; forbrug'!L$3,'Forbrug af biomasse'!$B$2:$B$425,$F182)</f>
        <v>0</v>
      </c>
      <c r="M182" s="94">
        <f>IF(A182&lt;&gt;"Biogas",SUMIFS('Forbrug af biomasse'!$E$2:$E$425,'Forbrug af biomasse'!$C$2:$C$425,'Resultat-Produktion &amp; forbrug'!$A182,'Forbrug af biomasse'!$D$2:$D$425,'Resultat-Produktion &amp; forbrug'!$E182,'Forbrug af biomasse'!$A$2:$A$425,'Resultat-Produktion &amp; forbrug'!M$3,'Forbrug af biomasse'!$B$2:$B$425,$F182),G182)</f>
        <v>0</v>
      </c>
      <c r="N182" s="94">
        <f>SUMIFS('Forbrug af biomasse'!E:E,'Forbrug af biomasse'!C:C,'Resultat-Produktion &amp; forbrug'!$A182,'Forbrug af biomasse'!D:D,'Resultat-Produktion &amp; forbrug'!$E182,'Forbrug af biomasse'!G:G,1,'Forbrug af biomasse'!B:B,$F182)</f>
        <v>0</v>
      </c>
      <c r="O182" s="179">
        <f t="shared" si="34"/>
        <v>346998.01962126989</v>
      </c>
      <c r="P182" s="94">
        <f t="shared" si="28"/>
        <v>0</v>
      </c>
      <c r="Q182" s="180">
        <f t="shared" si="35"/>
        <v>0</v>
      </c>
      <c r="R182">
        <f>IFERROR(VLOOKUP(A182,[1]Energiindhold!$A$2:$C$11,3,FALSE),IFERROR(VLOOKUP(A182,[1]Biogasudbytte!$A$2:$B$18,2,FALSE)*[1]Energiindhold!$C$10,0))*P182</f>
        <v>0</v>
      </c>
      <c r="S182">
        <f>IF(A182&lt;&gt;"Biogas",IFERROR(VLOOKUP(A182,[1]Biogasudbytte!$A$2:$B$18,2,FALSE)*[1]Energiindhold!$C$10,0)*K182*IFERROR(VLOOKUP(A182,Biogasanlæg!$F$3:$G$8,2,FALSE),1)+IFERROR(VLOOKUP(A182,[1]Energiindhold!$A$2:$C$11,3,FALSE),0)*M182+IF(E182&lt;&gt;År1,R182,0),0)</f>
        <v>0</v>
      </c>
      <c r="T182">
        <f>IFERROR(VLOOKUP(A182,[1]Biogasudbytte!$A$2:$B$18,2,FALSE)*[1]Energiindhold!$C$10,0)*K182*IFERROR(VLOOKUP(A182,Biogasanlæg!$F$3:$G$8,2,FALSE),1)</f>
        <v>0</v>
      </c>
      <c r="U182" s="170">
        <f t="shared" si="36"/>
        <v>0</v>
      </c>
      <c r="V182" s="169">
        <f>P182*IFERROR(VLOOKUP(A182,[1]Tørstofindhold!A$2:B$24,2,FALSE),0)</f>
        <v>0</v>
      </c>
      <c r="W182">
        <f>IF(E182=År1,Q182,SUM(P182,Q182))*IFERROR(VLOOKUP(A182,[1]Tørstofindhold!A$2:B$24,2,FALSE),0)</f>
        <v>0</v>
      </c>
      <c r="X182">
        <f>K182*IFERROR(VLOOKUP(A182,[1]Tørstofindhold!A$2:B$24,2,FALSE),0)</f>
        <v>0</v>
      </c>
      <c r="Y182" s="170">
        <f t="shared" si="37"/>
        <v>0</v>
      </c>
      <c r="Z182">
        <f t="shared" si="29"/>
        <v>0</v>
      </c>
      <c r="AA182">
        <f t="shared" si="30"/>
        <v>1</v>
      </c>
    </row>
    <row r="183" spans="1:27" x14ac:dyDescent="0.25">
      <c r="A183" t="s">
        <v>50</v>
      </c>
      <c r="B183" s="171"/>
      <c r="C183" s="171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71">
        <f t="shared" si="38"/>
        <v>0</v>
      </c>
      <c r="E183" s="171">
        <f t="shared" si="33"/>
        <v>2019</v>
      </c>
      <c r="F183" t="s">
        <v>24</v>
      </c>
      <c r="G183" s="94">
        <f>IF(F183="Vestdanmark",SUMIFS(IF(E183=År1,'Resultater - Vestdanmark'!H$3:H$504,IF(E183=År2,'Resultater - Vestdanmark'!I$3:I$504,'Resultater - Vestdanmark'!J$3:J$504)),'Resultater - Vestdanmark'!$F$3:$F$504,$A183,IF(E183=År1,'Resultater - Vestdanmark'!H$3:H$504,IF(E183=År2,'Resultater - Vestdanmark'!I$3:I$504,'Resultater - Vestdanmark'!J$3:J$504)),"&gt;0"),SUMIFS(IF(E183=År1,'Resultater - Østdanmark'!H$3:H$504,IF(E183=År2,'Resultater - Østdanmark'!I$3:I$504,'Resultater - Østdanmark'!J$3:J$504)),'Resultater - Østdanmark'!$F$3:$F$504,$A183,IF(E183=År1,'Resultater - Østdanmark'!H$3:H$504,IF(E183=År2,'Resultater - Østdanmark'!I$3:I$504,'Resultater - Østdanmark'!J$3:J$504)),"&gt;0"))</f>
        <v>192563.22613808865</v>
      </c>
      <c r="H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forbrug'!H$3,'Forbrug af biomasse'!$B$2:$B$425,$F183)</f>
        <v>0</v>
      </c>
      <c r="I183">
        <f>IF(F183="Vestdanmark",-IF(A183="Halm",SUMIFS(IF(E183=År1,'Resultater - Vestdanmark'!H$3:H$504,IF(E183=År2,'Resultater - Vestdanmark'!I$3:I$504,'Resultater - Vestdanmark'!J$3:J$504)),'Resultater - Vestdanmark'!$F$3:$F$504,$A183,'Resultater - Vestdanmark'!H$3:H$504,"&lt;0"),0),-IF(A183="Halm",SUMIFS(IF(E183=År1,'Resultater - Østdanmark'!H$3:H$504,IF(E183=År2,'Resultater - Østdanmark'!I$3:I$504,'Resultater - Østdanmark'!J$3:J$504)),'Resultater - Østdanmark'!$F$3:$F$504,$A183,'Resultater - Østdanmark'!H$3:H$504,"&lt;0"),0))</f>
        <v>0</v>
      </c>
      <c r="J183" s="94"/>
      <c r="K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forbrug'!K$3,'Forbrug af biomasse'!$B$2:$B$425,$F183)</f>
        <v>0</v>
      </c>
      <c r="L183" s="94">
        <f>SUMIFS('Forbrug af biomasse'!$E$2:$E$425,'Forbrug af biomasse'!$C$2:$C$425,'Resultat-Produktion &amp; forbrug'!$A183,'Forbrug af biomasse'!$D$2:$D$425,'Resultat-Produktion &amp; forbrug'!$E183,'Forbrug af biomasse'!$A$2:$A$425,'Resultat-Produktion &amp; forbrug'!L$3,'Forbrug af biomasse'!$B$2:$B$425,$F183)</f>
        <v>0</v>
      </c>
      <c r="M183" s="94">
        <f>IF(A183&lt;&gt;"Biogas",SUMIFS('Forbrug af biomasse'!$E$2:$E$425,'Forbrug af biomasse'!$C$2:$C$425,'Resultat-Produktion &amp; forbrug'!$A183,'Forbrug af biomasse'!$D$2:$D$425,'Resultat-Produktion &amp; forbrug'!$E183,'Forbrug af biomasse'!$A$2:$A$425,'Resultat-Produktion &amp; forbrug'!M$3,'Forbrug af biomasse'!$B$2:$B$425,$F183),G183)</f>
        <v>0</v>
      </c>
      <c r="N183" s="94">
        <f>SUMIFS('Forbrug af biomasse'!E:E,'Forbrug af biomasse'!C:C,'Resultat-Produktion &amp; forbrug'!$A183,'Forbrug af biomasse'!D:D,'Resultat-Produktion &amp; forbrug'!$E183,'Forbrug af biomasse'!G:G,1,'Forbrug af biomasse'!B:B,$F183)</f>
        <v>192563.22613808865</v>
      </c>
      <c r="O183" s="179">
        <f t="shared" si="34"/>
        <v>0</v>
      </c>
      <c r="P183" s="94">
        <f t="shared" si="28"/>
        <v>0</v>
      </c>
      <c r="Q183" s="180">
        <f t="shared" si="35"/>
        <v>0</v>
      </c>
      <c r="R183">
        <f>IFERROR(VLOOKUP(A183,[1]Energiindhold!$A$2:$C$11,3,FALSE),IFERROR(VLOOKUP(A183,[1]Biogasudbytte!$A$2:$B$18,2,FALSE)*[1]Energiindhold!$C$10,0))*P183</f>
        <v>0</v>
      </c>
      <c r="S183">
        <f>IF(A183&lt;&gt;"Biogas",IFERROR(VLOOKUP(A183,[1]Biogasudbytte!$A$2:$B$18,2,FALSE)*[1]Energiindhold!$C$10,0)*K183*IFERROR(VLOOKUP(A183,Biogasanlæg!$F$3:$G$8,2,FALSE),1)+IFERROR(VLOOKUP(A183,[1]Energiindhold!$A$2:$C$11,3,FALSE),0)*M183+IF(E183&lt;&gt;År1,R183,0),0)</f>
        <v>0</v>
      </c>
      <c r="T183">
        <f>IFERROR(VLOOKUP(A183,[1]Biogasudbytte!$A$2:$B$18,2,FALSE)*[1]Energiindhold!$C$10,0)*K183*IFERROR(VLOOKUP(A183,Biogasanlæg!$F$3:$G$8,2,FALSE),1)</f>
        <v>0</v>
      </c>
      <c r="U183" s="170">
        <f t="shared" si="36"/>
        <v>0</v>
      </c>
      <c r="V183" s="169">
        <f>P183*IFERROR(VLOOKUP(A183,[1]Tørstofindhold!A$2:B$24,2,FALSE),0)</f>
        <v>0</v>
      </c>
      <c r="W183">
        <f>IF(E183=År1,Q183,SUM(P183,Q183))*IFERROR(VLOOKUP(A183,[1]Tørstofindhold!A$2:B$24,2,FALSE),0)</f>
        <v>0</v>
      </c>
      <c r="X183">
        <f>K183*IFERROR(VLOOKUP(A183,[1]Tørstofindhold!A$2:B$24,2,FALSE),0)</f>
        <v>0</v>
      </c>
      <c r="Y183" s="170">
        <f t="shared" si="37"/>
        <v>0</v>
      </c>
      <c r="Z183">
        <f t="shared" si="29"/>
        <v>0</v>
      </c>
      <c r="AA183">
        <f t="shared" si="30"/>
        <v>0</v>
      </c>
    </row>
    <row r="184" spans="1:27" x14ac:dyDescent="0.25">
      <c r="A184" t="s">
        <v>237</v>
      </c>
      <c r="B184" s="171"/>
      <c r="C184" s="171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0</v>
      </c>
      <c r="D184" s="171">
        <f t="shared" si="38"/>
        <v>0</v>
      </c>
      <c r="E184" s="171">
        <f t="shared" si="33"/>
        <v>2019</v>
      </c>
      <c r="F184" t="s">
        <v>24</v>
      </c>
      <c r="G184" s="94">
        <f>IF(F184="Vestdanmark",SUMIFS(IF(E184=År1,'Resultater - Vestdanmark'!H$3:H$504,IF(E184=År2,'Resultater - Vestdanmark'!I$3:I$504,'Resultater - Vestdanmark'!J$3:J$504)),'Resultater - Vestdanmark'!$F$3:$F$504,$A184,IF(E184=År1,'Resultater - Vestdanmark'!H$3:H$504,IF(E184=År2,'Resultater - Vestdanmark'!I$3:I$504,'Resultater - Vestdanmark'!J$3:J$504)),"&gt;0"),SUMIFS(IF(E184=År1,'Resultater - Østdanmark'!H$3:H$504,IF(E184=År2,'Resultater - Østdanmark'!I$3:I$504,'Resultater - Østdanmark'!J$3:J$504)),'Resultater - Østdanmark'!$F$3:$F$504,$A184,IF(E184=År1,'Resultater - Østdanmark'!H$3:H$504,IF(E184=År2,'Resultater - Østdanmark'!I$3:I$504,'Resultater - Østdanmark'!J$3:J$504)),"&gt;0"))</f>
        <v>96281.613069044324</v>
      </c>
      <c r="H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forbrug'!H$3,'Forbrug af biomasse'!$B$2:$B$425,$F184)</f>
        <v>26278.769501998373</v>
      </c>
      <c r="I184">
        <f>IF(F184="Vestdanmark",-IF(A184="Halm",SUMIFS(IF(E184=År1,'Resultater - Vestdanmark'!H$3:H$504,IF(E184=År2,'Resultater - Vestdanmark'!I$3:I$504,'Resultater - Vestdanmark'!J$3:J$504)),'Resultater - Vestdanmark'!$F$3:$F$504,$A184,'Resultater - Vestdanmark'!H$3:H$504,"&lt;0"),0),-IF(A184="Halm",SUMIFS(IF(E184=År1,'Resultater - Østdanmark'!H$3:H$504,IF(E184=År2,'Resultater - Østdanmark'!I$3:I$504,'Resultater - Østdanmark'!J$3:J$504)),'Resultater - Østdanmark'!$F$3:$F$504,$A184,'Resultater - Østdanmark'!H$3:H$504,"&lt;0"),0))</f>
        <v>0</v>
      </c>
      <c r="J184" s="94"/>
      <c r="K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forbrug'!K$3,'Forbrug af biomasse'!$B$2:$B$425,$F184)</f>
        <v>0</v>
      </c>
      <c r="L184" s="94">
        <f>SUMIFS('Forbrug af biomasse'!$E$2:$E$425,'Forbrug af biomasse'!$C$2:$C$425,'Resultat-Produktion &amp; forbrug'!$A184,'Forbrug af biomasse'!$D$2:$D$425,'Resultat-Produktion &amp; forbrug'!$E184,'Forbrug af biomasse'!$A$2:$A$425,'Resultat-Produktion &amp; forbrug'!L$3,'Forbrug af biomasse'!$B$2:$B$425,$F184)</f>
        <v>0</v>
      </c>
      <c r="M184" s="94">
        <f>IF(A184&lt;&gt;"Biogas",SUMIFS('Forbrug af biomasse'!$E$2:$E$425,'Forbrug af biomasse'!$C$2:$C$425,'Resultat-Produktion &amp; forbrug'!$A184,'Forbrug af biomasse'!$D$2:$D$425,'Resultat-Produktion &amp; forbrug'!$E184,'Forbrug af biomasse'!$A$2:$A$425,'Resultat-Produktion &amp; forbrug'!M$3,'Forbrug af biomasse'!$B$2:$B$425,$F184),G184)</f>
        <v>0</v>
      </c>
      <c r="N184" s="94">
        <f>SUMIFS('Forbrug af biomasse'!E:E,'Forbrug af biomasse'!C:C,'Resultat-Produktion &amp; forbrug'!$A184,'Forbrug af biomasse'!D:D,'Resultat-Produktion &amp; forbrug'!$E184,'Forbrug af biomasse'!G:G,1,'Forbrug af biomasse'!B:B,$F184)</f>
        <v>0</v>
      </c>
      <c r="O184" s="179">
        <f t="shared" si="34"/>
        <v>70002.843567045958</v>
      </c>
      <c r="P184" s="94">
        <f t="shared" si="28"/>
        <v>0</v>
      </c>
      <c r="Q184" s="180">
        <f t="shared" si="35"/>
        <v>0</v>
      </c>
      <c r="R184">
        <f>IFERROR(VLOOKUP(A184,[1]Energiindhold!$A$2:$C$11,3,FALSE),IFERROR(VLOOKUP(A184,[1]Biogasudbytte!$A$2:$B$18,2,FALSE)*[1]Energiindhold!$C$10,0))*P184</f>
        <v>0</v>
      </c>
      <c r="S184">
        <f>IF(A184&lt;&gt;"Biogas",IFERROR(VLOOKUP(A184,[1]Biogasudbytte!$A$2:$B$18,2,FALSE)*[1]Energiindhold!$C$10,0)*K184*IFERROR(VLOOKUP(A184,Biogasanlæg!$F$3:$G$8,2,FALSE),1)+IFERROR(VLOOKUP(A184,[1]Energiindhold!$A$2:$C$11,3,FALSE),0)*M184+IF(E184&lt;&gt;År1,R184,0),0)</f>
        <v>0</v>
      </c>
      <c r="T184">
        <f>IFERROR(VLOOKUP(A184,[1]Biogasudbytte!$A$2:$B$18,2,FALSE)*[1]Energiindhold!$C$10,0)*K184*IFERROR(VLOOKUP(A184,Biogasanlæg!$F$3:$G$8,2,FALSE),1)</f>
        <v>0</v>
      </c>
      <c r="U184" s="170">
        <f t="shared" si="36"/>
        <v>0</v>
      </c>
      <c r="V184" s="169">
        <f>P184*IFERROR(VLOOKUP(A184,[1]Tørstofindhold!A$2:B$24,2,FALSE),0)</f>
        <v>0</v>
      </c>
      <c r="W184">
        <f>IF(E184=År1,Q184,SUM(P184,Q184))*IFERROR(VLOOKUP(A184,[1]Tørstofindhold!A$2:B$24,2,FALSE),0)</f>
        <v>0</v>
      </c>
      <c r="X184">
        <f>K184*IFERROR(VLOOKUP(A184,[1]Tørstofindhold!A$2:B$24,2,FALSE),0)</f>
        <v>0</v>
      </c>
      <c r="Y184" s="170">
        <f t="shared" si="37"/>
        <v>0</v>
      </c>
      <c r="Z184">
        <f t="shared" si="29"/>
        <v>0</v>
      </c>
      <c r="AA184">
        <f t="shared" si="30"/>
        <v>1</v>
      </c>
    </row>
    <row r="185" spans="1:27" x14ac:dyDescent="0.25">
      <c r="A185" t="s">
        <v>230</v>
      </c>
      <c r="B185" s="171" t="s">
        <v>230</v>
      </c>
      <c r="C185" s="171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71">
        <f t="shared" si="38"/>
        <v>1</v>
      </c>
      <c r="E185" s="171">
        <f t="shared" si="33"/>
        <v>2019</v>
      </c>
      <c r="F185" t="s">
        <v>24</v>
      </c>
      <c r="G185" s="94">
        <f>IF(F185="Vestdanmark",SUMIFS(IF(E185=År1,'Resultater - Vestdanmark'!H$3:H$504,IF(E185=År2,'Resultater - Vestdanmark'!I$3:I$504,'Resultater - Vestdanmark'!J$3:J$504)),'Resultater - Vestdanmark'!$F$3:$F$504,$A185,IF(E185=År1,'Resultater - Vestdanmark'!H$3:H$504,IF(E185=År2,'Resultater - Vestdanmark'!I$3:I$504,'Resultater - Vestdanmark'!J$3:J$504)),"&gt;0"),SUMIFS(IF(E185=År1,'Resultater - Østdanmark'!H$3:H$504,IF(E185=År2,'Resultater - Østdanmark'!I$3:I$504,'Resultater - Østdanmark'!J$3:J$504)),'Resultater - Østdanmark'!$F$3:$F$504,$A185,IF(E185=År1,'Resultater - Østdanmark'!H$3:H$504,IF(E185=År2,'Resultater - Østdanmark'!I$3:I$504,'Resultater - Østdanmark'!J$3:J$504)),"&gt;0"))</f>
        <v>61620.23236418837</v>
      </c>
      <c r="H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forbrug'!H$3,'Forbrug af biomasse'!$B$2:$B$425,$F185)</f>
        <v>0</v>
      </c>
      <c r="I185">
        <f>IF(F185="Vestdanmark",-IF(A185="Halm",SUMIFS(IF(E185=År1,'Resultater - Vestdanmark'!H$3:H$504,IF(E185=År2,'Resultater - Vestdanmark'!I$3:I$504,'Resultater - Vestdanmark'!J$3:J$504)),'Resultater - Vestdanmark'!$F$3:$F$504,$A185,'Resultater - Vestdanmark'!H$3:H$504,"&lt;0"),0),-IF(A185="Halm",SUMIFS(IF(E185=År1,'Resultater - Østdanmark'!H$3:H$504,IF(E185=År2,'Resultater - Østdanmark'!I$3:I$504,'Resultater - Østdanmark'!J$3:J$504)),'Resultater - Østdanmark'!$F$3:$F$504,$A185,'Resultater - Østdanmark'!H$3:H$504,"&lt;0"),0))</f>
        <v>0</v>
      </c>
      <c r="J185" s="94"/>
      <c r="K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forbrug'!K$3,'Forbrug af biomasse'!$B$2:$B$425,$F185)</f>
        <v>0</v>
      </c>
      <c r="L185" s="94">
        <f>SUMIFS('Forbrug af biomasse'!$E$2:$E$425,'Forbrug af biomasse'!$C$2:$C$425,'Resultat-Produktion &amp; forbrug'!$A185,'Forbrug af biomasse'!$D$2:$D$425,'Resultat-Produktion &amp; forbrug'!$E185,'Forbrug af biomasse'!$A$2:$A$425,'Resultat-Produktion &amp; forbrug'!L$3,'Forbrug af biomasse'!$B$2:$B$425,$F185)</f>
        <v>0</v>
      </c>
      <c r="M185" s="94">
        <f>IF(A185&lt;&gt;"Biogas",SUMIFS('Forbrug af biomasse'!$E$2:$E$425,'Forbrug af biomasse'!$C$2:$C$425,'Resultat-Produktion &amp; forbrug'!$A185,'Forbrug af biomasse'!$D$2:$D$425,'Resultat-Produktion &amp; forbrug'!$E185,'Forbrug af biomasse'!$A$2:$A$425,'Resultat-Produktion &amp; forbrug'!M$3,'Forbrug af biomasse'!$B$2:$B$425,$F185),G185)</f>
        <v>32042.520829377954</v>
      </c>
      <c r="N185" s="94">
        <f>SUMIFS('Forbrug af biomasse'!E:E,'Forbrug af biomasse'!C:C,'Resultat-Produktion &amp; forbrug'!$A185,'Forbrug af biomasse'!D:D,'Resultat-Produktion &amp; forbrug'!$E185,'Forbrug af biomasse'!G:G,1,'Forbrug af biomasse'!B:B,$F185)</f>
        <v>29577.711534810416</v>
      </c>
      <c r="O185" s="179">
        <f t="shared" si="34"/>
        <v>0</v>
      </c>
      <c r="P185" s="94">
        <f t="shared" si="28"/>
        <v>0</v>
      </c>
      <c r="Q185" s="180">
        <f t="shared" si="35"/>
        <v>32042.520829377954</v>
      </c>
      <c r="R185">
        <f>IFERROR(VLOOKUP(A185,[1]Energiindhold!$A$2:$C$11,3,FALSE),IFERROR(VLOOKUP(A185,[1]Biogasudbytte!$A$2:$B$18,2,FALSE)*[1]Energiindhold!$C$10,0))*P185</f>
        <v>0</v>
      </c>
      <c r="S185">
        <f>IF(A185&lt;&gt;"Biogas",IFERROR(VLOOKUP(A185,[1]Biogasudbytte!$A$2:$B$18,2,FALSE)*[1]Energiindhold!$C$10,0)*K185*IFERROR(VLOOKUP(A185,Biogasanlæg!$F$3:$G$8,2,FALSE),1)+IFERROR(VLOOKUP(A185,[1]Energiindhold!$A$2:$C$11,3,FALSE),0)*M185+IF(E185&lt;&gt;År1,R185,0),0)</f>
        <v>1.1214882290282282</v>
      </c>
      <c r="T185">
        <f>IFERROR(VLOOKUP(A185,[1]Biogasudbytte!$A$2:$B$18,2,FALSE)*[1]Energiindhold!$C$10,0)*K185*IFERROR(VLOOKUP(A185,Biogasanlæg!$F$3:$G$8,2,FALSE),1)</f>
        <v>0</v>
      </c>
      <c r="U185" s="170">
        <f t="shared" si="36"/>
        <v>1.1214882290282282</v>
      </c>
      <c r="V185" s="169">
        <f>P185*IFERROR(VLOOKUP(A185,[1]Tørstofindhold!A$2:B$24,2,FALSE),0)</f>
        <v>0</v>
      </c>
      <c r="W185">
        <f>IF(E185=År1,Q185,SUM(P185,Q185))*IFERROR(VLOOKUP(A185,[1]Tørstofindhold!A$2:B$24,2,FALSE),0)</f>
        <v>0</v>
      </c>
      <c r="X185">
        <f>K185*IFERROR(VLOOKUP(A185,[1]Tørstofindhold!A$2:B$24,2,FALSE),0)</f>
        <v>0</v>
      </c>
      <c r="Y185" s="170">
        <f t="shared" si="37"/>
        <v>0</v>
      </c>
      <c r="Z185">
        <f t="shared" si="29"/>
        <v>0</v>
      </c>
      <c r="AA185">
        <f t="shared" si="30"/>
        <v>0</v>
      </c>
    </row>
    <row r="186" spans="1:27" x14ac:dyDescent="0.25">
      <c r="A186" t="s">
        <v>52</v>
      </c>
      <c r="B186" s="171" t="s">
        <v>223</v>
      </c>
      <c r="C186" s="171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1</v>
      </c>
      <c r="D186" s="171">
        <f t="shared" si="38"/>
        <v>1</v>
      </c>
      <c r="E186" s="171">
        <f t="shared" si="33"/>
        <v>2019</v>
      </c>
      <c r="F186" t="s">
        <v>24</v>
      </c>
      <c r="G186" s="94">
        <f>IF(F186="Vestdanmark",SUMIFS(IF(E186=År1,'Resultater - Vestdanmark'!H$3:H$504,IF(E186=År2,'Resultater - Vestdanmark'!I$3:I$504,'Resultater - Vestdanmark'!J$3:J$504)),'Resultater - Vestdanmark'!$F$3:$F$504,$A186,IF(E186=År1,'Resultater - Vestdanmark'!H$3:H$504,IF(E186=År2,'Resultater - Vestdanmark'!I$3:I$504,'Resultater - Vestdanmark'!J$3:J$504)),"&gt;0"),SUMIFS(IF(E186=År1,'Resultater - Østdanmark'!H$3:H$504,IF(E186=År2,'Resultater - Østdanmark'!I$3:I$504,'Resultater - Østdanmark'!J$3:J$504)),'Resultater - Østdanmark'!$F$3:$F$504,$A186,IF(E186=År1,'Resultater - Østdanmark'!H$3:H$504,IF(E186=År2,'Resultater - Østdanmark'!I$3:I$504,'Resultater - Østdanmark'!J$3:J$504)),"&gt;0"))</f>
        <v>2233316.4654569654</v>
      </c>
      <c r="H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forbrug'!H$3,'Forbrug af biomasse'!$B$2:$B$425,$F186)</f>
        <v>103245.87683002709</v>
      </c>
      <c r="I186">
        <f>IF(F186="Vestdanmark",-IF(A186="Halm",SUMIFS(IF(E186=År1,'Resultater - Vestdanmark'!H$3:H$504,IF(E186=År2,'Resultater - Vestdanmark'!I$3:I$504,'Resultater - Vestdanmark'!J$3:J$504)),'Resultater - Vestdanmark'!$F$3:$F$504,$A186,'Resultater - Vestdanmark'!H$3:H$504,"&lt;0"),0),-IF(A186="Halm",SUMIFS(IF(E186=År1,'Resultater - Østdanmark'!H$3:H$504,IF(E186=År2,'Resultater - Østdanmark'!I$3:I$504,'Resultater - Østdanmark'!J$3:J$504)),'Resultater - Østdanmark'!$F$3:$F$504,$A186,'Resultater - Østdanmark'!H$3:H$504,"&lt;0"),0))</f>
        <v>0</v>
      </c>
      <c r="J186" s="94"/>
      <c r="K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forbrug'!K$3,'Forbrug af biomasse'!$B$2:$B$425,$F186)</f>
        <v>24503.032029712213</v>
      </c>
      <c r="L186" s="94">
        <f>SUMIFS('Forbrug af biomasse'!$E$2:$E$425,'Forbrug af biomasse'!$C$2:$C$425,'Resultat-Produktion &amp; forbrug'!$A186,'Forbrug af biomasse'!$D$2:$D$425,'Resultat-Produktion &amp; forbrug'!$E186,'Forbrug af biomasse'!$A$2:$A$425,'Resultat-Produktion &amp; forbrug'!L$3,'Forbrug af biomasse'!$B$2:$B$425,$F186)</f>
        <v>0</v>
      </c>
      <c r="M186" s="94">
        <f>IF(A186&lt;&gt;"Biogas",SUMIFS('Forbrug af biomasse'!$E$2:$E$425,'Forbrug af biomasse'!$C$2:$C$425,'Resultat-Produktion &amp; forbrug'!$A186,'Forbrug af biomasse'!$D$2:$D$425,'Resultat-Produktion &amp; forbrug'!$E186,'Forbrug af biomasse'!$A$2:$A$425,'Resultat-Produktion &amp; forbrug'!M$3,'Forbrug af biomasse'!$B$2:$B$425,$F186),G186)</f>
        <v>0</v>
      </c>
      <c r="N186" s="94">
        <f>SUMIFS('Forbrug af biomasse'!E:E,'Forbrug af biomasse'!C:C,'Resultat-Produktion &amp; forbrug'!$A186,'Forbrug af biomasse'!D:D,'Resultat-Produktion &amp; forbrug'!$E186,'Forbrug af biomasse'!G:G,1,'Forbrug af biomasse'!B:B,$F186)</f>
        <v>0</v>
      </c>
      <c r="O186" s="179">
        <f t="shared" si="34"/>
        <v>2105567.5565972263</v>
      </c>
      <c r="P186" s="94">
        <f t="shared" si="28"/>
        <v>1637775.5474174484</v>
      </c>
      <c r="Q186" s="180">
        <f t="shared" si="35"/>
        <v>24503.032029712213</v>
      </c>
      <c r="R186">
        <f>IFERROR(VLOOKUP(A186,[1]Energiindhold!$A$2:$C$11,3,FALSE),IFERROR(VLOOKUP(A186,[1]Biogasudbytte!$A$2:$B$18,2,FALSE)*[1]Energiindhold!$C$10,0))*P186</f>
        <v>4.4449883467128517</v>
      </c>
      <c r="S186">
        <f>IF(A186&lt;&gt;"Biogas",IFERROR(VLOOKUP(A186,[1]Biogasudbytte!$A$2:$B$18,2,FALSE)*[1]Energiindhold!$C$10,0)*K186*IFERROR(VLOOKUP(A186,Biogasanlæg!$F$3:$G$8,2,FALSE),1)+IFERROR(VLOOKUP(A186,[1]Energiindhold!$A$2:$C$11,3,FALSE),0)*M186+IF(E186&lt;&gt;År1,R186,0),0)</f>
        <v>6.650220904992013E-2</v>
      </c>
      <c r="T186">
        <f>IFERROR(VLOOKUP(A186,[1]Biogasudbytte!$A$2:$B$18,2,FALSE)*[1]Energiindhold!$C$10,0)*K186*IFERROR(VLOOKUP(A186,Biogasanlæg!$F$3:$G$8,2,FALSE),1)</f>
        <v>6.650220904992013E-2</v>
      </c>
      <c r="U186" s="170">
        <f t="shared" si="36"/>
        <v>0</v>
      </c>
      <c r="V186" s="169">
        <f>P186*IFERROR(VLOOKUP(A186,[1]Tørstofindhold!A$2:B$24,2,FALSE),0)</f>
        <v>327555.10948348971</v>
      </c>
      <c r="W186">
        <f>IF(E186=År1,Q186,SUM(P186,Q186))*IFERROR(VLOOKUP(A186,[1]Tørstofindhold!A$2:B$24,2,FALSE),0)</f>
        <v>4900.6064059424425</v>
      </c>
      <c r="X186">
        <f>K186*IFERROR(VLOOKUP(A186,[1]Tørstofindhold!A$2:B$24,2,FALSE),0)</f>
        <v>4900.6064059424425</v>
      </c>
      <c r="Y186" s="170">
        <f t="shared" si="37"/>
        <v>0</v>
      </c>
      <c r="Z186">
        <f t="shared" si="29"/>
        <v>0</v>
      </c>
      <c r="AA186">
        <f t="shared" si="30"/>
        <v>1</v>
      </c>
    </row>
    <row r="187" spans="1:27" x14ac:dyDescent="0.25">
      <c r="A187" t="s">
        <v>121</v>
      </c>
      <c r="B187" s="171"/>
      <c r="C187" s="171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71">
        <f t="shared" si="38"/>
        <v>0</v>
      </c>
      <c r="E187" s="171">
        <f t="shared" si="33"/>
        <v>2019</v>
      </c>
      <c r="F187" t="s">
        <v>24</v>
      </c>
      <c r="G187" s="94">
        <f>IF(F187="Vestdanmark",SUMIFS(IF(E187=År1,'Resultater - Vestdanmark'!H$3:H$504,IF(E187=År2,'Resultater - Vestdanmark'!I$3:I$504,'Resultater - Vestdanmark'!J$3:J$504)),'Resultater - Vestdanmark'!$F$3:$F$504,$A187,IF(E187=År1,'Resultater - Vestdanmark'!H$3:H$504,IF(E187=År2,'Resultater - Vestdanmark'!I$3:I$504,'Resultater - Vestdanmark'!J$3:J$504)),"&gt;0"),SUMIFS(IF(E187=År1,'Resultater - Østdanmark'!H$3:H$504,IF(E187=År2,'Resultater - Østdanmark'!I$3:I$504,'Resultater - Østdanmark'!J$3:J$504)),'Resultater - Østdanmark'!$F$3:$F$504,$A187,IF(E187=År1,'Resultater - Østdanmark'!H$3:H$504,IF(E187=År2,'Resultater - Østdanmark'!I$3:I$504,'Resultater - Østdanmark'!J$3:J$504)),"&gt;0"))</f>
        <v>23179.475218292017</v>
      </c>
      <c r="H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forbrug'!H$3,'Forbrug af biomasse'!$B$2:$B$425,$F187)</f>
        <v>0</v>
      </c>
      <c r="I187">
        <f>IF(F187="Vestdanmark",-IF(A187="Halm",SUMIFS(IF(E187=År1,'Resultater - Vestdanmark'!H$3:H$504,IF(E187=År2,'Resultater - Vestdanmark'!I$3:I$504,'Resultater - Vestdanmark'!J$3:J$504)),'Resultater - Vestdanmark'!$F$3:$F$504,$A187,'Resultater - Vestdanmark'!H$3:H$504,"&lt;0"),0),-IF(A187="Halm",SUMIFS(IF(E187=År1,'Resultater - Østdanmark'!H$3:H$504,IF(E187=År2,'Resultater - Østdanmark'!I$3:I$504,'Resultater - Østdanmark'!J$3:J$504)),'Resultater - Østdanmark'!$F$3:$F$504,$A187,'Resultater - Østdanmark'!H$3:H$504,"&lt;0"),0))</f>
        <v>0</v>
      </c>
      <c r="J187" s="94"/>
      <c r="K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forbrug'!K$3,'Forbrug af biomasse'!$B$2:$B$425,$F187)</f>
        <v>0</v>
      </c>
      <c r="L187" s="94">
        <f>SUMIFS('Forbrug af biomasse'!$E$2:$E$425,'Forbrug af biomasse'!$C$2:$C$425,'Resultat-Produktion &amp; forbrug'!$A187,'Forbrug af biomasse'!$D$2:$D$425,'Resultat-Produktion &amp; forbrug'!$E187,'Forbrug af biomasse'!$A$2:$A$425,'Resultat-Produktion &amp; forbrug'!L$3,'Forbrug af biomasse'!$B$2:$B$425,$F187)</f>
        <v>0</v>
      </c>
      <c r="M187" s="94">
        <f>IF(A187&lt;&gt;"Biogas",SUMIFS('Forbrug af biomasse'!$E$2:$E$425,'Forbrug af biomasse'!$C$2:$C$425,'Resultat-Produktion &amp; forbrug'!$A187,'Forbrug af biomasse'!$D$2:$D$425,'Resultat-Produktion &amp; forbrug'!$E187,'Forbrug af biomasse'!$A$2:$A$425,'Resultat-Produktion &amp; forbrug'!M$3,'Forbrug af biomasse'!$B$2:$B$425,$F187),G187)</f>
        <v>0</v>
      </c>
      <c r="N187" s="94">
        <f>SUMIFS('Forbrug af biomasse'!E:E,'Forbrug af biomasse'!C:C,'Resultat-Produktion &amp; forbrug'!$A187,'Forbrug af biomasse'!D:D,'Resultat-Produktion &amp; forbrug'!$E187,'Forbrug af biomasse'!G:G,1,'Forbrug af biomasse'!B:B,$F187)</f>
        <v>0</v>
      </c>
      <c r="O187" s="179">
        <f t="shared" si="34"/>
        <v>23179.475218292017</v>
      </c>
      <c r="P187" s="94">
        <f t="shared" si="28"/>
        <v>0</v>
      </c>
      <c r="Q187" s="180">
        <f t="shared" si="35"/>
        <v>0</v>
      </c>
      <c r="R187">
        <f>IFERROR(VLOOKUP(A187,[1]Energiindhold!$A$2:$C$11,3,FALSE),IFERROR(VLOOKUP(A187,[1]Biogasudbytte!$A$2:$B$18,2,FALSE)*[1]Energiindhold!$C$10,0))*P187</f>
        <v>0</v>
      </c>
      <c r="S187">
        <f>IF(A187&lt;&gt;"Biogas",IFERROR(VLOOKUP(A187,[1]Biogasudbytte!$A$2:$B$18,2,FALSE)*[1]Energiindhold!$C$10,0)*K187*IFERROR(VLOOKUP(A187,Biogasanlæg!$F$3:$G$8,2,FALSE),1)+IFERROR(VLOOKUP(A187,[1]Energiindhold!$A$2:$C$11,3,FALSE),0)*M187+IF(E187&lt;&gt;År1,R187,0),0)</f>
        <v>0</v>
      </c>
      <c r="T187">
        <f>IFERROR(VLOOKUP(A187,[1]Biogasudbytte!$A$2:$B$18,2,FALSE)*[1]Energiindhold!$C$10,0)*K187*IFERROR(VLOOKUP(A187,Biogasanlæg!$F$3:$G$8,2,FALSE),1)</f>
        <v>0</v>
      </c>
      <c r="U187" s="170">
        <f t="shared" si="36"/>
        <v>0</v>
      </c>
      <c r="V187" s="169">
        <f>P187*IFERROR(VLOOKUP(A187,[1]Tørstofindhold!A$2:B$24,2,FALSE),0)</f>
        <v>0</v>
      </c>
      <c r="W187">
        <f>IF(E187=År1,Q187,SUM(P187,Q187))*IFERROR(VLOOKUP(A187,[1]Tørstofindhold!A$2:B$24,2,FALSE),0)</f>
        <v>0</v>
      </c>
      <c r="X187">
        <f>K187*IFERROR(VLOOKUP(A187,[1]Tørstofindhold!A$2:B$24,2,FALSE),0)</f>
        <v>0</v>
      </c>
      <c r="Y187" s="170">
        <f t="shared" si="37"/>
        <v>0</v>
      </c>
      <c r="Z187">
        <f t="shared" si="29"/>
        <v>0</v>
      </c>
      <c r="AA187">
        <f t="shared" si="30"/>
        <v>1</v>
      </c>
    </row>
    <row r="188" spans="1:27" x14ac:dyDescent="0.25">
      <c r="A188" t="s">
        <v>107</v>
      </c>
      <c r="B188" s="171"/>
      <c r="C188" s="171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0</v>
      </c>
      <c r="D188" s="171">
        <f t="shared" si="38"/>
        <v>0</v>
      </c>
      <c r="E188" s="171">
        <f t="shared" si="33"/>
        <v>2019</v>
      </c>
      <c r="F188" t="s">
        <v>24</v>
      </c>
      <c r="G188" s="94">
        <f>IF(F188="Vestdanmark",SUMIFS(IF(E188=År1,'Resultater - Vestdanmark'!H$3:H$504,IF(E188=År2,'Resultater - Vestdanmark'!I$3:I$504,'Resultater - Vestdanmark'!J$3:J$504)),'Resultater - Vestdanmark'!$F$3:$F$504,$A188,IF(E188=År1,'Resultater - Vestdanmark'!H$3:H$504,IF(E188=År2,'Resultater - Vestdanmark'!I$3:I$504,'Resultater - Vestdanmark'!J$3:J$504)),"&gt;0"),SUMIFS(IF(E188=År1,'Resultater - Østdanmark'!H$3:H$504,IF(E188=År2,'Resultater - Østdanmark'!I$3:I$504,'Resultater - Østdanmark'!J$3:J$504)),'Resultater - Østdanmark'!$F$3:$F$504,$A188,IF(E188=År1,'Resultater - Østdanmark'!H$3:H$504,IF(E188=År2,'Resultater - Østdanmark'!I$3:I$504,'Resultater - Østdanmark'!J$3:J$504)),"&gt;0"))</f>
        <v>18923.903166389329</v>
      </c>
      <c r="H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forbrug'!H$3,'Forbrug af biomasse'!$B$2:$B$425,$F188)</f>
        <v>4837.9324606189475</v>
      </c>
      <c r="I188">
        <f>IF(F188="Vestdanmark",-IF(A188="Halm",SUMIFS(IF(E188=År1,'Resultater - Vestdanmark'!H$3:H$504,IF(E188=År2,'Resultater - Vestdanmark'!I$3:I$504,'Resultater - Vestdanmark'!J$3:J$504)),'Resultater - Vestdanmark'!$F$3:$F$504,$A188,'Resultater - Vestdanmark'!H$3:H$504,"&lt;0"),0),-IF(A188="Halm",SUMIFS(IF(E188=År1,'Resultater - Østdanmark'!H$3:H$504,IF(E188=År2,'Resultater - Østdanmark'!I$3:I$504,'Resultater - Østdanmark'!J$3:J$504)),'Resultater - Østdanmark'!$F$3:$F$504,$A188,'Resultater - Østdanmark'!H$3:H$504,"&lt;0"),0))</f>
        <v>0</v>
      </c>
      <c r="J188" s="94"/>
      <c r="K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forbrug'!K$3,'Forbrug af biomasse'!$B$2:$B$425,$F188)</f>
        <v>0</v>
      </c>
      <c r="L188" s="94">
        <f>SUMIFS('Forbrug af biomasse'!$E$2:$E$425,'Forbrug af biomasse'!$C$2:$C$425,'Resultat-Produktion &amp; forbrug'!$A188,'Forbrug af biomasse'!$D$2:$D$425,'Resultat-Produktion &amp; forbrug'!$E188,'Forbrug af biomasse'!$A$2:$A$425,'Resultat-Produktion &amp; forbrug'!L$3,'Forbrug af biomasse'!$B$2:$B$425,$F188)</f>
        <v>0</v>
      </c>
      <c r="M188" s="94">
        <f>IF(A188&lt;&gt;"Biogas",SUMIFS('Forbrug af biomasse'!$E$2:$E$425,'Forbrug af biomasse'!$C$2:$C$425,'Resultat-Produktion &amp; forbrug'!$A188,'Forbrug af biomasse'!$D$2:$D$425,'Resultat-Produktion &amp; forbrug'!$E188,'Forbrug af biomasse'!$A$2:$A$425,'Resultat-Produktion &amp; forbrug'!M$3,'Forbrug af biomasse'!$B$2:$B$425,$F188),G188)</f>
        <v>0</v>
      </c>
      <c r="N188" s="94">
        <f>SUMIFS('Forbrug af biomasse'!E:E,'Forbrug af biomasse'!C:C,'Resultat-Produktion &amp; forbrug'!$A188,'Forbrug af biomasse'!D:D,'Resultat-Produktion &amp; forbrug'!$E188,'Forbrug af biomasse'!G:G,1,'Forbrug af biomasse'!B:B,$F188)</f>
        <v>0</v>
      </c>
      <c r="O188" s="179">
        <f t="shared" si="34"/>
        <v>14085.970705770382</v>
      </c>
      <c r="P188" s="94">
        <f t="shared" si="28"/>
        <v>0</v>
      </c>
      <c r="Q188" s="180">
        <f t="shared" si="35"/>
        <v>0</v>
      </c>
      <c r="R188">
        <f>IFERROR(VLOOKUP(A188,[1]Energiindhold!$A$2:$C$11,3,FALSE),IFERROR(VLOOKUP(A188,[1]Biogasudbytte!$A$2:$B$18,2,FALSE)*[1]Energiindhold!$C$10,0))*P188</f>
        <v>0</v>
      </c>
      <c r="S188">
        <f>IF(A188&lt;&gt;"Biogas",IFERROR(VLOOKUP(A188,[1]Biogasudbytte!$A$2:$B$18,2,FALSE)*[1]Energiindhold!$C$10,0)*K188*IFERROR(VLOOKUP(A188,Biogasanlæg!$F$3:$G$8,2,FALSE),1)+IFERROR(VLOOKUP(A188,[1]Energiindhold!$A$2:$C$11,3,FALSE),0)*M188+IF(E188&lt;&gt;År1,R188,0),0)</f>
        <v>0</v>
      </c>
      <c r="T188">
        <f>IFERROR(VLOOKUP(A188,[1]Biogasudbytte!$A$2:$B$18,2,FALSE)*[1]Energiindhold!$C$10,0)*K188*IFERROR(VLOOKUP(A188,Biogasanlæg!$F$3:$G$8,2,FALSE),1)</f>
        <v>0</v>
      </c>
      <c r="U188" s="170">
        <f t="shared" si="36"/>
        <v>0</v>
      </c>
      <c r="V188" s="169">
        <f>P188*IFERROR(VLOOKUP(A188,[1]Tørstofindhold!A$2:B$24,2,FALSE),0)</f>
        <v>0</v>
      </c>
      <c r="W188">
        <f>IF(E188=År1,Q188,SUM(P188,Q188))*IFERROR(VLOOKUP(A188,[1]Tørstofindhold!A$2:B$24,2,FALSE),0)</f>
        <v>0</v>
      </c>
      <c r="X188">
        <f>K188*IFERROR(VLOOKUP(A188,[1]Tørstofindhold!A$2:B$24,2,FALSE),0)</f>
        <v>0</v>
      </c>
      <c r="Y188" s="170">
        <f t="shared" si="37"/>
        <v>0</v>
      </c>
      <c r="Z188">
        <f t="shared" si="29"/>
        <v>0</v>
      </c>
      <c r="AA188">
        <f t="shared" si="30"/>
        <v>1</v>
      </c>
    </row>
    <row r="189" spans="1:27" x14ac:dyDescent="0.25">
      <c r="A189" s="171" t="s">
        <v>140</v>
      </c>
      <c r="B189" s="171" t="s">
        <v>229</v>
      </c>
      <c r="C189" s="171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71">
        <f t="shared" si="38"/>
        <v>0</v>
      </c>
      <c r="E189" s="171">
        <f t="shared" si="33"/>
        <v>2019</v>
      </c>
      <c r="F189" t="s">
        <v>24</v>
      </c>
      <c r="G189" s="94">
        <f>IF(F189="Vestdanmark",SUMIFS(IF(E189=År1,'Resultater - Vestdanmark'!H$3:H$504,IF(E189=År2,'Resultater - Vestdanmark'!I$3:I$504,'Resultater - Vestdanmark'!J$3:J$504)),'Resultater - Vestdanmark'!$F$3:$F$504,$A189,IF(E189=År1,'Resultater - Vestdanmark'!H$3:H$504,IF(E189=År2,'Resultater - Vestdanmark'!I$3:I$504,'Resultater - Vestdanmark'!J$3:J$504)),"&gt;0"),SUMIFS(IF(E189=År1,'Resultater - Østdanmark'!H$3:H$504,IF(E189=År2,'Resultater - Østdanmark'!I$3:I$504,'Resultater - Østdanmark'!J$3:J$504)),'Resultater - Østdanmark'!$F$3:$F$504,$A189,IF(E189=År1,'Resultater - Østdanmark'!H$3:H$504,IF(E189=År2,'Resultater - Østdanmark'!I$3:I$504,'Resultater - Østdanmark'!J$3:J$504)),"&gt;0"))</f>
        <v>3186961.3614372411</v>
      </c>
      <c r="H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forbrug'!H$3,'Forbrug af biomasse'!$B$2:$B$425,$F189)</f>
        <v>0</v>
      </c>
      <c r="I189">
        <f>IF(F189="Vestdanmark",-IF(A189="Halm",SUMIFS(IF(E189=År1,'Resultater - Vestdanmark'!H$3:H$504,IF(E189=År2,'Resultater - Vestdanmark'!I$3:I$504,'Resultater - Vestdanmark'!J$3:J$504)),'Resultater - Vestdanmark'!$F$3:$F$504,$A189,'Resultater - Vestdanmark'!H$3:H$504,"&lt;0"),0),-IF(A189="Halm",SUMIFS(IF(E189=År1,'Resultater - Østdanmark'!H$3:H$504,IF(E189=År2,'Resultater - Østdanmark'!I$3:I$504,'Resultater - Østdanmark'!J$3:J$504)),'Resultater - Østdanmark'!$F$3:$F$504,$A189,'Resultater - Østdanmark'!H$3:H$504,"&lt;0"),0))</f>
        <v>0</v>
      </c>
      <c r="J189" s="94"/>
      <c r="K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forbrug'!K$3,'Forbrug af biomasse'!$B$2:$B$425,$F189)</f>
        <v>1208651.4125341829</v>
      </c>
      <c r="L189" s="94">
        <f>SUMIFS('Forbrug af biomasse'!$E$2:$E$425,'Forbrug af biomasse'!$C$2:$C$425,'Resultat-Produktion &amp; forbrug'!$A189,'Forbrug af biomasse'!$D$2:$D$425,'Resultat-Produktion &amp; forbrug'!$E189,'Forbrug af biomasse'!$A$2:$A$425,'Resultat-Produktion &amp; forbrug'!L$3,'Forbrug af biomasse'!$B$2:$B$425,$F189)</f>
        <v>0</v>
      </c>
      <c r="M189" s="94">
        <f>IF(A189&lt;&gt;"Biogas",SUMIFS('Forbrug af biomasse'!$E$2:$E$425,'Forbrug af biomasse'!$C$2:$C$425,'Resultat-Produktion &amp; forbrug'!$A189,'Forbrug af biomasse'!$D$2:$D$425,'Resultat-Produktion &amp; forbrug'!$E189,'Forbrug af biomasse'!$A$2:$A$425,'Resultat-Produktion &amp; forbrug'!M$3,'Forbrug af biomasse'!$B$2:$B$425,$F189),G189)</f>
        <v>0</v>
      </c>
      <c r="N189" s="94">
        <f>SUMIFS('Forbrug af biomasse'!E:E,'Forbrug af biomasse'!C:C,'Resultat-Produktion &amp; forbrug'!$A189,'Forbrug af biomasse'!D:D,'Resultat-Produktion &amp; forbrug'!$E189,'Forbrug af biomasse'!G:G,1,'Forbrug af biomasse'!B:B,$F189)</f>
        <v>0</v>
      </c>
      <c r="O189" s="179">
        <f t="shared" si="34"/>
        <v>1978309.9489030582</v>
      </c>
      <c r="P189" s="94">
        <f t="shared" si="28"/>
        <v>1978309.9489030582</v>
      </c>
      <c r="Q189" s="180">
        <f t="shared" si="35"/>
        <v>1208651.4125341829</v>
      </c>
      <c r="R189">
        <f>IFERROR(VLOOKUP(A189,[1]Energiindhold!$A$2:$C$11,3,FALSE),IFERROR(VLOOKUP(A189,[1]Biogasudbytte!$A$2:$B$18,2,FALSE)*[1]Energiindhold!$C$10,0))*P189</f>
        <v>0.98719644760211522</v>
      </c>
      <c r="S189">
        <f>IF(A189&lt;&gt;"Biogas",IFERROR(VLOOKUP(A189,[1]Biogasudbytte!$A$2:$B$18,2,FALSE)*[1]Energiindhold!$C$10,0)*K189*IFERROR(VLOOKUP(A189,Biogasanlæg!$F$3:$G$8,2,FALSE),1)+IFERROR(VLOOKUP(A189,[1]Energiindhold!$A$2:$C$11,3,FALSE),0)*M189+IF(E189&lt;&gt;År1,R189,0),0)</f>
        <v>0.60312914136868268</v>
      </c>
      <c r="T189">
        <f>IFERROR(VLOOKUP(A189,[1]Biogasudbytte!$A$2:$B$18,2,FALSE)*[1]Energiindhold!$C$10,0)*K189*IFERROR(VLOOKUP(A189,Biogasanlæg!$F$3:$G$8,2,FALSE),1)</f>
        <v>0.60312914136868268</v>
      </c>
      <c r="U189" s="170">
        <f t="shared" si="36"/>
        <v>0</v>
      </c>
      <c r="V189" s="169">
        <f>P189*IFERROR(VLOOKUP(A189,[1]Tørstofindhold!A$2:B$24,2,FALSE),0)</f>
        <v>118698.59693418349</v>
      </c>
      <c r="W189">
        <f>IF(E189=År1,Q189,SUM(P189,Q189))*IFERROR(VLOOKUP(A189,[1]Tørstofindhold!A$2:B$24,2,FALSE),0)</f>
        <v>72519.084752050971</v>
      </c>
      <c r="X189">
        <f>K189*IFERROR(VLOOKUP(A189,[1]Tørstofindhold!A$2:B$24,2,FALSE),0)</f>
        <v>72519.084752050971</v>
      </c>
      <c r="Y189" s="170">
        <f t="shared" si="37"/>
        <v>0</v>
      </c>
      <c r="Z189">
        <f t="shared" si="29"/>
        <v>0</v>
      </c>
      <c r="AA189">
        <f t="shared" si="30"/>
        <v>1</v>
      </c>
    </row>
    <row r="190" spans="1:27" x14ac:dyDescent="0.25">
      <c r="A190" s="171" t="s">
        <v>135</v>
      </c>
      <c r="B190" s="171" t="s">
        <v>221</v>
      </c>
      <c r="C190" s="171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1</v>
      </c>
      <c r="D190" s="171">
        <f t="shared" si="38"/>
        <v>0</v>
      </c>
      <c r="E190" s="171">
        <f t="shared" si="33"/>
        <v>2019</v>
      </c>
      <c r="F190" t="s">
        <v>24</v>
      </c>
      <c r="G190" s="94">
        <f>IF(F190="Vestdanmark",SUMIFS(IF(E190=År1,'Resultater - Vestdanmark'!H$3:H$504,IF(E190=År2,'Resultater - Vestdanmark'!I$3:I$504,'Resultater - Vestdanmark'!J$3:J$504)),'Resultater - Vestdanmark'!$F$3:$F$504,$A190,IF(E190=År1,'Resultater - Vestdanmark'!H$3:H$504,IF(E190=År2,'Resultater - Vestdanmark'!I$3:I$504,'Resultater - Vestdanmark'!J$3:J$504)),"&gt;0"),SUMIFS(IF(E190=År1,'Resultater - Østdanmark'!H$3:H$504,IF(E190=År2,'Resultater - Østdanmark'!I$3:I$504,'Resultater - Østdanmark'!J$3:J$504)),'Resultater - Østdanmark'!$F$3:$F$504,$A190,IF(E190=År1,'Resultater - Østdanmark'!H$3:H$504,IF(E190=År2,'Resultater - Østdanmark'!I$3:I$504,'Resultater - Østdanmark'!J$3:J$504)),"&gt;0"))</f>
        <v>2304461.4931079326</v>
      </c>
      <c r="H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forbrug'!H$3,'Forbrug af biomasse'!$B$2:$B$425,$F190)</f>
        <v>0</v>
      </c>
      <c r="I190">
        <f>IF(F190="Vestdanmark",-IF(A190="Halm",SUMIFS(IF(E190=År1,'Resultater - Vestdanmark'!H$3:H$504,IF(E190=År2,'Resultater - Vestdanmark'!I$3:I$504,'Resultater - Vestdanmark'!J$3:J$504)),'Resultater - Vestdanmark'!$F$3:$F$504,$A190,'Resultater - Vestdanmark'!H$3:H$504,"&lt;0"),0),-IF(A190="Halm",SUMIFS(IF(E190=År1,'Resultater - Østdanmark'!H$3:H$504,IF(E190=År2,'Resultater - Østdanmark'!I$3:I$504,'Resultater - Østdanmark'!J$3:J$504)),'Resultater - Østdanmark'!$F$3:$F$504,$A190,'Resultater - Østdanmark'!H$3:H$504,"&lt;0"),0))</f>
        <v>0</v>
      </c>
      <c r="J190" s="94"/>
      <c r="K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forbrug'!K$3,'Forbrug af biomasse'!$B$2:$B$425,$F190)</f>
        <v>380427.26035611134</v>
      </c>
      <c r="L190" s="94">
        <f>SUMIFS('Forbrug af biomasse'!$E$2:$E$425,'Forbrug af biomasse'!$C$2:$C$425,'Resultat-Produktion &amp; forbrug'!$A190,'Forbrug af biomasse'!$D$2:$D$425,'Resultat-Produktion &amp; forbrug'!$E190,'Forbrug af biomasse'!$A$2:$A$425,'Resultat-Produktion &amp; forbrug'!L$3,'Forbrug af biomasse'!$B$2:$B$425,$F190)</f>
        <v>1924034.2327518209</v>
      </c>
      <c r="M190" s="94">
        <f>IF(A190&lt;&gt;"Biogas",SUMIFS('Forbrug af biomasse'!$E$2:$E$425,'Forbrug af biomasse'!$C$2:$C$425,'Resultat-Produktion &amp; forbrug'!$A190,'Forbrug af biomasse'!$D$2:$D$425,'Resultat-Produktion &amp; forbrug'!$E190,'Forbrug af biomasse'!$A$2:$A$425,'Resultat-Produktion &amp; forbrug'!M$3,'Forbrug af biomasse'!$B$2:$B$425,$F190),G190)</f>
        <v>0</v>
      </c>
      <c r="N190" s="94">
        <f>SUMIFS('Forbrug af biomasse'!E:E,'Forbrug af biomasse'!C:C,'Resultat-Produktion &amp; forbrug'!$A190,'Forbrug af biomasse'!D:D,'Resultat-Produktion &amp; forbrug'!$E190,'Forbrug af biomasse'!G:G,1,'Forbrug af biomasse'!B:B,$F190)</f>
        <v>0</v>
      </c>
      <c r="O190" s="179">
        <f t="shared" si="34"/>
        <v>0</v>
      </c>
      <c r="P190" s="94">
        <f t="shared" si="28"/>
        <v>0</v>
      </c>
      <c r="Q190" s="180">
        <f t="shared" si="35"/>
        <v>380427.26035611134</v>
      </c>
      <c r="R190">
        <f>IFERROR(VLOOKUP(A190,[1]Energiindhold!$A$2:$C$11,3,FALSE),IFERROR(VLOOKUP(A190,[1]Biogasudbytte!$A$2:$B$18,2,FALSE)*[1]Energiindhold!$C$10,0))*P190</f>
        <v>0</v>
      </c>
      <c r="S190">
        <f>IF(A190&lt;&gt;"Biogas",IFERROR(VLOOKUP(A190,[1]Biogasudbytte!$A$2:$B$18,2,FALSE)*[1]Energiindhold!$C$10,0)*K190*IFERROR(VLOOKUP(A190,Biogasanlæg!$F$3:$G$8,2,FALSE),1)+IFERROR(VLOOKUP(A190,[1]Energiindhold!$A$2:$C$11,3,FALSE),0)*M190+IF(E190&lt;&gt;År1,R190,0),0)</f>
        <v>0.16388806376141279</v>
      </c>
      <c r="T190">
        <f>IFERROR(VLOOKUP(A190,[1]Biogasudbytte!$A$2:$B$18,2,FALSE)*[1]Energiindhold!$C$10,0)*K190*IFERROR(VLOOKUP(A190,Biogasanlæg!$F$3:$G$8,2,FALSE),1)</f>
        <v>0.16388806376141279</v>
      </c>
      <c r="U190" s="170">
        <f t="shared" si="36"/>
        <v>0</v>
      </c>
      <c r="V190" s="169">
        <f>P190*IFERROR(VLOOKUP(A190,[1]Tørstofindhold!A$2:B$24,2,FALSE),0)</f>
        <v>0</v>
      </c>
      <c r="W190">
        <f>IF(E190=År1,Q190,SUM(P190,Q190))*IFERROR(VLOOKUP(A190,[1]Tørstofindhold!A$2:B$24,2,FALSE),0)</f>
        <v>19021.363017805568</v>
      </c>
      <c r="X190">
        <f>K190*IFERROR(VLOOKUP(A190,[1]Tørstofindhold!A$2:B$24,2,FALSE),0)</f>
        <v>19021.363017805568</v>
      </c>
      <c r="Y190" s="170">
        <f t="shared" si="37"/>
        <v>0</v>
      </c>
      <c r="Z190">
        <f t="shared" si="29"/>
        <v>0</v>
      </c>
      <c r="AA190">
        <f t="shared" si="30"/>
        <v>0</v>
      </c>
    </row>
    <row r="191" spans="1:27" x14ac:dyDescent="0.25">
      <c r="A191" s="171" t="s">
        <v>13</v>
      </c>
      <c r="B191" s="171"/>
      <c r="C191" s="171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0</v>
      </c>
      <c r="D191" s="171">
        <f t="shared" si="38"/>
        <v>1</v>
      </c>
      <c r="E191" s="171">
        <f t="shared" si="33"/>
        <v>2019</v>
      </c>
      <c r="F191" t="s">
        <v>24</v>
      </c>
      <c r="G191" s="94">
        <f>IF(F191="Vestdanmark",SUMIFS(IF(E191=År1,'Resultater - Vestdanmark'!H$3:H$504,IF(E191=År2,'Resultater - Vestdanmark'!I$3:I$504,'Resultater - Vestdanmark'!J$3:J$504)),'Resultater - Vestdanmark'!$F$3:$F$504,$A191,IF(E191=År1,'Resultater - Vestdanmark'!H$3:H$504,IF(E191=År2,'Resultater - Vestdanmark'!I$3:I$504,'Resultater - Vestdanmark'!J$3:J$504)),"&gt;0"),SUMIFS(IF(E191=År1,'Resultater - Østdanmark'!H$3:H$504,IF(E191=År2,'Resultater - Østdanmark'!I$3:I$504,'Resultater - Østdanmark'!J$3:J$504)),'Resultater - Østdanmark'!$F$3:$F$504,$A191,IF(E191=År1,'Resultater - Østdanmark'!H$3:H$504,IF(E191=År2,'Resultater - Østdanmark'!I$3:I$504,'Resultater - Østdanmark'!J$3:J$504)),"&gt;0"))</f>
        <v>206750.71206041813</v>
      </c>
      <c r="H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forbrug'!H$3,'Forbrug af biomasse'!$B$2:$B$425,$F191)</f>
        <v>0</v>
      </c>
      <c r="I191">
        <f>IF(F191="Vestdanmark",-IF(A191="Halm",SUMIFS(IF(E191=År1,'Resultater - Vestdanmark'!H$3:H$504,IF(E191=År2,'Resultater - Vestdanmark'!I$3:I$504,'Resultater - Vestdanmark'!J$3:J$504)),'Resultater - Vestdanmark'!$F$3:$F$504,$A191,'Resultater - Vestdanmark'!H$3:H$504,"&lt;0"),0),-IF(A191="Halm",SUMIFS(IF(E191=År1,'Resultater - Østdanmark'!H$3:H$504,IF(E191=År2,'Resultater - Østdanmark'!I$3:I$504,'Resultater - Østdanmark'!J$3:J$504)),'Resultater - Østdanmark'!$F$3:$F$504,$A191,'Resultater - Østdanmark'!H$3:H$504,"&lt;0"),0))</f>
        <v>0</v>
      </c>
      <c r="J191" s="94"/>
      <c r="K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forbrug'!K$3,'Forbrug af biomasse'!$B$2:$B$425,$F191)</f>
        <v>0</v>
      </c>
      <c r="L191" s="94">
        <f>SUMIFS('Forbrug af biomasse'!$E$2:$E$425,'Forbrug af biomasse'!$C$2:$C$425,'Resultat-Produktion &amp; forbrug'!$A191,'Forbrug af biomasse'!$D$2:$D$425,'Resultat-Produktion &amp; forbrug'!$E191,'Forbrug af biomasse'!$A$2:$A$425,'Resultat-Produktion &amp; forbrug'!L$3,'Forbrug af biomasse'!$B$2:$B$425,$F191)</f>
        <v>0</v>
      </c>
      <c r="M191" s="94">
        <f>IF(A191&lt;&gt;"Biogas",SUMIFS('Forbrug af biomasse'!$E$2:$E$425,'Forbrug af biomasse'!$C$2:$C$425,'Resultat-Produktion &amp; forbrug'!$A191,'Forbrug af biomasse'!$D$2:$D$425,'Resultat-Produktion &amp; forbrug'!$E191,'Forbrug af biomasse'!$A$2:$A$425,'Resultat-Produktion &amp; forbrug'!M$3,'Forbrug af biomasse'!$B$2:$B$425,$F191),G191)</f>
        <v>0</v>
      </c>
      <c r="N191" s="94">
        <f>SUMIFS('Forbrug af biomasse'!E:E,'Forbrug af biomasse'!C:C,'Resultat-Produktion &amp; forbrug'!$A191,'Forbrug af biomasse'!D:D,'Resultat-Produktion &amp; forbrug'!$E191,'Forbrug af biomasse'!G:G,1,'Forbrug af biomasse'!B:B,$F191)</f>
        <v>0</v>
      </c>
      <c r="O191" s="179">
        <f t="shared" si="34"/>
        <v>206750.71206041813</v>
      </c>
      <c r="P191" s="94">
        <f t="shared" si="28"/>
        <v>0</v>
      </c>
      <c r="Q191" s="180">
        <f t="shared" si="35"/>
        <v>0</v>
      </c>
      <c r="R191">
        <f>IFERROR(VLOOKUP(A191,[1]Energiindhold!$A$2:$C$11,3,FALSE),IFERROR(VLOOKUP(A191,[1]Biogasudbytte!$A$2:$B$18,2,FALSE)*[1]Energiindhold!$C$10,0))*P191</f>
        <v>0</v>
      </c>
      <c r="S191">
        <f>IF(A191&lt;&gt;"Biogas",IFERROR(VLOOKUP(A191,[1]Biogasudbytte!$A$2:$B$18,2,FALSE)*[1]Energiindhold!$C$10,0)*K191*IFERROR(VLOOKUP(A191,Biogasanlæg!$F$3:$G$8,2,FALSE),1)+IFERROR(VLOOKUP(A191,[1]Energiindhold!$A$2:$C$11,3,FALSE),0)*M191+IF(E191&lt;&gt;År1,R191,0),0)</f>
        <v>0</v>
      </c>
      <c r="T191">
        <f>IFERROR(VLOOKUP(A191,[1]Biogasudbytte!$A$2:$B$18,2,FALSE)*[1]Energiindhold!$C$10,0)*K191*IFERROR(VLOOKUP(A191,Biogasanlæg!$F$3:$G$8,2,FALSE),1)</f>
        <v>0</v>
      </c>
      <c r="U191" s="170">
        <f t="shared" si="36"/>
        <v>0</v>
      </c>
      <c r="V191" s="169">
        <f>P191*IFERROR(VLOOKUP(A191,[1]Tørstofindhold!A$2:B$24,2,FALSE),0)</f>
        <v>0</v>
      </c>
      <c r="W191">
        <f>IF(E191=År1,Q191,SUM(P191,Q191))*IFERROR(VLOOKUP(A191,[1]Tørstofindhold!A$2:B$24,2,FALSE),0)</f>
        <v>0</v>
      </c>
      <c r="X191">
        <f>K191*IFERROR(VLOOKUP(A191,[1]Tørstofindhold!A$2:B$24,2,FALSE),0)</f>
        <v>0</v>
      </c>
      <c r="Y191" s="170">
        <f t="shared" si="37"/>
        <v>0</v>
      </c>
      <c r="Z191">
        <f t="shared" si="29"/>
        <v>0</v>
      </c>
      <c r="AA191">
        <f t="shared" si="30"/>
        <v>1</v>
      </c>
    </row>
    <row r="192" spans="1:27" x14ac:dyDescent="0.25">
      <c r="A192" s="171" t="s">
        <v>99</v>
      </c>
      <c r="B192" s="171" t="s">
        <v>225</v>
      </c>
      <c r="C192" s="171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71">
        <f t="shared" si="38"/>
        <v>1</v>
      </c>
      <c r="E192" s="171">
        <f t="shared" si="33"/>
        <v>2019</v>
      </c>
      <c r="F192" t="s">
        <v>24</v>
      </c>
      <c r="G192" s="94">
        <f>IF(F192="Vestdanmark",SUMIFS(IF(E192=År1,'Resultater - Vestdanmark'!H$3:H$504,IF(E192=År2,'Resultater - Vestdanmark'!I$3:I$504,'Resultater - Vestdanmark'!J$3:J$504)),'Resultater - Vestdanmark'!$F$3:$F$504,$A192,IF(E192=År1,'Resultater - Vestdanmark'!H$3:H$504,IF(E192=År2,'Resultater - Vestdanmark'!I$3:I$504,'Resultater - Vestdanmark'!J$3:J$504)),"&gt;0"),SUMIFS(IF(E192=År1,'Resultater - Østdanmark'!H$3:H$504,IF(E192=År2,'Resultater - Østdanmark'!I$3:I$504,'Resultater - Østdanmark'!J$3:J$504)),'Resultater - Østdanmark'!$F$3:$F$504,$A192,IF(E192=År1,'Resultater - Østdanmark'!H$3:H$504,IF(E192=År2,'Resultater - Østdanmark'!I$3:I$504,'Resultater - Østdanmark'!J$3:J$504)),"&gt;0"))</f>
        <v>0</v>
      </c>
      <c r="H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forbrug'!H$3,'Forbrug af biomasse'!$B$2:$B$425,$F192)</f>
        <v>0</v>
      </c>
      <c r="I192">
        <f>IF(F192="Vestdanmark",-IF(A192="Halm",SUMIFS(IF(E192=År1,'Resultater - Vestdanmark'!H$3:H$504,IF(E192=År2,'Resultater - Vestdanmark'!I$3:I$504,'Resultater - Vestdanmark'!J$3:J$504)),'Resultater - Vestdanmark'!$F$3:$F$504,$A192,'Resultater - Vestdanmark'!H$3:H$504,"&lt;0"),0),-IF(A192="Halm",SUMIFS(IF(E192=År1,'Resultater - Østdanmark'!H$3:H$504,IF(E192=År2,'Resultater - Østdanmark'!I$3:I$504,'Resultater - Østdanmark'!J$3:J$504)),'Resultater - Østdanmark'!$F$3:$F$504,$A192,'Resultater - Østdanmark'!H$3:H$504,"&lt;0"),0))</f>
        <v>0</v>
      </c>
      <c r="J192" s="94"/>
      <c r="K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forbrug'!K$3,'Forbrug af biomasse'!$B$2:$B$425,$F192)</f>
        <v>0</v>
      </c>
      <c r="L192" s="94">
        <f>SUMIFS('Forbrug af biomasse'!$E$2:$E$425,'Forbrug af biomasse'!$C$2:$C$425,'Resultat-Produktion &amp; forbrug'!$A192,'Forbrug af biomasse'!$D$2:$D$425,'Resultat-Produktion &amp; forbrug'!$E192,'Forbrug af biomasse'!$A$2:$A$425,'Resultat-Produktion &amp; forbrug'!L$3,'Forbrug af biomasse'!$B$2:$B$425,$F192)</f>
        <v>0</v>
      </c>
      <c r="M192" s="94">
        <f>IF(A192&lt;&gt;"Biogas",SUMIFS('Forbrug af biomasse'!$E$2:$E$425,'Forbrug af biomasse'!$C$2:$C$425,'Resultat-Produktion &amp; forbrug'!$A192,'Forbrug af biomasse'!$D$2:$D$425,'Resultat-Produktion &amp; forbrug'!$E192,'Forbrug af biomasse'!$A$2:$A$425,'Resultat-Produktion &amp; forbrug'!M$3,'Forbrug af biomasse'!$B$2:$B$425,$F192),G192)</f>
        <v>0</v>
      </c>
      <c r="N192" s="94">
        <f>SUMIFS('Forbrug af biomasse'!E:E,'Forbrug af biomasse'!C:C,'Resultat-Produktion &amp; forbrug'!$A192,'Forbrug af biomasse'!D:D,'Resultat-Produktion &amp; forbrug'!$E192,'Forbrug af biomasse'!G:G,1,'Forbrug af biomasse'!B:B,$F192)</f>
        <v>0</v>
      </c>
      <c r="O192" s="179">
        <f t="shared" si="34"/>
        <v>0</v>
      </c>
      <c r="P192" s="94">
        <f t="shared" si="28"/>
        <v>0</v>
      </c>
      <c r="Q192" s="180">
        <f t="shared" si="35"/>
        <v>0</v>
      </c>
      <c r="R192">
        <f>IFERROR(VLOOKUP(A192,[1]Energiindhold!$A$2:$C$11,3,FALSE),IFERROR(VLOOKUP(A192,[1]Biogasudbytte!$A$2:$B$18,2,FALSE)*[1]Energiindhold!$C$10,0))*P192</f>
        <v>0</v>
      </c>
      <c r="S192">
        <f>IF(A192&lt;&gt;"Biogas",IFERROR(VLOOKUP(A192,[1]Biogasudbytte!$A$2:$B$18,2,FALSE)*[1]Energiindhold!$C$10,0)*K192*IFERROR(VLOOKUP(A192,Biogasanlæg!$F$3:$G$8,2,FALSE),1)+IFERROR(VLOOKUP(A192,[1]Energiindhold!$A$2:$C$11,3,FALSE),0)*M192+IF(E192&lt;&gt;År1,R192,0),0)</f>
        <v>0</v>
      </c>
      <c r="T192">
        <f>IFERROR(VLOOKUP(A192,[1]Biogasudbytte!$A$2:$B$18,2,FALSE)*[1]Energiindhold!$C$10,0)*K192*IFERROR(VLOOKUP(A192,Biogasanlæg!$F$3:$G$8,2,FALSE),1)</f>
        <v>0</v>
      </c>
      <c r="U192" s="170">
        <f t="shared" si="36"/>
        <v>0</v>
      </c>
      <c r="V192" s="169">
        <f>P192*IFERROR(VLOOKUP(A192,[1]Tørstofindhold!A$2:B$24,2,FALSE),0)</f>
        <v>0</v>
      </c>
      <c r="W192">
        <f>IF(E192=År1,Q192,SUM(P192,Q192))*IFERROR(VLOOKUP(A192,[1]Tørstofindhold!A$2:B$24,2,FALSE),0)</f>
        <v>0</v>
      </c>
      <c r="X192">
        <f>K192*IFERROR(VLOOKUP(A192,[1]Tørstofindhold!A$2:B$24,2,FALSE),0)</f>
        <v>0</v>
      </c>
      <c r="Y192" s="170">
        <f t="shared" si="37"/>
        <v>0</v>
      </c>
      <c r="Z192">
        <f t="shared" si="29"/>
        <v>0</v>
      </c>
      <c r="AA192">
        <f t="shared" si="30"/>
        <v>1</v>
      </c>
    </row>
    <row r="193" spans="1:27" x14ac:dyDescent="0.25">
      <c r="A193" s="171" t="s">
        <v>104</v>
      </c>
      <c r="B193" s="171"/>
      <c r="C193" s="171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71">
        <f t="shared" si="38"/>
        <v>0</v>
      </c>
      <c r="E193" s="171">
        <f t="shared" si="33"/>
        <v>2019</v>
      </c>
      <c r="F193" t="s">
        <v>24</v>
      </c>
      <c r="G193" s="94">
        <f>IF(F193="Vestdanmark",SUMIFS(IF(E193=År1,'Resultater - Vestdanmark'!H$3:H$504,IF(E193=År2,'Resultater - Vestdanmark'!I$3:I$504,'Resultater - Vestdanmark'!J$3:J$504)),'Resultater - Vestdanmark'!$F$3:$F$504,$A193,IF(E193=År1,'Resultater - Vestdanmark'!H$3:H$504,IF(E193=År2,'Resultater - Vestdanmark'!I$3:I$504,'Resultater - Vestdanmark'!J$3:J$504)),"&gt;0"),SUMIFS(IF(E193=År1,'Resultater - Østdanmark'!H$3:H$504,IF(E193=År2,'Resultater - Østdanmark'!I$3:I$504,'Resultater - Østdanmark'!J$3:J$504)),'Resultater - Østdanmark'!$F$3:$F$504,$A193,IF(E193=År1,'Resultater - Østdanmark'!H$3:H$504,IF(E193=År2,'Resultater - Østdanmark'!I$3:I$504,'Resultater - Østdanmark'!J$3:J$504)),"&gt;0"))</f>
        <v>0</v>
      </c>
      <c r="H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forbrug'!H$3,'Forbrug af biomasse'!$B$2:$B$425,$F193)</f>
        <v>0</v>
      </c>
      <c r="I193">
        <f>IF(F193="Vestdanmark",-IF(A193="Halm",SUMIFS(IF(E193=År1,'Resultater - Vestdanmark'!H$3:H$504,IF(E193=År2,'Resultater - Vestdanmark'!I$3:I$504,'Resultater - Vestdanmark'!J$3:J$504)),'Resultater - Vestdanmark'!$F$3:$F$504,$A193,'Resultater - Vestdanmark'!H$3:H$504,"&lt;0"),0),-IF(A193="Halm",SUMIFS(IF(E193=År1,'Resultater - Østdanmark'!H$3:H$504,IF(E193=År2,'Resultater - Østdanmark'!I$3:I$504,'Resultater - Østdanmark'!J$3:J$504)),'Resultater - Østdanmark'!$F$3:$F$504,$A193,'Resultater - Østdanmark'!H$3:H$504,"&lt;0"),0))</f>
        <v>0</v>
      </c>
      <c r="J193" s="94"/>
      <c r="K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forbrug'!K$3,'Forbrug af biomasse'!$B$2:$B$425,$F193)</f>
        <v>0</v>
      </c>
      <c r="L193" s="94">
        <f>SUMIFS('Forbrug af biomasse'!$E$2:$E$425,'Forbrug af biomasse'!$C$2:$C$425,'Resultat-Produktion &amp; forbrug'!$A193,'Forbrug af biomasse'!$D$2:$D$425,'Resultat-Produktion &amp; forbrug'!$E193,'Forbrug af biomasse'!$A$2:$A$425,'Resultat-Produktion &amp; forbrug'!L$3,'Forbrug af biomasse'!$B$2:$B$425,$F193)</f>
        <v>0</v>
      </c>
      <c r="M193" s="94">
        <f>IF(A193&lt;&gt;"Biogas",SUMIFS('Forbrug af biomasse'!$E$2:$E$425,'Forbrug af biomasse'!$C$2:$C$425,'Resultat-Produktion &amp; forbrug'!$A193,'Forbrug af biomasse'!$D$2:$D$425,'Resultat-Produktion &amp; forbrug'!$E193,'Forbrug af biomasse'!$A$2:$A$425,'Resultat-Produktion &amp; forbrug'!M$3,'Forbrug af biomasse'!$B$2:$B$425,$F193),G193)</f>
        <v>0</v>
      </c>
      <c r="N193" s="94">
        <f>SUMIFS('Forbrug af biomasse'!E:E,'Forbrug af biomasse'!C:C,'Resultat-Produktion &amp; forbrug'!$A193,'Forbrug af biomasse'!D:D,'Resultat-Produktion &amp; forbrug'!$E193,'Forbrug af biomasse'!G:G,1,'Forbrug af biomasse'!B:B,$F193)</f>
        <v>0</v>
      </c>
      <c r="O193" s="179">
        <f t="shared" si="34"/>
        <v>0</v>
      </c>
      <c r="P193" s="94">
        <f t="shared" si="28"/>
        <v>0</v>
      </c>
      <c r="Q193" s="180">
        <f t="shared" si="35"/>
        <v>0</v>
      </c>
      <c r="R193">
        <f>IFERROR(VLOOKUP(A193,[1]Energiindhold!$A$2:$C$11,3,FALSE),IFERROR(VLOOKUP(A193,[1]Biogasudbytte!$A$2:$B$18,2,FALSE)*[1]Energiindhold!$C$10,0))*P193</f>
        <v>0</v>
      </c>
      <c r="S193">
        <f>IF(A193&lt;&gt;"Biogas",IFERROR(VLOOKUP(A193,[1]Biogasudbytte!$A$2:$B$18,2,FALSE)*[1]Energiindhold!$C$10,0)*K193*IFERROR(VLOOKUP(A193,Biogasanlæg!$F$3:$G$8,2,FALSE),1)+IFERROR(VLOOKUP(A193,[1]Energiindhold!$A$2:$C$11,3,FALSE),0)*M193+IF(E193&lt;&gt;År1,R193,0),0)</f>
        <v>0</v>
      </c>
      <c r="T193">
        <f>IFERROR(VLOOKUP(A193,[1]Biogasudbytte!$A$2:$B$18,2,FALSE)*[1]Energiindhold!$C$10,0)*K193*IFERROR(VLOOKUP(A193,Biogasanlæg!$F$3:$G$8,2,FALSE),1)</f>
        <v>0</v>
      </c>
      <c r="U193" s="170">
        <f t="shared" si="36"/>
        <v>0</v>
      </c>
      <c r="V193" s="169">
        <f>P193*IFERROR(VLOOKUP(A193,[1]Tørstofindhold!A$2:B$24,2,FALSE),0)</f>
        <v>0</v>
      </c>
      <c r="W193">
        <f>IF(E193=År1,Q193,SUM(P193,Q193))*IFERROR(VLOOKUP(A193,[1]Tørstofindhold!A$2:B$24,2,FALSE),0)</f>
        <v>0</v>
      </c>
      <c r="X193">
        <f>K193*IFERROR(VLOOKUP(A193,[1]Tørstofindhold!A$2:B$24,2,FALSE),0)</f>
        <v>0</v>
      </c>
      <c r="Y193" s="170">
        <f t="shared" si="37"/>
        <v>0</v>
      </c>
      <c r="Z193">
        <f t="shared" si="29"/>
        <v>0</v>
      </c>
      <c r="AA193">
        <f t="shared" si="30"/>
        <v>0</v>
      </c>
    </row>
    <row r="194" spans="1:27" x14ac:dyDescent="0.25">
      <c r="A194" s="171" t="s">
        <v>119</v>
      </c>
      <c r="B194" s="171" t="s">
        <v>224</v>
      </c>
      <c r="C194" s="171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1</v>
      </c>
      <c r="D194" s="171">
        <f t="shared" si="38"/>
        <v>0</v>
      </c>
      <c r="E194" s="171">
        <f t="shared" si="33"/>
        <v>2019</v>
      </c>
      <c r="F194" t="s">
        <v>24</v>
      </c>
      <c r="G194" s="94">
        <f ca="1">IF(F194="Vestdanmark",SUMIFS(IF(E194=År1,'Resultater - Vestdanmark'!H$3:H$504,IF(E194=År2,'Resultater - Vestdanmark'!I$3:I$504,'Resultater - Vestdanmark'!J$3:J$504)),'Resultater - Vestdanmark'!$F$3:$F$504,$A194,IF(E194=År1,'Resultater - Vestdanmark'!H$3:H$504,IF(E194=År2,'Resultater - Vestdanmark'!I$3:I$504,'Resultater - Vestdanmark'!J$3:J$504)),"&gt;0"),SUMIFS(IF(E194=År1,'Resultater - Østdanmark'!H$3:H$504,IF(E194=År2,'Resultater - Østdanmark'!I$3:I$504,'Resultater - Østdanmark'!J$3:J$504)),'Resultater - Østdanmark'!$F$3:$F$504,$A194,IF(E194=År1,'Resultater - Østdanmark'!H$3:H$504,IF(E194=År2,'Resultater - Østdanmark'!I$3:I$504,'Resultater - Østdanmark'!J$3:J$504)),"&gt;0"))</f>
        <v>681614.98381741357</v>
      </c>
      <c r="H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forbrug'!H$3,'Forbrug af biomasse'!$B$2:$B$425,$F194)</f>
        <v>0</v>
      </c>
      <c r="I194">
        <f>IF(F194="Vestdanmark",-IF(A194="Halm",SUMIFS(IF(E194=År1,'Resultater - Vestdanmark'!H$3:H$504,IF(E194=År2,'Resultater - Vestdanmark'!I$3:I$504,'Resultater - Vestdanmark'!J$3:J$504)),'Resultater - Vestdanmark'!$F$3:$F$504,$A194,'Resultater - Vestdanmark'!H$3:H$504,"&lt;0"),0),-IF(A194="Halm",SUMIFS(IF(E194=År1,'Resultater - Østdanmark'!H$3:H$504,IF(E194=År2,'Resultater - Østdanmark'!I$3:I$504,'Resultater - Østdanmark'!J$3:J$504)),'Resultater - Østdanmark'!$F$3:$F$504,$A194,'Resultater - Østdanmark'!H$3:H$504,"&lt;0"),0))</f>
        <v>0</v>
      </c>
      <c r="J194" s="94"/>
      <c r="K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forbrug'!K$3,'Forbrug af biomasse'!$B$2:$B$425,$F194)</f>
        <v>0</v>
      </c>
      <c r="L194" s="94">
        <f>SUMIFS('Forbrug af biomasse'!$E$2:$E$425,'Forbrug af biomasse'!$C$2:$C$425,'Resultat-Produktion &amp; forbrug'!$A194,'Forbrug af biomasse'!$D$2:$D$425,'Resultat-Produktion &amp; forbrug'!$E194,'Forbrug af biomasse'!$A$2:$A$425,'Resultat-Produktion &amp; forbrug'!L$3,'Forbrug af biomasse'!$B$2:$B$425,$F194)</f>
        <v>0</v>
      </c>
      <c r="M194" s="94">
        <f ca="1">IF(A194&lt;&gt;"Biogas",SUMIFS('Forbrug af biomasse'!$E$2:$E$425,'Forbrug af biomasse'!$C$2:$C$425,'Resultat-Produktion &amp; forbrug'!$A194,'Forbrug af biomasse'!$D$2:$D$425,'Resultat-Produktion &amp; forbrug'!$E194,'Forbrug af biomasse'!$A$2:$A$425,'Resultat-Produktion &amp; forbrug'!M$3,'Forbrug af biomasse'!$B$2:$B$425,$F194),G194)</f>
        <v>681614.98381741357</v>
      </c>
      <c r="N194" s="94">
        <f>SUMIFS('Forbrug af biomasse'!E:E,'Forbrug af biomasse'!C:C,'Resultat-Produktion &amp; forbrug'!$A194,'Forbrug af biomasse'!D:D,'Resultat-Produktion &amp; forbrug'!$E194,'Forbrug af biomasse'!G:G,1,'Forbrug af biomasse'!B:B,$F194)</f>
        <v>0</v>
      </c>
      <c r="O194" s="179">
        <f t="shared" ca="1" si="34"/>
        <v>0</v>
      </c>
      <c r="P194" s="94">
        <f t="shared" ca="1" si="28"/>
        <v>0</v>
      </c>
      <c r="Q194" s="180">
        <f t="shared" ca="1" si="35"/>
        <v>681614.98381741357</v>
      </c>
      <c r="R194">
        <f ca="1">IFERROR(VLOOKUP(A194,[1]Energiindhold!$A$2:$C$11,3,FALSE),IFERROR(VLOOKUP(A194,[1]Biogasudbytte!$A$2:$B$18,2,FALSE)*[1]Energiindhold!$C$10,0))*P194</f>
        <v>0</v>
      </c>
      <c r="S194">
        <f ca="1">IF(A194&lt;&gt;"Biogas",IFERROR(VLOOKUP(A194,[1]Biogasudbytte!$A$2:$B$18,2,FALSE)*[1]Energiindhold!$C$10,0)*K194*IFERROR(VLOOKUP(A194,Biogasanlæg!$F$3:$G$8,2,FALSE),1)+IFERROR(VLOOKUP(A194,[1]Energiindhold!$A$2:$C$11,3,FALSE),0)*M194+IF(E194&lt;&gt;År1,R194,0),0)</f>
        <v>9.8790337317585379</v>
      </c>
      <c r="T194">
        <f>IFERROR(VLOOKUP(A194,[1]Biogasudbytte!$A$2:$B$18,2,FALSE)*[1]Energiindhold!$C$10,0)*K194*IFERROR(VLOOKUP(A194,Biogasanlæg!$F$3:$G$8,2,FALSE),1)</f>
        <v>0</v>
      </c>
      <c r="U194" s="170">
        <f t="shared" ca="1" si="36"/>
        <v>9.8790337317585379</v>
      </c>
      <c r="V194" s="169">
        <f ca="1">P194*IFERROR(VLOOKUP(A194,[1]Tørstofindhold!A$2:B$24,2,FALSE),0)</f>
        <v>0</v>
      </c>
      <c r="W194">
        <f ca="1">IF(E194=År1,Q194,SUM(P194,Q194))*IFERROR(VLOOKUP(A194,[1]Tørstofindhold!A$2:B$24,2,FALSE),0)</f>
        <v>337115.41074636247</v>
      </c>
      <c r="X194">
        <f>K194*IFERROR(VLOOKUP(A194,[1]Tørstofindhold!A$2:B$24,2,FALSE),0)</f>
        <v>0</v>
      </c>
      <c r="Y194" s="170">
        <f t="shared" ca="1" si="37"/>
        <v>337115.41074636247</v>
      </c>
      <c r="Z194">
        <f t="shared" ca="1" si="29"/>
        <v>0</v>
      </c>
      <c r="AA194">
        <f t="shared" ca="1" si="30"/>
        <v>0</v>
      </c>
    </row>
    <row r="195" spans="1:27" x14ac:dyDescent="0.25">
      <c r="A195" s="171" t="s">
        <v>118</v>
      </c>
      <c r="B195" s="171"/>
      <c r="C195" s="171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71">
        <f t="shared" si="38"/>
        <v>0</v>
      </c>
      <c r="E195" s="171">
        <f t="shared" si="33"/>
        <v>2019</v>
      </c>
      <c r="F195" t="s">
        <v>24</v>
      </c>
      <c r="G195" s="94">
        <f ca="1">IF(F195="Vestdanmark",SUMIFS(IF(E195=År1,'Resultater - Vestdanmark'!H$3:H$504,IF(E195=År2,'Resultater - Vestdanmark'!I$3:I$504,'Resultater - Vestdanmark'!J$3:J$504)),'Resultater - Vestdanmark'!$F$3:$F$504,$A195,IF(E195=År1,'Resultater - Vestdanmark'!H$3:H$504,IF(E195=År2,'Resultater - Vestdanmark'!I$3:I$504,'Resultater - Vestdanmark'!J$3:J$504)),"&gt;0"),SUMIFS(IF(E195=År1,'Resultater - Østdanmark'!H$3:H$504,IF(E195=År2,'Resultater - Østdanmark'!I$3:I$504,'Resultater - Østdanmark'!J$3:J$504)),'Resultater - Østdanmark'!$F$3:$F$504,$A195,IF(E195=År1,'Resultater - Østdanmark'!H$3:H$504,IF(E195=År2,'Resultater - Østdanmark'!I$3:I$504,'Resultater - Østdanmark'!J$3:J$504)),"&gt;0"))</f>
        <v>187416.40966897184</v>
      </c>
      <c r="H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forbrug'!H$3,'Forbrug af biomasse'!$B$2:$B$425,$F195)</f>
        <v>0</v>
      </c>
      <c r="I195">
        <f>IF(F195="Vestdanmark",-IF(A195="Halm",SUMIFS(IF(E195=År1,'Resultater - Vestdanmark'!H$3:H$504,IF(E195=År2,'Resultater - Vestdanmark'!I$3:I$504,'Resultater - Vestdanmark'!J$3:J$504)),'Resultater - Vestdanmark'!$F$3:$F$504,$A195,'Resultater - Vestdanmark'!H$3:H$504,"&lt;0"),0),-IF(A195="Halm",SUMIFS(IF(E195=År1,'Resultater - Østdanmark'!H$3:H$504,IF(E195=År2,'Resultater - Østdanmark'!I$3:I$504,'Resultater - Østdanmark'!J$3:J$504)),'Resultater - Østdanmark'!$F$3:$F$504,$A195,'Resultater - Østdanmark'!H$3:H$504,"&lt;0"),0))</f>
        <v>0</v>
      </c>
      <c r="J195" s="94"/>
      <c r="K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forbrug'!K$3,'Forbrug af biomasse'!$B$2:$B$425,$F195)</f>
        <v>0</v>
      </c>
      <c r="L195" s="94">
        <f>SUMIFS('Forbrug af biomasse'!$E$2:$E$425,'Forbrug af biomasse'!$C$2:$C$425,'Resultat-Produktion &amp; forbrug'!$A195,'Forbrug af biomasse'!$D$2:$D$425,'Resultat-Produktion &amp; forbrug'!$E195,'Forbrug af biomasse'!$A$2:$A$425,'Resultat-Produktion &amp; forbrug'!L$3,'Forbrug af biomasse'!$B$2:$B$425,$F195)</f>
        <v>0</v>
      </c>
      <c r="M195" s="94">
        <f>IF(A195&lt;&gt;"Biogas",SUMIFS('Forbrug af biomasse'!$E$2:$E$425,'Forbrug af biomasse'!$C$2:$C$425,'Resultat-Produktion &amp; forbrug'!$A195,'Forbrug af biomasse'!$D$2:$D$425,'Resultat-Produktion &amp; forbrug'!$E195,'Forbrug af biomasse'!$A$2:$A$425,'Resultat-Produktion &amp; forbrug'!M$3,'Forbrug af biomasse'!$B$2:$B$425,$F195),G195)</f>
        <v>0</v>
      </c>
      <c r="N195" s="94">
        <f ca="1">SUMIFS('Forbrug af biomasse'!E:E,'Forbrug af biomasse'!C:C,'Resultat-Produktion &amp; forbrug'!$A195,'Forbrug af biomasse'!D:D,'Resultat-Produktion &amp; forbrug'!$E195,'Forbrug af biomasse'!G:G,1,'Forbrug af biomasse'!B:B,$F195)</f>
        <v>187416.40966897184</v>
      </c>
      <c r="O195" s="179">
        <f t="shared" ca="1" si="34"/>
        <v>0</v>
      </c>
      <c r="P195" s="94">
        <f t="shared" si="28"/>
        <v>0</v>
      </c>
      <c r="Q195" s="180">
        <f t="shared" si="35"/>
        <v>0</v>
      </c>
      <c r="R195">
        <f>IFERROR(VLOOKUP(A195,[1]Energiindhold!$A$2:$C$11,3,FALSE),IFERROR(VLOOKUP(A195,[1]Biogasudbytte!$A$2:$B$18,2,FALSE)*[1]Energiindhold!$C$10,0))*P195</f>
        <v>0</v>
      </c>
      <c r="S195">
        <f>IF(A195&lt;&gt;"Biogas",IFERROR(VLOOKUP(A195,[1]Biogasudbytte!$A$2:$B$18,2,FALSE)*[1]Energiindhold!$C$10,0)*K195*IFERROR(VLOOKUP(A195,Biogasanlæg!$F$3:$G$8,2,FALSE),1)+IFERROR(VLOOKUP(A195,[1]Energiindhold!$A$2:$C$11,3,FALSE),0)*M195+IF(E195&lt;&gt;År1,R195,0),0)</f>
        <v>0</v>
      </c>
      <c r="T195">
        <f>IFERROR(VLOOKUP(A195,[1]Biogasudbytte!$A$2:$B$18,2,FALSE)*[1]Energiindhold!$C$10,0)*K195*IFERROR(VLOOKUP(A195,Biogasanlæg!$F$3:$G$8,2,FALSE),1)</f>
        <v>0</v>
      </c>
      <c r="U195" s="170">
        <f t="shared" si="36"/>
        <v>0</v>
      </c>
      <c r="V195" s="169">
        <f>P195*IFERROR(VLOOKUP(A195,[1]Tørstofindhold!A$2:B$24,2,FALSE),0)</f>
        <v>0</v>
      </c>
      <c r="W195">
        <f>IF(E195=År1,Q195,SUM(P195,Q195))*IFERROR(VLOOKUP(A195,[1]Tørstofindhold!A$2:B$24,2,FALSE),0)</f>
        <v>0</v>
      </c>
      <c r="X195">
        <f>K195*IFERROR(VLOOKUP(A195,[1]Tørstofindhold!A$2:B$24,2,FALSE),0)</f>
        <v>0</v>
      </c>
      <c r="Y195" s="170">
        <f t="shared" si="37"/>
        <v>0</v>
      </c>
      <c r="Z195">
        <f t="shared" ca="1" si="29"/>
        <v>0</v>
      </c>
      <c r="AA195">
        <f t="shared" ca="1" si="30"/>
        <v>0</v>
      </c>
    </row>
    <row r="196" spans="1:27" x14ac:dyDescent="0.25">
      <c r="A196" s="171" t="str">
        <f t="shared" ref="A196:A227" si="39">A148</f>
        <v>Æg</v>
      </c>
      <c r="B196" s="171" t="str">
        <f t="shared" ref="B196:B227" si="40">IF(B148&lt;&gt;"",B148,"")</f>
        <v/>
      </c>
      <c r="C196" s="171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71">
        <f t="shared" si="38"/>
        <v>1</v>
      </c>
      <c r="E196" s="171">
        <f t="shared" ref="E196:E243" si="41">År2</f>
        <v>2030</v>
      </c>
      <c r="F196" t="s">
        <v>24</v>
      </c>
      <c r="G196" s="94">
        <f>IF(F196="Vestdanmark",SUMIFS(IF(E196=År1,'Resultater - Vestdanmark'!H$3:H$504,IF(E196=År2,'Resultater - Vestdanmark'!I$3:I$504,'Resultater - Vestdanmark'!J$3:J$504)),'Resultater - Vestdanmark'!$F$3:$F$504,$A196,IF(E196=År1,'Resultater - Vestdanmark'!H$3:H$504,IF(E196=År2,'Resultater - Vestdanmark'!I$3:I$504,'Resultater - Vestdanmark'!J$3:J$504)),"&gt;0"),SUMIFS(IF(E196=År1,'Resultater - Østdanmark'!H$3:H$504,IF(E196=År2,'Resultater - Østdanmark'!I$3:I$504,'Resultater - Østdanmark'!J$3:J$504)),'Resultater - Østdanmark'!$F$3:$F$504,$A196,IF(E196=År1,'Resultater - Østdanmark'!H$3:H$504,IF(E196=År2,'Resultater - Østdanmark'!I$3:I$504,'Resultater - Østdanmark'!J$3:J$504)),"&gt;0"))</f>
        <v>18196.258037931766</v>
      </c>
      <c r="H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forbrug'!H$3,'Forbrug af biomasse'!$B$2:$B$425,$F196)</f>
        <v>0</v>
      </c>
      <c r="I196">
        <f>IF(F196="Vestdanmark",-IF(A196="Halm",SUMIFS(IF(E196=År1,'Resultater - Vestdanmark'!H$3:H$504,IF(E196=År2,'Resultater - Vestdanmark'!I$3:I$504,'Resultater - Vestdanmark'!J$3:J$504)),'Resultater - Vestdanmark'!$F$3:$F$504,$A196,'Resultater - Vestdanmark'!H$3:H$504,"&lt;0"),0),-IF(A196="Halm",SUMIFS(IF(E196=År1,'Resultater - Østdanmark'!H$3:H$504,IF(E196=År2,'Resultater - Østdanmark'!I$3:I$504,'Resultater - Østdanmark'!J$3:J$504)),'Resultater - Østdanmark'!$F$3:$F$504,$A196,'Resultater - Østdanmark'!H$3:H$504,"&lt;0"),0))</f>
        <v>0</v>
      </c>
      <c r="J196" s="94"/>
      <c r="K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forbrug'!K$3,'Forbrug af biomasse'!$B$2:$B$425,$F196)</f>
        <v>0</v>
      </c>
      <c r="L196" s="94">
        <f>SUMIFS('Forbrug af biomasse'!$E$2:$E$425,'Forbrug af biomasse'!$C$2:$C$425,'Resultat-Produktion &amp; forbrug'!$A196,'Forbrug af biomasse'!$D$2:$D$425,'Resultat-Produktion &amp; forbrug'!$E196,'Forbrug af biomasse'!$A$2:$A$425,'Resultat-Produktion &amp; forbrug'!L$3,'Forbrug af biomasse'!$B$2:$B$425,$F196)</f>
        <v>0</v>
      </c>
      <c r="M196" s="94">
        <f>IF(A196&lt;&gt;"Biogas",SUMIFS('Forbrug af biomasse'!$E$2:$E$425,'Forbrug af biomasse'!$C$2:$C$425,'Resultat-Produktion &amp; forbrug'!$A196,'Forbrug af biomasse'!$D$2:$D$425,'Resultat-Produktion &amp; forbrug'!$E196,'Forbrug af biomasse'!$A$2:$A$425,'Resultat-Produktion &amp; forbrug'!M$3,'Forbrug af biomasse'!$B$2:$B$425,$F196),G196)</f>
        <v>0</v>
      </c>
      <c r="N196" s="94">
        <f>SUMIFS('Forbrug af biomasse'!E:E,'Forbrug af biomasse'!C:C,'Resultat-Produktion &amp; forbrug'!$A196,'Forbrug af biomasse'!D:D,'Resultat-Produktion &amp; forbrug'!$E196,'Forbrug af biomasse'!G:G,1,'Forbrug af biomasse'!B:B,$F196)</f>
        <v>0</v>
      </c>
      <c r="O196" s="179">
        <f t="shared" si="34"/>
        <v>18196.258037931766</v>
      </c>
      <c r="P196" s="94">
        <f t="shared" ref="P196:P259" si="42">IF(C196=1,IF(O196+IF(SUMIFS($O$4:$O$291,$A$4:$A$291,A196,$E$4:$E$291,E196,$F$4:$F$291,"&lt;&gt;"&amp;F196)&lt;0,SUMIFS($O$4:$O$291,$A$4:$A$291,A196,$E$4:$E$291,E196,$F$4:$F$291,"&lt;&gt;"&amp;F196),0)&gt;0,O196+IF(SUMIFS($O$4:$O$291,$A$4:$A$291,A196,$E$4:$E$291,E196,$F$4:$F$291,"&lt;&gt;"&amp;F196)&lt;0,SUMIFS($O$4:$O$291,$A$4:$A$291,A196,$E$4:$E$291,E196,$F$4:$F$291,"&lt;&gt;"&amp;F196),0),0),0)</f>
        <v>0</v>
      </c>
      <c r="Q196" s="180">
        <f t="shared" si="35"/>
        <v>0</v>
      </c>
      <c r="R196">
        <f>IFERROR(VLOOKUP(A196,[1]Energiindhold!$A$2:$C$11,3,FALSE),IFERROR(VLOOKUP(A196,[1]Biogasudbytte!$A$2:$B$18,2,FALSE)*[1]Energiindhold!$C$10,0))*P196</f>
        <v>0</v>
      </c>
      <c r="S196">
        <f>IF(A196&lt;&gt;"Biogas",IFERROR(VLOOKUP(A196,[1]Biogasudbytte!$A$2:$B$18,2,FALSE)*[1]Energiindhold!$C$10,0)*K196*IFERROR(VLOOKUP(A196,Biogasanlæg!$F$3:$G$8,2,FALSE),1)+IFERROR(VLOOKUP(A196,[1]Energiindhold!$A$2:$C$11,3,FALSE),0)*M196+IF(E196&lt;&gt;År1,R196,0),0)</f>
        <v>0</v>
      </c>
      <c r="T196">
        <f>IFERROR(VLOOKUP(A196,[1]Biogasudbytte!$A$2:$B$18,2,FALSE)*[1]Energiindhold!$C$10,0)*K196*IFERROR(VLOOKUP(A196,Biogasanlæg!$F$3:$G$8,2,FALSE),1)</f>
        <v>0</v>
      </c>
      <c r="U196" s="170">
        <f t="shared" si="36"/>
        <v>0</v>
      </c>
      <c r="V196" s="169">
        <f>P196*IFERROR(VLOOKUP(A196,[1]Tørstofindhold!A$2:B$24,2,FALSE),0)</f>
        <v>0</v>
      </c>
      <c r="W196">
        <f>IF(E196=År1,Q196,SUM(P196,Q196))*IFERROR(VLOOKUP(A196,[1]Tørstofindhold!A$2:B$24,2,FALSE),0)</f>
        <v>0</v>
      </c>
      <c r="X196">
        <f>K196*IFERROR(VLOOKUP(A196,[1]Tørstofindhold!A$2:B$24,2,FALSE),0)</f>
        <v>0</v>
      </c>
      <c r="Y196" s="170">
        <f t="shared" si="37"/>
        <v>0</v>
      </c>
      <c r="Z196">
        <f t="shared" ref="Z196:Z259" si="43">IF(SUMIFS($O$4:$O$291,$A$4:$A$291,A196,$E$4:$E$291,E196)&lt;0,1,0)</f>
        <v>0</v>
      </c>
      <c r="AA196">
        <f t="shared" ref="AA196:AA259" si="44">IF(SUMIFS($O$4:$O$291,$A$4:$A$291,A196,$E$4:$E$291,E196)&gt;0,1,0)</f>
        <v>1</v>
      </c>
    </row>
    <row r="197" spans="1:27" x14ac:dyDescent="0.25">
      <c r="A197" s="171" t="str">
        <f t="shared" si="39"/>
        <v>Bælgsæd</v>
      </c>
      <c r="B197" s="171" t="str">
        <f t="shared" si="40"/>
        <v/>
      </c>
      <c r="C197" s="171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0</v>
      </c>
      <c r="D197" s="171">
        <f t="shared" si="38"/>
        <v>1</v>
      </c>
      <c r="E197" s="171">
        <f t="shared" si="41"/>
        <v>2030</v>
      </c>
      <c r="F197" t="s">
        <v>24</v>
      </c>
      <c r="G197" s="94">
        <f>IF(F197="Vestdanmark",SUMIFS(IF(E197=År1,'Resultater - Vestdanmark'!H$3:H$504,IF(E197=År2,'Resultater - Vestdanmark'!I$3:I$504,'Resultater - Vestdanmark'!J$3:J$504)),'Resultater - Vestdanmark'!$F$3:$F$504,$A197,IF(E197=År1,'Resultater - Vestdanmark'!H$3:H$504,IF(E197=År2,'Resultater - Vestdanmark'!I$3:I$504,'Resultater - Vestdanmark'!J$3:J$504)),"&gt;0"),SUMIFS(IF(E197=År1,'Resultater - Østdanmark'!H$3:H$504,IF(E197=År2,'Resultater - Østdanmark'!I$3:I$504,'Resultater - Østdanmark'!J$3:J$504)),'Resultater - Østdanmark'!$F$3:$F$504,$A197,IF(E197=År1,'Resultater - Østdanmark'!H$3:H$504,IF(E197=År2,'Resultater - Østdanmark'!I$3:I$504,'Resultater - Østdanmark'!J$3:J$504)),"&gt;0"))</f>
        <v>165990.97004737973</v>
      </c>
      <c r="H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forbrug'!H$3,'Forbrug af biomasse'!$B$2:$B$425,$F197)</f>
        <v>6776.9581577594281</v>
      </c>
      <c r="I197">
        <f>IF(F197="Vestdanmark",-IF(A197="Halm",SUMIFS(IF(E197=År1,'Resultater - Vestdanmark'!H$3:H$504,IF(E197=År2,'Resultater - Vestdanmark'!I$3:I$504,'Resultater - Vestdanmark'!J$3:J$504)),'Resultater - Vestdanmark'!$F$3:$F$504,$A197,'Resultater - Vestdanmark'!H$3:H$504,"&lt;0"),0),-IF(A197="Halm",SUMIFS(IF(E197=År1,'Resultater - Østdanmark'!H$3:H$504,IF(E197=År2,'Resultater - Østdanmark'!I$3:I$504,'Resultater - Østdanmark'!J$3:J$504)),'Resultater - Østdanmark'!$F$3:$F$504,$A197,'Resultater - Østdanmark'!H$3:H$504,"&lt;0"),0))</f>
        <v>0</v>
      </c>
      <c r="J197" s="94"/>
      <c r="K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forbrug'!K$3,'Forbrug af biomasse'!$B$2:$B$425,$F197)</f>
        <v>0</v>
      </c>
      <c r="L197" s="94">
        <f>SUMIFS('Forbrug af biomasse'!$E$2:$E$425,'Forbrug af biomasse'!$C$2:$C$425,'Resultat-Produktion &amp; forbrug'!$A197,'Forbrug af biomasse'!$D$2:$D$425,'Resultat-Produktion &amp; forbrug'!$E197,'Forbrug af biomasse'!$A$2:$A$425,'Resultat-Produktion &amp; forbrug'!L$3,'Forbrug af biomasse'!$B$2:$B$425,$F197)</f>
        <v>0</v>
      </c>
      <c r="M197" s="94">
        <f>IF(A197&lt;&gt;"Biogas",SUMIFS('Forbrug af biomasse'!$E$2:$E$425,'Forbrug af biomasse'!$C$2:$C$425,'Resultat-Produktion &amp; forbrug'!$A197,'Forbrug af biomasse'!$D$2:$D$425,'Resultat-Produktion &amp; forbrug'!$E197,'Forbrug af biomasse'!$A$2:$A$425,'Resultat-Produktion &amp; forbrug'!M$3,'Forbrug af biomasse'!$B$2:$B$425,$F197),G197)</f>
        <v>0</v>
      </c>
      <c r="N197" s="94">
        <f>SUMIFS('Forbrug af biomasse'!E:E,'Forbrug af biomasse'!C:C,'Resultat-Produktion &amp; forbrug'!$A197,'Forbrug af biomasse'!D:D,'Resultat-Produktion &amp; forbrug'!$E197,'Forbrug af biomasse'!G:G,1,'Forbrug af biomasse'!B:B,$F197)</f>
        <v>0</v>
      </c>
      <c r="O197" s="179">
        <f t="shared" si="34"/>
        <v>159214.01188962031</v>
      </c>
      <c r="P197" s="94">
        <f t="shared" si="42"/>
        <v>0</v>
      </c>
      <c r="Q197" s="180">
        <f t="shared" si="35"/>
        <v>0</v>
      </c>
      <c r="R197">
        <f>IFERROR(VLOOKUP(A197,[1]Energiindhold!$A$2:$C$11,3,FALSE),IFERROR(VLOOKUP(A197,[1]Biogasudbytte!$A$2:$B$18,2,FALSE)*[1]Energiindhold!$C$10,0))*P197</f>
        <v>0</v>
      </c>
      <c r="S197">
        <f>IF(A197&lt;&gt;"Biogas",IFERROR(VLOOKUP(A197,[1]Biogasudbytte!$A$2:$B$18,2,FALSE)*[1]Energiindhold!$C$10,0)*K197*IFERROR(VLOOKUP(A197,Biogasanlæg!$F$3:$G$8,2,FALSE),1)+IFERROR(VLOOKUP(A197,[1]Energiindhold!$A$2:$C$11,3,FALSE),0)*M197+IF(E197&lt;&gt;År1,R197,0),0)</f>
        <v>0</v>
      </c>
      <c r="T197">
        <f>IFERROR(VLOOKUP(A197,[1]Biogasudbytte!$A$2:$B$18,2,FALSE)*[1]Energiindhold!$C$10,0)*K197*IFERROR(VLOOKUP(A197,Biogasanlæg!$F$3:$G$8,2,FALSE),1)</f>
        <v>0</v>
      </c>
      <c r="U197" s="170">
        <f t="shared" si="36"/>
        <v>0</v>
      </c>
      <c r="V197" s="169">
        <f>P197*IFERROR(VLOOKUP(A197,[1]Tørstofindhold!A$2:B$24,2,FALSE),0)</f>
        <v>0</v>
      </c>
      <c r="W197">
        <f>IF(E197=År1,Q197,SUM(P197,Q197))*IFERROR(VLOOKUP(A197,[1]Tørstofindhold!A$2:B$24,2,FALSE),0)</f>
        <v>0</v>
      </c>
      <c r="X197">
        <f>K197*IFERROR(VLOOKUP(A197,[1]Tørstofindhold!A$2:B$24,2,FALSE),0)</f>
        <v>0</v>
      </c>
      <c r="Y197" s="170">
        <f t="shared" si="37"/>
        <v>0</v>
      </c>
      <c r="Z197">
        <f t="shared" si="43"/>
        <v>0</v>
      </c>
      <c r="AA197">
        <f t="shared" si="44"/>
        <v>1</v>
      </c>
    </row>
    <row r="198" spans="1:27" x14ac:dyDescent="0.25">
      <c r="A198" s="171" t="str">
        <f t="shared" si="39"/>
        <v>Bioaffald</v>
      </c>
      <c r="B198" s="171" t="str">
        <f t="shared" si="40"/>
        <v>Bionedbrydeligt affald</v>
      </c>
      <c r="C198" s="171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71">
        <f t="shared" si="38"/>
        <v>0</v>
      </c>
      <c r="E198" s="171">
        <f t="shared" si="41"/>
        <v>2030</v>
      </c>
      <c r="F198" t="s">
        <v>24</v>
      </c>
      <c r="G198" s="94">
        <f ca="1">IF(F198="Vestdanmark",SUMIFS(IF(E198=År1,'Resultater - Vestdanmark'!H$3:H$504,IF(E198=År2,'Resultater - Vestdanmark'!I$3:I$504,'Resultater - Vestdanmark'!J$3:J$504)),'Resultater - Vestdanmark'!$F$3:$F$504,$A198,IF(E198=År1,'Resultater - Vestdanmark'!H$3:H$504,IF(E198=År2,'Resultater - Vestdanmark'!I$3:I$504,'Resultater - Vestdanmark'!J$3:J$504)),"&gt;0"),SUMIFS(IF(E198=År1,'Resultater - Østdanmark'!H$3:H$504,IF(E198=År2,'Resultater - Østdanmark'!I$3:I$504,'Resultater - Østdanmark'!J$3:J$504)),'Resultater - Østdanmark'!$F$3:$F$504,$A198,IF(E198=År1,'Resultater - Østdanmark'!H$3:H$504,IF(E198=År2,'Resultater - Østdanmark'!I$3:I$504,'Resultater - Østdanmark'!J$3:J$504)),"&gt;0"))</f>
        <v>168912.745758362</v>
      </c>
      <c r="H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forbrug'!H$3,'Forbrug af biomasse'!$B$2:$B$425,$F198)</f>
        <v>0</v>
      </c>
      <c r="I198">
        <f>IF(F198="Vestdanmark",-IF(A198="Halm",SUMIFS(IF(E198=År1,'Resultater - Vestdanmark'!H$3:H$504,IF(E198=År2,'Resultater - Vestdanmark'!I$3:I$504,'Resultater - Vestdanmark'!J$3:J$504)),'Resultater - Vestdanmark'!$F$3:$F$504,$A198,'Resultater - Vestdanmark'!H$3:H$504,"&lt;0"),0),-IF(A198="Halm",SUMIFS(IF(E198=År1,'Resultater - Østdanmark'!H$3:H$504,IF(E198=År2,'Resultater - Østdanmark'!I$3:I$504,'Resultater - Østdanmark'!J$3:J$504)),'Resultater - Østdanmark'!$F$3:$F$504,$A198,'Resultater - Østdanmark'!H$3:H$504,"&lt;0"),0))</f>
        <v>0</v>
      </c>
      <c r="J198" s="94"/>
      <c r="K198" s="94">
        <f ca="1">SUMIFS('Forbrug af biomasse'!$E$2:$E$425,'Forbrug af biomasse'!$C$2:$C$425,'Resultat-Produktion &amp; forbrug'!$A198,'Forbrug af biomasse'!$D$2:$D$425,'Resultat-Produktion &amp; forbrug'!$E198,'Forbrug af biomasse'!$A$2:$A$425,'Resultat-Produktion &amp; forbrug'!K$3,'Forbrug af biomasse'!$B$2:$B$425,$F198)</f>
        <v>0</v>
      </c>
      <c r="L198" s="94">
        <f>SUMIFS('Forbrug af biomasse'!$E$2:$E$425,'Forbrug af biomasse'!$C$2:$C$425,'Resultat-Produktion &amp; forbrug'!$A198,'Forbrug af biomasse'!$D$2:$D$425,'Resultat-Produktion &amp; forbrug'!$E198,'Forbrug af biomasse'!$A$2:$A$425,'Resultat-Produktion &amp; forbrug'!L$3,'Forbrug af biomasse'!$B$2:$B$425,$F198)</f>
        <v>0</v>
      </c>
      <c r="M198" s="94">
        <f ca="1">IF(A198&lt;&gt;"Biogas",SUMIFS('Forbrug af biomasse'!$E$2:$E$425,'Forbrug af biomasse'!$C$2:$C$425,'Resultat-Produktion &amp; forbrug'!$A198,'Forbrug af biomasse'!$D$2:$D$425,'Resultat-Produktion &amp; forbrug'!$E198,'Forbrug af biomasse'!$A$2:$A$425,'Resultat-Produktion &amp; forbrug'!M$3,'Forbrug af biomasse'!$B$2:$B$425,$F198),G198)</f>
        <v>168912.745758362</v>
      </c>
      <c r="N198" s="94">
        <f ca="1">SUMIFS('Forbrug af biomasse'!E:E,'Forbrug af biomasse'!C:C,'Resultat-Produktion &amp; forbrug'!$A198,'Forbrug af biomasse'!D:D,'Resultat-Produktion &amp; forbrug'!$E198,'Forbrug af biomasse'!G:G,1,'Forbrug af biomasse'!B:B,$F198)</f>
        <v>0</v>
      </c>
      <c r="O198" s="179">
        <f t="shared" ca="1" si="34"/>
        <v>0</v>
      </c>
      <c r="P198" s="94">
        <f t="shared" ca="1" si="42"/>
        <v>0</v>
      </c>
      <c r="Q198" s="180">
        <f t="shared" ca="1" si="35"/>
        <v>168912.745758362</v>
      </c>
      <c r="R198">
        <f ca="1">IFERROR(VLOOKUP(A198,[1]Energiindhold!$A$2:$C$11,3,FALSE),IFERROR(VLOOKUP(A198,[1]Biogasudbytte!$A$2:$B$18,2,FALSE)*[1]Energiindhold!$C$10,0))*P198</f>
        <v>0</v>
      </c>
      <c r="S198">
        <f ca="1">IF(A198&lt;&gt;"Biogas",IFERROR(VLOOKUP(A198,[1]Biogasudbytte!$A$2:$B$18,2,FALSE)*[1]Energiindhold!$C$10,0)*K198*IFERROR(VLOOKUP(A198,Biogasanlæg!$F$3:$G$8,2,FALSE),1)+IFERROR(VLOOKUP(A198,[1]Energiindhold!$A$2:$C$11,3,FALSE),0)*M198+IF(E198&lt;&gt;År1,R198,0),0)</f>
        <v>3.0154675860307889</v>
      </c>
      <c r="T198">
        <f ca="1">IFERROR(VLOOKUP(A198,[1]Biogasudbytte!$A$2:$B$18,2,FALSE)*[1]Energiindhold!$C$10,0)*K198*IFERROR(VLOOKUP(A198,Biogasanlæg!$F$3:$G$8,2,FALSE),1)</f>
        <v>0</v>
      </c>
      <c r="U198" s="170">
        <f t="shared" ca="1" si="36"/>
        <v>3.0154675860307889</v>
      </c>
      <c r="V198" s="169">
        <f ca="1">P198*IFERROR(VLOOKUP(A198,[1]Tørstofindhold!A$2:B$24,2,FALSE),0)</f>
        <v>0</v>
      </c>
      <c r="W198">
        <f ca="1">IF(E198=År1,Q198,SUM(P198,Q198))*IFERROR(VLOOKUP(A198,[1]Tørstofindhold!A$2:B$24,2,FALSE),0)</f>
        <v>47295.568812341364</v>
      </c>
      <c r="X198">
        <f ca="1">K198*IFERROR(VLOOKUP(A198,[1]Tørstofindhold!A$2:B$24,2,FALSE),0)</f>
        <v>0</v>
      </c>
      <c r="Y198" s="170">
        <f t="shared" ca="1" si="37"/>
        <v>47295.568812341364</v>
      </c>
      <c r="Z198">
        <f t="shared" ca="1" si="43"/>
        <v>0</v>
      </c>
      <c r="AA198">
        <f t="shared" ca="1" si="44"/>
        <v>0</v>
      </c>
    </row>
    <row r="199" spans="1:27" x14ac:dyDescent="0.25">
      <c r="A199" s="171" t="str">
        <f t="shared" si="39"/>
        <v>Biogas</v>
      </c>
      <c r="B199" s="171" t="str">
        <f t="shared" si="40"/>
        <v/>
      </c>
      <c r="C199" s="171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1</v>
      </c>
      <c r="D199" s="171">
        <f t="shared" si="38"/>
        <v>0</v>
      </c>
      <c r="E199" s="171">
        <f t="shared" si="41"/>
        <v>2030</v>
      </c>
      <c r="F199" t="s">
        <v>24</v>
      </c>
      <c r="G199" s="94">
        <f ca="1">IF(F199="Vestdanmark",SUMIFS(IF(E199=År1,'Resultater - Vestdanmark'!H$3:H$504,IF(E199=År2,'Resultater - Vestdanmark'!I$3:I$504,'Resultater - Vestdanmark'!J$3:J$504)),'Resultater - Vestdanmark'!$F$3:$F$504,$A199,IF(E199=År1,'Resultater - Vestdanmark'!H$3:H$504,IF(E199=År2,'Resultater - Vestdanmark'!I$3:I$504,'Resultater - Vestdanmark'!J$3:J$504)),"&gt;0"),SUMIFS(IF(E199=År1,'Resultater - Østdanmark'!H$3:H$504,IF(E199=År2,'Resultater - Østdanmark'!I$3:I$504,'Resultater - Østdanmark'!J$3:J$504)),'Resultater - Østdanmark'!$F$3:$F$504,$A199,IF(E199=År1,'Resultater - Østdanmark'!H$3:H$504,IF(E199=År2,'Resultater - Østdanmark'!I$3:I$504,'Resultater - Østdanmark'!J$3:J$504)),"&gt;0"))</f>
        <v>63181225.71715036</v>
      </c>
      <c r="H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forbrug'!H$3,'Forbrug af biomasse'!$B$2:$B$425,$F199)</f>
        <v>0</v>
      </c>
      <c r="I199">
        <f>IF(F199="Vestdanmark",-IF(A199="Halm",SUMIFS(IF(E199=År1,'Resultater - Vestdanmark'!H$3:H$504,IF(E199=År2,'Resultater - Vestdanmark'!I$3:I$504,'Resultater - Vestdanmark'!J$3:J$504)),'Resultater - Vestdanmark'!$F$3:$F$504,$A199,'Resultater - Vestdanmark'!H$3:H$504,"&lt;0"),0),-IF(A199="Halm",SUMIFS(IF(E199=År1,'Resultater - Østdanmark'!H$3:H$504,IF(E199=År2,'Resultater - Østdanmark'!I$3:I$504,'Resultater - Østdanmark'!J$3:J$504)),'Resultater - Østdanmark'!$F$3:$F$504,$A199,'Resultater - Østdanmark'!H$3:H$504,"&lt;0"),0))</f>
        <v>0</v>
      </c>
      <c r="J199" s="94"/>
      <c r="K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forbrug'!K$3,'Forbrug af biomasse'!$B$2:$B$425,$F199)</f>
        <v>0</v>
      </c>
      <c r="L199" s="94">
        <f>SUMIFS('Forbrug af biomasse'!$E$2:$E$425,'Forbrug af biomasse'!$C$2:$C$425,'Resultat-Produktion &amp; forbrug'!$A199,'Forbrug af biomasse'!$D$2:$D$425,'Resultat-Produktion &amp; forbrug'!$E199,'Forbrug af biomasse'!$A$2:$A$425,'Resultat-Produktion &amp; forbrug'!L$3,'Forbrug af biomasse'!$B$2:$B$425,$F199)</f>
        <v>0</v>
      </c>
      <c r="M199" s="94">
        <f ca="1">IF(A199&lt;&gt;"Biogas",SUMIFS('Forbrug af biomasse'!$E$2:$E$425,'Forbrug af biomasse'!$C$2:$C$425,'Resultat-Produktion &amp; forbrug'!$A199,'Forbrug af biomasse'!$D$2:$D$425,'Resultat-Produktion &amp; forbrug'!$E199,'Forbrug af biomasse'!$A$2:$A$425,'Resultat-Produktion &amp; forbrug'!M$3,'Forbrug af biomasse'!$B$2:$B$425,$F199),G199)</f>
        <v>63181225.71715036</v>
      </c>
      <c r="N199" s="94">
        <f>SUMIFS('Forbrug af biomasse'!E:E,'Forbrug af biomasse'!C:C,'Resultat-Produktion &amp; forbrug'!$A199,'Forbrug af biomasse'!D:D,'Resultat-Produktion &amp; forbrug'!$E199,'Forbrug af biomasse'!G:G,1,'Forbrug af biomasse'!B:B,$F199)</f>
        <v>0</v>
      </c>
      <c r="O199" s="179">
        <f t="shared" ca="1" si="34"/>
        <v>0</v>
      </c>
      <c r="P199" s="94">
        <f t="shared" ca="1" si="42"/>
        <v>0</v>
      </c>
      <c r="Q199" s="180">
        <f t="shared" ca="1" si="35"/>
        <v>63181225.71715036</v>
      </c>
      <c r="R199">
        <f ca="1">IFERROR(VLOOKUP(A199,[1]Energiindhold!$A$2:$C$11,3,FALSE),IFERROR(VLOOKUP(A199,[1]Biogasudbytte!$A$2:$B$18,2,FALSE)*[1]Energiindhold!$C$10,0))*P199</f>
        <v>0</v>
      </c>
      <c r="S199">
        <f>IF(A199&lt;&gt;"Biogas",IFERROR(VLOOKUP(A199,[1]Biogasudbytte!$A$2:$B$18,2,FALSE)*[1]Energiindhold!$C$10,0)*K199*IFERROR(VLOOKUP(A199,Biogasanlæg!$F$3:$G$8,2,FALSE),1)+IFERROR(VLOOKUP(A199,[1]Energiindhold!$A$2:$C$11,3,FALSE),0)*M199+IF(E199&lt;&gt;År1,R199,0),0)</f>
        <v>0</v>
      </c>
      <c r="T199">
        <f>IFERROR(VLOOKUP(A199,[1]Biogasudbytte!$A$2:$B$18,2,FALSE)*[1]Energiindhold!$C$10,0)*K199*IFERROR(VLOOKUP(A199,Biogasanlæg!$F$3:$G$8,2,FALSE),1)</f>
        <v>0</v>
      </c>
      <c r="U199" s="170">
        <f t="shared" si="36"/>
        <v>0</v>
      </c>
      <c r="V199" s="169">
        <f ca="1">P199*IFERROR(VLOOKUP(A199,[1]Tørstofindhold!A$2:B$24,2,FALSE),0)</f>
        <v>0</v>
      </c>
      <c r="W199">
        <f ca="1">IF(E199=År1,Q199,SUM(P199,Q199))*IFERROR(VLOOKUP(A199,[1]Tørstofindhold!A$2:B$24,2,FALSE),0)</f>
        <v>0</v>
      </c>
      <c r="X199">
        <f>K199*IFERROR(VLOOKUP(A199,[1]Tørstofindhold!A$2:B$24,2,FALSE),0)</f>
        <v>0</v>
      </c>
      <c r="Y199" s="170">
        <f t="shared" ca="1" si="37"/>
        <v>0</v>
      </c>
      <c r="Z199">
        <f t="shared" ca="1" si="43"/>
        <v>0</v>
      </c>
      <c r="AA199">
        <f t="shared" ca="1" si="44"/>
        <v>0</v>
      </c>
    </row>
    <row r="200" spans="1:27" x14ac:dyDescent="0.25">
      <c r="A200" s="171" t="str">
        <f t="shared" si="39"/>
        <v>Biogasgylle</v>
      </c>
      <c r="B200" s="171" t="str">
        <f t="shared" si="40"/>
        <v/>
      </c>
      <c r="C200" s="171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0</v>
      </c>
      <c r="D200" s="171">
        <f t="shared" si="38"/>
        <v>0</v>
      </c>
      <c r="E200" s="171">
        <f t="shared" si="41"/>
        <v>2030</v>
      </c>
      <c r="F200" t="s">
        <v>24</v>
      </c>
      <c r="G200" s="94">
        <f ca="1">IF(F200="Vestdanmark",SUMIFS(IF(E200=År1,'Resultater - Vestdanmark'!H$3:H$504,IF(E200=År2,'Resultater - Vestdanmark'!I$3:I$504,'Resultater - Vestdanmark'!J$3:J$504)),'Resultater - Vestdanmark'!$F$3:$F$504,$A200,IF(E200=År1,'Resultater - Vestdanmark'!H$3:H$504,IF(E200=År2,'Resultater - Vestdanmark'!I$3:I$504,'Resultater - Vestdanmark'!J$3:J$504)),"&gt;0"),SUMIFS(IF(E200=År1,'Resultater - Østdanmark'!H$3:H$504,IF(E200=År2,'Resultater - Østdanmark'!I$3:I$504,'Resultater - Østdanmark'!J$3:J$504)),'Resultater - Østdanmark'!$F$3:$F$504,$A200,IF(E200=År1,'Resultater - Østdanmark'!H$3:H$504,IF(E200=År2,'Resultater - Østdanmark'!I$3:I$504,'Resultater - Østdanmark'!J$3:J$504)),"&gt;0"))</f>
        <v>3575622.450604124</v>
      </c>
      <c r="H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forbrug'!H$3,'Forbrug af biomasse'!$B$2:$B$425,$F200)</f>
        <v>0</v>
      </c>
      <c r="I200">
        <f>IF(F200="Vestdanmark",-IF(A200="Halm",SUMIFS(IF(E200=År1,'Resultater - Vestdanmark'!H$3:H$504,IF(E200=År2,'Resultater - Vestdanmark'!I$3:I$504,'Resultater - Vestdanmark'!J$3:J$504)),'Resultater - Vestdanmark'!$F$3:$F$504,$A200,'Resultater - Vestdanmark'!H$3:H$504,"&lt;0"),0),-IF(A200="Halm",SUMIFS(IF(E200=År1,'Resultater - Østdanmark'!H$3:H$504,IF(E200=År2,'Resultater - Østdanmark'!I$3:I$504,'Resultater - Østdanmark'!J$3:J$504)),'Resultater - Østdanmark'!$F$3:$F$504,$A200,'Resultater - Østdanmark'!H$3:H$504,"&lt;0"),0))</f>
        <v>0</v>
      </c>
      <c r="J200" s="94"/>
      <c r="K200" s="94">
        <f>SUMIFS('Forbrug af biomasse'!$E$2:$E$425,'Forbrug af biomasse'!$C$2:$C$425,'Resultat-Produktion &amp; forbrug'!$A200,'Forbrug af biomasse'!$D$2:$D$425,'Resultat-Produktion &amp; forbrug'!$E200,'Forbrug af biomasse'!$A$2:$A$425,'Resultat-Produktion &amp; forbrug'!K$3,'Forbrug af biomasse'!$B$2:$B$425,$F200)</f>
        <v>0</v>
      </c>
      <c r="L200" s="94">
        <f ca="1">SUMIFS('Forbrug af biomasse'!$E$2:$E$425,'Forbrug af biomasse'!$C$2:$C$425,'Resultat-Produktion &amp; forbrug'!$A200,'Forbrug af biomasse'!$D$2:$D$425,'Resultat-Produktion &amp; forbrug'!$E200,'Forbrug af biomasse'!$A$2:$A$425,'Resultat-Produktion &amp; forbrug'!L$3,'Forbrug af biomasse'!$B$2:$B$425,$F200)</f>
        <v>3082747.997526899</v>
      </c>
      <c r="M200" s="94">
        <f>IF(A200&lt;&gt;"Biogas",SUMIFS('Forbrug af biomasse'!$E$2:$E$425,'Forbrug af biomasse'!$C$2:$C$425,'Resultat-Produktion &amp; forbrug'!$A200,'Forbrug af biomasse'!$D$2:$D$425,'Resultat-Produktion &amp; forbrug'!$E200,'Forbrug af biomasse'!$A$2:$A$425,'Resultat-Produktion &amp; forbrug'!M$3,'Forbrug af biomasse'!$B$2:$B$425,$F200),G200)</f>
        <v>0</v>
      </c>
      <c r="N200" s="94">
        <f>SUMIFS('Forbrug af biomasse'!E:E,'Forbrug af biomasse'!C:C,'Resultat-Produktion &amp; forbrug'!$A200,'Forbrug af biomasse'!D:D,'Resultat-Produktion &amp; forbrug'!$E200,'Forbrug af biomasse'!G:G,1,'Forbrug af biomasse'!B:B,$F200)</f>
        <v>0</v>
      </c>
      <c r="O200" s="179">
        <f t="shared" ca="1" si="34"/>
        <v>492874.45307722501</v>
      </c>
      <c r="P200" s="94">
        <f t="shared" si="42"/>
        <v>0</v>
      </c>
      <c r="Q200" s="180">
        <f t="shared" si="35"/>
        <v>0</v>
      </c>
      <c r="R200">
        <f>IFERROR(VLOOKUP(A200,[1]Energiindhold!$A$2:$C$11,3,FALSE),IFERROR(VLOOKUP(A200,[1]Biogasudbytte!$A$2:$B$18,2,FALSE)*[1]Energiindhold!$C$10,0))*P200</f>
        <v>0</v>
      </c>
      <c r="S200">
        <f>IF(A200&lt;&gt;"Biogas",IFERROR(VLOOKUP(A200,[1]Biogasudbytte!$A$2:$B$18,2,FALSE)*[1]Energiindhold!$C$10,0)*K200*IFERROR(VLOOKUP(A200,Biogasanlæg!$F$3:$G$8,2,FALSE),1)+IFERROR(VLOOKUP(A200,[1]Energiindhold!$A$2:$C$11,3,FALSE),0)*M200+IF(E200&lt;&gt;År1,R200,0),0)</f>
        <v>0</v>
      </c>
      <c r="T200">
        <f>IFERROR(VLOOKUP(A200,[1]Biogasudbytte!$A$2:$B$18,2,FALSE)*[1]Energiindhold!$C$10,0)*K200*IFERROR(VLOOKUP(A200,Biogasanlæg!$F$3:$G$8,2,FALSE),1)</f>
        <v>0</v>
      </c>
      <c r="U200" s="170">
        <f t="shared" si="36"/>
        <v>0</v>
      </c>
      <c r="V200" s="169">
        <f>P200*IFERROR(VLOOKUP(A200,[1]Tørstofindhold!A$2:B$24,2,FALSE),0)</f>
        <v>0</v>
      </c>
      <c r="W200">
        <f>IF(E200=År1,Q200,SUM(P200,Q200))*IFERROR(VLOOKUP(A200,[1]Tørstofindhold!A$2:B$24,2,FALSE),0)</f>
        <v>0</v>
      </c>
      <c r="X200">
        <f>K200*IFERROR(VLOOKUP(A200,[1]Tørstofindhold!A$2:B$24,2,FALSE),0)</f>
        <v>0</v>
      </c>
      <c r="Y200" s="170">
        <f t="shared" si="37"/>
        <v>0</v>
      </c>
      <c r="Z200">
        <f t="shared" ca="1" si="43"/>
        <v>0</v>
      </c>
      <c r="AA200">
        <f t="shared" ca="1" si="44"/>
        <v>1</v>
      </c>
    </row>
    <row r="201" spans="1:27" x14ac:dyDescent="0.25">
      <c r="A201" s="171" t="str">
        <f t="shared" si="39"/>
        <v>Brun saft</v>
      </c>
      <c r="B201" s="171" t="str">
        <f t="shared" si="40"/>
        <v>Bionedbrydeligt affald</v>
      </c>
      <c r="C201" s="171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71">
        <f t="shared" si="38"/>
        <v>0</v>
      </c>
      <c r="E201" s="171">
        <f t="shared" si="41"/>
        <v>2030</v>
      </c>
      <c r="F201" t="s">
        <v>24</v>
      </c>
      <c r="G201" s="94">
        <f>IF(F201="Vestdanmark",SUMIFS(IF(E201=År1,'Resultater - Vestdanmark'!H$3:H$504,IF(E201=År2,'Resultater - Vestdanmark'!I$3:I$504,'Resultater - Vestdanmark'!J$3:J$504)),'Resultater - Vestdanmark'!$F$3:$F$504,$A201,IF(E201=År1,'Resultater - Vestdanmark'!H$3:H$504,IF(E201=År2,'Resultater - Vestdanmark'!I$3:I$504,'Resultater - Vestdanmark'!J$3:J$504)),"&gt;0"),SUMIFS(IF(E201=År1,'Resultater - Østdanmark'!H$3:H$504,IF(E201=År2,'Resultater - Østdanmark'!I$3:I$504,'Resultater - Østdanmark'!J$3:J$504)),'Resultater - Østdanmark'!$F$3:$F$504,$A201,IF(E201=År1,'Resultater - Østdanmark'!H$3:H$504,IF(E201=År2,'Resultater - Østdanmark'!I$3:I$504,'Resultater - Østdanmark'!J$3:J$504)),"&gt;0"))</f>
        <v>670009.86905929213</v>
      </c>
      <c r="H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forbrug'!H$3,'Forbrug af biomasse'!$B$2:$B$425,$F201)</f>
        <v>0</v>
      </c>
      <c r="I201">
        <f>IF(F201="Vestdanmark",-IF(A201="Halm",SUMIFS(IF(E201=År1,'Resultater - Vestdanmark'!H$3:H$504,IF(E201=År2,'Resultater - Vestdanmark'!I$3:I$504,'Resultater - Vestdanmark'!J$3:J$504)),'Resultater - Vestdanmark'!$F$3:$F$504,$A201,'Resultater - Vestdanmark'!H$3:H$504,"&lt;0"),0),-IF(A201="Halm",SUMIFS(IF(E201=År1,'Resultater - Østdanmark'!H$3:H$504,IF(E201=År2,'Resultater - Østdanmark'!I$3:I$504,'Resultater - Østdanmark'!J$3:J$504)),'Resultater - Østdanmark'!$F$3:$F$504,$A201,'Resultater - Østdanmark'!H$3:H$504,"&lt;0"),0))</f>
        <v>0</v>
      </c>
      <c r="J201" s="94"/>
      <c r="K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forbrug'!K$3,'Forbrug af biomasse'!$B$2:$B$425,$F201)</f>
        <v>502507.4017944691</v>
      </c>
      <c r="L201" s="94">
        <f>SUMIFS('Forbrug af biomasse'!$E$2:$E$425,'Forbrug af biomasse'!$C$2:$C$425,'Resultat-Produktion &amp; forbrug'!$A201,'Forbrug af biomasse'!$D$2:$D$425,'Resultat-Produktion &amp; forbrug'!$E201,'Forbrug af biomasse'!$A$2:$A$425,'Resultat-Produktion &amp; forbrug'!L$3,'Forbrug af biomasse'!$B$2:$B$425,$F201)</f>
        <v>0</v>
      </c>
      <c r="M201" s="94">
        <f>IF(A201&lt;&gt;"Biogas",SUMIFS('Forbrug af biomasse'!$E$2:$E$425,'Forbrug af biomasse'!$C$2:$C$425,'Resultat-Produktion &amp; forbrug'!$A201,'Forbrug af biomasse'!$D$2:$D$425,'Resultat-Produktion &amp; forbrug'!$E201,'Forbrug af biomasse'!$A$2:$A$425,'Resultat-Produktion &amp; forbrug'!M$3,'Forbrug af biomasse'!$B$2:$B$425,$F201),G201)</f>
        <v>0</v>
      </c>
      <c r="N201" s="94">
        <f>SUMIFS('Forbrug af biomasse'!E:E,'Forbrug af biomasse'!C:C,'Resultat-Produktion &amp; forbrug'!$A201,'Forbrug af biomasse'!D:D,'Resultat-Produktion &amp; forbrug'!$E201,'Forbrug af biomasse'!G:G,1,'Forbrug af biomasse'!B:B,$F201)</f>
        <v>0</v>
      </c>
      <c r="O201" s="179">
        <f t="shared" si="34"/>
        <v>167502.46726482303</v>
      </c>
      <c r="P201" s="94">
        <f t="shared" si="42"/>
        <v>167502.46726482303</v>
      </c>
      <c r="Q201" s="180">
        <f t="shared" si="35"/>
        <v>502507.4017944691</v>
      </c>
      <c r="R201">
        <f>IFERROR(VLOOKUP(A201,[1]Energiindhold!$A$2:$C$11,3,FALSE),IFERROR(VLOOKUP(A201,[1]Biogasudbytte!$A$2:$B$18,2,FALSE)*[1]Energiindhold!$C$10,0))*P201</f>
        <v>9.5145769358072327E-2</v>
      </c>
      <c r="S201">
        <f>IF(A201&lt;&gt;"Biogas",IFERROR(VLOOKUP(A201,[1]Biogasudbytte!$A$2:$B$18,2,FALSE)*[1]Energiindhold!$C$10,0)*K201*IFERROR(VLOOKUP(A201,Biogasanlæg!$F$3:$G$8,2,FALSE),1)+IFERROR(VLOOKUP(A201,[1]Energiindhold!$A$2:$C$11,3,FALSE),0)*M201+IF(E201&lt;&gt;År1,R201,0),0)</f>
        <v>0.38058307743228931</v>
      </c>
      <c r="T201">
        <f>IFERROR(VLOOKUP(A201,[1]Biogasudbytte!$A$2:$B$18,2,FALSE)*[1]Energiindhold!$C$10,0)*K201*IFERROR(VLOOKUP(A201,Biogasanlæg!$F$3:$G$8,2,FALSE),1)</f>
        <v>0.28543730807421697</v>
      </c>
      <c r="U201" s="170">
        <f t="shared" si="36"/>
        <v>9.5145769358072341E-2</v>
      </c>
      <c r="V201" s="169">
        <f>P201*IFERROR(VLOOKUP(A201,[1]Tørstofindhold!A$2:B$24,2,FALSE),0)</f>
        <v>7162.972924645961</v>
      </c>
      <c r="W201">
        <f>IF(E201=År1,Q201,SUM(P201,Q201))*IFERROR(VLOOKUP(A201,[1]Tørstofindhold!A$2:B$24,2,FALSE),0)</f>
        <v>28651.891698583844</v>
      </c>
      <c r="X201">
        <f>K201*IFERROR(VLOOKUP(A201,[1]Tørstofindhold!A$2:B$24,2,FALSE),0)</f>
        <v>21488.918773937883</v>
      </c>
      <c r="Y201" s="170">
        <f t="shared" si="37"/>
        <v>7162.972924645961</v>
      </c>
      <c r="Z201">
        <f t="shared" si="43"/>
        <v>0</v>
      </c>
      <c r="AA201">
        <f t="shared" si="44"/>
        <v>1</v>
      </c>
    </row>
    <row r="202" spans="1:27" x14ac:dyDescent="0.25">
      <c r="A202" s="171" t="str">
        <f t="shared" si="39"/>
        <v>Dybstrøelse</v>
      </c>
      <c r="B202" s="171" t="str">
        <f t="shared" si="40"/>
        <v>Husdyrgødning</v>
      </c>
      <c r="C202" s="171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1</v>
      </c>
      <c r="D202" s="171">
        <f t="shared" si="38"/>
        <v>0</v>
      </c>
      <c r="E202" s="171">
        <f t="shared" si="41"/>
        <v>2030</v>
      </c>
      <c r="F202" t="s">
        <v>24</v>
      </c>
      <c r="G202" s="94">
        <f>IF(F202="Vestdanmark",SUMIFS(IF(E202=År1,'Resultater - Vestdanmark'!H$3:H$504,IF(E202=År2,'Resultater - Vestdanmark'!I$3:I$504,'Resultater - Vestdanmark'!J$3:J$504)),'Resultater - Vestdanmark'!$F$3:$F$504,$A202,IF(E202=År1,'Resultater - Vestdanmark'!H$3:H$504,IF(E202=År2,'Resultater - Vestdanmark'!I$3:I$504,'Resultater - Vestdanmark'!J$3:J$504)),"&gt;0"),SUMIFS(IF(E202=År1,'Resultater - Østdanmark'!H$3:H$504,IF(E202=År2,'Resultater - Østdanmark'!I$3:I$504,'Resultater - Østdanmark'!J$3:J$504)),'Resultater - Østdanmark'!$F$3:$F$504,$A202,IF(E202=År1,'Resultater - Østdanmark'!H$3:H$504,IF(E202=År2,'Resultater - Østdanmark'!I$3:I$504,'Resultater - Østdanmark'!J$3:J$504)),"&gt;0"))</f>
        <v>319455.21922250785</v>
      </c>
      <c r="H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forbrug'!H$3,'Forbrug af biomasse'!$B$2:$B$425,$F202)</f>
        <v>0</v>
      </c>
      <c r="I202">
        <f>IF(F202="Vestdanmark",-IF(A202="Halm",SUMIFS(IF(E202=År1,'Resultater - Vestdanmark'!H$3:H$504,IF(E202=År2,'Resultater - Vestdanmark'!I$3:I$504,'Resultater - Vestdanmark'!J$3:J$504)),'Resultater - Vestdanmark'!$F$3:$F$504,$A202,'Resultater - Vestdanmark'!H$3:H$504,"&lt;0"),0),-IF(A202="Halm",SUMIFS(IF(E202=År1,'Resultater - Østdanmark'!H$3:H$504,IF(E202=År2,'Resultater - Østdanmark'!I$3:I$504,'Resultater - Østdanmark'!J$3:J$504)),'Resultater - Østdanmark'!$F$3:$F$504,$A202,'Resultater - Østdanmark'!H$3:H$504,"&lt;0"),0))</f>
        <v>0</v>
      </c>
      <c r="J202" s="94"/>
      <c r="K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forbrug'!K$3,'Forbrug af biomasse'!$B$2:$B$425,$F202)</f>
        <v>239591.41441688087</v>
      </c>
      <c r="L202" s="94">
        <f>SUMIFS('Forbrug af biomasse'!$E$2:$E$425,'Forbrug af biomasse'!$C$2:$C$425,'Resultat-Produktion &amp; forbrug'!$A202,'Forbrug af biomasse'!$D$2:$D$425,'Resultat-Produktion &amp; forbrug'!$E202,'Forbrug af biomasse'!$A$2:$A$425,'Resultat-Produktion &amp; forbrug'!L$3,'Forbrug af biomasse'!$B$2:$B$425,$F202)</f>
        <v>30234.154676415921</v>
      </c>
      <c r="M202" s="94">
        <f>IF(A202&lt;&gt;"Biogas",SUMIFS('Forbrug af biomasse'!$E$2:$E$425,'Forbrug af biomasse'!$C$2:$C$425,'Resultat-Produktion &amp; forbrug'!$A202,'Forbrug af biomasse'!$D$2:$D$425,'Resultat-Produktion &amp; forbrug'!$E202,'Forbrug af biomasse'!$A$2:$A$425,'Resultat-Produktion &amp; forbrug'!M$3,'Forbrug af biomasse'!$B$2:$B$425,$F202),G202)</f>
        <v>0</v>
      </c>
      <c r="N202" s="94">
        <f>SUMIFS('Forbrug af biomasse'!E:E,'Forbrug af biomasse'!C:C,'Resultat-Produktion &amp; forbrug'!$A202,'Forbrug af biomasse'!D:D,'Resultat-Produktion &amp; forbrug'!$E202,'Forbrug af biomasse'!G:G,1,'Forbrug af biomasse'!B:B,$F202)</f>
        <v>0</v>
      </c>
      <c r="O202" s="179">
        <f t="shared" si="34"/>
        <v>49629.650129211077</v>
      </c>
      <c r="P202" s="94">
        <f t="shared" si="42"/>
        <v>49629.650129211077</v>
      </c>
      <c r="Q202" s="180">
        <f t="shared" si="35"/>
        <v>239591.41441688087</v>
      </c>
      <c r="R202">
        <f>IFERROR(VLOOKUP(A202,[1]Energiindhold!$A$2:$C$11,3,FALSE),IFERROR(VLOOKUP(A202,[1]Biogasudbytte!$A$2:$B$18,2,FALSE)*[1]Energiindhold!$C$10,0))*P202</f>
        <v>0.10690226637832066</v>
      </c>
      <c r="S202">
        <f>IF(A202&lt;&gt;"Biogas",IFERROR(VLOOKUP(A202,[1]Biogasudbytte!$A$2:$B$18,2,FALSE)*[1]Energiindhold!$C$10,0)*K202*IFERROR(VLOOKUP(A202,Biogasanlæg!$F$3:$G$8,2,FALSE),1)+IFERROR(VLOOKUP(A202,[1]Energiindhold!$A$2:$C$11,3,FALSE),0)*M202+IF(E202&lt;&gt;År1,R202,0),0)</f>
        <v>0.62298217303228209</v>
      </c>
      <c r="T202">
        <f>IFERROR(VLOOKUP(A202,[1]Biogasudbytte!$A$2:$B$18,2,FALSE)*[1]Energiindhold!$C$10,0)*K202*IFERROR(VLOOKUP(A202,Biogasanlæg!$F$3:$G$8,2,FALSE),1)</f>
        <v>0.51607990665396142</v>
      </c>
      <c r="U202" s="170">
        <f t="shared" si="36"/>
        <v>0.10690226637832068</v>
      </c>
      <c r="V202" s="169">
        <f>P202*IFERROR(VLOOKUP(A202,[1]Tørstofindhold!A$2:B$24,2,FALSE),0)</f>
        <v>14888.895038763323</v>
      </c>
      <c r="W202">
        <f>IF(E202=År1,Q202,SUM(P202,Q202))*IFERROR(VLOOKUP(A202,[1]Tørstofindhold!A$2:B$24,2,FALSE),0)</f>
        <v>86766.319363827584</v>
      </c>
      <c r="X202">
        <f>K202*IFERROR(VLOOKUP(A202,[1]Tørstofindhold!A$2:B$24,2,FALSE),0)</f>
        <v>71877.424325064261</v>
      </c>
      <c r="Y202" s="170">
        <f t="shared" si="37"/>
        <v>14888.895038763323</v>
      </c>
      <c r="Z202">
        <f t="shared" si="43"/>
        <v>0</v>
      </c>
      <c r="AA202">
        <f t="shared" si="44"/>
        <v>1</v>
      </c>
    </row>
    <row r="203" spans="1:27" x14ac:dyDescent="0.25">
      <c r="A203" s="171" t="str">
        <f t="shared" si="39"/>
        <v>Fiberfraktion</v>
      </c>
      <c r="B203" s="171" t="str">
        <f t="shared" si="40"/>
        <v/>
      </c>
      <c r="C203" s="171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0</v>
      </c>
      <c r="D203" s="171">
        <f t="shared" si="38"/>
        <v>0</v>
      </c>
      <c r="E203" s="171">
        <f t="shared" si="41"/>
        <v>2030</v>
      </c>
      <c r="F203" t="s">
        <v>24</v>
      </c>
      <c r="G203" s="94">
        <f>IF(F203="Vestdanmark",SUMIFS(IF(E203=År1,'Resultater - Vestdanmark'!H$3:H$504,IF(E203=År2,'Resultater - Vestdanmark'!I$3:I$504,'Resultater - Vestdanmark'!J$3:J$504)),'Resultater - Vestdanmark'!$F$3:$F$504,$A203,IF(E203=År1,'Resultater - Vestdanmark'!H$3:H$504,IF(E203=År2,'Resultater - Vestdanmark'!I$3:I$504,'Resultater - Vestdanmark'!J$3:J$504)),"&gt;0"),SUMIFS(IF(E203=År1,'Resultater - Østdanmark'!H$3:H$504,IF(E203=År2,'Resultater - Østdanmark'!I$3:I$504,'Resultater - Østdanmark'!J$3:J$504)),'Resultater - Østdanmark'!$F$3:$F$504,$A203,IF(E203=År1,'Resultater - Østdanmark'!H$3:H$504,IF(E203=År2,'Resultater - Østdanmark'!I$3:I$504,'Resultater - Østdanmark'!J$3:J$504)),"&gt;0"))</f>
        <v>471913.51032961637</v>
      </c>
      <c r="H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forbrug'!H$3,'Forbrug af biomasse'!$B$2:$B$425,$F203)</f>
        <v>471697.49771697511</v>
      </c>
      <c r="I203">
        <f>IF(F203="Vestdanmark",-IF(A203="Halm",SUMIFS(IF(E203=År1,'Resultater - Vestdanmark'!H$3:H$504,IF(E203=År2,'Resultater - Vestdanmark'!I$3:I$504,'Resultater - Vestdanmark'!J$3:J$504)),'Resultater - Vestdanmark'!$F$3:$F$504,$A203,'Resultater - Vestdanmark'!H$3:H$504,"&lt;0"),0),-IF(A203="Halm",SUMIFS(IF(E203=År1,'Resultater - Østdanmark'!H$3:H$504,IF(E203=År2,'Resultater - Østdanmark'!I$3:I$504,'Resultater - Østdanmark'!J$3:J$504)),'Resultater - Østdanmark'!$F$3:$F$504,$A203,'Resultater - Østdanmark'!H$3:H$504,"&lt;0"),0))</f>
        <v>0</v>
      </c>
      <c r="J203" s="94"/>
      <c r="K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forbrug'!K$3,'Forbrug af biomasse'!$B$2:$B$425,$F203)</f>
        <v>0</v>
      </c>
      <c r="L203" s="94">
        <f>SUMIFS('Forbrug af biomasse'!$E$2:$E$425,'Forbrug af biomasse'!$C$2:$C$425,'Resultat-Produktion &amp; forbrug'!$A203,'Forbrug af biomasse'!$D$2:$D$425,'Resultat-Produktion &amp; forbrug'!$E203,'Forbrug af biomasse'!$A$2:$A$425,'Resultat-Produktion &amp; forbrug'!L$3,'Forbrug af biomasse'!$B$2:$B$425,$F203)</f>
        <v>0</v>
      </c>
      <c r="M203" s="94">
        <f>IF(A203&lt;&gt;"Biogas",SUMIFS('Forbrug af biomasse'!$E$2:$E$425,'Forbrug af biomasse'!$C$2:$C$425,'Resultat-Produktion &amp; forbrug'!$A203,'Forbrug af biomasse'!$D$2:$D$425,'Resultat-Produktion &amp; forbrug'!$E203,'Forbrug af biomasse'!$A$2:$A$425,'Resultat-Produktion &amp; forbrug'!M$3,'Forbrug af biomasse'!$B$2:$B$425,$F203),G203)</f>
        <v>0</v>
      </c>
      <c r="N203" s="94">
        <f>SUMIFS('Forbrug af biomasse'!E:E,'Forbrug af biomasse'!C:C,'Resultat-Produktion &amp; forbrug'!$A203,'Forbrug af biomasse'!D:D,'Resultat-Produktion &amp; forbrug'!$E203,'Forbrug af biomasse'!G:G,1,'Forbrug af biomasse'!B:B,$F203)</f>
        <v>0</v>
      </c>
      <c r="O203" s="179">
        <f t="shared" si="34"/>
        <v>216.01261264126515</v>
      </c>
      <c r="P203" s="94">
        <f t="shared" si="42"/>
        <v>0</v>
      </c>
      <c r="Q203" s="180">
        <f t="shared" si="35"/>
        <v>0</v>
      </c>
      <c r="R203">
        <f>IFERROR(VLOOKUP(A203,[1]Energiindhold!$A$2:$C$11,3,FALSE),IFERROR(VLOOKUP(A203,[1]Biogasudbytte!$A$2:$B$18,2,FALSE)*[1]Energiindhold!$C$10,0))*P203</f>
        <v>0</v>
      </c>
      <c r="S203">
        <f>IF(A203&lt;&gt;"Biogas",IFERROR(VLOOKUP(A203,[1]Biogasudbytte!$A$2:$B$18,2,FALSE)*[1]Energiindhold!$C$10,0)*K203*IFERROR(VLOOKUP(A203,Biogasanlæg!$F$3:$G$8,2,FALSE),1)+IFERROR(VLOOKUP(A203,[1]Energiindhold!$A$2:$C$11,3,FALSE),0)*M203+IF(E203&lt;&gt;År1,R203,0),0)</f>
        <v>0</v>
      </c>
      <c r="T203">
        <f>IFERROR(VLOOKUP(A203,[1]Biogasudbytte!$A$2:$B$18,2,FALSE)*[1]Energiindhold!$C$10,0)*K203*IFERROR(VLOOKUP(A203,Biogasanlæg!$F$3:$G$8,2,FALSE),1)</f>
        <v>0</v>
      </c>
      <c r="U203" s="170">
        <f t="shared" si="36"/>
        <v>0</v>
      </c>
      <c r="V203" s="169">
        <f>P203*IFERROR(VLOOKUP(A203,[1]Tørstofindhold!A$2:B$24,2,FALSE),0)</f>
        <v>0</v>
      </c>
      <c r="W203">
        <f>IF(E203=År1,Q203,SUM(P203,Q203))*IFERROR(VLOOKUP(A203,[1]Tørstofindhold!A$2:B$24,2,FALSE),0)</f>
        <v>0</v>
      </c>
      <c r="X203">
        <f>K203*IFERROR(VLOOKUP(A203,[1]Tørstofindhold!A$2:B$24,2,FALSE),0)</f>
        <v>0</v>
      </c>
      <c r="Y203" s="170">
        <f t="shared" si="37"/>
        <v>0</v>
      </c>
      <c r="Z203">
        <f t="shared" si="43"/>
        <v>0</v>
      </c>
      <c r="AA203">
        <f t="shared" si="44"/>
        <v>1</v>
      </c>
    </row>
    <row r="204" spans="1:27" x14ac:dyDescent="0.25">
      <c r="A204" s="171" t="str">
        <f t="shared" si="39"/>
        <v>Fjerkrægylle</v>
      </c>
      <c r="B204" s="171" t="str">
        <f t="shared" si="40"/>
        <v>Husdyrgødning</v>
      </c>
      <c r="C204" s="171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1</v>
      </c>
      <c r="D204" s="171">
        <f t="shared" si="38"/>
        <v>0</v>
      </c>
      <c r="E204" s="171">
        <f t="shared" si="41"/>
        <v>2030</v>
      </c>
      <c r="F204" t="s">
        <v>24</v>
      </c>
      <c r="G204" s="94">
        <f>IF(F204="Vestdanmark",SUMIFS(IF(E204=År1,'Resultater - Vestdanmark'!H$3:H$504,IF(E204=År2,'Resultater - Vestdanmark'!I$3:I$504,'Resultater - Vestdanmark'!J$3:J$504)),'Resultater - Vestdanmark'!$F$3:$F$504,$A204,IF(E204=År1,'Resultater - Vestdanmark'!H$3:H$504,IF(E204=År2,'Resultater - Vestdanmark'!I$3:I$504,'Resultater - Vestdanmark'!J$3:J$504)),"&gt;0"),SUMIFS(IF(E204=År1,'Resultater - Østdanmark'!H$3:H$504,IF(E204=År2,'Resultater - Østdanmark'!I$3:I$504,'Resultater - Østdanmark'!J$3:J$504)),'Resultater - Østdanmark'!$F$3:$F$504,$A204,IF(E204=År1,'Resultater - Østdanmark'!H$3:H$504,IF(E204=År2,'Resultater - Østdanmark'!I$3:I$504,'Resultater - Østdanmark'!J$3:J$504)),"&gt;0"))</f>
        <v>687.81855383382072</v>
      </c>
      <c r="H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forbrug'!H$3,'Forbrug af biomasse'!$B$2:$B$425,$F204)</f>
        <v>0</v>
      </c>
      <c r="I204">
        <f>IF(F204="Vestdanmark",-IF(A204="Halm",SUMIFS(IF(E204=År1,'Resultater - Vestdanmark'!H$3:H$504,IF(E204=År2,'Resultater - Vestdanmark'!I$3:I$504,'Resultater - Vestdanmark'!J$3:J$504)),'Resultater - Vestdanmark'!$F$3:$F$504,$A204,'Resultater - Vestdanmark'!H$3:H$504,"&lt;0"),0),-IF(A204="Halm",SUMIFS(IF(E204=År1,'Resultater - Østdanmark'!H$3:H$504,IF(E204=År2,'Resultater - Østdanmark'!I$3:I$504,'Resultater - Østdanmark'!J$3:J$504)),'Resultater - Østdanmark'!$F$3:$F$504,$A204,'Resultater - Østdanmark'!H$3:H$504,"&lt;0"),0))</f>
        <v>0</v>
      </c>
      <c r="J204" s="94"/>
      <c r="K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forbrug'!K$3,'Forbrug af biomasse'!$B$2:$B$425,$F204)</f>
        <v>515.86391537536554</v>
      </c>
      <c r="L204" s="94">
        <f>SUMIFS('Forbrug af biomasse'!$E$2:$E$425,'Forbrug af biomasse'!$C$2:$C$425,'Resultat-Produktion &amp; forbrug'!$A204,'Forbrug af biomasse'!$D$2:$D$425,'Resultat-Produktion &amp; forbrug'!$E204,'Forbrug af biomasse'!$A$2:$A$425,'Resultat-Produktion &amp; forbrug'!L$3,'Forbrug af biomasse'!$B$2:$B$425,$F204)</f>
        <v>171.95463845845521</v>
      </c>
      <c r="M204" s="94">
        <f>IF(A204&lt;&gt;"Biogas",SUMIFS('Forbrug af biomasse'!$E$2:$E$425,'Forbrug af biomasse'!$C$2:$C$425,'Resultat-Produktion &amp; forbrug'!$A204,'Forbrug af biomasse'!$D$2:$D$425,'Resultat-Produktion &amp; forbrug'!$E204,'Forbrug af biomasse'!$A$2:$A$425,'Resultat-Produktion &amp; forbrug'!M$3,'Forbrug af biomasse'!$B$2:$B$425,$F204),G204)</f>
        <v>0</v>
      </c>
      <c r="N204" s="94">
        <f>SUMIFS('Forbrug af biomasse'!E:E,'Forbrug af biomasse'!C:C,'Resultat-Produktion &amp; forbrug'!$A204,'Forbrug af biomasse'!D:D,'Resultat-Produktion &amp; forbrug'!$E204,'Forbrug af biomasse'!G:G,1,'Forbrug af biomasse'!B:B,$F204)</f>
        <v>0</v>
      </c>
      <c r="O204" s="179">
        <f t="shared" si="34"/>
        <v>0</v>
      </c>
      <c r="P204" s="94">
        <f t="shared" si="42"/>
        <v>0</v>
      </c>
      <c r="Q204" s="180">
        <f t="shared" si="35"/>
        <v>515.86391537536554</v>
      </c>
      <c r="R204">
        <f>IFERROR(VLOOKUP(A204,[1]Energiindhold!$A$2:$C$11,3,FALSE),IFERROR(VLOOKUP(A204,[1]Biogasudbytte!$A$2:$B$18,2,FALSE)*[1]Energiindhold!$C$10,0))*P204</f>
        <v>0</v>
      </c>
      <c r="S204">
        <f>IF(A204&lt;&gt;"Biogas",IFERROR(VLOOKUP(A204,[1]Biogasudbytte!$A$2:$B$18,2,FALSE)*[1]Energiindhold!$C$10,0)*K204*IFERROR(VLOOKUP(A204,Biogasanlæg!$F$3:$G$8,2,FALSE),1)+IFERROR(VLOOKUP(A204,[1]Energiindhold!$A$2:$C$11,3,FALSE),0)*M204+IF(E204&lt;&gt;År1,R204,0),0)</f>
        <v>2.4260564076188066E-4</v>
      </c>
      <c r="T204">
        <f>IFERROR(VLOOKUP(A204,[1]Biogasudbytte!$A$2:$B$18,2,FALSE)*[1]Energiindhold!$C$10,0)*K204*IFERROR(VLOOKUP(A204,Biogasanlæg!$F$3:$G$8,2,FALSE),1)</f>
        <v>2.4260564076188066E-4</v>
      </c>
      <c r="U204" s="170">
        <f t="shared" si="36"/>
        <v>0</v>
      </c>
      <c r="V204" s="169">
        <f>P204*IFERROR(VLOOKUP(A204,[1]Tørstofindhold!A$2:B$24,2,FALSE),0)</f>
        <v>0</v>
      </c>
      <c r="W204">
        <f>IF(E204=År1,Q204,SUM(P204,Q204))*IFERROR(VLOOKUP(A204,[1]Tørstofindhold!A$2:B$24,2,FALSE),0)</f>
        <v>32.499426668648027</v>
      </c>
      <c r="X204">
        <f>K204*IFERROR(VLOOKUP(A204,[1]Tørstofindhold!A$2:B$24,2,FALSE),0)</f>
        <v>32.499426668648027</v>
      </c>
      <c r="Y204" s="170">
        <f t="shared" si="37"/>
        <v>0</v>
      </c>
      <c r="Z204">
        <f t="shared" si="43"/>
        <v>0</v>
      </c>
      <c r="AA204">
        <f t="shared" si="44"/>
        <v>0</v>
      </c>
    </row>
    <row r="205" spans="1:27" x14ac:dyDescent="0.25">
      <c r="A205" s="171" t="str">
        <f t="shared" si="39"/>
        <v>Fjerkrækød</v>
      </c>
      <c r="B205" s="171" t="str">
        <f t="shared" si="40"/>
        <v/>
      </c>
      <c r="C205" s="171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71">
        <f t="shared" si="38"/>
        <v>1</v>
      </c>
      <c r="E205" s="171">
        <f t="shared" si="41"/>
        <v>2030</v>
      </c>
      <c r="F205" t="s">
        <v>24</v>
      </c>
      <c r="G205" s="94">
        <f>IF(F205="Vestdanmark",SUMIFS(IF(E205=År1,'Resultater - Vestdanmark'!H$3:H$504,IF(E205=År2,'Resultater - Vestdanmark'!I$3:I$504,'Resultater - Vestdanmark'!J$3:J$504)),'Resultater - Vestdanmark'!$F$3:$F$504,$A205,IF(E205=År1,'Resultater - Vestdanmark'!H$3:H$504,IF(E205=År2,'Resultater - Vestdanmark'!I$3:I$504,'Resultater - Vestdanmark'!J$3:J$504)),"&gt;0"),SUMIFS(IF(E205=År1,'Resultater - Østdanmark'!H$3:H$504,IF(E205=År2,'Resultater - Østdanmark'!I$3:I$504,'Resultater - Østdanmark'!J$3:J$504)),'Resultater - Østdanmark'!$F$3:$F$504,$A205,IF(E205=År1,'Resultater - Østdanmark'!H$3:H$504,IF(E205=År2,'Resultater - Østdanmark'!I$3:I$504,'Resultater - Østdanmark'!J$3:J$504)),"&gt;0"))</f>
        <v>15605.83144011804</v>
      </c>
      <c r="H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forbrug'!H$3,'Forbrug af biomasse'!$B$2:$B$425,$F205)</f>
        <v>0</v>
      </c>
      <c r="I205">
        <f>IF(F205="Vestdanmark",-IF(A205="Halm",SUMIFS(IF(E205=År1,'Resultater - Vestdanmark'!H$3:H$504,IF(E205=År2,'Resultater - Vestdanmark'!I$3:I$504,'Resultater - Vestdanmark'!J$3:J$504)),'Resultater - Vestdanmark'!$F$3:$F$504,$A205,'Resultater - Vestdanmark'!H$3:H$504,"&lt;0"),0),-IF(A205="Halm",SUMIFS(IF(E205=År1,'Resultater - Østdanmark'!H$3:H$504,IF(E205=År2,'Resultater - Østdanmark'!I$3:I$504,'Resultater - Østdanmark'!J$3:J$504)),'Resultater - Østdanmark'!$F$3:$F$504,$A205,'Resultater - Østdanmark'!H$3:H$504,"&lt;0"),0))</f>
        <v>0</v>
      </c>
      <c r="J205" s="94"/>
      <c r="K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forbrug'!K$3,'Forbrug af biomasse'!$B$2:$B$425,$F205)</f>
        <v>0</v>
      </c>
      <c r="L205" s="94">
        <f>SUMIFS('Forbrug af biomasse'!$E$2:$E$425,'Forbrug af biomasse'!$C$2:$C$425,'Resultat-Produktion &amp; forbrug'!$A205,'Forbrug af biomasse'!$D$2:$D$425,'Resultat-Produktion &amp; forbrug'!$E205,'Forbrug af biomasse'!$A$2:$A$425,'Resultat-Produktion &amp; forbrug'!L$3,'Forbrug af biomasse'!$B$2:$B$425,$F205)</f>
        <v>0</v>
      </c>
      <c r="M205" s="94">
        <f>IF(A205&lt;&gt;"Biogas",SUMIFS('Forbrug af biomasse'!$E$2:$E$425,'Forbrug af biomasse'!$C$2:$C$425,'Resultat-Produktion &amp; forbrug'!$A205,'Forbrug af biomasse'!$D$2:$D$425,'Resultat-Produktion &amp; forbrug'!$E205,'Forbrug af biomasse'!$A$2:$A$425,'Resultat-Produktion &amp; forbrug'!M$3,'Forbrug af biomasse'!$B$2:$B$425,$F205),G205)</f>
        <v>0</v>
      </c>
      <c r="N205" s="94">
        <f>SUMIFS('Forbrug af biomasse'!E:E,'Forbrug af biomasse'!C:C,'Resultat-Produktion &amp; forbrug'!$A205,'Forbrug af biomasse'!D:D,'Resultat-Produktion &amp; forbrug'!$E205,'Forbrug af biomasse'!G:G,1,'Forbrug af biomasse'!B:B,$F205)</f>
        <v>0</v>
      </c>
      <c r="O205" s="179">
        <f t="shared" si="34"/>
        <v>15605.83144011804</v>
      </c>
      <c r="P205" s="94">
        <f t="shared" si="42"/>
        <v>0</v>
      </c>
      <c r="Q205" s="180">
        <f t="shared" si="35"/>
        <v>0</v>
      </c>
      <c r="R205">
        <f>IFERROR(VLOOKUP(A205,[1]Energiindhold!$A$2:$C$11,3,FALSE),IFERROR(VLOOKUP(A205,[1]Biogasudbytte!$A$2:$B$18,2,FALSE)*[1]Energiindhold!$C$10,0))*P205</f>
        <v>0</v>
      </c>
      <c r="S205">
        <f>IF(A205&lt;&gt;"Biogas",IFERROR(VLOOKUP(A205,[1]Biogasudbytte!$A$2:$B$18,2,FALSE)*[1]Energiindhold!$C$10,0)*K205*IFERROR(VLOOKUP(A205,Biogasanlæg!$F$3:$G$8,2,FALSE),1)+IFERROR(VLOOKUP(A205,[1]Energiindhold!$A$2:$C$11,3,FALSE),0)*M205+IF(E205&lt;&gt;År1,R205,0),0)</f>
        <v>0</v>
      </c>
      <c r="T205">
        <f>IFERROR(VLOOKUP(A205,[1]Biogasudbytte!$A$2:$B$18,2,FALSE)*[1]Energiindhold!$C$10,0)*K205*IFERROR(VLOOKUP(A205,Biogasanlæg!$F$3:$G$8,2,FALSE),1)</f>
        <v>0</v>
      </c>
      <c r="U205" s="170">
        <f t="shared" si="36"/>
        <v>0</v>
      </c>
      <c r="V205" s="169">
        <f>P205*IFERROR(VLOOKUP(A205,[1]Tørstofindhold!A$2:B$24,2,FALSE),0)</f>
        <v>0</v>
      </c>
      <c r="W205">
        <f>IF(E205=År1,Q205,SUM(P205,Q205))*IFERROR(VLOOKUP(A205,[1]Tørstofindhold!A$2:B$24,2,FALSE),0)</f>
        <v>0</v>
      </c>
      <c r="X205">
        <f>K205*IFERROR(VLOOKUP(A205,[1]Tørstofindhold!A$2:B$24,2,FALSE),0)</f>
        <v>0</v>
      </c>
      <c r="Y205" s="170">
        <f t="shared" si="37"/>
        <v>0</v>
      </c>
      <c r="Z205">
        <f t="shared" si="43"/>
        <v>0</v>
      </c>
      <c r="AA205">
        <f t="shared" si="44"/>
        <v>1</v>
      </c>
    </row>
    <row r="206" spans="1:27" x14ac:dyDescent="0.25">
      <c r="A206" s="171" t="str">
        <f t="shared" si="39"/>
        <v>Frø</v>
      </c>
      <c r="B206" s="171" t="str">
        <f t="shared" si="40"/>
        <v/>
      </c>
      <c r="C206" s="171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71">
        <f t="shared" si="38"/>
        <v>0</v>
      </c>
      <c r="E206" s="171">
        <f t="shared" si="41"/>
        <v>2030</v>
      </c>
      <c r="F206" t="s">
        <v>24</v>
      </c>
      <c r="G206" s="94">
        <f>IF(F206="Vestdanmark",SUMIFS(IF(E206=År1,'Resultater - Vestdanmark'!H$3:H$504,IF(E206=År2,'Resultater - Vestdanmark'!I$3:I$504,'Resultater - Vestdanmark'!J$3:J$504)),'Resultater - Vestdanmark'!$F$3:$F$504,$A206,IF(E206=År1,'Resultater - Vestdanmark'!H$3:H$504,IF(E206=År2,'Resultater - Vestdanmark'!I$3:I$504,'Resultater - Vestdanmark'!J$3:J$504)),"&gt;0"),SUMIFS(IF(E206=År1,'Resultater - Østdanmark'!H$3:H$504,IF(E206=År2,'Resultater - Østdanmark'!I$3:I$504,'Resultater - Østdanmark'!J$3:J$504)),'Resultater - Østdanmark'!$F$3:$F$504,$A206,IF(E206=År1,'Resultater - Østdanmark'!H$3:H$504,IF(E206=År2,'Resultater - Østdanmark'!I$3:I$504,'Resultater - Østdanmark'!J$3:J$504)),"&gt;0"))</f>
        <v>239925.67708956901</v>
      </c>
      <c r="H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forbrug'!H$3,'Forbrug af biomasse'!$B$2:$B$425,$F206)</f>
        <v>0</v>
      </c>
      <c r="I206">
        <f>IF(F206="Vestdanmark",-IF(A206="Halm",SUMIFS(IF(E206=År1,'Resultater - Vestdanmark'!H$3:H$504,IF(E206=År2,'Resultater - Vestdanmark'!I$3:I$504,'Resultater - Vestdanmark'!J$3:J$504)),'Resultater - Vestdanmark'!$F$3:$F$504,$A206,'Resultater - Vestdanmark'!H$3:H$504,"&lt;0"),0),-IF(A206="Halm",SUMIFS(IF(E206=År1,'Resultater - Østdanmark'!H$3:H$504,IF(E206=År2,'Resultater - Østdanmark'!I$3:I$504,'Resultater - Østdanmark'!J$3:J$504)),'Resultater - Østdanmark'!$F$3:$F$504,$A206,'Resultater - Østdanmark'!H$3:H$504,"&lt;0"),0))</f>
        <v>0</v>
      </c>
      <c r="J206" s="94"/>
      <c r="K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forbrug'!K$3,'Forbrug af biomasse'!$B$2:$B$425,$F206)</f>
        <v>0</v>
      </c>
      <c r="L206" s="94">
        <f>SUMIFS('Forbrug af biomasse'!$E$2:$E$425,'Forbrug af biomasse'!$C$2:$C$425,'Resultat-Produktion &amp; forbrug'!$A206,'Forbrug af biomasse'!$D$2:$D$425,'Resultat-Produktion &amp; forbrug'!$E206,'Forbrug af biomasse'!$A$2:$A$425,'Resultat-Produktion &amp; forbrug'!L$3,'Forbrug af biomasse'!$B$2:$B$425,$F206)</f>
        <v>0</v>
      </c>
      <c r="M206" s="94">
        <f>IF(A206&lt;&gt;"Biogas",SUMIFS('Forbrug af biomasse'!$E$2:$E$425,'Forbrug af biomasse'!$C$2:$C$425,'Resultat-Produktion &amp; forbrug'!$A206,'Forbrug af biomasse'!$D$2:$D$425,'Resultat-Produktion &amp; forbrug'!$E206,'Forbrug af biomasse'!$A$2:$A$425,'Resultat-Produktion &amp; forbrug'!M$3,'Forbrug af biomasse'!$B$2:$B$425,$F206),G206)</f>
        <v>0</v>
      </c>
      <c r="N206" s="94">
        <f>SUMIFS('Forbrug af biomasse'!E:E,'Forbrug af biomasse'!C:C,'Resultat-Produktion &amp; forbrug'!$A206,'Forbrug af biomasse'!D:D,'Resultat-Produktion &amp; forbrug'!$E206,'Forbrug af biomasse'!G:G,1,'Forbrug af biomasse'!B:B,$F206)</f>
        <v>0</v>
      </c>
      <c r="O206" s="179">
        <f t="shared" si="34"/>
        <v>239925.67708956901</v>
      </c>
      <c r="P206" s="94">
        <f t="shared" si="42"/>
        <v>0</v>
      </c>
      <c r="Q206" s="180">
        <f t="shared" si="35"/>
        <v>0</v>
      </c>
      <c r="R206">
        <f>IFERROR(VLOOKUP(A206,[1]Energiindhold!$A$2:$C$11,3,FALSE),IFERROR(VLOOKUP(A206,[1]Biogasudbytte!$A$2:$B$18,2,FALSE)*[1]Energiindhold!$C$10,0))*P206</f>
        <v>0</v>
      </c>
      <c r="S206">
        <f>IF(A206&lt;&gt;"Biogas",IFERROR(VLOOKUP(A206,[1]Biogasudbytte!$A$2:$B$18,2,FALSE)*[1]Energiindhold!$C$10,0)*K206*IFERROR(VLOOKUP(A206,Biogasanlæg!$F$3:$G$8,2,FALSE),1)+IFERROR(VLOOKUP(A206,[1]Energiindhold!$A$2:$C$11,3,FALSE),0)*M206+IF(E206&lt;&gt;År1,R206,0),0)</f>
        <v>0</v>
      </c>
      <c r="T206">
        <f>IFERROR(VLOOKUP(A206,[1]Biogasudbytte!$A$2:$B$18,2,FALSE)*[1]Energiindhold!$C$10,0)*K206*IFERROR(VLOOKUP(A206,Biogasanlæg!$F$3:$G$8,2,FALSE),1)</f>
        <v>0</v>
      </c>
      <c r="U206" s="170">
        <f t="shared" si="36"/>
        <v>0</v>
      </c>
      <c r="V206" s="169">
        <f>P206*IFERROR(VLOOKUP(A206,[1]Tørstofindhold!A$2:B$24,2,FALSE),0)</f>
        <v>0</v>
      </c>
      <c r="W206">
        <f>IF(E206=År1,Q206,SUM(P206,Q206))*IFERROR(VLOOKUP(A206,[1]Tørstofindhold!A$2:B$24,2,FALSE),0)</f>
        <v>0</v>
      </c>
      <c r="X206">
        <f>K206*IFERROR(VLOOKUP(A206,[1]Tørstofindhold!A$2:B$24,2,FALSE),0)</f>
        <v>0</v>
      </c>
      <c r="Y206" s="170">
        <f t="shared" si="37"/>
        <v>0</v>
      </c>
      <c r="Z206">
        <f t="shared" si="43"/>
        <v>0</v>
      </c>
      <c r="AA206">
        <f t="shared" si="44"/>
        <v>1</v>
      </c>
    </row>
    <row r="207" spans="1:27" x14ac:dyDescent="0.25">
      <c r="A207" s="171" t="str">
        <f t="shared" si="39"/>
        <v>Frugt</v>
      </c>
      <c r="B207" s="171" t="str">
        <f t="shared" si="40"/>
        <v/>
      </c>
      <c r="C207" s="171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0</v>
      </c>
      <c r="D207" s="171">
        <f t="shared" si="38"/>
        <v>1</v>
      </c>
      <c r="E207" s="171">
        <f t="shared" si="41"/>
        <v>2030</v>
      </c>
      <c r="F207" t="s">
        <v>24</v>
      </c>
      <c r="G207" s="94">
        <f>IF(F207="Vestdanmark",SUMIFS(IF(E207=År1,'Resultater - Vestdanmark'!H$3:H$504,IF(E207=År2,'Resultater - Vestdanmark'!I$3:I$504,'Resultater - Vestdanmark'!J$3:J$504)),'Resultater - Vestdanmark'!$F$3:$F$504,$A207,IF(E207=År1,'Resultater - Vestdanmark'!H$3:H$504,IF(E207=År2,'Resultater - Vestdanmark'!I$3:I$504,'Resultater - Vestdanmark'!J$3:J$504)),"&gt;0"),SUMIFS(IF(E207=År1,'Resultater - Østdanmark'!H$3:H$504,IF(E207=År2,'Resultater - Østdanmark'!I$3:I$504,'Resultater - Østdanmark'!J$3:J$504)),'Resultater - Østdanmark'!$F$3:$F$504,$A207,IF(E207=År1,'Resultater - Østdanmark'!H$3:H$504,IF(E207=År2,'Resultater - Østdanmark'!I$3:I$504,'Resultater - Østdanmark'!J$3:J$504)),"&gt;0"))</f>
        <v>150209.37360134395</v>
      </c>
      <c r="H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forbrug'!H$3,'Forbrug af biomasse'!$B$2:$B$425,$F207)</f>
        <v>0</v>
      </c>
      <c r="I207">
        <f>IF(F207="Vestdanmark",-IF(A207="Halm",SUMIFS(IF(E207=År1,'Resultater - Vestdanmark'!H$3:H$504,IF(E207=År2,'Resultater - Vestdanmark'!I$3:I$504,'Resultater - Vestdanmark'!J$3:J$504)),'Resultater - Vestdanmark'!$F$3:$F$504,$A207,'Resultater - Vestdanmark'!H$3:H$504,"&lt;0"),0),-IF(A207="Halm",SUMIFS(IF(E207=År1,'Resultater - Østdanmark'!H$3:H$504,IF(E207=År2,'Resultater - Østdanmark'!I$3:I$504,'Resultater - Østdanmark'!J$3:J$504)),'Resultater - Østdanmark'!$F$3:$F$504,$A207,'Resultater - Østdanmark'!H$3:H$504,"&lt;0"),0))</f>
        <v>0</v>
      </c>
      <c r="J207" s="94"/>
      <c r="K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forbrug'!K$3,'Forbrug af biomasse'!$B$2:$B$425,$F207)</f>
        <v>0</v>
      </c>
      <c r="L207" s="94">
        <f>SUMIFS('Forbrug af biomasse'!$E$2:$E$425,'Forbrug af biomasse'!$C$2:$C$425,'Resultat-Produktion &amp; forbrug'!$A207,'Forbrug af biomasse'!$D$2:$D$425,'Resultat-Produktion &amp; forbrug'!$E207,'Forbrug af biomasse'!$A$2:$A$425,'Resultat-Produktion &amp; forbrug'!L$3,'Forbrug af biomasse'!$B$2:$B$425,$F207)</f>
        <v>0</v>
      </c>
      <c r="M207" s="94">
        <f>IF(A207&lt;&gt;"Biogas",SUMIFS('Forbrug af biomasse'!$E$2:$E$425,'Forbrug af biomasse'!$C$2:$C$425,'Resultat-Produktion &amp; forbrug'!$A207,'Forbrug af biomasse'!$D$2:$D$425,'Resultat-Produktion &amp; forbrug'!$E207,'Forbrug af biomasse'!$A$2:$A$425,'Resultat-Produktion &amp; forbrug'!M$3,'Forbrug af biomasse'!$B$2:$B$425,$F207),G207)</f>
        <v>0</v>
      </c>
      <c r="N207" s="94">
        <f>SUMIFS('Forbrug af biomasse'!E:E,'Forbrug af biomasse'!C:C,'Resultat-Produktion &amp; forbrug'!$A207,'Forbrug af biomasse'!D:D,'Resultat-Produktion &amp; forbrug'!$E207,'Forbrug af biomasse'!G:G,1,'Forbrug af biomasse'!B:B,$F207)</f>
        <v>0</v>
      </c>
      <c r="O207" s="179">
        <f t="shared" si="34"/>
        <v>150209.37360134395</v>
      </c>
      <c r="P207" s="94">
        <f t="shared" si="42"/>
        <v>0</v>
      </c>
      <c r="Q207" s="180">
        <f t="shared" si="35"/>
        <v>0</v>
      </c>
      <c r="R207">
        <f>IFERROR(VLOOKUP(A207,[1]Energiindhold!$A$2:$C$11,3,FALSE),IFERROR(VLOOKUP(A207,[1]Biogasudbytte!$A$2:$B$18,2,FALSE)*[1]Energiindhold!$C$10,0))*P207</f>
        <v>0</v>
      </c>
      <c r="S207">
        <f>IF(A207&lt;&gt;"Biogas",IFERROR(VLOOKUP(A207,[1]Biogasudbytte!$A$2:$B$18,2,FALSE)*[1]Energiindhold!$C$10,0)*K207*IFERROR(VLOOKUP(A207,Biogasanlæg!$F$3:$G$8,2,FALSE),1)+IFERROR(VLOOKUP(A207,[1]Energiindhold!$A$2:$C$11,3,FALSE),0)*M207+IF(E207&lt;&gt;År1,R207,0),0)</f>
        <v>0</v>
      </c>
      <c r="T207">
        <f>IFERROR(VLOOKUP(A207,[1]Biogasudbytte!$A$2:$B$18,2,FALSE)*[1]Energiindhold!$C$10,0)*K207*IFERROR(VLOOKUP(A207,Biogasanlæg!$F$3:$G$8,2,FALSE),1)</f>
        <v>0</v>
      </c>
      <c r="U207" s="170">
        <f t="shared" si="36"/>
        <v>0</v>
      </c>
      <c r="V207" s="169">
        <f>P207*IFERROR(VLOOKUP(A207,[1]Tørstofindhold!A$2:B$24,2,FALSE),0)</f>
        <v>0</v>
      </c>
      <c r="W207">
        <f>IF(E207=År1,Q207,SUM(P207,Q207))*IFERROR(VLOOKUP(A207,[1]Tørstofindhold!A$2:B$24,2,FALSE),0)</f>
        <v>0</v>
      </c>
      <c r="X207">
        <f>K207*IFERROR(VLOOKUP(A207,[1]Tørstofindhold!A$2:B$24,2,FALSE),0)</f>
        <v>0</v>
      </c>
      <c r="Y207" s="170">
        <f t="shared" si="37"/>
        <v>0</v>
      </c>
      <c r="Z207">
        <f t="shared" si="43"/>
        <v>0</v>
      </c>
      <c r="AA207">
        <f t="shared" si="44"/>
        <v>1</v>
      </c>
    </row>
    <row r="208" spans="1:27" x14ac:dyDescent="0.25">
      <c r="A208" s="171" t="str">
        <f t="shared" si="39"/>
        <v>Glycerin</v>
      </c>
      <c r="B208" s="171" t="str">
        <f t="shared" si="40"/>
        <v>Glycerin</v>
      </c>
      <c r="C208" s="171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71">
        <f t="shared" si="38"/>
        <v>0</v>
      </c>
      <c r="E208" s="171">
        <f t="shared" si="41"/>
        <v>2030</v>
      </c>
      <c r="F208" t="s">
        <v>24</v>
      </c>
      <c r="G208" s="94">
        <f>IF(F208="Vestdanmark",SUMIFS(IF(E208=År1,'Resultater - Vestdanmark'!H$3:H$504,IF(E208=År2,'Resultater - Vestdanmark'!I$3:I$504,'Resultater - Vestdanmark'!J$3:J$504)),'Resultater - Vestdanmark'!$F$3:$F$504,$A208,IF(E208=År1,'Resultater - Vestdanmark'!H$3:H$504,IF(E208=År2,'Resultater - Vestdanmark'!I$3:I$504,'Resultater - Vestdanmark'!J$3:J$504)),"&gt;0"),SUMIFS(IF(E208=År1,'Resultater - Østdanmark'!H$3:H$504,IF(E208=År2,'Resultater - Østdanmark'!I$3:I$504,'Resultater - Østdanmark'!J$3:J$504)),'Resultater - Østdanmark'!$F$3:$F$504,$A208,IF(E208=År1,'Resultater - Østdanmark'!H$3:H$504,IF(E208=År2,'Resultater - Østdanmark'!I$3:I$504,'Resultater - Østdanmark'!J$3:J$504)),"&gt;0"))</f>
        <v>0</v>
      </c>
      <c r="H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forbrug'!H$3,'Forbrug af biomasse'!$B$2:$B$425,$F208)</f>
        <v>0</v>
      </c>
      <c r="I208">
        <f>IF(F208="Vestdanmark",-IF(A208="Halm",SUMIFS(IF(E208=År1,'Resultater - Vestdanmark'!H$3:H$504,IF(E208=År2,'Resultater - Vestdanmark'!I$3:I$504,'Resultater - Vestdanmark'!J$3:J$504)),'Resultater - Vestdanmark'!$F$3:$F$504,$A208,'Resultater - Vestdanmark'!H$3:H$504,"&lt;0"),0),-IF(A208="Halm",SUMIFS(IF(E208=År1,'Resultater - Østdanmark'!H$3:H$504,IF(E208=År2,'Resultater - Østdanmark'!I$3:I$504,'Resultater - Østdanmark'!J$3:J$504)),'Resultater - Østdanmark'!$F$3:$F$504,$A208,'Resultater - Østdanmark'!H$3:H$504,"&lt;0"),0))</f>
        <v>0</v>
      </c>
      <c r="J208" s="94"/>
      <c r="K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forbrug'!K$3,'Forbrug af biomasse'!$B$2:$B$425,$F208)</f>
        <v>0</v>
      </c>
      <c r="L208" s="94">
        <f>SUMIFS('Forbrug af biomasse'!$E$2:$E$425,'Forbrug af biomasse'!$C$2:$C$425,'Resultat-Produktion &amp; forbrug'!$A208,'Forbrug af biomasse'!$D$2:$D$425,'Resultat-Produktion &amp; forbrug'!$E208,'Forbrug af biomasse'!$A$2:$A$425,'Resultat-Produktion &amp; forbrug'!L$3,'Forbrug af biomasse'!$B$2:$B$425,$F208)</f>
        <v>0</v>
      </c>
      <c r="M208" s="94">
        <f>IF(A208&lt;&gt;"Biogas",SUMIFS('Forbrug af biomasse'!$E$2:$E$425,'Forbrug af biomasse'!$C$2:$C$425,'Resultat-Produktion &amp; forbrug'!$A208,'Forbrug af biomasse'!$D$2:$D$425,'Resultat-Produktion &amp; forbrug'!$E208,'Forbrug af biomasse'!$A$2:$A$425,'Resultat-Produktion &amp; forbrug'!M$3,'Forbrug af biomasse'!$B$2:$B$425,$F208),G208)</f>
        <v>0</v>
      </c>
      <c r="N208" s="94">
        <f>SUMIFS('Forbrug af biomasse'!E:E,'Forbrug af biomasse'!C:C,'Resultat-Produktion &amp; forbrug'!$A208,'Forbrug af biomasse'!D:D,'Resultat-Produktion &amp; forbrug'!$E208,'Forbrug af biomasse'!G:G,1,'Forbrug af biomasse'!B:B,$F208)</f>
        <v>0</v>
      </c>
      <c r="O208" s="179">
        <f t="shared" si="34"/>
        <v>0</v>
      </c>
      <c r="P208" s="94">
        <f t="shared" si="42"/>
        <v>0</v>
      </c>
      <c r="Q208" s="180">
        <f t="shared" si="35"/>
        <v>0</v>
      </c>
      <c r="R208">
        <f>IFERROR(VLOOKUP(A208,[1]Energiindhold!$A$2:$C$11,3,FALSE),IFERROR(VLOOKUP(A208,[1]Biogasudbytte!$A$2:$B$18,2,FALSE)*[1]Energiindhold!$C$10,0))*P208</f>
        <v>0</v>
      </c>
      <c r="S208">
        <f>IF(A208&lt;&gt;"Biogas",IFERROR(VLOOKUP(A208,[1]Biogasudbytte!$A$2:$B$18,2,FALSE)*[1]Energiindhold!$C$10,0)*K208*IFERROR(VLOOKUP(A208,Biogasanlæg!$F$3:$G$8,2,FALSE),1)+IFERROR(VLOOKUP(A208,[1]Energiindhold!$A$2:$C$11,3,FALSE),0)*M208+IF(E208&lt;&gt;År1,R208,0),0)</f>
        <v>0</v>
      </c>
      <c r="T208">
        <f>IFERROR(VLOOKUP(A208,[1]Biogasudbytte!$A$2:$B$18,2,FALSE)*[1]Energiindhold!$C$10,0)*K208*IFERROR(VLOOKUP(A208,Biogasanlæg!$F$3:$G$8,2,FALSE),1)</f>
        <v>0</v>
      </c>
      <c r="U208" s="170">
        <f t="shared" si="36"/>
        <v>0</v>
      </c>
      <c r="V208" s="169">
        <f>P208*IFERROR(VLOOKUP(A208,[1]Tørstofindhold!A$2:B$24,2,FALSE),0)</f>
        <v>0</v>
      </c>
      <c r="W208">
        <f>IF(E208=År1,Q208,SUM(P208,Q208))*IFERROR(VLOOKUP(A208,[1]Tørstofindhold!A$2:B$24,2,FALSE),0)</f>
        <v>0</v>
      </c>
      <c r="X208">
        <f>K208*IFERROR(VLOOKUP(A208,[1]Tørstofindhold!A$2:B$24,2,FALSE),0)</f>
        <v>0</v>
      </c>
      <c r="Y208" s="170">
        <f t="shared" si="37"/>
        <v>0</v>
      </c>
      <c r="Z208">
        <f t="shared" si="43"/>
        <v>0</v>
      </c>
      <c r="AA208">
        <f t="shared" si="44"/>
        <v>0</v>
      </c>
    </row>
    <row r="209" spans="1:27" x14ac:dyDescent="0.25">
      <c r="A209" s="171" t="str">
        <f t="shared" si="39"/>
        <v>Græs</v>
      </c>
      <c r="B209" s="171" t="str">
        <f t="shared" si="40"/>
        <v>Græs og urter</v>
      </c>
      <c r="C209" s="171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1</v>
      </c>
      <c r="D209" s="171">
        <f t="shared" si="38"/>
        <v>0</v>
      </c>
      <c r="E209" s="171">
        <f t="shared" si="41"/>
        <v>2030</v>
      </c>
      <c r="F209" t="s">
        <v>24</v>
      </c>
      <c r="G209" s="94">
        <f>IF(F209="Vestdanmark",SUMIFS(IF(E209=År1,'Resultater - Vestdanmark'!H$3:H$504,IF(E209=År2,'Resultater - Vestdanmark'!I$3:I$504,'Resultater - Vestdanmark'!J$3:J$504)),'Resultater - Vestdanmark'!$F$3:$F$504,$A209,IF(E209=År1,'Resultater - Vestdanmark'!H$3:H$504,IF(E209=År2,'Resultater - Vestdanmark'!I$3:I$504,'Resultater - Vestdanmark'!J$3:J$504)),"&gt;0"),SUMIFS(IF(E209=År1,'Resultater - Østdanmark'!H$3:H$504,IF(E209=År2,'Resultater - Østdanmark'!I$3:I$504,'Resultater - Østdanmark'!J$3:J$504)),'Resultater - Østdanmark'!$F$3:$F$504,$A209,IF(E209=År1,'Resultater - Østdanmark'!H$3:H$504,IF(E209=År2,'Resultater - Østdanmark'!I$3:I$504,'Resultater - Østdanmark'!J$3:J$504)),"&gt;0"))</f>
        <v>6569596.6515662586</v>
      </c>
      <c r="H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forbrug'!H$3,'Forbrug af biomasse'!$B$2:$B$425,$F209)</f>
        <v>1285833.6860159934</v>
      </c>
      <c r="I209">
        <f>IF(F209="Vestdanmark",-IF(A209="Halm",SUMIFS(IF(E209=År1,'Resultater - Vestdanmark'!H$3:H$504,IF(E209=År2,'Resultater - Vestdanmark'!I$3:I$504,'Resultater - Vestdanmark'!J$3:J$504)),'Resultater - Vestdanmark'!$F$3:$F$504,$A209,'Resultater - Vestdanmark'!H$3:H$504,"&lt;0"),0),-IF(A209="Halm",SUMIFS(IF(E209=År1,'Resultater - Østdanmark'!H$3:H$504,IF(E209=År2,'Resultater - Østdanmark'!I$3:I$504,'Resultater - Østdanmark'!J$3:J$504)),'Resultater - Østdanmark'!$F$3:$F$504,$A209,'Resultater - Østdanmark'!H$3:H$504,"&lt;0"),0))</f>
        <v>0</v>
      </c>
      <c r="J209" s="94"/>
      <c r="K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forbrug'!K$3,'Forbrug af biomasse'!$B$2:$B$425,$F209)</f>
        <v>0</v>
      </c>
      <c r="L209" s="94">
        <f>SUMIFS('Forbrug af biomasse'!$E$2:$E$425,'Forbrug af biomasse'!$C$2:$C$425,'Resultat-Produktion &amp; forbrug'!$A209,'Forbrug af biomasse'!$D$2:$D$425,'Resultat-Produktion &amp; forbrug'!$E209,'Forbrug af biomasse'!$A$2:$A$425,'Resultat-Produktion &amp; forbrug'!L$3,'Forbrug af biomasse'!$B$2:$B$425,$F209)</f>
        <v>0</v>
      </c>
      <c r="M209" s="94">
        <f>IF(A209&lt;&gt;"Biogas",SUMIFS('Forbrug af biomasse'!$E$2:$E$425,'Forbrug af biomasse'!$C$2:$C$425,'Resultat-Produktion &amp; forbrug'!$A209,'Forbrug af biomasse'!$D$2:$D$425,'Resultat-Produktion &amp; forbrug'!$E209,'Forbrug af biomasse'!$A$2:$A$425,'Resultat-Produktion &amp; forbrug'!M$3,'Forbrug af biomasse'!$B$2:$B$425,$F209),G209)</f>
        <v>0</v>
      </c>
      <c r="N209" s="94">
        <f>SUMIFS('Forbrug af biomasse'!E:E,'Forbrug af biomasse'!C:C,'Resultat-Produktion &amp; forbrug'!$A209,'Forbrug af biomasse'!D:D,'Resultat-Produktion &amp; forbrug'!$E209,'Forbrug af biomasse'!G:G,1,'Forbrug af biomasse'!B:B,$F209)</f>
        <v>1371138.5129775794</v>
      </c>
      <c r="O209" s="179">
        <f t="shared" si="34"/>
        <v>3912624.4525726857</v>
      </c>
      <c r="P209" s="94">
        <f t="shared" si="42"/>
        <v>3912624.4525726857</v>
      </c>
      <c r="Q209" s="180">
        <f t="shared" si="35"/>
        <v>0</v>
      </c>
      <c r="R209">
        <f>IFERROR(VLOOKUP(A209,[1]Energiindhold!$A$2:$C$11,3,FALSE),IFERROR(VLOOKUP(A209,[1]Biogasudbytte!$A$2:$B$18,2,FALSE)*[1]Energiindhold!$C$10,0))*P209</f>
        <v>7.1987399146771702</v>
      </c>
      <c r="S209">
        <f>IF(A209&lt;&gt;"Biogas",IFERROR(VLOOKUP(A209,[1]Biogasudbytte!$A$2:$B$18,2,FALSE)*[1]Energiindhold!$C$10,0)*K209*IFERROR(VLOOKUP(A209,Biogasanlæg!$F$3:$G$8,2,FALSE),1)+IFERROR(VLOOKUP(A209,[1]Energiindhold!$A$2:$C$11,3,FALSE),0)*M209+IF(E209&lt;&gt;År1,R209,0),0)</f>
        <v>7.1987399146771702</v>
      </c>
      <c r="T209">
        <f>IFERROR(VLOOKUP(A209,[1]Biogasudbytte!$A$2:$B$18,2,FALSE)*[1]Energiindhold!$C$10,0)*K209*IFERROR(VLOOKUP(A209,Biogasanlæg!$F$3:$G$8,2,FALSE),1)</f>
        <v>0</v>
      </c>
      <c r="U209" s="170">
        <f t="shared" si="36"/>
        <v>7.1987399146771702</v>
      </c>
      <c r="V209" s="169">
        <f>P209*IFERROR(VLOOKUP(A209,[1]Tørstofindhold!A$2:B$24,2,FALSE),0)</f>
        <v>1095534.8467203521</v>
      </c>
      <c r="W209">
        <f>IF(E209=År1,Q209,SUM(P209,Q209))*IFERROR(VLOOKUP(A209,[1]Tørstofindhold!A$2:B$24,2,FALSE),0)</f>
        <v>1095534.8467203521</v>
      </c>
      <c r="X209">
        <f>K209*IFERROR(VLOOKUP(A209,[1]Tørstofindhold!A$2:B$24,2,FALSE),0)</f>
        <v>0</v>
      </c>
      <c r="Y209" s="170">
        <f t="shared" si="37"/>
        <v>1095534.8467203521</v>
      </c>
      <c r="Z209">
        <f t="shared" si="43"/>
        <v>0</v>
      </c>
      <c r="AA209">
        <f t="shared" si="44"/>
        <v>1</v>
      </c>
    </row>
    <row r="210" spans="1:27" x14ac:dyDescent="0.25">
      <c r="A210" s="171" t="str">
        <f t="shared" si="39"/>
        <v>Græsprotein</v>
      </c>
      <c r="B210" s="171" t="str">
        <f t="shared" si="40"/>
        <v/>
      </c>
      <c r="C210" s="171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71">
        <f t="shared" si="38"/>
        <v>0</v>
      </c>
      <c r="E210" s="171">
        <f t="shared" si="41"/>
        <v>2030</v>
      </c>
      <c r="F210" t="s">
        <v>24</v>
      </c>
      <c r="G210" s="94">
        <f>IF(F210="Vestdanmark",SUMIFS(IF(E210=År1,'Resultater - Vestdanmark'!H$3:H$504,IF(E210=År2,'Resultater - Vestdanmark'!I$3:I$504,'Resultater - Vestdanmark'!J$3:J$504)),'Resultater - Vestdanmark'!$F$3:$F$504,$A210,IF(E210=År1,'Resultater - Vestdanmark'!H$3:H$504,IF(E210=År2,'Resultater - Vestdanmark'!I$3:I$504,'Resultater - Vestdanmark'!J$3:J$504)),"&gt;0"),SUMIFS(IF(E210=År1,'Resultater - Østdanmark'!H$3:H$504,IF(E210=År2,'Resultater - Østdanmark'!I$3:I$504,'Resultater - Østdanmark'!J$3:J$504)),'Resultater - Østdanmark'!$F$3:$F$504,$A210,IF(E210=År1,'Resultater - Østdanmark'!H$3:H$504,IF(E210=År2,'Resultater - Østdanmark'!I$3:I$504,'Resultater - Østdanmark'!J$3:J$504)),"&gt;0"))</f>
        <v>229215.13358867078</v>
      </c>
      <c r="H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forbrug'!H$3,'Forbrug af biomasse'!$B$2:$B$425,$F210)</f>
        <v>229215.13358867078</v>
      </c>
      <c r="I210">
        <f>IF(F210="Vestdanmark",-IF(A210="Halm",SUMIFS(IF(E210=År1,'Resultater - Vestdanmark'!H$3:H$504,IF(E210=År2,'Resultater - Vestdanmark'!I$3:I$504,'Resultater - Vestdanmark'!J$3:J$504)),'Resultater - Vestdanmark'!$F$3:$F$504,$A210,'Resultater - Vestdanmark'!H$3:H$504,"&lt;0"),0),-IF(A210="Halm",SUMIFS(IF(E210=År1,'Resultater - Østdanmark'!H$3:H$504,IF(E210=År2,'Resultater - Østdanmark'!I$3:I$504,'Resultater - Østdanmark'!J$3:J$504)),'Resultater - Østdanmark'!$F$3:$F$504,$A210,'Resultater - Østdanmark'!H$3:H$504,"&lt;0"),0))</f>
        <v>0</v>
      </c>
      <c r="J210" s="94"/>
      <c r="K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forbrug'!K$3,'Forbrug af biomasse'!$B$2:$B$425,$F210)</f>
        <v>0</v>
      </c>
      <c r="L210" s="94">
        <f>SUMIFS('Forbrug af biomasse'!$E$2:$E$425,'Forbrug af biomasse'!$C$2:$C$425,'Resultat-Produktion &amp; forbrug'!$A210,'Forbrug af biomasse'!$D$2:$D$425,'Resultat-Produktion &amp; forbrug'!$E210,'Forbrug af biomasse'!$A$2:$A$425,'Resultat-Produktion &amp; forbrug'!L$3,'Forbrug af biomasse'!$B$2:$B$425,$F210)</f>
        <v>0</v>
      </c>
      <c r="M210" s="94">
        <f>IF(A210&lt;&gt;"Biogas",SUMIFS('Forbrug af biomasse'!$E$2:$E$425,'Forbrug af biomasse'!$C$2:$C$425,'Resultat-Produktion &amp; forbrug'!$A210,'Forbrug af biomasse'!$D$2:$D$425,'Resultat-Produktion &amp; forbrug'!$E210,'Forbrug af biomasse'!$A$2:$A$425,'Resultat-Produktion &amp; forbrug'!M$3,'Forbrug af biomasse'!$B$2:$B$425,$F210),G210)</f>
        <v>0</v>
      </c>
      <c r="N210" s="94">
        <f>SUMIFS('Forbrug af biomasse'!E:E,'Forbrug af biomasse'!C:C,'Resultat-Produktion &amp; forbrug'!$A210,'Forbrug af biomasse'!D:D,'Resultat-Produktion &amp; forbrug'!$E210,'Forbrug af biomasse'!G:G,1,'Forbrug af biomasse'!B:B,$F210)</f>
        <v>0</v>
      </c>
      <c r="O210" s="179">
        <f t="shared" si="34"/>
        <v>0</v>
      </c>
      <c r="P210" s="94">
        <f t="shared" si="42"/>
        <v>0</v>
      </c>
      <c r="Q210" s="180">
        <f t="shared" si="35"/>
        <v>0</v>
      </c>
      <c r="R210">
        <f>IFERROR(VLOOKUP(A210,[1]Energiindhold!$A$2:$C$11,3,FALSE),IFERROR(VLOOKUP(A210,[1]Biogasudbytte!$A$2:$B$18,2,FALSE)*[1]Energiindhold!$C$10,0))*P210</f>
        <v>0</v>
      </c>
      <c r="S210">
        <f>IF(A210&lt;&gt;"Biogas",IFERROR(VLOOKUP(A210,[1]Biogasudbytte!$A$2:$B$18,2,FALSE)*[1]Energiindhold!$C$10,0)*K210*IFERROR(VLOOKUP(A210,Biogasanlæg!$F$3:$G$8,2,FALSE),1)+IFERROR(VLOOKUP(A210,[1]Energiindhold!$A$2:$C$11,3,FALSE),0)*M210+IF(E210&lt;&gt;År1,R210,0),0)</f>
        <v>0</v>
      </c>
      <c r="T210">
        <f>IFERROR(VLOOKUP(A210,[1]Biogasudbytte!$A$2:$B$18,2,FALSE)*[1]Energiindhold!$C$10,0)*K210*IFERROR(VLOOKUP(A210,Biogasanlæg!$F$3:$G$8,2,FALSE),1)</f>
        <v>0</v>
      </c>
      <c r="U210" s="170">
        <f t="shared" si="36"/>
        <v>0</v>
      </c>
      <c r="V210" s="169">
        <f>P210*IFERROR(VLOOKUP(A210,[1]Tørstofindhold!A$2:B$24,2,FALSE),0)</f>
        <v>0</v>
      </c>
      <c r="W210">
        <f>IF(E210=År1,Q210,SUM(P210,Q210))*IFERROR(VLOOKUP(A210,[1]Tørstofindhold!A$2:B$24,2,FALSE),0)</f>
        <v>0</v>
      </c>
      <c r="X210">
        <f>K210*IFERROR(VLOOKUP(A210,[1]Tørstofindhold!A$2:B$24,2,FALSE),0)</f>
        <v>0</v>
      </c>
      <c r="Y210" s="170">
        <f t="shared" si="37"/>
        <v>0</v>
      </c>
      <c r="Z210">
        <f t="shared" si="43"/>
        <v>0</v>
      </c>
      <c r="AA210">
        <f t="shared" si="44"/>
        <v>0</v>
      </c>
    </row>
    <row r="211" spans="1:27" x14ac:dyDescent="0.25">
      <c r="A211" s="171" t="str">
        <f t="shared" si="39"/>
        <v>Grøntsager</v>
      </c>
      <c r="B211" s="171" t="str">
        <f t="shared" si="40"/>
        <v/>
      </c>
      <c r="C211" s="171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0</v>
      </c>
      <c r="D211" s="171">
        <f t="shared" si="38"/>
        <v>1</v>
      </c>
      <c r="E211" s="171">
        <f t="shared" si="41"/>
        <v>2030</v>
      </c>
      <c r="F211" t="s">
        <v>24</v>
      </c>
      <c r="G211" s="94">
        <f>IF(F211="Vestdanmark",SUMIFS(IF(E211=År1,'Resultater - Vestdanmark'!H$3:H$504,IF(E211=År2,'Resultater - Vestdanmark'!I$3:I$504,'Resultater - Vestdanmark'!J$3:J$504)),'Resultater - Vestdanmark'!$F$3:$F$504,$A211,IF(E211=År1,'Resultater - Vestdanmark'!H$3:H$504,IF(E211=År2,'Resultater - Vestdanmark'!I$3:I$504,'Resultater - Vestdanmark'!J$3:J$504)),"&gt;0"),SUMIFS(IF(E211=År1,'Resultater - Østdanmark'!H$3:H$504,IF(E211=År2,'Resultater - Østdanmark'!I$3:I$504,'Resultater - Østdanmark'!J$3:J$504)),'Resultater - Østdanmark'!$F$3:$F$504,$A211,IF(E211=År1,'Resultater - Østdanmark'!H$3:H$504,IF(E211=År2,'Resultater - Østdanmark'!I$3:I$504,'Resultater - Østdanmark'!J$3:J$504)),"&gt;0"))</f>
        <v>98055.31431785204</v>
      </c>
      <c r="H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forbrug'!H$3,'Forbrug af biomasse'!$B$2:$B$425,$F211)</f>
        <v>0</v>
      </c>
      <c r="I211">
        <f>IF(F211="Vestdanmark",-IF(A211="Halm",SUMIFS(IF(E211=År1,'Resultater - Vestdanmark'!H$3:H$504,IF(E211=År2,'Resultater - Vestdanmark'!I$3:I$504,'Resultater - Vestdanmark'!J$3:J$504)),'Resultater - Vestdanmark'!$F$3:$F$504,$A211,'Resultater - Vestdanmark'!H$3:H$504,"&lt;0"),0),-IF(A211="Halm",SUMIFS(IF(E211=År1,'Resultater - Østdanmark'!H$3:H$504,IF(E211=År2,'Resultater - Østdanmark'!I$3:I$504,'Resultater - Østdanmark'!J$3:J$504)),'Resultater - Østdanmark'!$F$3:$F$504,$A211,'Resultater - Østdanmark'!H$3:H$504,"&lt;0"),0))</f>
        <v>0</v>
      </c>
      <c r="J211" s="94"/>
      <c r="K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forbrug'!K$3,'Forbrug af biomasse'!$B$2:$B$425,$F211)</f>
        <v>0</v>
      </c>
      <c r="L211" s="94">
        <f>SUMIFS('Forbrug af biomasse'!$E$2:$E$425,'Forbrug af biomasse'!$C$2:$C$425,'Resultat-Produktion &amp; forbrug'!$A211,'Forbrug af biomasse'!$D$2:$D$425,'Resultat-Produktion &amp; forbrug'!$E211,'Forbrug af biomasse'!$A$2:$A$425,'Resultat-Produktion &amp; forbrug'!L$3,'Forbrug af biomasse'!$B$2:$B$425,$F211)</f>
        <v>0</v>
      </c>
      <c r="M211" s="94">
        <f>IF(A211&lt;&gt;"Biogas",SUMIFS('Forbrug af biomasse'!$E$2:$E$425,'Forbrug af biomasse'!$C$2:$C$425,'Resultat-Produktion &amp; forbrug'!$A211,'Forbrug af biomasse'!$D$2:$D$425,'Resultat-Produktion &amp; forbrug'!$E211,'Forbrug af biomasse'!$A$2:$A$425,'Resultat-Produktion &amp; forbrug'!M$3,'Forbrug af biomasse'!$B$2:$B$425,$F211),G211)</f>
        <v>0</v>
      </c>
      <c r="N211" s="94">
        <f>SUMIFS('Forbrug af biomasse'!E:E,'Forbrug af biomasse'!C:C,'Resultat-Produktion &amp; forbrug'!$A211,'Forbrug af biomasse'!D:D,'Resultat-Produktion &amp; forbrug'!$E211,'Forbrug af biomasse'!G:G,1,'Forbrug af biomasse'!B:B,$F211)</f>
        <v>0</v>
      </c>
      <c r="O211" s="179">
        <f t="shared" si="34"/>
        <v>98055.31431785204</v>
      </c>
      <c r="P211" s="94">
        <f t="shared" si="42"/>
        <v>0</v>
      </c>
      <c r="Q211" s="180">
        <f t="shared" si="35"/>
        <v>0</v>
      </c>
      <c r="R211">
        <f>IFERROR(VLOOKUP(A211,[1]Energiindhold!$A$2:$C$11,3,FALSE),IFERROR(VLOOKUP(A211,[1]Biogasudbytte!$A$2:$B$18,2,FALSE)*[1]Energiindhold!$C$10,0))*P211</f>
        <v>0</v>
      </c>
      <c r="S211">
        <f>IF(A211&lt;&gt;"Biogas",IFERROR(VLOOKUP(A211,[1]Biogasudbytte!$A$2:$B$18,2,FALSE)*[1]Energiindhold!$C$10,0)*K211*IFERROR(VLOOKUP(A211,Biogasanlæg!$F$3:$G$8,2,FALSE),1)+IFERROR(VLOOKUP(A211,[1]Energiindhold!$A$2:$C$11,3,FALSE),0)*M211+IF(E211&lt;&gt;År1,R211,0),0)</f>
        <v>0</v>
      </c>
      <c r="T211">
        <f>IFERROR(VLOOKUP(A211,[1]Biogasudbytte!$A$2:$B$18,2,FALSE)*[1]Energiindhold!$C$10,0)*K211*IFERROR(VLOOKUP(A211,Biogasanlæg!$F$3:$G$8,2,FALSE),1)</f>
        <v>0</v>
      </c>
      <c r="U211" s="170">
        <f t="shared" si="36"/>
        <v>0</v>
      </c>
      <c r="V211" s="169">
        <f>P211*IFERROR(VLOOKUP(A211,[1]Tørstofindhold!A$2:B$24,2,FALSE),0)</f>
        <v>0</v>
      </c>
      <c r="W211">
        <f>IF(E211=År1,Q211,SUM(P211,Q211))*IFERROR(VLOOKUP(A211,[1]Tørstofindhold!A$2:B$24,2,FALSE),0)</f>
        <v>0</v>
      </c>
      <c r="X211">
        <f>K211*IFERROR(VLOOKUP(A211,[1]Tørstofindhold!A$2:B$24,2,FALSE),0)</f>
        <v>0</v>
      </c>
      <c r="Y211" s="170">
        <f t="shared" si="37"/>
        <v>0</v>
      </c>
      <c r="Z211">
        <f t="shared" si="43"/>
        <v>0</v>
      </c>
      <c r="AA211">
        <f t="shared" si="44"/>
        <v>1</v>
      </c>
    </row>
    <row r="212" spans="1:27" x14ac:dyDescent="0.25">
      <c r="A212" s="171" t="str">
        <f t="shared" si="39"/>
        <v>Halm</v>
      </c>
      <c r="B212" s="171" t="str">
        <f t="shared" si="40"/>
        <v>Halm og strå</v>
      </c>
      <c r="C212" s="171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71">
        <f t="shared" si="38"/>
        <v>0</v>
      </c>
      <c r="E212" s="171">
        <f t="shared" si="41"/>
        <v>2030</v>
      </c>
      <c r="F212" t="s">
        <v>24</v>
      </c>
      <c r="G212" s="94">
        <f>IF(F212="Vestdanmark",SUMIFS(IF(E212=År1,'Resultater - Vestdanmark'!H$3:H$504,IF(E212=År2,'Resultater - Vestdanmark'!I$3:I$504,'Resultater - Vestdanmark'!J$3:J$504)),'Resultater - Vestdanmark'!$F$3:$F$504,$A212,IF(E212=År1,'Resultater - Vestdanmark'!H$3:H$504,IF(E212=År2,'Resultater - Vestdanmark'!I$3:I$504,'Resultater - Vestdanmark'!J$3:J$504)),"&gt;0"),SUMIFS(IF(E212=År1,'Resultater - Østdanmark'!H$3:H$504,IF(E212=År2,'Resultater - Østdanmark'!I$3:I$504,'Resultater - Østdanmark'!J$3:J$504)),'Resultater - Østdanmark'!$F$3:$F$504,$A212,IF(E212=År1,'Resultater - Østdanmark'!H$3:H$504,IF(E212=År2,'Resultater - Østdanmark'!I$3:I$504,'Resultater - Østdanmark'!J$3:J$504)),"&gt;0"))</f>
        <v>675411.68414554815</v>
      </c>
      <c r="H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forbrug'!H$3,'Forbrug af biomasse'!$B$2:$B$425,$F212)</f>
        <v>65382.695454513305</v>
      </c>
      <c r="I212">
        <f>IF(F212="Vestdanmark",-IF(A212="Halm",SUMIFS(IF(E212=År1,'Resultater - Vestdanmark'!H$3:H$504,IF(E212=År2,'Resultater - Vestdanmark'!I$3:I$504,'Resultater - Vestdanmark'!J$3:J$504)),'Resultater - Vestdanmark'!$F$3:$F$504,$A212,'Resultater - Vestdanmark'!H$3:H$504,"&lt;0"),0),-IF(A212="Halm",SUMIFS(IF(E212=År1,'Resultater - Østdanmark'!H$3:H$504,IF(E212=År2,'Resultater - Østdanmark'!I$3:I$504,'Resultater - Østdanmark'!J$3:J$504)),'Resultater - Østdanmark'!$F$3:$F$504,$A212,'Resultater - Østdanmark'!H$3:H$504,"&lt;0"),0))</f>
        <v>96176.474947143986</v>
      </c>
      <c r="J212" s="94"/>
      <c r="K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forbrug'!K$3,'Forbrug af biomasse'!$B$2:$B$425,$F212)</f>
        <v>0</v>
      </c>
      <c r="L212" s="94">
        <f>SUMIFS('Forbrug af biomasse'!$E$2:$E$425,'Forbrug af biomasse'!$C$2:$C$425,'Resultat-Produktion &amp; forbrug'!$A212,'Forbrug af biomasse'!$D$2:$D$425,'Resultat-Produktion &amp; forbrug'!$E212,'Forbrug af biomasse'!$A$2:$A$425,'Resultat-Produktion &amp; forbrug'!L$3,'Forbrug af biomasse'!$B$2:$B$425,$F212)</f>
        <v>0</v>
      </c>
      <c r="M212" s="94">
        <f>IF(A212&lt;&gt;"Biogas",SUMIFS('Forbrug af biomasse'!$E$2:$E$425,'Forbrug af biomasse'!$C$2:$C$425,'Resultat-Produktion &amp; forbrug'!$A212,'Forbrug af biomasse'!$D$2:$D$425,'Resultat-Produktion &amp; forbrug'!$E212,'Forbrug af biomasse'!$A$2:$A$425,'Resultat-Produktion &amp; forbrug'!M$3,'Forbrug af biomasse'!$B$2:$B$425,$F212),G212)</f>
        <v>513852.51374389092</v>
      </c>
      <c r="N212" s="94">
        <f>SUMIFS('Forbrug af biomasse'!E:E,'Forbrug af biomasse'!C:C,'Resultat-Produktion &amp; forbrug'!$A212,'Forbrug af biomasse'!D:D,'Resultat-Produktion &amp; forbrug'!$E212,'Forbrug af biomasse'!G:G,1,'Forbrug af biomasse'!B:B,$F212)</f>
        <v>0</v>
      </c>
      <c r="O212" s="179">
        <f t="shared" si="34"/>
        <v>0</v>
      </c>
      <c r="P212" s="94">
        <f t="shared" si="42"/>
        <v>0</v>
      </c>
      <c r="Q212" s="180">
        <f t="shared" si="35"/>
        <v>513852.51374389092</v>
      </c>
      <c r="R212">
        <f>IFERROR(VLOOKUP(A212,[1]Energiindhold!$A$2:$C$11,3,FALSE),IFERROR(VLOOKUP(A212,[1]Biogasudbytte!$A$2:$B$18,2,FALSE)*[1]Energiindhold!$C$10,0))*P212</f>
        <v>0</v>
      </c>
      <c r="S212">
        <f>IF(A212&lt;&gt;"Biogas",IFERROR(VLOOKUP(A212,[1]Biogasudbytte!$A$2:$B$18,2,FALSE)*[1]Energiindhold!$C$10,0)*K212*IFERROR(VLOOKUP(A212,Biogasanlæg!$F$3:$G$8,2,FALSE),1)+IFERROR(VLOOKUP(A212,[1]Energiindhold!$A$2:$C$11,3,FALSE),0)*M212+IF(E212&lt;&gt;År1,R212,0),0)</f>
        <v>5.3110800689342366</v>
      </c>
      <c r="T212">
        <f>IFERROR(VLOOKUP(A212,[1]Biogasudbytte!$A$2:$B$18,2,FALSE)*[1]Energiindhold!$C$10,0)*K212*IFERROR(VLOOKUP(A212,Biogasanlæg!$F$3:$G$8,2,FALSE),1)</f>
        <v>0</v>
      </c>
      <c r="U212" s="170">
        <f t="shared" si="36"/>
        <v>5.3110800689342366</v>
      </c>
      <c r="V212" s="169">
        <f>P212*IFERROR(VLOOKUP(A212,[1]Tørstofindhold!A$2:B$24,2,FALSE),0)</f>
        <v>0</v>
      </c>
      <c r="W212">
        <f>IF(E212=År1,Q212,SUM(P212,Q212))*IFERROR(VLOOKUP(A212,[1]Tørstofindhold!A$2:B$24,2,FALSE),0)</f>
        <v>436774.63668230729</v>
      </c>
      <c r="X212">
        <f>K212*IFERROR(VLOOKUP(A212,[1]Tørstofindhold!A$2:B$24,2,FALSE),0)</f>
        <v>0</v>
      </c>
      <c r="Y212" s="170">
        <f t="shared" si="37"/>
        <v>436774.63668230729</v>
      </c>
      <c r="Z212">
        <f t="shared" si="43"/>
        <v>0</v>
      </c>
      <c r="AA212">
        <f t="shared" si="44"/>
        <v>0</v>
      </c>
    </row>
    <row r="213" spans="1:27" x14ac:dyDescent="0.25">
      <c r="A213" s="171" t="str">
        <f t="shared" si="39"/>
        <v>Have/parkaffald</v>
      </c>
      <c r="B213" s="171" t="str">
        <f t="shared" si="40"/>
        <v>Bionedbrydeligt affald</v>
      </c>
      <c r="C213" s="171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1</v>
      </c>
      <c r="D213" s="171">
        <f t="shared" si="38"/>
        <v>0</v>
      </c>
      <c r="E213" s="171">
        <f t="shared" si="41"/>
        <v>2030</v>
      </c>
      <c r="F213" t="s">
        <v>24</v>
      </c>
      <c r="G213" s="94">
        <f>IF(F213="Vestdanmark",SUMIFS(IF(E213=År1,'Resultater - Vestdanmark'!H$3:H$504,IF(E213=År2,'Resultater - Vestdanmark'!I$3:I$504,'Resultater - Vestdanmark'!J$3:J$504)),'Resultater - Vestdanmark'!$F$3:$F$504,$A213,IF(E213=År1,'Resultater - Vestdanmark'!H$3:H$504,IF(E213=År2,'Resultater - Vestdanmark'!I$3:I$504,'Resultater - Vestdanmark'!J$3:J$504)),"&gt;0"),SUMIFS(IF(E213=År1,'Resultater - Østdanmark'!H$3:H$504,IF(E213=År2,'Resultater - Østdanmark'!I$3:I$504,'Resultater - Østdanmark'!J$3:J$504)),'Resultater - Østdanmark'!$F$3:$F$504,$A213,IF(E213=År1,'Resultater - Østdanmark'!H$3:H$504,IF(E213=År2,'Resultater - Østdanmark'!I$3:I$504,'Resultater - Østdanmark'!J$3:J$504)),"&gt;0"))</f>
        <v>456074.89013160887</v>
      </c>
      <c r="H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forbrug'!H$3,'Forbrug af biomasse'!$B$2:$B$425,$F213)</f>
        <v>0</v>
      </c>
      <c r="I213">
        <f>IF(F213="Vestdanmark",-IF(A213="Halm",SUMIFS(IF(E213=År1,'Resultater - Vestdanmark'!H$3:H$504,IF(E213=År2,'Resultater - Vestdanmark'!I$3:I$504,'Resultater - Vestdanmark'!J$3:J$504)),'Resultater - Vestdanmark'!$F$3:$F$504,$A213,'Resultater - Vestdanmark'!H$3:H$504,"&lt;0"),0),-IF(A213="Halm",SUMIFS(IF(E213=År1,'Resultater - Østdanmark'!H$3:H$504,IF(E213=År2,'Resultater - Østdanmark'!I$3:I$504,'Resultater - Østdanmark'!J$3:J$504)),'Resultater - Østdanmark'!$F$3:$F$504,$A213,'Resultater - Østdanmark'!H$3:H$504,"&lt;0"),0))</f>
        <v>0</v>
      </c>
      <c r="J213" s="94"/>
      <c r="K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forbrug'!K$3,'Forbrug af biomasse'!$B$2:$B$425,$F213)</f>
        <v>0</v>
      </c>
      <c r="L213" s="94">
        <f>SUMIFS('Forbrug af biomasse'!$E$2:$E$425,'Forbrug af biomasse'!$C$2:$C$425,'Resultat-Produktion &amp; forbrug'!$A213,'Forbrug af biomasse'!$D$2:$D$425,'Resultat-Produktion &amp; forbrug'!$E213,'Forbrug af biomasse'!$A$2:$A$425,'Resultat-Produktion &amp; forbrug'!L$3,'Forbrug af biomasse'!$B$2:$B$425,$F213)</f>
        <v>0</v>
      </c>
      <c r="M213" s="94">
        <f>IF(A213&lt;&gt;"Biogas",SUMIFS('Forbrug af biomasse'!$E$2:$E$425,'Forbrug af biomasse'!$C$2:$C$425,'Resultat-Produktion &amp; forbrug'!$A213,'Forbrug af biomasse'!$D$2:$D$425,'Resultat-Produktion &amp; forbrug'!$E213,'Forbrug af biomasse'!$A$2:$A$425,'Resultat-Produktion &amp; forbrug'!M$3,'Forbrug af biomasse'!$B$2:$B$425,$F213),G213)</f>
        <v>456074.89013160887</v>
      </c>
      <c r="N213" s="94">
        <f>SUMIFS('Forbrug af biomasse'!E:E,'Forbrug af biomasse'!C:C,'Resultat-Produktion &amp; forbrug'!$A213,'Forbrug af biomasse'!D:D,'Resultat-Produktion &amp; forbrug'!$E213,'Forbrug af biomasse'!G:G,1,'Forbrug af biomasse'!B:B,$F213)</f>
        <v>0</v>
      </c>
      <c r="O213" s="179">
        <f t="shared" si="34"/>
        <v>0</v>
      </c>
      <c r="P213" s="94">
        <f t="shared" si="42"/>
        <v>0</v>
      </c>
      <c r="Q213" s="180">
        <f t="shared" si="35"/>
        <v>456074.89013160887</v>
      </c>
      <c r="R213">
        <f>IFERROR(VLOOKUP(A213,[1]Energiindhold!$A$2:$C$11,3,FALSE),IFERROR(VLOOKUP(A213,[1]Biogasudbytte!$A$2:$B$18,2,FALSE)*[1]Energiindhold!$C$10,0))*P213</f>
        <v>0</v>
      </c>
      <c r="S213">
        <f>IF(A213&lt;&gt;"Biogas",IFERROR(VLOOKUP(A213,[1]Biogasudbytte!$A$2:$B$18,2,FALSE)*[1]Energiindhold!$C$10,0)*K213*IFERROR(VLOOKUP(A213,Biogasanlæg!$F$3:$G$8,2,FALSE),1)+IFERROR(VLOOKUP(A213,[1]Energiindhold!$A$2:$C$11,3,FALSE),0)*M213+IF(E213&lt;&gt;År1,R213,0),0)</f>
        <v>8.1419495125715642</v>
      </c>
      <c r="T213">
        <f>IFERROR(VLOOKUP(A213,[1]Biogasudbytte!$A$2:$B$18,2,FALSE)*[1]Energiindhold!$C$10,0)*K213*IFERROR(VLOOKUP(A213,Biogasanlæg!$F$3:$G$8,2,FALSE),1)</f>
        <v>0</v>
      </c>
      <c r="U213" s="170">
        <f t="shared" si="36"/>
        <v>8.1419495125715642</v>
      </c>
      <c r="V213" s="169">
        <f>P213*IFERROR(VLOOKUP(A213,[1]Tørstofindhold!A$2:B$24,2,FALSE),0)</f>
        <v>0</v>
      </c>
      <c r="W213">
        <f>IF(E213=År1,Q213,SUM(P213,Q213))*IFERROR(VLOOKUP(A213,[1]Tørstofindhold!A$2:B$24,2,FALSE),0)</f>
        <v>136822.46703948267</v>
      </c>
      <c r="X213">
        <f>K213*IFERROR(VLOOKUP(A213,[1]Tørstofindhold!A$2:B$24,2,FALSE),0)</f>
        <v>0</v>
      </c>
      <c r="Y213" s="170">
        <f t="shared" si="37"/>
        <v>136822.46703948267</v>
      </c>
      <c r="Z213">
        <f t="shared" si="43"/>
        <v>0</v>
      </c>
      <c r="AA213">
        <f t="shared" si="44"/>
        <v>0</v>
      </c>
    </row>
    <row r="214" spans="1:27" x14ac:dyDescent="0.25">
      <c r="A214" s="171" t="str">
        <f t="shared" si="39"/>
        <v>Import af foder</v>
      </c>
      <c r="B214" s="171" t="str">
        <f t="shared" si="40"/>
        <v/>
      </c>
      <c r="C214" s="171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0</v>
      </c>
      <c r="D214" s="171">
        <f t="shared" si="38"/>
        <v>1</v>
      </c>
      <c r="E214" s="171">
        <f t="shared" si="41"/>
        <v>2030</v>
      </c>
      <c r="F214" t="s">
        <v>24</v>
      </c>
      <c r="G214" s="94">
        <f>IF(F214="Vestdanmark",SUMIFS(IF(E214=År1,'Resultater - Vestdanmark'!H$3:H$504,IF(E214=År2,'Resultater - Vestdanmark'!I$3:I$504,'Resultater - Vestdanmark'!J$3:J$504)),'Resultater - Vestdanmark'!$F$3:$F$504,$A214,IF(E214=År1,'Resultater - Vestdanmark'!H$3:H$504,IF(E214=År2,'Resultater - Vestdanmark'!I$3:I$504,'Resultater - Vestdanmark'!J$3:J$504)),"&gt;0"),SUMIFS(IF(E214=År1,'Resultater - Østdanmark'!H$3:H$504,IF(E214=År2,'Resultater - Østdanmark'!I$3:I$504,'Resultater - Østdanmark'!J$3:J$504)),'Resultater - Østdanmark'!$F$3:$F$504,$A214,IF(E214=År1,'Resultater - Østdanmark'!H$3:H$504,IF(E214=År2,'Resultater - Østdanmark'!I$3:I$504,'Resultater - Østdanmark'!J$3:J$504)),"&gt;0"))</f>
        <v>0</v>
      </c>
      <c r="H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forbrug'!H$3,'Forbrug af biomasse'!$B$2:$B$425,$F214)</f>
        <v>327310.07589895441</v>
      </c>
      <c r="I214">
        <f>IF(F214="Vestdanmark",-IF(A214="Halm",SUMIFS(IF(E214=År1,'Resultater - Vestdanmark'!H$3:H$504,IF(E214=År2,'Resultater - Vestdanmark'!I$3:I$504,'Resultater - Vestdanmark'!J$3:J$504)),'Resultater - Vestdanmark'!$F$3:$F$504,$A214,'Resultater - Vestdanmark'!H$3:H$504,"&lt;0"),0),-IF(A214="Halm",SUMIFS(IF(E214=År1,'Resultater - Østdanmark'!H$3:H$504,IF(E214=År2,'Resultater - Østdanmark'!I$3:I$504,'Resultater - Østdanmark'!J$3:J$504)),'Resultater - Østdanmark'!$F$3:$F$504,$A214,'Resultater - Østdanmark'!H$3:H$504,"&lt;0"),0))</f>
        <v>0</v>
      </c>
      <c r="J214" s="94"/>
      <c r="K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forbrug'!K$3,'Forbrug af biomasse'!$B$2:$B$425,$F214)</f>
        <v>0</v>
      </c>
      <c r="L214" s="94">
        <f>SUMIFS('Forbrug af biomasse'!$E$2:$E$425,'Forbrug af biomasse'!$C$2:$C$425,'Resultat-Produktion &amp; forbrug'!$A214,'Forbrug af biomasse'!$D$2:$D$425,'Resultat-Produktion &amp; forbrug'!$E214,'Forbrug af biomasse'!$A$2:$A$425,'Resultat-Produktion &amp; forbrug'!L$3,'Forbrug af biomasse'!$B$2:$B$425,$F214)</f>
        <v>0</v>
      </c>
      <c r="M214" s="94">
        <f>IF(A214&lt;&gt;"Biogas",SUMIFS('Forbrug af biomasse'!$E$2:$E$425,'Forbrug af biomasse'!$C$2:$C$425,'Resultat-Produktion &amp; forbrug'!$A214,'Forbrug af biomasse'!$D$2:$D$425,'Resultat-Produktion &amp; forbrug'!$E214,'Forbrug af biomasse'!$A$2:$A$425,'Resultat-Produktion &amp; forbrug'!M$3,'Forbrug af biomasse'!$B$2:$B$425,$F214),G214)</f>
        <v>0</v>
      </c>
      <c r="N214" s="94">
        <f>SUMIFS('Forbrug af biomasse'!E:E,'Forbrug af biomasse'!C:C,'Resultat-Produktion &amp; forbrug'!$A214,'Forbrug af biomasse'!D:D,'Resultat-Produktion &amp; forbrug'!$E214,'Forbrug af biomasse'!G:G,1,'Forbrug af biomasse'!B:B,$F214)</f>
        <v>0</v>
      </c>
      <c r="O214" s="179">
        <f t="shared" si="34"/>
        <v>-327310.07589895441</v>
      </c>
      <c r="P214" s="94">
        <f t="shared" si="42"/>
        <v>0</v>
      </c>
      <c r="Q214" s="180">
        <f t="shared" si="35"/>
        <v>0</v>
      </c>
      <c r="R214">
        <f>IFERROR(VLOOKUP(A214,[1]Energiindhold!$A$2:$C$11,3,FALSE),IFERROR(VLOOKUP(A214,[1]Biogasudbytte!$A$2:$B$18,2,FALSE)*[1]Energiindhold!$C$10,0))*P214</f>
        <v>0</v>
      </c>
      <c r="S214">
        <f>IF(A214&lt;&gt;"Biogas",IFERROR(VLOOKUP(A214,[1]Biogasudbytte!$A$2:$B$18,2,FALSE)*[1]Energiindhold!$C$10,0)*K214*IFERROR(VLOOKUP(A214,Biogasanlæg!$F$3:$G$8,2,FALSE),1)+IFERROR(VLOOKUP(A214,[1]Energiindhold!$A$2:$C$11,3,FALSE),0)*M214+IF(E214&lt;&gt;År1,R214,0),0)</f>
        <v>0</v>
      </c>
      <c r="T214">
        <f>IFERROR(VLOOKUP(A214,[1]Biogasudbytte!$A$2:$B$18,2,FALSE)*[1]Energiindhold!$C$10,0)*K214*IFERROR(VLOOKUP(A214,Biogasanlæg!$F$3:$G$8,2,FALSE),1)</f>
        <v>0</v>
      </c>
      <c r="U214" s="170">
        <f t="shared" si="36"/>
        <v>0</v>
      </c>
      <c r="V214" s="169">
        <f>P214*IFERROR(VLOOKUP(A214,[1]Tørstofindhold!A$2:B$24,2,FALSE),0)</f>
        <v>0</v>
      </c>
      <c r="W214">
        <f>IF(E214=År1,Q214,SUM(P214,Q214))*IFERROR(VLOOKUP(A214,[1]Tørstofindhold!A$2:B$24,2,FALSE),0)</f>
        <v>0</v>
      </c>
      <c r="X214">
        <f>K214*IFERROR(VLOOKUP(A214,[1]Tørstofindhold!A$2:B$24,2,FALSE),0)</f>
        <v>0</v>
      </c>
      <c r="Y214" s="170">
        <f t="shared" si="37"/>
        <v>0</v>
      </c>
      <c r="Z214">
        <f t="shared" si="43"/>
        <v>1</v>
      </c>
      <c r="AA214">
        <f t="shared" si="44"/>
        <v>0</v>
      </c>
    </row>
    <row r="215" spans="1:27" x14ac:dyDescent="0.25">
      <c r="A215" s="171" t="str">
        <f t="shared" si="39"/>
        <v>Industriaffald</v>
      </c>
      <c r="B215" s="171" t="str">
        <f t="shared" si="40"/>
        <v>Bionedbrydeligt affald</v>
      </c>
      <c r="C215" s="171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1</v>
      </c>
      <c r="D215" s="171">
        <f t="shared" si="38"/>
        <v>0</v>
      </c>
      <c r="E215" s="171">
        <f t="shared" si="41"/>
        <v>2030</v>
      </c>
      <c r="F215" t="s">
        <v>24</v>
      </c>
      <c r="G215" s="94">
        <f>IF(F215="Vestdanmark",SUMIFS(IF(E215=År1,'Resultater - Vestdanmark'!H$3:H$504,IF(E215=År2,'Resultater - Vestdanmark'!I$3:I$504,'Resultater - Vestdanmark'!J$3:J$504)),'Resultater - Vestdanmark'!$F$3:$F$504,$A215,IF(E215=År1,'Resultater - Vestdanmark'!H$3:H$504,IF(E215=År2,'Resultater - Vestdanmark'!I$3:I$504,'Resultater - Vestdanmark'!J$3:J$504)),"&gt;0"),SUMIFS(IF(E215=År1,'Resultater - Østdanmark'!H$3:H$504,IF(E215=År2,'Resultater - Østdanmark'!I$3:I$504,'Resultater - Østdanmark'!J$3:J$504)),'Resultater - Østdanmark'!$F$3:$F$504,$A215,IF(E215=År1,'Resultater - Østdanmark'!H$3:H$504,IF(E215=År2,'Resultater - Østdanmark'!I$3:I$504,'Resultater - Østdanmark'!J$3:J$504)),"&gt;0"))</f>
        <v>198283.69095791626</v>
      </c>
      <c r="H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forbrug'!H$3,'Forbrug af biomasse'!$B$2:$B$425,$F215)</f>
        <v>0</v>
      </c>
      <c r="I215">
        <f>IF(F215="Vestdanmark",-IF(A215="Halm",SUMIFS(IF(E215=År1,'Resultater - Vestdanmark'!H$3:H$504,IF(E215=År2,'Resultater - Vestdanmark'!I$3:I$504,'Resultater - Vestdanmark'!J$3:J$504)),'Resultater - Vestdanmark'!$F$3:$F$504,$A215,'Resultater - Vestdanmark'!H$3:H$504,"&lt;0"),0),-IF(A215="Halm",SUMIFS(IF(E215=År1,'Resultater - Østdanmark'!H$3:H$504,IF(E215=År2,'Resultater - Østdanmark'!I$3:I$504,'Resultater - Østdanmark'!J$3:J$504)),'Resultater - Østdanmark'!$F$3:$F$504,$A215,'Resultater - Østdanmark'!H$3:H$504,"&lt;0"),0))</f>
        <v>0</v>
      </c>
      <c r="J215" s="94"/>
      <c r="K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forbrug'!K$3,'Forbrug af biomasse'!$B$2:$B$425,$F215)</f>
        <v>0</v>
      </c>
      <c r="L215" s="94">
        <f>SUMIFS('Forbrug af biomasse'!$E$2:$E$425,'Forbrug af biomasse'!$C$2:$C$425,'Resultat-Produktion &amp; forbrug'!$A215,'Forbrug af biomasse'!$D$2:$D$425,'Resultat-Produktion &amp; forbrug'!$E215,'Forbrug af biomasse'!$A$2:$A$425,'Resultat-Produktion &amp; forbrug'!L$3,'Forbrug af biomasse'!$B$2:$B$425,$F215)</f>
        <v>0</v>
      </c>
      <c r="M215" s="94">
        <f>IF(A215&lt;&gt;"Biogas",SUMIFS('Forbrug af biomasse'!$E$2:$E$425,'Forbrug af biomasse'!$C$2:$C$425,'Resultat-Produktion &amp; forbrug'!$A215,'Forbrug af biomasse'!$D$2:$D$425,'Resultat-Produktion &amp; forbrug'!$E215,'Forbrug af biomasse'!$A$2:$A$425,'Resultat-Produktion &amp; forbrug'!M$3,'Forbrug af biomasse'!$B$2:$B$425,$F215),G215)</f>
        <v>0</v>
      </c>
      <c r="N215" s="94">
        <f>SUMIFS('Forbrug af biomasse'!E:E,'Forbrug af biomasse'!C:C,'Resultat-Produktion &amp; forbrug'!$A215,'Forbrug af biomasse'!D:D,'Resultat-Produktion &amp; forbrug'!$E215,'Forbrug af biomasse'!G:G,1,'Forbrug af biomasse'!B:B,$F215)</f>
        <v>0</v>
      </c>
      <c r="O215" s="179">
        <f t="shared" si="34"/>
        <v>198283.69095791626</v>
      </c>
      <c r="P215" s="94">
        <f t="shared" si="42"/>
        <v>198283.69095791626</v>
      </c>
      <c r="Q215" s="180">
        <f t="shared" si="35"/>
        <v>0</v>
      </c>
      <c r="R215">
        <f>IFERROR(VLOOKUP(A215,[1]Energiindhold!$A$2:$C$11,3,FALSE),IFERROR(VLOOKUP(A215,[1]Biogasudbytte!$A$2:$B$18,2,FALSE)*[1]Energiindhold!$C$10,0))*P215</f>
        <v>0.85918900980047574</v>
      </c>
      <c r="S215">
        <f>IF(A215&lt;&gt;"Biogas",IFERROR(VLOOKUP(A215,[1]Biogasudbytte!$A$2:$B$18,2,FALSE)*[1]Energiindhold!$C$10,0)*K215*IFERROR(VLOOKUP(A215,Biogasanlæg!$F$3:$G$8,2,FALSE),1)+IFERROR(VLOOKUP(A215,[1]Energiindhold!$A$2:$C$11,3,FALSE),0)*M215+IF(E215&lt;&gt;År1,R215,0),0)</f>
        <v>0.85918900980047574</v>
      </c>
      <c r="T215">
        <f>IFERROR(VLOOKUP(A215,[1]Biogasudbytte!$A$2:$B$18,2,FALSE)*[1]Energiindhold!$C$10,0)*K215*IFERROR(VLOOKUP(A215,Biogasanlæg!$F$3:$G$8,2,FALSE),1)</f>
        <v>0</v>
      </c>
      <c r="U215" s="170">
        <f t="shared" si="36"/>
        <v>0.85918900980047574</v>
      </c>
      <c r="V215" s="169">
        <f>P215*IFERROR(VLOOKUP(A215,[1]Tørstofindhold!A$2:B$24,2,FALSE),0)</f>
        <v>83279.150202324832</v>
      </c>
      <c r="W215">
        <f>IF(E215=År1,Q215,SUM(P215,Q215))*IFERROR(VLOOKUP(A215,[1]Tørstofindhold!A$2:B$24,2,FALSE),0)</f>
        <v>83279.150202324832</v>
      </c>
      <c r="X215">
        <f>K215*IFERROR(VLOOKUP(A215,[1]Tørstofindhold!A$2:B$24,2,FALSE),0)</f>
        <v>0</v>
      </c>
      <c r="Y215" s="170">
        <f t="shared" si="37"/>
        <v>83279.150202324832</v>
      </c>
      <c r="Z215">
        <f t="shared" si="43"/>
        <v>0</v>
      </c>
      <c r="AA215">
        <f t="shared" si="44"/>
        <v>1</v>
      </c>
    </row>
    <row r="216" spans="1:27" x14ac:dyDescent="0.25">
      <c r="A216" s="171" t="str">
        <f t="shared" si="39"/>
        <v>Juletræer</v>
      </c>
      <c r="B216" s="171" t="str">
        <f t="shared" si="40"/>
        <v/>
      </c>
      <c r="C216" s="171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71">
        <f t="shared" si="38"/>
        <v>0</v>
      </c>
      <c r="E216" s="171">
        <f t="shared" si="41"/>
        <v>2030</v>
      </c>
      <c r="F216" t="s">
        <v>24</v>
      </c>
      <c r="G216" s="94">
        <f>IF(F216="Vestdanmark",SUMIFS(IF(E216=År1,'Resultater - Vestdanmark'!H$3:H$504,IF(E216=År2,'Resultater - Vestdanmark'!I$3:I$504,'Resultater - Vestdanmark'!J$3:J$504)),'Resultater - Vestdanmark'!$F$3:$F$504,$A216,IF(E216=År1,'Resultater - Vestdanmark'!H$3:H$504,IF(E216=År2,'Resultater - Vestdanmark'!I$3:I$504,'Resultater - Vestdanmark'!J$3:J$504)),"&gt;0"),SUMIFS(IF(E216=År1,'Resultater - Østdanmark'!H$3:H$504,IF(E216=År2,'Resultater - Østdanmark'!I$3:I$504,'Resultater - Østdanmark'!J$3:J$504)),'Resultater - Østdanmark'!$F$3:$F$504,$A216,IF(E216=År1,'Resultater - Østdanmark'!H$3:H$504,IF(E216=År2,'Resultater - Østdanmark'!I$3:I$504,'Resultater - Østdanmark'!J$3:J$504)),"&gt;0"))</f>
        <v>205340.3536719332</v>
      </c>
      <c r="H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forbrug'!H$3,'Forbrug af biomasse'!$B$2:$B$425,$F216)</f>
        <v>0</v>
      </c>
      <c r="I216">
        <f>IF(F216="Vestdanmark",-IF(A216="Halm",SUMIFS(IF(E216=År1,'Resultater - Vestdanmark'!H$3:H$504,IF(E216=År2,'Resultater - Vestdanmark'!I$3:I$504,'Resultater - Vestdanmark'!J$3:J$504)),'Resultater - Vestdanmark'!$F$3:$F$504,$A216,'Resultater - Vestdanmark'!H$3:H$504,"&lt;0"),0),-IF(A216="Halm",SUMIFS(IF(E216=År1,'Resultater - Østdanmark'!H$3:H$504,IF(E216=År2,'Resultater - Østdanmark'!I$3:I$504,'Resultater - Østdanmark'!J$3:J$504)),'Resultater - Østdanmark'!$F$3:$F$504,$A216,'Resultater - Østdanmark'!H$3:H$504,"&lt;0"),0))</f>
        <v>0</v>
      </c>
      <c r="J216" s="94"/>
      <c r="K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forbrug'!K$3,'Forbrug af biomasse'!$B$2:$B$425,$F216)</f>
        <v>0</v>
      </c>
      <c r="L216" s="94">
        <f>SUMIFS('Forbrug af biomasse'!$E$2:$E$425,'Forbrug af biomasse'!$C$2:$C$425,'Resultat-Produktion &amp; forbrug'!$A216,'Forbrug af biomasse'!$D$2:$D$425,'Resultat-Produktion &amp; forbrug'!$E216,'Forbrug af biomasse'!$A$2:$A$425,'Resultat-Produktion &amp; forbrug'!L$3,'Forbrug af biomasse'!$B$2:$B$425,$F216)</f>
        <v>0</v>
      </c>
      <c r="M216" s="94">
        <f>IF(A216&lt;&gt;"Biogas",SUMIFS('Forbrug af biomasse'!$E$2:$E$425,'Forbrug af biomasse'!$C$2:$C$425,'Resultat-Produktion &amp; forbrug'!$A216,'Forbrug af biomasse'!$D$2:$D$425,'Resultat-Produktion &amp; forbrug'!$E216,'Forbrug af biomasse'!$A$2:$A$425,'Resultat-Produktion &amp; forbrug'!M$3,'Forbrug af biomasse'!$B$2:$B$425,$F216),G216)</f>
        <v>0</v>
      </c>
      <c r="N216" s="94">
        <f>SUMIFS('Forbrug af biomasse'!E:E,'Forbrug af biomasse'!C:C,'Resultat-Produktion &amp; forbrug'!$A216,'Forbrug af biomasse'!D:D,'Resultat-Produktion &amp; forbrug'!$E216,'Forbrug af biomasse'!G:G,1,'Forbrug af biomasse'!B:B,$F216)</f>
        <v>0</v>
      </c>
      <c r="O216" s="179">
        <f t="shared" si="34"/>
        <v>205340.3536719332</v>
      </c>
      <c r="P216" s="94">
        <f t="shared" si="42"/>
        <v>0</v>
      </c>
      <c r="Q216" s="180">
        <f t="shared" si="35"/>
        <v>0</v>
      </c>
      <c r="R216">
        <f>IFERROR(VLOOKUP(A216,[1]Energiindhold!$A$2:$C$11,3,FALSE),IFERROR(VLOOKUP(A216,[1]Biogasudbytte!$A$2:$B$18,2,FALSE)*[1]Energiindhold!$C$10,0))*P216</f>
        <v>0</v>
      </c>
      <c r="S216">
        <f>IF(A216&lt;&gt;"Biogas",IFERROR(VLOOKUP(A216,[1]Biogasudbytte!$A$2:$B$18,2,FALSE)*[1]Energiindhold!$C$10,0)*K216*IFERROR(VLOOKUP(A216,Biogasanlæg!$F$3:$G$8,2,FALSE),1)+IFERROR(VLOOKUP(A216,[1]Energiindhold!$A$2:$C$11,3,FALSE),0)*M216+IF(E216&lt;&gt;År1,R216,0),0)</f>
        <v>0</v>
      </c>
      <c r="T216">
        <f>IFERROR(VLOOKUP(A216,[1]Biogasudbytte!$A$2:$B$18,2,FALSE)*[1]Energiindhold!$C$10,0)*K216*IFERROR(VLOOKUP(A216,Biogasanlæg!$F$3:$G$8,2,FALSE),1)</f>
        <v>0</v>
      </c>
      <c r="U216" s="170">
        <f t="shared" si="36"/>
        <v>0</v>
      </c>
      <c r="V216" s="169">
        <f>P216*IFERROR(VLOOKUP(A216,[1]Tørstofindhold!A$2:B$24,2,FALSE),0)</f>
        <v>0</v>
      </c>
      <c r="W216">
        <f>IF(E216=År1,Q216,SUM(P216,Q216))*IFERROR(VLOOKUP(A216,[1]Tørstofindhold!A$2:B$24,2,FALSE),0)</f>
        <v>0</v>
      </c>
      <c r="X216">
        <f>K216*IFERROR(VLOOKUP(A216,[1]Tørstofindhold!A$2:B$24,2,FALSE),0)</f>
        <v>0</v>
      </c>
      <c r="Y216" s="170">
        <f t="shared" si="37"/>
        <v>0</v>
      </c>
      <c r="Z216">
        <f t="shared" si="43"/>
        <v>0</v>
      </c>
      <c r="AA216">
        <f t="shared" si="44"/>
        <v>1</v>
      </c>
    </row>
    <row r="217" spans="1:27" x14ac:dyDescent="0.25">
      <c r="A217" s="171" t="str">
        <f t="shared" si="39"/>
        <v>Kartofler</v>
      </c>
      <c r="B217" s="171" t="str">
        <f t="shared" si="40"/>
        <v/>
      </c>
      <c r="C217" s="171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0</v>
      </c>
      <c r="D217" s="171">
        <f t="shared" si="38"/>
        <v>1</v>
      </c>
      <c r="E217" s="171">
        <f t="shared" si="41"/>
        <v>2030</v>
      </c>
      <c r="F217" t="s">
        <v>24</v>
      </c>
      <c r="G217" s="94">
        <f>IF(F217="Vestdanmark",SUMIFS(IF(E217=År1,'Resultater - Vestdanmark'!H$3:H$504,IF(E217=År2,'Resultater - Vestdanmark'!I$3:I$504,'Resultater - Vestdanmark'!J$3:J$504)),'Resultater - Vestdanmark'!$F$3:$F$504,$A217,IF(E217=År1,'Resultater - Vestdanmark'!H$3:H$504,IF(E217=År2,'Resultater - Vestdanmark'!I$3:I$504,'Resultater - Vestdanmark'!J$3:J$504)),"&gt;0"),SUMIFS(IF(E217=År1,'Resultater - Østdanmark'!H$3:H$504,IF(E217=År2,'Resultater - Østdanmark'!I$3:I$504,'Resultater - Østdanmark'!J$3:J$504)),'Resultater - Østdanmark'!$F$3:$F$504,$A217,IF(E217=År1,'Resultater - Østdanmark'!H$3:H$504,IF(E217=År2,'Resultater - Østdanmark'!I$3:I$504,'Resultater - Østdanmark'!J$3:J$504)),"&gt;0"))</f>
        <v>757571.37538443948</v>
      </c>
      <c r="H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forbrug'!H$3,'Forbrug af biomasse'!$B$2:$B$425,$F217)</f>
        <v>98640.569199997146</v>
      </c>
      <c r="I217">
        <f>IF(F217="Vestdanmark",-IF(A217="Halm",SUMIFS(IF(E217=År1,'Resultater - Vestdanmark'!H$3:H$504,IF(E217=År2,'Resultater - Vestdanmark'!I$3:I$504,'Resultater - Vestdanmark'!J$3:J$504)),'Resultater - Vestdanmark'!$F$3:$F$504,$A217,'Resultater - Vestdanmark'!H$3:H$504,"&lt;0"),0),-IF(A217="Halm",SUMIFS(IF(E217=År1,'Resultater - Østdanmark'!H$3:H$504,IF(E217=År2,'Resultater - Østdanmark'!I$3:I$504,'Resultater - Østdanmark'!J$3:J$504)),'Resultater - Østdanmark'!$F$3:$F$504,$A217,'Resultater - Østdanmark'!H$3:H$504,"&lt;0"),0))</f>
        <v>0</v>
      </c>
      <c r="J217" s="94"/>
      <c r="K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forbrug'!K$3,'Forbrug af biomasse'!$B$2:$B$425,$F217)</f>
        <v>0</v>
      </c>
      <c r="L217" s="94">
        <f>SUMIFS('Forbrug af biomasse'!$E$2:$E$425,'Forbrug af biomasse'!$C$2:$C$425,'Resultat-Produktion &amp; forbrug'!$A217,'Forbrug af biomasse'!$D$2:$D$425,'Resultat-Produktion &amp; forbrug'!$E217,'Forbrug af biomasse'!$A$2:$A$425,'Resultat-Produktion &amp; forbrug'!L$3,'Forbrug af biomasse'!$B$2:$B$425,$F217)</f>
        <v>0</v>
      </c>
      <c r="M217" s="94">
        <f>IF(A217&lt;&gt;"Biogas",SUMIFS('Forbrug af biomasse'!$E$2:$E$425,'Forbrug af biomasse'!$C$2:$C$425,'Resultat-Produktion &amp; forbrug'!$A217,'Forbrug af biomasse'!$D$2:$D$425,'Resultat-Produktion &amp; forbrug'!$E217,'Forbrug af biomasse'!$A$2:$A$425,'Resultat-Produktion &amp; forbrug'!M$3,'Forbrug af biomasse'!$B$2:$B$425,$F217),G217)</f>
        <v>0</v>
      </c>
      <c r="N217" s="94">
        <f>SUMIFS('Forbrug af biomasse'!E:E,'Forbrug af biomasse'!C:C,'Resultat-Produktion &amp; forbrug'!$A217,'Forbrug af biomasse'!D:D,'Resultat-Produktion &amp; forbrug'!$E217,'Forbrug af biomasse'!G:G,1,'Forbrug af biomasse'!B:B,$F217)</f>
        <v>0</v>
      </c>
      <c r="O217" s="179">
        <f t="shared" ref="O217:O282" si="45">G217-SUM(H217:N217)</f>
        <v>658930.80618444236</v>
      </c>
      <c r="P217" s="94">
        <f t="shared" si="42"/>
        <v>0</v>
      </c>
      <c r="Q217" s="180">
        <f t="shared" ref="Q217:Q282" si="46">SUM(K217,M217)</f>
        <v>0</v>
      </c>
      <c r="R217">
        <f>IFERROR(VLOOKUP(A217,[1]Energiindhold!$A$2:$C$11,3,FALSE),IFERROR(VLOOKUP(A217,[1]Biogasudbytte!$A$2:$B$18,2,FALSE)*[1]Energiindhold!$C$10,0))*P217</f>
        <v>0</v>
      </c>
      <c r="S217">
        <f>IF(A217&lt;&gt;"Biogas",IFERROR(VLOOKUP(A217,[1]Biogasudbytte!$A$2:$B$18,2,FALSE)*[1]Energiindhold!$C$10,0)*K217*IFERROR(VLOOKUP(A217,Biogasanlæg!$F$3:$G$8,2,FALSE),1)+IFERROR(VLOOKUP(A217,[1]Energiindhold!$A$2:$C$11,3,FALSE),0)*M217+IF(E217&lt;&gt;År1,R217,0),0)</f>
        <v>0</v>
      </c>
      <c r="T217">
        <f>IFERROR(VLOOKUP(A217,[1]Biogasudbytte!$A$2:$B$18,2,FALSE)*[1]Energiindhold!$C$10,0)*K217*IFERROR(VLOOKUP(A217,Biogasanlæg!$F$3:$G$8,2,FALSE),1)</f>
        <v>0</v>
      </c>
      <c r="U217" s="170">
        <f t="shared" ref="U217:U282" si="47">S217-T217</f>
        <v>0</v>
      </c>
      <c r="V217" s="169">
        <f>P217*IFERROR(VLOOKUP(A217,[1]Tørstofindhold!A$2:B$24,2,FALSE),0)</f>
        <v>0</v>
      </c>
      <c r="W217">
        <f>IF(E217=År1,Q217,SUM(P217,Q217))*IFERROR(VLOOKUP(A217,[1]Tørstofindhold!A$2:B$24,2,FALSE),0)</f>
        <v>0</v>
      </c>
      <c r="X217">
        <f>K217*IFERROR(VLOOKUP(A217,[1]Tørstofindhold!A$2:B$24,2,FALSE),0)</f>
        <v>0</v>
      </c>
      <c r="Y217" s="170">
        <f t="shared" ref="Y217:Y282" si="48">W217-X217</f>
        <v>0</v>
      </c>
      <c r="Z217">
        <f t="shared" si="43"/>
        <v>0</v>
      </c>
      <c r="AA217">
        <f t="shared" si="44"/>
        <v>1</v>
      </c>
    </row>
    <row r="218" spans="1:27" x14ac:dyDescent="0.25">
      <c r="A218" s="171" t="str">
        <f t="shared" si="39"/>
        <v>Korn</v>
      </c>
      <c r="B218" s="171" t="str">
        <f t="shared" si="40"/>
        <v>Halm og strå</v>
      </c>
      <c r="C218" s="171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1</v>
      </c>
      <c r="D218" s="171">
        <f t="shared" si="38"/>
        <v>1</v>
      </c>
      <c r="E218" s="171">
        <f t="shared" si="41"/>
        <v>2030</v>
      </c>
      <c r="F218" t="s">
        <v>24</v>
      </c>
      <c r="G218" s="94">
        <f>IF(F218="Vestdanmark",SUMIFS(IF(E218=År1,'Resultater - Vestdanmark'!H$3:H$504,IF(E218=År2,'Resultater - Vestdanmark'!I$3:I$504,'Resultater - Vestdanmark'!J$3:J$504)),'Resultater - Vestdanmark'!$F$3:$F$504,$A218,IF(E218=År1,'Resultater - Vestdanmark'!H$3:H$504,IF(E218=År2,'Resultater - Vestdanmark'!I$3:I$504,'Resultater - Vestdanmark'!J$3:J$504)),"&gt;0"),SUMIFS(IF(E218=År1,'Resultater - Østdanmark'!H$3:H$504,IF(E218=År2,'Resultater - Østdanmark'!I$3:I$504,'Resultater - Østdanmark'!J$3:J$504)),'Resultater - Østdanmark'!$F$3:$F$504,$A218,IF(E218=År1,'Resultater - Østdanmark'!H$3:H$504,IF(E218=År2,'Resultater - Østdanmark'!I$3:I$504,'Resultater - Østdanmark'!J$3:J$504)),"&gt;0"))</f>
        <v>1426697.7169863379</v>
      </c>
      <c r="H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forbrug'!H$3,'Forbrug af biomasse'!$B$2:$B$425,$F218)</f>
        <v>420737.76566977677</v>
      </c>
      <c r="I218">
        <f>IF(F218="Vestdanmark",-IF(A218="Halm",SUMIFS(IF(E218=År1,'Resultater - Vestdanmark'!H$3:H$504,IF(E218=År2,'Resultater - Vestdanmark'!I$3:I$504,'Resultater - Vestdanmark'!J$3:J$504)),'Resultater - Vestdanmark'!$F$3:$F$504,$A218,'Resultater - Vestdanmark'!H$3:H$504,"&lt;0"),0),-IF(A218="Halm",SUMIFS(IF(E218=År1,'Resultater - Østdanmark'!H$3:H$504,IF(E218=År2,'Resultater - Østdanmark'!I$3:I$504,'Resultater - Østdanmark'!J$3:J$504)),'Resultater - Østdanmark'!$F$3:$F$504,$A218,'Resultater - Østdanmark'!H$3:H$504,"&lt;0"),0))</f>
        <v>0</v>
      </c>
      <c r="J218" s="94"/>
      <c r="K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forbrug'!K$3,'Forbrug af biomasse'!$B$2:$B$425,$F218)</f>
        <v>0</v>
      </c>
      <c r="L218" s="94">
        <f>SUMIFS('Forbrug af biomasse'!$E$2:$E$425,'Forbrug af biomasse'!$C$2:$C$425,'Resultat-Produktion &amp; forbrug'!$A218,'Forbrug af biomasse'!$D$2:$D$425,'Resultat-Produktion &amp; forbrug'!$E218,'Forbrug af biomasse'!$A$2:$A$425,'Resultat-Produktion &amp; forbrug'!L$3,'Forbrug af biomasse'!$B$2:$B$425,$F218)</f>
        <v>0</v>
      </c>
      <c r="M218" s="94">
        <f>IF(A218&lt;&gt;"Biogas",SUMIFS('Forbrug af biomasse'!$E$2:$E$425,'Forbrug af biomasse'!$C$2:$C$425,'Resultat-Produktion &amp; forbrug'!$A218,'Forbrug af biomasse'!$D$2:$D$425,'Resultat-Produktion &amp; forbrug'!$E218,'Forbrug af biomasse'!$A$2:$A$425,'Resultat-Produktion &amp; forbrug'!M$3,'Forbrug af biomasse'!$B$2:$B$425,$F218),G218)</f>
        <v>0</v>
      </c>
      <c r="N218" s="94">
        <f>SUMIFS('Forbrug af biomasse'!E:E,'Forbrug af biomasse'!C:C,'Resultat-Produktion &amp; forbrug'!$A218,'Forbrug af biomasse'!D:D,'Resultat-Produktion &amp; forbrug'!$E218,'Forbrug af biomasse'!G:G,1,'Forbrug af biomasse'!B:B,$F218)</f>
        <v>0</v>
      </c>
      <c r="O218" s="179">
        <f>G218-SUM(H218:N218)</f>
        <v>1005959.9513165611</v>
      </c>
      <c r="P218" s="94">
        <f t="shared" si="42"/>
        <v>1005959.9513165611</v>
      </c>
      <c r="Q218" s="180">
        <f t="shared" si="46"/>
        <v>0</v>
      </c>
      <c r="R218">
        <f>IFERROR(VLOOKUP(A218,[1]Energiindhold!$A$2:$C$11,3,FALSE),IFERROR(VLOOKUP(A218,[1]Biogasudbytte!$A$2:$B$18,2,FALSE)*[1]Energiindhold!$C$10,0))*P218</f>
        <v>3.4452719988660379</v>
      </c>
      <c r="S218">
        <f>IF(A218&lt;&gt;"Biogas",IFERROR(VLOOKUP(A218,[1]Biogasudbytte!$A$2:$B$18,2,FALSE)*[1]Energiindhold!$C$10,0)*K218*IFERROR(VLOOKUP(A218,Biogasanlæg!$F$3:$G$8,2,FALSE),1)+IFERROR(VLOOKUP(A218,[1]Energiindhold!$A$2:$C$11,3,FALSE),0)*M218+IF(E218&lt;&gt;År1,R218,0),0)</f>
        <v>3.4452719988660379</v>
      </c>
      <c r="T218">
        <f>IFERROR(VLOOKUP(A218,[1]Biogasudbytte!$A$2:$B$18,2,FALSE)*[1]Energiindhold!$C$10,0)*K218*IFERROR(VLOOKUP(A218,Biogasanlæg!$F$3:$G$8,2,FALSE),1)</f>
        <v>0</v>
      </c>
      <c r="U218" s="170">
        <f t="shared" si="47"/>
        <v>3.4452719988660379</v>
      </c>
      <c r="V218" s="169">
        <f>P218*IFERROR(VLOOKUP(A218,[1]Tørstofindhold!A$2:B$24,2,FALSE),0)</f>
        <v>311847.58490813395</v>
      </c>
      <c r="W218">
        <f>IF(E218=År1,Q218,SUM(P218,Q218))*IFERROR(VLOOKUP(A218,[1]Tørstofindhold!A$2:B$24,2,FALSE),0)</f>
        <v>311847.58490813395</v>
      </c>
      <c r="X218">
        <f>K218*IFERROR(VLOOKUP(A218,[1]Tørstofindhold!A$2:B$24,2,FALSE),0)</f>
        <v>0</v>
      </c>
      <c r="Y218" s="170">
        <f t="shared" si="48"/>
        <v>311847.58490813395</v>
      </c>
      <c r="Z218">
        <f t="shared" si="43"/>
        <v>0</v>
      </c>
      <c r="AA218">
        <f t="shared" si="44"/>
        <v>1</v>
      </c>
    </row>
    <row r="219" spans="1:27" x14ac:dyDescent="0.25">
      <c r="A219" s="171" t="str">
        <f t="shared" si="39"/>
        <v>Kunstgødning</v>
      </c>
      <c r="B219" s="171" t="str">
        <f t="shared" si="40"/>
        <v/>
      </c>
      <c r="C219" s="171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0</v>
      </c>
      <c r="D219" s="171">
        <f t="shared" si="38"/>
        <v>0</v>
      </c>
      <c r="E219" s="171">
        <f t="shared" si="41"/>
        <v>2030</v>
      </c>
      <c r="F219" t="s">
        <v>24</v>
      </c>
      <c r="G219" s="94">
        <f>IF(F219="Vestdanmark",SUMIFS(IF(E219=År1,'Resultater - Vestdanmark'!H$3:H$504,IF(E219=År2,'Resultater - Vestdanmark'!I$3:I$504,'Resultater - Vestdanmark'!J$3:J$504)),'Resultater - Vestdanmark'!$F$3:$F$504,$A219,IF(E219=År1,'Resultater - Vestdanmark'!H$3:H$504,IF(E219=År2,'Resultater - Vestdanmark'!I$3:I$504,'Resultater - Vestdanmark'!J$3:J$504)),"&gt;0"),SUMIFS(IF(E219=År1,'Resultater - Østdanmark'!H$3:H$504,IF(E219=År2,'Resultater - Østdanmark'!I$3:I$504,'Resultater - Østdanmark'!J$3:J$504)),'Resultater - Østdanmark'!$F$3:$F$504,$A219,IF(E219=År1,'Resultater - Østdanmark'!H$3:H$504,IF(E219=År2,'Resultater - Østdanmark'!I$3:I$504,'Resultater - Østdanmark'!J$3:J$504)),"&gt;0"))</f>
        <v>0</v>
      </c>
      <c r="H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forbrug'!H$3,'Forbrug af biomasse'!$B$2:$B$425,$F219)</f>
        <v>0</v>
      </c>
      <c r="I219">
        <f>IF(F219="Vestdanmark",-IF(A219="Halm",SUMIFS(IF(E219=År1,'Resultater - Vestdanmark'!H$3:H$504,IF(E219=År2,'Resultater - Vestdanmark'!I$3:I$504,'Resultater - Vestdanmark'!J$3:J$504)),'Resultater - Vestdanmark'!$F$3:$F$504,$A219,'Resultater - Vestdanmark'!H$3:H$504,"&lt;0"),0),-IF(A219="Halm",SUMIFS(IF(E219=År1,'Resultater - Østdanmark'!H$3:H$504,IF(E219=År2,'Resultater - Østdanmark'!I$3:I$504,'Resultater - Østdanmark'!J$3:J$504)),'Resultater - Østdanmark'!$F$3:$F$504,$A219,'Resultater - Østdanmark'!H$3:H$504,"&lt;0"),0))</f>
        <v>0</v>
      </c>
      <c r="J219" s="94"/>
      <c r="K219" s="94">
        <f>SUMIFS('Forbrug af biomasse'!$E$2:$E$425,'Forbrug af biomasse'!$C$2:$C$425,'Resultat-Produktion &amp; forbrug'!$A219,'Forbrug af biomasse'!$D$2:$D$425,'Resultat-Produktion &amp; forbrug'!$E219,'Forbrug af biomasse'!$A$2:$A$425,'Resultat-Produktion &amp; forbrug'!K$3,'Forbrug af biomasse'!$B$2:$B$425,$F219)</f>
        <v>0</v>
      </c>
      <c r="L219" s="94">
        <f ca="1">SUMIFS('Forbrug af biomasse'!$E$2:$E$425,'Forbrug af biomasse'!$C$2:$C$425,'Resultat-Produktion &amp; forbrug'!$A219,'Forbrug af biomasse'!$D$2:$D$425,'Resultat-Produktion &amp; forbrug'!$E219,'Forbrug af biomasse'!$A$2:$A$425,'Resultat-Produktion &amp; forbrug'!L$3,'Forbrug af biomasse'!$B$2:$B$425,$F219)</f>
        <v>352682.42266556359</v>
      </c>
      <c r="M219" s="94">
        <f>IF(A219&lt;&gt;"Biogas",SUMIFS('Forbrug af biomasse'!$E$2:$E$425,'Forbrug af biomasse'!$C$2:$C$425,'Resultat-Produktion &amp; forbrug'!$A219,'Forbrug af biomasse'!$D$2:$D$425,'Resultat-Produktion &amp; forbrug'!$E219,'Forbrug af biomasse'!$A$2:$A$425,'Resultat-Produktion &amp; forbrug'!M$3,'Forbrug af biomasse'!$B$2:$B$425,$F219),G219)</f>
        <v>0</v>
      </c>
      <c r="N219" s="94">
        <f>SUMIFS('Forbrug af biomasse'!E:E,'Forbrug af biomasse'!C:C,'Resultat-Produktion &amp; forbrug'!$A219,'Forbrug af biomasse'!D:D,'Resultat-Produktion &amp; forbrug'!$E219,'Forbrug af biomasse'!G:G,1,'Forbrug af biomasse'!B:B,$F219)</f>
        <v>0</v>
      </c>
      <c r="O219" s="179">
        <f t="shared" ca="1" si="45"/>
        <v>-352682.42266556359</v>
      </c>
      <c r="P219" s="94">
        <f t="shared" si="42"/>
        <v>0</v>
      </c>
      <c r="Q219" s="180">
        <f t="shared" si="46"/>
        <v>0</v>
      </c>
      <c r="R219">
        <f>IFERROR(VLOOKUP(A219,[1]Energiindhold!$A$2:$C$11,3,FALSE),IFERROR(VLOOKUP(A219,[1]Biogasudbytte!$A$2:$B$18,2,FALSE)*[1]Energiindhold!$C$10,0))*P219</f>
        <v>0</v>
      </c>
      <c r="S219">
        <f>IF(A219&lt;&gt;"Biogas",IFERROR(VLOOKUP(A219,[1]Biogasudbytte!$A$2:$B$18,2,FALSE)*[1]Energiindhold!$C$10,0)*K219*IFERROR(VLOOKUP(A219,Biogasanlæg!$F$3:$G$8,2,FALSE),1)+IFERROR(VLOOKUP(A219,[1]Energiindhold!$A$2:$C$11,3,FALSE),0)*M219+IF(E219&lt;&gt;År1,R219,0),0)</f>
        <v>0</v>
      </c>
      <c r="T219">
        <f>IFERROR(VLOOKUP(A219,[1]Biogasudbytte!$A$2:$B$18,2,FALSE)*[1]Energiindhold!$C$10,0)*K219*IFERROR(VLOOKUP(A219,Biogasanlæg!$F$3:$G$8,2,FALSE),1)</f>
        <v>0</v>
      </c>
      <c r="U219" s="170">
        <f t="shared" si="47"/>
        <v>0</v>
      </c>
      <c r="V219" s="169">
        <f>P219*IFERROR(VLOOKUP(A219,[1]Tørstofindhold!A$2:B$24,2,FALSE),0)</f>
        <v>0</v>
      </c>
      <c r="W219">
        <f>IF(E219=År1,Q219,SUM(P219,Q219))*IFERROR(VLOOKUP(A219,[1]Tørstofindhold!A$2:B$24,2,FALSE),0)</f>
        <v>0</v>
      </c>
      <c r="X219">
        <f>K219*IFERROR(VLOOKUP(A219,[1]Tørstofindhold!A$2:B$24,2,FALSE),0)</f>
        <v>0</v>
      </c>
      <c r="Y219" s="170">
        <f t="shared" si="48"/>
        <v>0</v>
      </c>
      <c r="Z219">
        <f t="shared" ca="1" si="43"/>
        <v>1</v>
      </c>
      <c r="AA219">
        <f t="shared" ca="1" si="44"/>
        <v>0</v>
      </c>
    </row>
    <row r="220" spans="1:27" x14ac:dyDescent="0.25">
      <c r="A220" s="171" t="str">
        <f t="shared" si="39"/>
        <v>Kvæggylle</v>
      </c>
      <c r="B220" s="171" t="str">
        <f t="shared" si="40"/>
        <v>Husdyrgødning</v>
      </c>
      <c r="C220" s="171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1</v>
      </c>
      <c r="D220" s="171">
        <f t="shared" si="38"/>
        <v>0</v>
      </c>
      <c r="E220" s="171">
        <f t="shared" si="41"/>
        <v>2030</v>
      </c>
      <c r="F220" t="s">
        <v>24</v>
      </c>
      <c r="G220" s="94">
        <f>IF(F220="Vestdanmark",SUMIFS(IF(E220=År1,'Resultater - Vestdanmark'!H$3:H$504,IF(E220=År2,'Resultater - Vestdanmark'!I$3:I$504,'Resultater - Vestdanmark'!J$3:J$504)),'Resultater - Vestdanmark'!$F$3:$F$504,$A220,IF(E220=År1,'Resultater - Vestdanmark'!H$3:H$504,IF(E220=År2,'Resultater - Vestdanmark'!I$3:I$504,'Resultater - Vestdanmark'!J$3:J$504)),"&gt;0"),SUMIFS(IF(E220=År1,'Resultater - Østdanmark'!H$3:H$504,IF(E220=År2,'Resultater - Østdanmark'!I$3:I$504,'Resultater - Østdanmark'!J$3:J$504)),'Resultater - Østdanmark'!$F$3:$F$504,$A220,IF(E220=År1,'Resultater - Østdanmark'!H$3:H$504,IF(E220=År2,'Resultater - Østdanmark'!I$3:I$504,'Resultater - Østdanmark'!J$3:J$504)),"&gt;0"))</f>
        <v>431286.20272258902</v>
      </c>
      <c r="H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forbrug'!H$3,'Forbrug af biomasse'!$B$2:$B$425,$F220)</f>
        <v>0</v>
      </c>
      <c r="I220">
        <f>IF(F220="Vestdanmark",-IF(A220="Halm",SUMIFS(IF(E220=År1,'Resultater - Vestdanmark'!H$3:H$504,IF(E220=År2,'Resultater - Vestdanmark'!I$3:I$504,'Resultater - Vestdanmark'!J$3:J$504)),'Resultater - Vestdanmark'!$F$3:$F$504,$A220,'Resultater - Vestdanmark'!H$3:H$504,"&lt;0"),0),-IF(A220="Halm",SUMIFS(IF(E220=År1,'Resultater - Østdanmark'!H$3:H$504,IF(E220=År2,'Resultater - Østdanmark'!I$3:I$504,'Resultater - Østdanmark'!J$3:J$504)),'Resultater - Østdanmark'!$F$3:$F$504,$A220,'Resultater - Østdanmark'!H$3:H$504,"&lt;0"),0))</f>
        <v>0</v>
      </c>
      <c r="J220" s="94"/>
      <c r="K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forbrug'!K$3,'Forbrug af biomasse'!$B$2:$B$425,$F220)</f>
        <v>323464.65204194176</v>
      </c>
      <c r="L220" s="94">
        <f>SUMIFS('Forbrug af biomasse'!$E$2:$E$425,'Forbrug af biomasse'!$C$2:$C$425,'Resultat-Produktion &amp; forbrug'!$A220,'Forbrug af biomasse'!$D$2:$D$425,'Resultat-Produktion &amp; forbrug'!$E220,'Forbrug af biomasse'!$A$2:$A$425,'Resultat-Produktion &amp; forbrug'!L$3,'Forbrug af biomasse'!$B$2:$B$425,$F220)</f>
        <v>107821.55068064725</v>
      </c>
      <c r="M220" s="94">
        <f>IF(A220&lt;&gt;"Biogas",SUMIFS('Forbrug af biomasse'!$E$2:$E$425,'Forbrug af biomasse'!$C$2:$C$425,'Resultat-Produktion &amp; forbrug'!$A220,'Forbrug af biomasse'!$D$2:$D$425,'Resultat-Produktion &amp; forbrug'!$E220,'Forbrug af biomasse'!$A$2:$A$425,'Resultat-Produktion &amp; forbrug'!M$3,'Forbrug af biomasse'!$B$2:$B$425,$F220),G220)</f>
        <v>0</v>
      </c>
      <c r="N220" s="94">
        <f>SUMIFS('Forbrug af biomasse'!E:E,'Forbrug af biomasse'!C:C,'Resultat-Produktion &amp; forbrug'!$A220,'Forbrug af biomasse'!D:D,'Resultat-Produktion &amp; forbrug'!$E220,'Forbrug af biomasse'!G:G,1,'Forbrug af biomasse'!B:B,$F220)</f>
        <v>0</v>
      </c>
      <c r="O220" s="179">
        <f t="shared" si="45"/>
        <v>0</v>
      </c>
      <c r="P220" s="94">
        <f t="shared" si="42"/>
        <v>0</v>
      </c>
      <c r="Q220" s="180">
        <f t="shared" si="46"/>
        <v>323464.65204194176</v>
      </c>
      <c r="R220">
        <f>IFERROR(VLOOKUP(A220,[1]Energiindhold!$A$2:$C$11,3,FALSE),IFERROR(VLOOKUP(A220,[1]Biogasudbytte!$A$2:$B$18,2,FALSE)*[1]Energiindhold!$C$10,0))*P220</f>
        <v>0</v>
      </c>
      <c r="S220">
        <f>IF(A220&lt;&gt;"Biogas",IFERROR(VLOOKUP(A220,[1]Biogasudbytte!$A$2:$B$18,2,FALSE)*[1]Energiindhold!$C$10,0)*K220*IFERROR(VLOOKUP(A220,Biogasanlæg!$F$3:$G$8,2,FALSE),1)+IFERROR(VLOOKUP(A220,[1]Energiindhold!$A$2:$C$11,3,FALSE),0)*M220+IF(E220&lt;&gt;År1,R220,0),0)</f>
        <v>0.16373457221711052</v>
      </c>
      <c r="T220">
        <f>IFERROR(VLOOKUP(A220,[1]Biogasudbytte!$A$2:$B$18,2,FALSE)*[1]Energiindhold!$C$10,0)*K220*IFERROR(VLOOKUP(A220,Biogasanlæg!$F$3:$G$8,2,FALSE),1)</f>
        <v>0.16373457221711052</v>
      </c>
      <c r="U220" s="170">
        <f t="shared" si="47"/>
        <v>0</v>
      </c>
      <c r="V220" s="169">
        <f>P220*IFERROR(VLOOKUP(A220,[1]Tørstofindhold!A$2:B$24,2,FALSE),0)</f>
        <v>0</v>
      </c>
      <c r="W220">
        <f>IF(E220=År1,Q220,SUM(P220,Q220))*IFERROR(VLOOKUP(A220,[1]Tørstofindhold!A$2:B$24,2,FALSE),0)</f>
        <v>24583.313555187575</v>
      </c>
      <c r="X220">
        <f>K220*IFERROR(VLOOKUP(A220,[1]Tørstofindhold!A$2:B$24,2,FALSE),0)</f>
        <v>24583.313555187575</v>
      </c>
      <c r="Y220" s="170">
        <f t="shared" si="48"/>
        <v>0</v>
      </c>
      <c r="Z220">
        <f t="shared" si="43"/>
        <v>0</v>
      </c>
      <c r="AA220">
        <f t="shared" si="44"/>
        <v>0</v>
      </c>
    </row>
    <row r="221" spans="1:27" x14ac:dyDescent="0.25">
      <c r="A221" s="171" t="str">
        <f t="shared" si="39"/>
        <v>Mælk til foder</v>
      </c>
      <c r="B221" s="171" t="str">
        <f t="shared" si="40"/>
        <v/>
      </c>
      <c r="C221" s="171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0</v>
      </c>
      <c r="D221" s="171">
        <f t="shared" si="38"/>
        <v>0</v>
      </c>
      <c r="E221" s="171">
        <f t="shared" si="41"/>
        <v>2030</v>
      </c>
      <c r="F221" t="s">
        <v>24</v>
      </c>
      <c r="G221" s="94">
        <f>IF(F221="Vestdanmark",SUMIFS(IF(E221=År1,'Resultater - Vestdanmark'!H$3:H$504,IF(E221=År2,'Resultater - Vestdanmark'!I$3:I$504,'Resultater - Vestdanmark'!J$3:J$504)),'Resultater - Vestdanmark'!$F$3:$F$504,$A221,IF(E221=År1,'Resultater - Vestdanmark'!H$3:H$504,IF(E221=År2,'Resultater - Vestdanmark'!I$3:I$504,'Resultater - Vestdanmark'!J$3:J$504)),"&gt;0"),SUMIFS(IF(E221=År1,'Resultater - Østdanmark'!H$3:H$504,IF(E221=År2,'Resultater - Østdanmark'!I$3:I$504,'Resultater - Østdanmark'!J$3:J$504)),'Resultater - Østdanmark'!$F$3:$F$504,$A221,IF(E221=År1,'Resultater - Østdanmark'!H$3:H$504,IF(E221=År2,'Resultater - Østdanmark'!I$3:I$504,'Resultater - Østdanmark'!J$3:J$504)),"&gt;0"))</f>
        <v>50222.397196773512</v>
      </c>
      <c r="H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forbrug'!H$3,'Forbrug af biomasse'!$B$2:$B$425,$F221)</f>
        <v>102747.43013377195</v>
      </c>
      <c r="I221">
        <f>IF(F221="Vestdanmark",-IF(A221="Halm",SUMIFS(IF(E221=År1,'Resultater - Vestdanmark'!H$3:H$504,IF(E221=År2,'Resultater - Vestdanmark'!I$3:I$504,'Resultater - Vestdanmark'!J$3:J$504)),'Resultater - Vestdanmark'!$F$3:$F$504,$A221,'Resultater - Vestdanmark'!H$3:H$504,"&lt;0"),0),-IF(A221="Halm",SUMIFS(IF(E221=År1,'Resultater - Østdanmark'!H$3:H$504,IF(E221=År2,'Resultater - Østdanmark'!I$3:I$504,'Resultater - Østdanmark'!J$3:J$504)),'Resultater - Østdanmark'!$F$3:$F$504,$A221,'Resultater - Østdanmark'!H$3:H$504,"&lt;0"),0))</f>
        <v>0</v>
      </c>
      <c r="J221" s="94"/>
      <c r="K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forbrug'!K$3,'Forbrug af biomasse'!$B$2:$B$425,$F221)</f>
        <v>0</v>
      </c>
      <c r="L221" s="94">
        <f>SUMIFS('Forbrug af biomasse'!$E$2:$E$425,'Forbrug af biomasse'!$C$2:$C$425,'Resultat-Produktion &amp; forbrug'!$A221,'Forbrug af biomasse'!$D$2:$D$425,'Resultat-Produktion &amp; forbrug'!$E221,'Forbrug af biomasse'!$A$2:$A$425,'Resultat-Produktion &amp; forbrug'!L$3,'Forbrug af biomasse'!$B$2:$B$425,$F221)</f>
        <v>0</v>
      </c>
      <c r="M221" s="94">
        <f>IF(A221&lt;&gt;"Biogas",SUMIFS('Forbrug af biomasse'!$E$2:$E$425,'Forbrug af biomasse'!$C$2:$C$425,'Resultat-Produktion &amp; forbrug'!$A221,'Forbrug af biomasse'!$D$2:$D$425,'Resultat-Produktion &amp; forbrug'!$E221,'Forbrug af biomasse'!$A$2:$A$425,'Resultat-Produktion &amp; forbrug'!M$3,'Forbrug af biomasse'!$B$2:$B$425,$F221),G221)</f>
        <v>0</v>
      </c>
      <c r="N221" s="94">
        <f>SUMIFS('Forbrug af biomasse'!E:E,'Forbrug af biomasse'!C:C,'Resultat-Produktion &amp; forbrug'!$A221,'Forbrug af biomasse'!D:D,'Resultat-Produktion &amp; forbrug'!$E221,'Forbrug af biomasse'!G:G,1,'Forbrug af biomasse'!B:B,$F221)</f>
        <v>0</v>
      </c>
      <c r="O221" s="179">
        <f t="shared" si="45"/>
        <v>-52525.032936998439</v>
      </c>
      <c r="P221" s="94">
        <f t="shared" si="42"/>
        <v>0</v>
      </c>
      <c r="Q221" s="180">
        <f t="shared" si="46"/>
        <v>0</v>
      </c>
      <c r="R221">
        <f>IFERROR(VLOOKUP(A221,[1]Energiindhold!$A$2:$C$11,3,FALSE),IFERROR(VLOOKUP(A221,[1]Biogasudbytte!$A$2:$B$18,2,FALSE)*[1]Energiindhold!$C$10,0))*P221</f>
        <v>0</v>
      </c>
      <c r="S221">
        <f>IF(A221&lt;&gt;"Biogas",IFERROR(VLOOKUP(A221,[1]Biogasudbytte!$A$2:$B$18,2,FALSE)*[1]Energiindhold!$C$10,0)*K221*IFERROR(VLOOKUP(A221,Biogasanlæg!$F$3:$G$8,2,FALSE),1)+IFERROR(VLOOKUP(A221,[1]Energiindhold!$A$2:$C$11,3,FALSE),0)*M221+IF(E221&lt;&gt;År1,R221,0),0)</f>
        <v>0</v>
      </c>
      <c r="T221">
        <f>IFERROR(VLOOKUP(A221,[1]Biogasudbytte!$A$2:$B$18,2,FALSE)*[1]Energiindhold!$C$10,0)*K221*IFERROR(VLOOKUP(A221,Biogasanlæg!$F$3:$G$8,2,FALSE),1)</f>
        <v>0</v>
      </c>
      <c r="U221" s="170">
        <f t="shared" si="47"/>
        <v>0</v>
      </c>
      <c r="V221" s="169">
        <f>P221*IFERROR(VLOOKUP(A221,[1]Tørstofindhold!A$2:B$24,2,FALSE),0)</f>
        <v>0</v>
      </c>
      <c r="W221">
        <f>IF(E221=År1,Q221,SUM(P221,Q221))*IFERROR(VLOOKUP(A221,[1]Tørstofindhold!A$2:B$24,2,FALSE),0)</f>
        <v>0</v>
      </c>
      <c r="X221">
        <f>K221*IFERROR(VLOOKUP(A221,[1]Tørstofindhold!A$2:B$24,2,FALSE),0)</f>
        <v>0</v>
      </c>
      <c r="Y221" s="170">
        <f t="shared" si="48"/>
        <v>0</v>
      </c>
      <c r="Z221">
        <f t="shared" si="43"/>
        <v>1</v>
      </c>
      <c r="AA221">
        <f t="shared" si="44"/>
        <v>0</v>
      </c>
    </row>
    <row r="222" spans="1:27" x14ac:dyDescent="0.25">
      <c r="A222" s="171" t="str">
        <f t="shared" si="39"/>
        <v>Majs</v>
      </c>
      <c r="B222" s="171" t="str">
        <f t="shared" si="40"/>
        <v>Græs og urter</v>
      </c>
      <c r="C222" s="171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1</v>
      </c>
      <c r="D222" s="171">
        <f t="shared" si="38"/>
        <v>1</v>
      </c>
      <c r="E222" s="171">
        <f t="shared" si="41"/>
        <v>2030</v>
      </c>
      <c r="F222" t="s">
        <v>24</v>
      </c>
      <c r="G222" s="94">
        <f>IF(F222="Vestdanmark",SUMIFS(IF(E222=År1,'Resultater - Vestdanmark'!H$3:H$504,IF(E222=År2,'Resultater - Vestdanmark'!I$3:I$504,'Resultater - Vestdanmark'!J$3:J$504)),'Resultater - Vestdanmark'!$F$3:$F$504,$A222,IF(E222=År1,'Resultater - Vestdanmark'!H$3:H$504,IF(E222=År2,'Resultater - Vestdanmark'!I$3:I$504,'Resultater - Vestdanmark'!J$3:J$504)),"&gt;0"),SUMIFS(IF(E222=År1,'Resultater - Østdanmark'!H$3:H$504,IF(E222=År2,'Resultater - Østdanmark'!I$3:I$504,'Resultater - Østdanmark'!J$3:J$504)),'Resultater - Østdanmark'!$F$3:$F$504,$A222,IF(E222=År1,'Resultater - Østdanmark'!H$3:H$504,IF(E222=År2,'Resultater - Østdanmark'!I$3:I$504,'Resultater - Østdanmark'!J$3:J$504)),"&gt;0"))</f>
        <v>1224051.0749297491</v>
      </c>
      <c r="H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forbrug'!H$3,'Forbrug af biomasse'!$B$2:$B$425,$F222)</f>
        <v>406751.99046612647</v>
      </c>
      <c r="I222">
        <f>IF(F222="Vestdanmark",-IF(A222="Halm",SUMIFS(IF(E222=År1,'Resultater - Vestdanmark'!H$3:H$504,IF(E222=År2,'Resultater - Vestdanmark'!I$3:I$504,'Resultater - Vestdanmark'!J$3:J$504)),'Resultater - Vestdanmark'!$F$3:$F$504,$A222,'Resultater - Vestdanmark'!H$3:H$504,"&lt;0"),0),-IF(A222="Halm",SUMIFS(IF(E222=År1,'Resultater - Østdanmark'!H$3:H$504,IF(E222=År2,'Resultater - Østdanmark'!I$3:I$504,'Resultater - Østdanmark'!J$3:J$504)),'Resultater - Østdanmark'!$F$3:$F$504,$A222,'Resultater - Østdanmark'!H$3:H$504,"&lt;0"),0))</f>
        <v>0</v>
      </c>
      <c r="J222" s="94"/>
      <c r="K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forbrug'!K$3,'Forbrug af biomasse'!$B$2:$B$425,$F222)</f>
        <v>0</v>
      </c>
      <c r="L222" s="94">
        <f>SUMIFS('Forbrug af biomasse'!$E$2:$E$425,'Forbrug af biomasse'!$C$2:$C$425,'Resultat-Produktion &amp; forbrug'!$A222,'Forbrug af biomasse'!$D$2:$D$425,'Resultat-Produktion &amp; forbrug'!$E222,'Forbrug af biomasse'!$A$2:$A$425,'Resultat-Produktion &amp; forbrug'!L$3,'Forbrug af biomasse'!$B$2:$B$425,$F222)</f>
        <v>0</v>
      </c>
      <c r="M222" s="94">
        <f>IF(A222&lt;&gt;"Biogas",SUMIFS('Forbrug af biomasse'!$E$2:$E$425,'Forbrug af biomasse'!$C$2:$C$425,'Resultat-Produktion &amp; forbrug'!$A222,'Forbrug af biomasse'!$D$2:$D$425,'Resultat-Produktion &amp; forbrug'!$E222,'Forbrug af biomasse'!$A$2:$A$425,'Resultat-Produktion &amp; forbrug'!M$3,'Forbrug af biomasse'!$B$2:$B$425,$F222),G222)</f>
        <v>0</v>
      </c>
      <c r="N222" s="94">
        <f>SUMIFS('Forbrug af biomasse'!E:E,'Forbrug af biomasse'!C:C,'Resultat-Produktion &amp; forbrug'!$A222,'Forbrug af biomasse'!D:D,'Resultat-Produktion &amp; forbrug'!$E222,'Forbrug af biomasse'!G:G,1,'Forbrug af biomasse'!B:B,$F222)</f>
        <v>0</v>
      </c>
      <c r="O222" s="179">
        <f t="shared" si="45"/>
        <v>817299.08446362265</v>
      </c>
      <c r="P222" s="94">
        <f t="shared" si="42"/>
        <v>817299.08446362265</v>
      </c>
      <c r="Q222" s="180">
        <f t="shared" si="46"/>
        <v>0</v>
      </c>
      <c r="R222">
        <f>IFERROR(VLOOKUP(A222,[1]Energiindhold!$A$2:$C$11,3,FALSE),IFERROR(VLOOKUP(A222,[1]Biogasudbytte!$A$2:$B$18,2,FALSE)*[1]Energiindhold!$C$10,0))*P222</f>
        <v>2.9341037132244057</v>
      </c>
      <c r="S222">
        <f>IF(A222&lt;&gt;"Biogas",IFERROR(VLOOKUP(A222,[1]Biogasudbytte!$A$2:$B$18,2,FALSE)*[1]Energiindhold!$C$10,0)*K222*IFERROR(VLOOKUP(A222,Biogasanlæg!$F$3:$G$8,2,FALSE),1)+IFERROR(VLOOKUP(A222,[1]Energiindhold!$A$2:$C$11,3,FALSE),0)*M222+IF(E222&lt;&gt;År1,R222,0),0)</f>
        <v>2.9341037132244057</v>
      </c>
      <c r="T222">
        <f>IFERROR(VLOOKUP(A222,[1]Biogasudbytte!$A$2:$B$18,2,FALSE)*[1]Energiindhold!$C$10,0)*K222*IFERROR(VLOOKUP(A222,Biogasanlæg!$F$3:$G$8,2,FALSE),1)</f>
        <v>0</v>
      </c>
      <c r="U222" s="170">
        <f t="shared" si="47"/>
        <v>2.9341037132244057</v>
      </c>
      <c r="V222" s="169">
        <f>P222*IFERROR(VLOOKUP(A222,[1]Tørstofindhold!A$2:B$24,2,FALSE),0)</f>
        <v>245189.72533908678</v>
      </c>
      <c r="W222">
        <f>IF(E222=År1,Q222,SUM(P222,Q222))*IFERROR(VLOOKUP(A222,[1]Tørstofindhold!A$2:B$24,2,FALSE),0)</f>
        <v>245189.72533908678</v>
      </c>
      <c r="X222">
        <f>K222*IFERROR(VLOOKUP(A222,[1]Tørstofindhold!A$2:B$24,2,FALSE),0)</f>
        <v>0</v>
      </c>
      <c r="Y222" s="170">
        <f t="shared" si="48"/>
        <v>245189.72533908678</v>
      </c>
      <c r="Z222">
        <f t="shared" si="43"/>
        <v>0</v>
      </c>
      <c r="AA222">
        <f t="shared" si="44"/>
        <v>1</v>
      </c>
    </row>
    <row r="223" spans="1:27" x14ac:dyDescent="0.25">
      <c r="A223" s="171" t="str">
        <f t="shared" si="39"/>
        <v>Mejeriprodukter</v>
      </c>
      <c r="B223" s="171" t="str">
        <f t="shared" si="40"/>
        <v/>
      </c>
      <c r="C223" s="171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0</v>
      </c>
      <c r="D223" s="171">
        <f t="shared" si="38"/>
        <v>1</v>
      </c>
      <c r="E223" s="171">
        <f t="shared" si="41"/>
        <v>2030</v>
      </c>
      <c r="F223" t="s">
        <v>24</v>
      </c>
      <c r="G223" s="94">
        <f>IF(F223="Vestdanmark",SUMIFS(IF(E223=År1,'Resultater - Vestdanmark'!H$3:H$504,IF(E223=År2,'Resultater - Vestdanmark'!I$3:I$504,'Resultater - Vestdanmark'!J$3:J$504)),'Resultater - Vestdanmark'!$F$3:$F$504,$A223,IF(E223=År1,'Resultater - Vestdanmark'!H$3:H$504,IF(E223=År2,'Resultater - Vestdanmark'!I$3:I$504,'Resultater - Vestdanmark'!J$3:J$504)),"&gt;0"),SUMIFS(IF(E223=År1,'Resultater - Østdanmark'!H$3:H$504,IF(E223=År2,'Resultater - Østdanmark'!I$3:I$504,'Resultater - Østdanmark'!J$3:J$504)),'Resultater - Østdanmark'!$F$3:$F$504,$A223,IF(E223=År1,'Resultater - Østdanmark'!H$3:H$504,IF(E223=År2,'Resultater - Østdanmark'!I$3:I$504,'Resultater - Østdanmark'!J$3:J$504)),"&gt;0"))</f>
        <v>96903.161700864599</v>
      </c>
      <c r="H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forbrug'!H$3,'Forbrug af biomasse'!$B$2:$B$425,$F223)</f>
        <v>0</v>
      </c>
      <c r="I223">
        <f>IF(F223="Vestdanmark",-IF(A223="Halm",SUMIFS(IF(E223=År1,'Resultater - Vestdanmark'!H$3:H$504,IF(E223=År2,'Resultater - Vestdanmark'!I$3:I$504,'Resultater - Vestdanmark'!J$3:J$504)),'Resultater - Vestdanmark'!$F$3:$F$504,$A223,'Resultater - Vestdanmark'!H$3:H$504,"&lt;0"),0),-IF(A223="Halm",SUMIFS(IF(E223=År1,'Resultater - Østdanmark'!H$3:H$504,IF(E223=År2,'Resultater - Østdanmark'!I$3:I$504,'Resultater - Østdanmark'!J$3:J$504)),'Resultater - Østdanmark'!$F$3:$F$504,$A223,'Resultater - Østdanmark'!H$3:H$504,"&lt;0"),0))</f>
        <v>0</v>
      </c>
      <c r="J223" s="94"/>
      <c r="K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forbrug'!K$3,'Forbrug af biomasse'!$B$2:$B$425,$F223)</f>
        <v>0</v>
      </c>
      <c r="L223" s="94">
        <f>SUMIFS('Forbrug af biomasse'!$E$2:$E$425,'Forbrug af biomasse'!$C$2:$C$425,'Resultat-Produktion &amp; forbrug'!$A223,'Forbrug af biomasse'!$D$2:$D$425,'Resultat-Produktion &amp; forbrug'!$E223,'Forbrug af biomasse'!$A$2:$A$425,'Resultat-Produktion &amp; forbrug'!L$3,'Forbrug af biomasse'!$B$2:$B$425,$F223)</f>
        <v>0</v>
      </c>
      <c r="M223" s="94">
        <f>IF(A223&lt;&gt;"Biogas",SUMIFS('Forbrug af biomasse'!$E$2:$E$425,'Forbrug af biomasse'!$C$2:$C$425,'Resultat-Produktion &amp; forbrug'!$A223,'Forbrug af biomasse'!$D$2:$D$425,'Resultat-Produktion &amp; forbrug'!$E223,'Forbrug af biomasse'!$A$2:$A$425,'Resultat-Produktion &amp; forbrug'!M$3,'Forbrug af biomasse'!$B$2:$B$425,$F223),G223)</f>
        <v>0</v>
      </c>
      <c r="N223" s="94">
        <f>SUMIFS('Forbrug af biomasse'!E:E,'Forbrug af biomasse'!C:C,'Resultat-Produktion &amp; forbrug'!$A223,'Forbrug af biomasse'!D:D,'Resultat-Produktion &amp; forbrug'!$E223,'Forbrug af biomasse'!G:G,1,'Forbrug af biomasse'!B:B,$F223)</f>
        <v>0</v>
      </c>
      <c r="O223" s="179">
        <f t="shared" si="45"/>
        <v>96903.161700864599</v>
      </c>
      <c r="P223" s="94">
        <f t="shared" si="42"/>
        <v>0</v>
      </c>
      <c r="Q223" s="180">
        <f t="shared" si="46"/>
        <v>0</v>
      </c>
      <c r="R223">
        <f>IFERROR(VLOOKUP(A223,[1]Energiindhold!$A$2:$C$11,3,FALSE),IFERROR(VLOOKUP(A223,[1]Biogasudbytte!$A$2:$B$18,2,FALSE)*[1]Energiindhold!$C$10,0))*P223</f>
        <v>0</v>
      </c>
      <c r="S223">
        <f>IF(A223&lt;&gt;"Biogas",IFERROR(VLOOKUP(A223,[1]Biogasudbytte!$A$2:$B$18,2,FALSE)*[1]Energiindhold!$C$10,0)*K223*IFERROR(VLOOKUP(A223,Biogasanlæg!$F$3:$G$8,2,FALSE),1)+IFERROR(VLOOKUP(A223,[1]Energiindhold!$A$2:$C$11,3,FALSE),0)*M223+IF(E223&lt;&gt;År1,R223,0),0)</f>
        <v>0</v>
      </c>
      <c r="T223">
        <f>IFERROR(VLOOKUP(A223,[1]Biogasudbytte!$A$2:$B$18,2,FALSE)*[1]Energiindhold!$C$10,0)*K223*IFERROR(VLOOKUP(A223,Biogasanlæg!$F$3:$G$8,2,FALSE),1)</f>
        <v>0</v>
      </c>
      <c r="U223" s="170">
        <f t="shared" si="47"/>
        <v>0</v>
      </c>
      <c r="V223" s="169">
        <f>P223*IFERROR(VLOOKUP(A223,[1]Tørstofindhold!A$2:B$24,2,FALSE),0)</f>
        <v>0</v>
      </c>
      <c r="W223">
        <f>IF(E223=År1,Q223,SUM(P223,Q223))*IFERROR(VLOOKUP(A223,[1]Tørstofindhold!A$2:B$24,2,FALSE),0)</f>
        <v>0</v>
      </c>
      <c r="X223">
        <f>K223*IFERROR(VLOOKUP(A223,[1]Tørstofindhold!A$2:B$24,2,FALSE),0)</f>
        <v>0</v>
      </c>
      <c r="Y223" s="170">
        <f t="shared" si="48"/>
        <v>0</v>
      </c>
      <c r="Z223">
        <f t="shared" si="43"/>
        <v>0</v>
      </c>
      <c r="AA223">
        <f t="shared" si="44"/>
        <v>1</v>
      </c>
    </row>
    <row r="224" spans="1:27" x14ac:dyDescent="0.25">
      <c r="A224" s="171" t="str">
        <f t="shared" si="39"/>
        <v>Muslinger</v>
      </c>
      <c r="B224" s="171" t="str">
        <f t="shared" si="40"/>
        <v>Havbiomasse</v>
      </c>
      <c r="C224" s="171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1</v>
      </c>
      <c r="D224" s="171">
        <f t="shared" si="38"/>
        <v>1</v>
      </c>
      <c r="E224" s="171">
        <f t="shared" si="41"/>
        <v>2030</v>
      </c>
      <c r="F224" t="s">
        <v>24</v>
      </c>
      <c r="G224" s="94">
        <f>IF(F224="Vestdanmark",SUMIFS(IF(E224=År1,'Resultater - Vestdanmark'!H$3:H$504,IF(E224=År2,'Resultater - Vestdanmark'!I$3:I$504,'Resultater - Vestdanmark'!J$3:J$504)),'Resultater - Vestdanmark'!$F$3:$F$504,$A224,IF(E224=År1,'Resultater - Vestdanmark'!H$3:H$504,IF(E224=År2,'Resultater - Vestdanmark'!I$3:I$504,'Resultater - Vestdanmark'!J$3:J$504)),"&gt;0"),SUMIFS(IF(E224=År1,'Resultater - Østdanmark'!H$3:H$504,IF(E224=År2,'Resultater - Østdanmark'!I$3:I$504,'Resultater - Østdanmark'!J$3:J$504)),'Resultater - Østdanmark'!$F$3:$F$504,$A224,IF(E224=År1,'Resultater - Østdanmark'!H$3:H$504,IF(E224=År2,'Resultater - Østdanmark'!I$3:I$504,'Resultater - Østdanmark'!J$3:J$504)),"&gt;0"))</f>
        <v>1.1976865502381491</v>
      </c>
      <c r="H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forbrug'!H$3,'Forbrug af biomasse'!$B$2:$B$425,$F224)</f>
        <v>0</v>
      </c>
      <c r="I224">
        <f>IF(F224="Vestdanmark",-IF(A224="Halm",SUMIFS(IF(E224=År1,'Resultater - Vestdanmark'!H$3:H$504,IF(E224=År2,'Resultater - Vestdanmark'!I$3:I$504,'Resultater - Vestdanmark'!J$3:J$504)),'Resultater - Vestdanmark'!$F$3:$F$504,$A224,'Resultater - Vestdanmark'!H$3:H$504,"&lt;0"),0),-IF(A224="Halm",SUMIFS(IF(E224=År1,'Resultater - Østdanmark'!H$3:H$504,IF(E224=År2,'Resultater - Østdanmark'!I$3:I$504,'Resultater - Østdanmark'!J$3:J$504)),'Resultater - Østdanmark'!$F$3:$F$504,$A224,'Resultater - Østdanmark'!H$3:H$504,"&lt;0"),0))</f>
        <v>0</v>
      </c>
      <c r="J224" s="94"/>
      <c r="K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forbrug'!K$3,'Forbrug af biomasse'!$B$2:$B$425,$F224)</f>
        <v>0</v>
      </c>
      <c r="L224" s="94">
        <f>SUMIFS('Forbrug af biomasse'!$E$2:$E$425,'Forbrug af biomasse'!$C$2:$C$425,'Resultat-Produktion &amp; forbrug'!$A224,'Forbrug af biomasse'!$D$2:$D$425,'Resultat-Produktion &amp; forbrug'!$E224,'Forbrug af biomasse'!$A$2:$A$425,'Resultat-Produktion &amp; forbrug'!L$3,'Forbrug af biomasse'!$B$2:$B$425,$F224)</f>
        <v>0</v>
      </c>
      <c r="M224" s="94">
        <f>IF(A224&lt;&gt;"Biogas",SUMIFS('Forbrug af biomasse'!$E$2:$E$425,'Forbrug af biomasse'!$C$2:$C$425,'Resultat-Produktion &amp; forbrug'!$A224,'Forbrug af biomasse'!$D$2:$D$425,'Resultat-Produktion &amp; forbrug'!$E224,'Forbrug af biomasse'!$A$2:$A$425,'Resultat-Produktion &amp; forbrug'!M$3,'Forbrug af biomasse'!$B$2:$B$425,$F224),G224)</f>
        <v>0</v>
      </c>
      <c r="N224" s="94">
        <f>SUMIFS('Forbrug af biomasse'!E:E,'Forbrug af biomasse'!C:C,'Resultat-Produktion &amp; forbrug'!$A224,'Forbrug af biomasse'!D:D,'Resultat-Produktion &amp; forbrug'!$E224,'Forbrug af biomasse'!G:G,1,'Forbrug af biomasse'!B:B,$F224)</f>
        <v>0</v>
      </c>
      <c r="O224" s="179">
        <f t="shared" si="45"/>
        <v>1.1976865502381491</v>
      </c>
      <c r="P224" s="94">
        <f t="shared" si="42"/>
        <v>1.1976865502381491</v>
      </c>
      <c r="Q224" s="180">
        <f t="shared" si="46"/>
        <v>0</v>
      </c>
      <c r="R224">
        <f>IFERROR(VLOOKUP(A224,[1]Energiindhold!$A$2:$C$11,3,FALSE),IFERROR(VLOOKUP(A224,[1]Biogasudbytte!$A$2:$B$18,2,FALSE)*[1]Energiindhold!$C$10,0))*P224</f>
        <v>1.0749236788387388E-6</v>
      </c>
      <c r="S224">
        <f>IF(A224&lt;&gt;"Biogas",IFERROR(VLOOKUP(A224,[1]Biogasudbytte!$A$2:$B$18,2,FALSE)*[1]Energiindhold!$C$10,0)*K224*IFERROR(VLOOKUP(A224,Biogasanlæg!$F$3:$G$8,2,FALSE),1)+IFERROR(VLOOKUP(A224,[1]Energiindhold!$A$2:$C$11,3,FALSE),0)*M224+IF(E224&lt;&gt;År1,R224,0),0)</f>
        <v>1.0749236788387388E-6</v>
      </c>
      <c r="T224">
        <f>IFERROR(VLOOKUP(A224,[1]Biogasudbytte!$A$2:$B$18,2,FALSE)*[1]Energiindhold!$C$10,0)*K224*IFERROR(VLOOKUP(A224,Biogasanlæg!$F$3:$G$8,2,FALSE),1)</f>
        <v>0</v>
      </c>
      <c r="U224" s="170">
        <f t="shared" si="47"/>
        <v>1.0749236788387388E-6</v>
      </c>
      <c r="V224" s="169">
        <f>P224*IFERROR(VLOOKUP(A224,[1]Tørstofindhold!A$2:B$24,2,FALSE),0)</f>
        <v>0.17965298253572234</v>
      </c>
      <c r="W224">
        <f>IF(E224=År1,Q224,SUM(P224,Q224))*IFERROR(VLOOKUP(A224,[1]Tørstofindhold!A$2:B$24,2,FALSE),0)</f>
        <v>0.17965298253572234</v>
      </c>
      <c r="X224">
        <f>K224*IFERROR(VLOOKUP(A224,[1]Tørstofindhold!A$2:B$24,2,FALSE),0)</f>
        <v>0</v>
      </c>
      <c r="Y224" s="170">
        <f t="shared" si="48"/>
        <v>0.17965298253572234</v>
      </c>
      <c r="Z224">
        <f t="shared" si="43"/>
        <v>0</v>
      </c>
      <c r="AA224">
        <f t="shared" si="44"/>
        <v>1</v>
      </c>
    </row>
    <row r="225" spans="1:27" x14ac:dyDescent="0.25">
      <c r="A225" s="171" t="str">
        <f t="shared" si="39"/>
        <v>Oksekød</v>
      </c>
      <c r="B225" s="171" t="str">
        <f t="shared" si="40"/>
        <v/>
      </c>
      <c r="C225" s="171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71">
        <f t="shared" si="38"/>
        <v>1</v>
      </c>
      <c r="E225" s="171">
        <f t="shared" si="41"/>
        <v>2030</v>
      </c>
      <c r="F225" t="s">
        <v>24</v>
      </c>
      <c r="G225" s="94">
        <f>IF(F225="Vestdanmark",SUMIFS(IF(E225=År1,'Resultater - Vestdanmark'!H$3:H$504,IF(E225=År2,'Resultater - Vestdanmark'!I$3:I$504,'Resultater - Vestdanmark'!J$3:J$504)),'Resultater - Vestdanmark'!$F$3:$F$504,$A225,IF(E225=År1,'Resultater - Vestdanmark'!H$3:H$504,IF(E225=År2,'Resultater - Vestdanmark'!I$3:I$504,'Resultater - Vestdanmark'!J$3:J$504)),"&gt;0"),SUMIFS(IF(E225=År1,'Resultater - Østdanmark'!H$3:H$504,IF(E225=År2,'Resultater - Østdanmark'!I$3:I$504,'Resultater - Østdanmark'!J$3:J$504)),'Resultater - Østdanmark'!$F$3:$F$504,$A225,IF(E225=År1,'Resultater - Østdanmark'!H$3:H$504,IF(E225=År2,'Resultater - Østdanmark'!I$3:I$504,'Resultater - Østdanmark'!J$3:J$504)),"&gt;0"))</f>
        <v>6251.0678007025454</v>
      </c>
      <c r="H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forbrug'!H$3,'Forbrug af biomasse'!$B$2:$B$425,$F225)</f>
        <v>0</v>
      </c>
      <c r="I225">
        <f>IF(F225="Vestdanmark",-IF(A225="Halm",SUMIFS(IF(E225=År1,'Resultater - Vestdanmark'!H$3:H$504,IF(E225=År2,'Resultater - Vestdanmark'!I$3:I$504,'Resultater - Vestdanmark'!J$3:J$504)),'Resultater - Vestdanmark'!$F$3:$F$504,$A225,'Resultater - Vestdanmark'!H$3:H$504,"&lt;0"),0),-IF(A225="Halm",SUMIFS(IF(E225=År1,'Resultater - Østdanmark'!H$3:H$504,IF(E225=År2,'Resultater - Østdanmark'!I$3:I$504,'Resultater - Østdanmark'!J$3:J$504)),'Resultater - Østdanmark'!$F$3:$F$504,$A225,'Resultater - Østdanmark'!H$3:H$504,"&lt;0"),0))</f>
        <v>0</v>
      </c>
      <c r="J225" s="94"/>
      <c r="K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forbrug'!K$3,'Forbrug af biomasse'!$B$2:$B$425,$F225)</f>
        <v>0</v>
      </c>
      <c r="L225" s="94">
        <f>SUMIFS('Forbrug af biomasse'!$E$2:$E$425,'Forbrug af biomasse'!$C$2:$C$425,'Resultat-Produktion &amp; forbrug'!$A225,'Forbrug af biomasse'!$D$2:$D$425,'Resultat-Produktion &amp; forbrug'!$E225,'Forbrug af biomasse'!$A$2:$A$425,'Resultat-Produktion &amp; forbrug'!L$3,'Forbrug af biomasse'!$B$2:$B$425,$F225)</f>
        <v>0</v>
      </c>
      <c r="M225" s="94">
        <f>IF(A225&lt;&gt;"Biogas",SUMIFS('Forbrug af biomasse'!$E$2:$E$425,'Forbrug af biomasse'!$C$2:$C$425,'Resultat-Produktion &amp; forbrug'!$A225,'Forbrug af biomasse'!$D$2:$D$425,'Resultat-Produktion &amp; forbrug'!$E225,'Forbrug af biomasse'!$A$2:$A$425,'Resultat-Produktion &amp; forbrug'!M$3,'Forbrug af biomasse'!$B$2:$B$425,$F225),G225)</f>
        <v>0</v>
      </c>
      <c r="N225" s="94">
        <f>SUMIFS('Forbrug af biomasse'!E:E,'Forbrug af biomasse'!C:C,'Resultat-Produktion &amp; forbrug'!$A225,'Forbrug af biomasse'!D:D,'Resultat-Produktion &amp; forbrug'!$E225,'Forbrug af biomasse'!G:G,1,'Forbrug af biomasse'!B:B,$F225)</f>
        <v>0</v>
      </c>
      <c r="O225" s="179">
        <f t="shared" si="45"/>
        <v>6251.0678007025454</v>
      </c>
      <c r="P225" s="94">
        <f t="shared" si="42"/>
        <v>0</v>
      </c>
      <c r="Q225" s="180">
        <f t="shared" si="46"/>
        <v>0</v>
      </c>
      <c r="R225">
        <f>IFERROR(VLOOKUP(A225,[1]Energiindhold!$A$2:$C$11,3,FALSE),IFERROR(VLOOKUP(A225,[1]Biogasudbytte!$A$2:$B$18,2,FALSE)*[1]Energiindhold!$C$10,0))*P225</f>
        <v>0</v>
      </c>
      <c r="S225">
        <f>IF(A225&lt;&gt;"Biogas",IFERROR(VLOOKUP(A225,[1]Biogasudbytte!$A$2:$B$18,2,FALSE)*[1]Energiindhold!$C$10,0)*K225*IFERROR(VLOOKUP(A225,Biogasanlæg!$F$3:$G$8,2,FALSE),1)+IFERROR(VLOOKUP(A225,[1]Energiindhold!$A$2:$C$11,3,FALSE),0)*M225+IF(E225&lt;&gt;År1,R225,0),0)</f>
        <v>0</v>
      </c>
      <c r="T225">
        <f>IFERROR(VLOOKUP(A225,[1]Biogasudbytte!$A$2:$B$18,2,FALSE)*[1]Energiindhold!$C$10,0)*K225*IFERROR(VLOOKUP(A225,Biogasanlæg!$F$3:$G$8,2,FALSE),1)</f>
        <v>0</v>
      </c>
      <c r="U225" s="170">
        <f t="shared" si="47"/>
        <v>0</v>
      </c>
      <c r="V225" s="169">
        <f>P225*IFERROR(VLOOKUP(A225,[1]Tørstofindhold!A$2:B$24,2,FALSE),0)</f>
        <v>0</v>
      </c>
      <c r="W225">
        <f>IF(E225=År1,Q225,SUM(P225,Q225))*IFERROR(VLOOKUP(A225,[1]Tørstofindhold!A$2:B$24,2,FALSE),0)</f>
        <v>0</v>
      </c>
      <c r="X225">
        <f>K225*IFERROR(VLOOKUP(A225,[1]Tørstofindhold!A$2:B$24,2,FALSE),0)</f>
        <v>0</v>
      </c>
      <c r="Y225" s="170">
        <f t="shared" si="48"/>
        <v>0</v>
      </c>
      <c r="Z225">
        <f t="shared" si="43"/>
        <v>0</v>
      </c>
      <c r="AA225">
        <f t="shared" si="44"/>
        <v>1</v>
      </c>
    </row>
    <row r="226" spans="1:27" x14ac:dyDescent="0.25">
      <c r="A226" s="171" t="str">
        <f t="shared" si="39"/>
        <v>Øvrige</v>
      </c>
      <c r="B226" s="171" t="str">
        <f t="shared" si="40"/>
        <v/>
      </c>
      <c r="C226" s="171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0</v>
      </c>
      <c r="D226" s="171">
        <f t="shared" si="38"/>
        <v>1</v>
      </c>
      <c r="E226" s="171">
        <f t="shared" si="41"/>
        <v>2030</v>
      </c>
      <c r="F226" t="s">
        <v>24</v>
      </c>
      <c r="G226" s="94">
        <f>IF(F226="Vestdanmark",SUMIFS(IF(E226=År1,'Resultater - Vestdanmark'!H$3:H$504,IF(E226=År2,'Resultater - Vestdanmark'!I$3:I$504,'Resultater - Vestdanmark'!J$3:J$504)),'Resultater - Vestdanmark'!$F$3:$F$504,$A226,IF(E226=År1,'Resultater - Vestdanmark'!H$3:H$504,IF(E226=År2,'Resultater - Vestdanmark'!I$3:I$504,'Resultater - Vestdanmark'!J$3:J$504)),"&gt;0"),SUMIFS(IF(E226=År1,'Resultater - Østdanmark'!H$3:H$504,IF(E226=År2,'Resultater - Østdanmark'!I$3:I$504,'Resultater - Østdanmark'!J$3:J$504)),'Resultater - Østdanmark'!$F$3:$F$504,$A226,IF(E226=År1,'Resultater - Østdanmark'!H$3:H$504,IF(E226=År2,'Resultater - Østdanmark'!I$3:I$504,'Resultater - Østdanmark'!J$3:J$504)),"&gt;0"))</f>
        <v>311483.30240974069</v>
      </c>
      <c r="H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forbrug'!H$3,'Forbrug af biomasse'!$B$2:$B$425,$F226)</f>
        <v>0</v>
      </c>
      <c r="I226">
        <f>IF(F226="Vestdanmark",-IF(A226="Halm",SUMIFS(IF(E226=År1,'Resultater - Vestdanmark'!H$3:H$504,IF(E226=År2,'Resultater - Vestdanmark'!I$3:I$504,'Resultater - Vestdanmark'!J$3:J$504)),'Resultater - Vestdanmark'!$F$3:$F$504,$A226,'Resultater - Vestdanmark'!H$3:H$504,"&lt;0"),0),-IF(A226="Halm",SUMIFS(IF(E226=År1,'Resultater - Østdanmark'!H$3:H$504,IF(E226=År2,'Resultater - Østdanmark'!I$3:I$504,'Resultater - Østdanmark'!J$3:J$504)),'Resultater - Østdanmark'!$F$3:$F$504,$A226,'Resultater - Østdanmark'!H$3:H$504,"&lt;0"),0))</f>
        <v>0</v>
      </c>
      <c r="J226" s="94"/>
      <c r="K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forbrug'!K$3,'Forbrug af biomasse'!$B$2:$B$425,$F226)</f>
        <v>0</v>
      </c>
      <c r="L226" s="94">
        <f>SUMIFS('Forbrug af biomasse'!$E$2:$E$425,'Forbrug af biomasse'!$C$2:$C$425,'Resultat-Produktion &amp; forbrug'!$A226,'Forbrug af biomasse'!$D$2:$D$425,'Resultat-Produktion &amp; forbrug'!$E226,'Forbrug af biomasse'!$A$2:$A$425,'Resultat-Produktion &amp; forbrug'!L$3,'Forbrug af biomasse'!$B$2:$B$425,$F226)</f>
        <v>0</v>
      </c>
      <c r="M226" s="94">
        <f>IF(A226&lt;&gt;"Biogas",SUMIFS('Forbrug af biomasse'!$E$2:$E$425,'Forbrug af biomasse'!$C$2:$C$425,'Resultat-Produktion &amp; forbrug'!$A226,'Forbrug af biomasse'!$D$2:$D$425,'Resultat-Produktion &amp; forbrug'!$E226,'Forbrug af biomasse'!$A$2:$A$425,'Resultat-Produktion &amp; forbrug'!M$3,'Forbrug af biomasse'!$B$2:$B$425,$F226),G226)</f>
        <v>0</v>
      </c>
      <c r="N226" s="94">
        <f>SUMIFS('Forbrug af biomasse'!E:E,'Forbrug af biomasse'!C:C,'Resultat-Produktion &amp; forbrug'!$A226,'Forbrug af biomasse'!D:D,'Resultat-Produktion &amp; forbrug'!$E226,'Forbrug af biomasse'!G:G,1,'Forbrug af biomasse'!B:B,$F226)</f>
        <v>0</v>
      </c>
      <c r="O226" s="179">
        <f t="shared" si="45"/>
        <v>311483.30240974069</v>
      </c>
      <c r="P226" s="94">
        <f t="shared" si="42"/>
        <v>0</v>
      </c>
      <c r="Q226" s="180">
        <f t="shared" si="46"/>
        <v>0</v>
      </c>
      <c r="R226">
        <f>IFERROR(VLOOKUP(A226,[1]Energiindhold!$A$2:$C$11,3,FALSE),IFERROR(VLOOKUP(A226,[1]Biogasudbytte!$A$2:$B$18,2,FALSE)*[1]Energiindhold!$C$10,0))*P226</f>
        <v>0</v>
      </c>
      <c r="S226">
        <f>IF(A226&lt;&gt;"Biogas",IFERROR(VLOOKUP(A226,[1]Biogasudbytte!$A$2:$B$18,2,FALSE)*[1]Energiindhold!$C$10,0)*K226*IFERROR(VLOOKUP(A226,Biogasanlæg!$F$3:$G$8,2,FALSE),1)+IFERROR(VLOOKUP(A226,[1]Energiindhold!$A$2:$C$11,3,FALSE),0)*M226+IF(E226&lt;&gt;År1,R226,0),0)</f>
        <v>0</v>
      </c>
      <c r="T226">
        <f>IFERROR(VLOOKUP(A226,[1]Biogasudbytte!$A$2:$B$18,2,FALSE)*[1]Energiindhold!$C$10,0)*K226*IFERROR(VLOOKUP(A226,Biogasanlæg!$F$3:$G$8,2,FALSE),1)</f>
        <v>0</v>
      </c>
      <c r="U226" s="170">
        <f t="shared" si="47"/>
        <v>0</v>
      </c>
      <c r="V226" s="169">
        <f>P226*IFERROR(VLOOKUP(A226,[1]Tørstofindhold!A$2:B$24,2,FALSE),0)</f>
        <v>0</v>
      </c>
      <c r="W226">
        <f>IF(E226=År1,Q226,SUM(P226,Q226))*IFERROR(VLOOKUP(A226,[1]Tørstofindhold!A$2:B$24,2,FALSE),0)</f>
        <v>0</v>
      </c>
      <c r="X226">
        <f>K226*IFERROR(VLOOKUP(A226,[1]Tørstofindhold!A$2:B$24,2,FALSE),0)</f>
        <v>0</v>
      </c>
      <c r="Y226" s="170">
        <f t="shared" si="48"/>
        <v>0</v>
      </c>
      <c r="Z226">
        <f t="shared" si="43"/>
        <v>0</v>
      </c>
      <c r="AA226">
        <f t="shared" si="44"/>
        <v>1</v>
      </c>
    </row>
    <row r="227" spans="1:27" x14ac:dyDescent="0.25">
      <c r="A227" s="171" t="str">
        <f t="shared" si="39"/>
        <v>Pil &amp; poppel</v>
      </c>
      <c r="B227" s="171" t="str">
        <f t="shared" si="40"/>
        <v>Vedmasse</v>
      </c>
      <c r="C227" s="171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71">
        <f t="shared" si="38"/>
        <v>0</v>
      </c>
      <c r="E227" s="171">
        <f t="shared" si="41"/>
        <v>2030</v>
      </c>
      <c r="F227" t="s">
        <v>24</v>
      </c>
      <c r="G227" s="94">
        <f>IF(F227="Vestdanmark",SUMIFS(IF(E227=År1,'Resultater - Vestdanmark'!H$3:H$504,IF(E227=År2,'Resultater - Vestdanmark'!I$3:I$504,'Resultater - Vestdanmark'!J$3:J$504)),'Resultater - Vestdanmark'!$F$3:$F$504,$A227,IF(E227=År1,'Resultater - Vestdanmark'!H$3:H$504,IF(E227=År2,'Resultater - Vestdanmark'!I$3:I$504,'Resultater - Vestdanmark'!J$3:J$504)),"&gt;0"),SUMIFS(IF(E227=År1,'Resultater - Østdanmark'!H$3:H$504,IF(E227=År2,'Resultater - Østdanmark'!I$3:I$504,'Resultater - Østdanmark'!J$3:J$504)),'Resultater - Østdanmark'!$F$3:$F$504,$A227,IF(E227=År1,'Resultater - Østdanmark'!H$3:H$504,IF(E227=År2,'Resultater - Østdanmark'!I$3:I$504,'Resultater - Østdanmark'!J$3:J$504)),"&gt;0"))</f>
        <v>272470.87062579964</v>
      </c>
      <c r="H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forbrug'!H$3,'Forbrug af biomasse'!$B$2:$B$425,$F227)</f>
        <v>0</v>
      </c>
      <c r="I227">
        <f>IF(F227="Vestdanmark",-IF(A227="Halm",SUMIFS(IF(E227=År1,'Resultater - Vestdanmark'!H$3:H$504,IF(E227=År2,'Resultater - Vestdanmark'!I$3:I$504,'Resultater - Vestdanmark'!J$3:J$504)),'Resultater - Vestdanmark'!$F$3:$F$504,$A227,'Resultater - Vestdanmark'!H$3:H$504,"&lt;0"),0),-IF(A227="Halm",SUMIFS(IF(E227=År1,'Resultater - Østdanmark'!H$3:H$504,IF(E227=År2,'Resultater - Østdanmark'!I$3:I$504,'Resultater - Østdanmark'!J$3:J$504)),'Resultater - Østdanmark'!$F$3:$F$504,$A227,'Resultater - Østdanmark'!H$3:H$504,"&lt;0"),0))</f>
        <v>0</v>
      </c>
      <c r="J227" s="94"/>
      <c r="K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forbrug'!K$3,'Forbrug af biomasse'!$B$2:$B$425,$F227)</f>
        <v>0</v>
      </c>
      <c r="L227" s="94">
        <f>SUMIFS('Forbrug af biomasse'!$E$2:$E$425,'Forbrug af biomasse'!$C$2:$C$425,'Resultat-Produktion &amp; forbrug'!$A227,'Forbrug af biomasse'!$D$2:$D$425,'Resultat-Produktion &amp; forbrug'!$E227,'Forbrug af biomasse'!$A$2:$A$425,'Resultat-Produktion &amp; forbrug'!L$3,'Forbrug af biomasse'!$B$2:$B$425,$F227)</f>
        <v>0</v>
      </c>
      <c r="M227" s="94">
        <f>IF(A227&lt;&gt;"Biogas",SUMIFS('Forbrug af biomasse'!$E$2:$E$425,'Forbrug af biomasse'!$C$2:$C$425,'Resultat-Produktion &amp; forbrug'!$A227,'Forbrug af biomasse'!$D$2:$D$425,'Resultat-Produktion &amp; forbrug'!$E227,'Forbrug af biomasse'!$A$2:$A$425,'Resultat-Produktion &amp; forbrug'!M$3,'Forbrug af biomasse'!$B$2:$B$425,$F227),G227)</f>
        <v>272470.87062579964</v>
      </c>
      <c r="N227" s="94">
        <f>SUMIFS('Forbrug af biomasse'!E:E,'Forbrug af biomasse'!C:C,'Resultat-Produktion &amp; forbrug'!$A227,'Forbrug af biomasse'!D:D,'Resultat-Produktion &amp; forbrug'!$E227,'Forbrug af biomasse'!G:G,1,'Forbrug af biomasse'!B:B,$F227)</f>
        <v>0</v>
      </c>
      <c r="O227" s="179">
        <f t="shared" si="45"/>
        <v>0</v>
      </c>
      <c r="P227" s="94">
        <f t="shared" si="42"/>
        <v>0</v>
      </c>
      <c r="Q227" s="180">
        <f t="shared" si="46"/>
        <v>272470.87062579964</v>
      </c>
      <c r="R227">
        <f>IFERROR(VLOOKUP(A227,[1]Energiindhold!$A$2:$C$11,3,FALSE),IFERROR(VLOOKUP(A227,[1]Biogasudbytte!$A$2:$B$18,2,FALSE)*[1]Energiindhold!$C$10,0))*P227</f>
        <v>0</v>
      </c>
      <c r="S227">
        <f>IF(A227&lt;&gt;"Biogas",IFERROR(VLOOKUP(A227,[1]Biogasudbytte!$A$2:$B$18,2,FALSE)*[1]Energiindhold!$C$10,0)*K227*IFERROR(VLOOKUP(A227,Biogasanlæg!$F$3:$G$8,2,FALSE),1)+IFERROR(VLOOKUP(A227,[1]Energiindhold!$A$2:$C$11,3,FALSE),0)*M227+IF(E227&lt;&gt;År1,R227,0),0)</f>
        <v>5.0134640195147124</v>
      </c>
      <c r="T227">
        <f>IFERROR(VLOOKUP(A227,[1]Biogasudbytte!$A$2:$B$18,2,FALSE)*[1]Energiindhold!$C$10,0)*K227*IFERROR(VLOOKUP(A227,Biogasanlæg!$F$3:$G$8,2,FALSE),1)</f>
        <v>0</v>
      </c>
      <c r="U227" s="170">
        <f t="shared" si="47"/>
        <v>5.0134640195147124</v>
      </c>
      <c r="V227" s="169">
        <f>P227*IFERROR(VLOOKUP(A227,[1]Tørstofindhold!A$2:B$24,2,FALSE),0)</f>
        <v>0</v>
      </c>
      <c r="W227">
        <f>IF(E227=År1,Q227,SUM(P227,Q227))*IFERROR(VLOOKUP(A227,[1]Tørstofindhold!A$2:B$24,2,FALSE),0)</f>
        <v>113075.41130970686</v>
      </c>
      <c r="X227">
        <f>K227*IFERROR(VLOOKUP(A227,[1]Tørstofindhold!A$2:B$24,2,FALSE),0)</f>
        <v>0</v>
      </c>
      <c r="Y227" s="170">
        <f t="shared" si="48"/>
        <v>113075.41130970686</v>
      </c>
      <c r="Z227">
        <f t="shared" si="43"/>
        <v>0</v>
      </c>
      <c r="AA227">
        <f t="shared" si="44"/>
        <v>0</v>
      </c>
    </row>
    <row r="228" spans="1:27" x14ac:dyDescent="0.25">
      <c r="A228" s="171" t="str">
        <f>A180</f>
        <v>Pyrolysegas</v>
      </c>
      <c r="B228" s="171" t="str">
        <f>IF(B180&lt;&gt;"",B180,"")</f>
        <v>Pyrolyseprodukter</v>
      </c>
      <c r="C228" s="171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71">
        <f t="shared" si="38"/>
        <v>0</v>
      </c>
      <c r="E228" s="171">
        <f t="shared" si="41"/>
        <v>2030</v>
      </c>
      <c r="F228" t="s">
        <v>24</v>
      </c>
      <c r="G228" s="94">
        <f>IF(F228="Vestdanmark",SUMIFS(IF(E228=År1,'Resultater - Vestdanmark'!H$3:H$504,IF(E228=År2,'Resultater - Vestdanmark'!I$3:I$504,'Resultater - Vestdanmark'!J$3:J$504)),'Resultater - Vestdanmark'!$F$3:$F$504,$A228,IF(E228=År1,'Resultater - Vestdanmark'!H$3:H$504,IF(E228=År2,'Resultater - Vestdanmark'!I$3:I$504,'Resultater - Vestdanmark'!J$3:J$504)),"&gt;0"),SUMIFS(IF(E228=År1,'Resultater - Østdanmark'!H$3:H$504,IF(E228=År2,'Resultater - Østdanmark'!I$3:I$504,'Resultater - Østdanmark'!J$3:J$504)),'Resultater - Østdanmark'!$F$3:$F$504,$A228,IF(E228=År1,'Resultater - Østdanmark'!H$3:H$504,IF(E228=År2,'Resultater - Østdanmark'!I$3:I$504,'Resultater - Østdanmark'!J$3:J$504)),"&gt;0"))</f>
        <v>0</v>
      </c>
      <c r="H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forbrug'!H$3,'Forbrug af biomasse'!$B$2:$B$425,$F228)</f>
        <v>0</v>
      </c>
      <c r="I228">
        <f>IF(F228="Vestdanmark",-IF(A228="Halm",SUMIFS(IF(E228=År1,'Resultater - Vestdanmark'!H$3:H$504,IF(E228=År2,'Resultater - Vestdanmark'!I$3:I$504,'Resultater - Vestdanmark'!J$3:J$504)),'Resultater - Vestdanmark'!$F$3:$F$504,$A228,'Resultater - Vestdanmark'!H$3:H$504,"&lt;0"),0),-IF(A228="Halm",SUMIFS(IF(E228=År1,'Resultater - Østdanmark'!H$3:H$504,IF(E228=År2,'Resultater - Østdanmark'!I$3:I$504,'Resultater - Østdanmark'!J$3:J$504)),'Resultater - Østdanmark'!$F$3:$F$504,$A228,'Resultater - Østdanmark'!H$3:H$504,"&lt;0"),0))</f>
        <v>0</v>
      </c>
      <c r="J228" s="94"/>
      <c r="K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forbrug'!K$3,'Forbrug af biomasse'!$B$2:$B$425,$F228)</f>
        <v>0</v>
      </c>
      <c r="L228" s="94">
        <f>SUMIFS('Forbrug af biomasse'!$E$2:$E$425,'Forbrug af biomasse'!$C$2:$C$425,'Resultat-Produktion &amp; forbrug'!$A228,'Forbrug af biomasse'!$D$2:$D$425,'Resultat-Produktion &amp; forbrug'!$E228,'Forbrug af biomasse'!$A$2:$A$425,'Resultat-Produktion &amp; forbrug'!L$3,'Forbrug af biomasse'!$B$2:$B$425,$F228)</f>
        <v>0</v>
      </c>
      <c r="M228" s="94">
        <f>IF(A228&lt;&gt;"Biogas",SUMIFS('Forbrug af biomasse'!$E$2:$E$425,'Forbrug af biomasse'!$C$2:$C$425,'Resultat-Produktion &amp; forbrug'!$A228,'Forbrug af biomasse'!$D$2:$D$425,'Resultat-Produktion &amp; forbrug'!$E228,'Forbrug af biomasse'!$A$2:$A$425,'Resultat-Produktion &amp; forbrug'!M$3,'Forbrug af biomasse'!$B$2:$B$425,$F228),G228)</f>
        <v>0</v>
      </c>
      <c r="N228" s="94">
        <f>SUMIFS('Forbrug af biomasse'!E:E,'Forbrug af biomasse'!C:C,'Resultat-Produktion &amp; forbrug'!$A228,'Forbrug af biomasse'!D:D,'Resultat-Produktion &amp; forbrug'!$E228,'Forbrug af biomasse'!G:G,1,'Forbrug af biomasse'!B:B,$F228)</f>
        <v>0</v>
      </c>
      <c r="O228" s="179">
        <f>G228-SUM(H228:N228)</f>
        <v>0</v>
      </c>
      <c r="P228" s="94">
        <f t="shared" si="42"/>
        <v>0</v>
      </c>
      <c r="Q228" s="180">
        <f>SUM(K228,M228)</f>
        <v>0</v>
      </c>
      <c r="R228">
        <f>IFERROR(VLOOKUP(A228,[1]Energiindhold!$A$2:$C$11,3,FALSE),IFERROR(VLOOKUP(A228,[1]Biogasudbytte!$A$2:$B$18,2,FALSE)*[1]Energiindhold!$C$10,0))*P228</f>
        <v>0</v>
      </c>
      <c r="S228">
        <f>IF(A228&lt;&gt;"Biogas",IFERROR(VLOOKUP(A228,[1]Biogasudbytte!$A$2:$B$18,2,FALSE)*[1]Energiindhold!$C$10,0)*K228*IFERROR(VLOOKUP(A228,Biogasanlæg!$F$3:$G$8,2,FALSE),1)+IFERROR(VLOOKUP(A228,[1]Energiindhold!$A$2:$C$11,3,FALSE),0)*M228+IF(E228&lt;&gt;År1,R228,0),0)</f>
        <v>0</v>
      </c>
      <c r="T228">
        <f>IFERROR(VLOOKUP(A228,[1]Biogasudbytte!$A$2:$B$18,2,FALSE)*[1]Energiindhold!$C$10,0)*K228*IFERROR(VLOOKUP(A228,Biogasanlæg!$F$3:$G$8,2,FALSE),1)</f>
        <v>0</v>
      </c>
      <c r="U228" s="170">
        <f>S228-T228</f>
        <v>0</v>
      </c>
      <c r="V228" s="169">
        <f>P228*IFERROR(VLOOKUP(A228,[1]Tørstofindhold!A$2:B$24,2,FALSE),0)</f>
        <v>0</v>
      </c>
      <c r="W228">
        <f>IF(E228=År1,Q228,SUM(P228,Q228))*IFERROR(VLOOKUP(A228,[1]Tørstofindhold!A$2:B$24,2,FALSE),0)</f>
        <v>0</v>
      </c>
      <c r="X228">
        <f>K228*IFERROR(VLOOKUP(A228,[1]Tørstofindhold!A$2:B$24,2,FALSE),0)</f>
        <v>0</v>
      </c>
      <c r="Y228" s="170">
        <f>W228-X228</f>
        <v>0</v>
      </c>
      <c r="Z228">
        <f t="shared" si="43"/>
        <v>0</v>
      </c>
      <c r="AA228">
        <f t="shared" si="44"/>
        <v>0</v>
      </c>
    </row>
    <row r="229" spans="1:27" x14ac:dyDescent="0.25">
      <c r="A229" s="171" t="str">
        <f>A181</f>
        <v>Pyrolyseolie</v>
      </c>
      <c r="B229" s="171" t="str">
        <f>IF(B181&lt;&gt;"",B181,"")</f>
        <v>Pyrolyseprodukter</v>
      </c>
      <c r="C229" s="171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1</v>
      </c>
      <c r="D229" s="171">
        <f t="shared" si="38"/>
        <v>0</v>
      </c>
      <c r="E229" s="171">
        <f t="shared" si="41"/>
        <v>2030</v>
      </c>
      <c r="F229" t="s">
        <v>24</v>
      </c>
      <c r="G229" s="94">
        <f>IF(F229="Vestdanmark",SUMIFS(IF(E229=År1,'Resultater - Vestdanmark'!H$3:H$504,IF(E229=År2,'Resultater - Vestdanmark'!I$3:I$504,'Resultater - Vestdanmark'!J$3:J$504)),'Resultater - Vestdanmark'!$F$3:$F$504,$A229,IF(E229=År1,'Resultater - Vestdanmark'!H$3:H$504,IF(E229=År2,'Resultater - Vestdanmark'!I$3:I$504,'Resultater - Vestdanmark'!J$3:J$504)),"&gt;0"),SUMIFS(IF(E229=År1,'Resultater - Østdanmark'!H$3:H$504,IF(E229=År2,'Resultater - Østdanmark'!I$3:I$504,'Resultater - Østdanmark'!J$3:J$504)),'Resultater - Østdanmark'!$F$3:$F$504,$A229,IF(E229=År1,'Resultater - Østdanmark'!H$3:H$504,IF(E229=År2,'Resultater - Østdanmark'!I$3:I$504,'Resultater - Østdanmark'!J$3:J$504)),"&gt;0"))</f>
        <v>0</v>
      </c>
      <c r="H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forbrug'!H$3,'Forbrug af biomasse'!$B$2:$B$425,$F229)</f>
        <v>0</v>
      </c>
      <c r="I229">
        <f>IF(F229="Vestdanmark",-IF(A229="Halm",SUMIFS(IF(E229=År1,'Resultater - Vestdanmark'!H$3:H$504,IF(E229=År2,'Resultater - Vestdanmark'!I$3:I$504,'Resultater - Vestdanmark'!J$3:J$504)),'Resultater - Vestdanmark'!$F$3:$F$504,$A229,'Resultater - Vestdanmark'!H$3:H$504,"&lt;0"),0),-IF(A229="Halm",SUMIFS(IF(E229=År1,'Resultater - Østdanmark'!H$3:H$504,IF(E229=År2,'Resultater - Østdanmark'!I$3:I$504,'Resultater - Østdanmark'!J$3:J$504)),'Resultater - Østdanmark'!$F$3:$F$504,$A229,'Resultater - Østdanmark'!H$3:H$504,"&lt;0"),0))</f>
        <v>0</v>
      </c>
      <c r="J229" s="94"/>
      <c r="K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forbrug'!K$3,'Forbrug af biomasse'!$B$2:$B$425,$F229)</f>
        <v>0</v>
      </c>
      <c r="L229" s="94">
        <f>SUMIFS('Forbrug af biomasse'!$E$2:$E$425,'Forbrug af biomasse'!$C$2:$C$425,'Resultat-Produktion &amp; forbrug'!$A229,'Forbrug af biomasse'!$D$2:$D$425,'Resultat-Produktion &amp; forbrug'!$E229,'Forbrug af biomasse'!$A$2:$A$425,'Resultat-Produktion &amp; forbrug'!L$3,'Forbrug af biomasse'!$B$2:$B$425,$F229)</f>
        <v>0</v>
      </c>
      <c r="M229" s="94">
        <f>IF(A229&lt;&gt;"Biogas",SUMIFS('Forbrug af biomasse'!$E$2:$E$425,'Forbrug af biomasse'!$C$2:$C$425,'Resultat-Produktion &amp; forbrug'!$A229,'Forbrug af biomasse'!$D$2:$D$425,'Resultat-Produktion &amp; forbrug'!$E229,'Forbrug af biomasse'!$A$2:$A$425,'Resultat-Produktion &amp; forbrug'!M$3,'Forbrug af biomasse'!$B$2:$B$425,$F229),G229)</f>
        <v>0</v>
      </c>
      <c r="N229" s="94">
        <f>SUMIFS('Forbrug af biomasse'!E:E,'Forbrug af biomasse'!C:C,'Resultat-Produktion &amp; forbrug'!$A229,'Forbrug af biomasse'!D:D,'Resultat-Produktion &amp; forbrug'!$E229,'Forbrug af biomasse'!G:G,1,'Forbrug af biomasse'!B:B,$F229)</f>
        <v>0</v>
      </c>
      <c r="O229" s="179">
        <f>G229-SUM(H229:N229)</f>
        <v>0</v>
      </c>
      <c r="P229" s="94">
        <f t="shared" si="42"/>
        <v>0</v>
      </c>
      <c r="Q229" s="180">
        <f>SUM(K229,M229)</f>
        <v>0</v>
      </c>
      <c r="R229">
        <f>IFERROR(VLOOKUP(A229,[1]Energiindhold!$A$2:$C$11,3,FALSE),IFERROR(VLOOKUP(A229,[1]Biogasudbytte!$A$2:$B$18,2,FALSE)*[1]Energiindhold!$C$10,0))*P229</f>
        <v>0</v>
      </c>
      <c r="S229">
        <f>IF(A229&lt;&gt;"Biogas",IFERROR(VLOOKUP(A229,[1]Biogasudbytte!$A$2:$B$18,2,FALSE)*[1]Energiindhold!$C$10,0)*K229*IFERROR(VLOOKUP(A229,Biogasanlæg!$F$3:$G$8,2,FALSE),1)+IFERROR(VLOOKUP(A229,[1]Energiindhold!$A$2:$C$11,3,FALSE),0)*M229+IF(E229&lt;&gt;År1,R229,0),0)</f>
        <v>0</v>
      </c>
      <c r="T229">
        <f>IFERROR(VLOOKUP(A229,[1]Biogasudbytte!$A$2:$B$18,2,FALSE)*[1]Energiindhold!$C$10,0)*K229*IFERROR(VLOOKUP(A229,Biogasanlæg!$F$3:$G$8,2,FALSE),1)</f>
        <v>0</v>
      </c>
      <c r="U229" s="170">
        <f>S229-T229</f>
        <v>0</v>
      </c>
      <c r="V229" s="169">
        <f>P229*IFERROR(VLOOKUP(A229,[1]Tørstofindhold!A$2:B$24,2,FALSE),0)</f>
        <v>0</v>
      </c>
      <c r="W229">
        <f>IF(E229=År1,Q229,SUM(P229,Q229))*IFERROR(VLOOKUP(A229,[1]Tørstofindhold!A$2:B$24,2,FALSE),0)</f>
        <v>0</v>
      </c>
      <c r="X229">
        <f>K229*IFERROR(VLOOKUP(A229,[1]Tørstofindhold!A$2:B$24,2,FALSE),0)</f>
        <v>0</v>
      </c>
      <c r="Y229" s="170">
        <f>W229-X229</f>
        <v>0</v>
      </c>
      <c r="Z229">
        <f t="shared" si="43"/>
        <v>0</v>
      </c>
      <c r="AA229">
        <f t="shared" si="44"/>
        <v>0</v>
      </c>
    </row>
    <row r="230" spans="1:27" x14ac:dyDescent="0.25">
      <c r="A230" s="171" t="str">
        <f t="shared" ref="A230:A275" si="49">A182</f>
        <v>Råmælk</v>
      </c>
      <c r="B230" s="171" t="str">
        <f t="shared" ref="B230:B275" si="50">IF(B182&lt;&gt;"",B182,"")</f>
        <v/>
      </c>
      <c r="C230" s="171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71">
        <f t="shared" si="38"/>
        <v>0</v>
      </c>
      <c r="E230" s="171">
        <f t="shared" si="41"/>
        <v>2030</v>
      </c>
      <c r="F230" t="s">
        <v>24</v>
      </c>
      <c r="G230" s="94">
        <f>IF(F230="Vestdanmark",SUMIFS(IF(E230=År1,'Resultater - Vestdanmark'!H$3:H$504,IF(E230=År2,'Resultater - Vestdanmark'!I$3:I$504,'Resultater - Vestdanmark'!J$3:J$504)),'Resultater - Vestdanmark'!$F$3:$F$504,$A230,IF(E230=År1,'Resultater - Vestdanmark'!H$3:H$504,IF(E230=År2,'Resultater - Vestdanmark'!I$3:I$504,'Resultater - Vestdanmark'!J$3:J$504)),"&gt;0"),SUMIFS(IF(E230=År1,'Resultater - Østdanmark'!H$3:H$504,IF(E230=År2,'Resultater - Østdanmark'!I$3:I$504,'Resultater - Østdanmark'!J$3:J$504)),'Resultater - Østdanmark'!$F$3:$F$504,$A230,IF(E230=År1,'Resultater - Østdanmark'!H$3:H$504,IF(E230=År2,'Resultater - Østdanmark'!I$3:I$504,'Resultater - Østdanmark'!J$3:J$504)),"&gt;0"))</f>
        <v>150898.00912578267</v>
      </c>
      <c r="H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forbrug'!H$3,'Forbrug af biomasse'!$B$2:$B$425,$F230)</f>
        <v>0</v>
      </c>
      <c r="I230">
        <f>IF(F230="Vestdanmark",-IF(A230="Halm",SUMIFS(IF(E230=År1,'Resultater - Vestdanmark'!H$3:H$504,IF(E230=År2,'Resultater - Vestdanmark'!I$3:I$504,'Resultater - Vestdanmark'!J$3:J$504)),'Resultater - Vestdanmark'!$F$3:$F$504,$A230,'Resultater - Vestdanmark'!H$3:H$504,"&lt;0"),0),-IF(A230="Halm",SUMIFS(IF(E230=År1,'Resultater - Østdanmark'!H$3:H$504,IF(E230=År2,'Resultater - Østdanmark'!I$3:I$504,'Resultater - Østdanmark'!J$3:J$504)),'Resultater - Østdanmark'!$F$3:$F$504,$A230,'Resultater - Østdanmark'!H$3:H$504,"&lt;0"),0))</f>
        <v>0</v>
      </c>
      <c r="J230" s="94"/>
      <c r="K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forbrug'!K$3,'Forbrug af biomasse'!$B$2:$B$425,$F230)</f>
        <v>0</v>
      </c>
      <c r="L230" s="94">
        <f>SUMIFS('Forbrug af biomasse'!$E$2:$E$425,'Forbrug af biomasse'!$C$2:$C$425,'Resultat-Produktion &amp; forbrug'!$A230,'Forbrug af biomasse'!$D$2:$D$425,'Resultat-Produktion &amp; forbrug'!$E230,'Forbrug af biomasse'!$A$2:$A$425,'Resultat-Produktion &amp; forbrug'!L$3,'Forbrug af biomasse'!$B$2:$B$425,$F230)</f>
        <v>0</v>
      </c>
      <c r="M230" s="94">
        <f>IF(A230&lt;&gt;"Biogas",SUMIFS('Forbrug af biomasse'!$E$2:$E$425,'Forbrug af biomasse'!$C$2:$C$425,'Resultat-Produktion &amp; forbrug'!$A230,'Forbrug af biomasse'!$D$2:$D$425,'Resultat-Produktion &amp; forbrug'!$E230,'Forbrug af biomasse'!$A$2:$A$425,'Resultat-Produktion &amp; forbrug'!M$3,'Forbrug af biomasse'!$B$2:$B$425,$F230),G230)</f>
        <v>0</v>
      </c>
      <c r="N230" s="94">
        <f>SUMIFS('Forbrug af biomasse'!E:E,'Forbrug af biomasse'!C:C,'Resultat-Produktion &amp; forbrug'!$A230,'Forbrug af biomasse'!D:D,'Resultat-Produktion &amp; forbrug'!$E230,'Forbrug af biomasse'!G:G,1,'Forbrug af biomasse'!B:B,$F230)</f>
        <v>0</v>
      </c>
      <c r="O230" s="179">
        <f t="shared" si="45"/>
        <v>150898.00912578267</v>
      </c>
      <c r="P230" s="94">
        <f t="shared" si="42"/>
        <v>0</v>
      </c>
      <c r="Q230" s="180">
        <f t="shared" si="46"/>
        <v>0</v>
      </c>
      <c r="R230">
        <f>IFERROR(VLOOKUP(A230,[1]Energiindhold!$A$2:$C$11,3,FALSE),IFERROR(VLOOKUP(A230,[1]Biogasudbytte!$A$2:$B$18,2,FALSE)*[1]Energiindhold!$C$10,0))*P230</f>
        <v>0</v>
      </c>
      <c r="S230">
        <f>IF(A230&lt;&gt;"Biogas",IFERROR(VLOOKUP(A230,[1]Biogasudbytte!$A$2:$B$18,2,FALSE)*[1]Energiindhold!$C$10,0)*K230*IFERROR(VLOOKUP(A230,Biogasanlæg!$F$3:$G$8,2,FALSE),1)+IFERROR(VLOOKUP(A230,[1]Energiindhold!$A$2:$C$11,3,FALSE),0)*M230+IF(E230&lt;&gt;År1,R230,0),0)</f>
        <v>0</v>
      </c>
      <c r="T230">
        <f>IFERROR(VLOOKUP(A230,[1]Biogasudbytte!$A$2:$B$18,2,FALSE)*[1]Energiindhold!$C$10,0)*K230*IFERROR(VLOOKUP(A230,Biogasanlæg!$F$3:$G$8,2,FALSE),1)</f>
        <v>0</v>
      </c>
      <c r="U230" s="170">
        <f t="shared" si="47"/>
        <v>0</v>
      </c>
      <c r="V230" s="169">
        <f>P230*IFERROR(VLOOKUP(A230,[1]Tørstofindhold!A$2:B$24,2,FALSE),0)</f>
        <v>0</v>
      </c>
      <c r="W230">
        <f>IF(E230=År1,Q230,SUM(P230,Q230))*IFERROR(VLOOKUP(A230,[1]Tørstofindhold!A$2:B$24,2,FALSE),0)</f>
        <v>0</v>
      </c>
      <c r="X230">
        <f>K230*IFERROR(VLOOKUP(A230,[1]Tørstofindhold!A$2:B$24,2,FALSE),0)</f>
        <v>0</v>
      </c>
      <c r="Y230" s="170">
        <f t="shared" si="48"/>
        <v>0</v>
      </c>
      <c r="Z230">
        <f t="shared" si="43"/>
        <v>0</v>
      </c>
      <c r="AA230">
        <f t="shared" si="44"/>
        <v>1</v>
      </c>
    </row>
    <row r="231" spans="1:27" x14ac:dyDescent="0.25">
      <c r="A231" s="171" t="str">
        <f t="shared" si="49"/>
        <v>Raps</v>
      </c>
      <c r="B231" s="171" t="str">
        <f t="shared" si="50"/>
        <v/>
      </c>
      <c r="C231" s="171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71">
        <f t="shared" si="38"/>
        <v>0</v>
      </c>
      <c r="E231" s="171">
        <f t="shared" si="41"/>
        <v>2030</v>
      </c>
      <c r="F231" t="s">
        <v>24</v>
      </c>
      <c r="G231" s="94">
        <f>IF(F231="Vestdanmark",SUMIFS(IF(E231=År1,'Resultater - Vestdanmark'!H$3:H$504,IF(E231=År2,'Resultater - Vestdanmark'!I$3:I$504,'Resultater - Vestdanmark'!J$3:J$504)),'Resultater - Vestdanmark'!$F$3:$F$504,$A231,IF(E231=År1,'Resultater - Vestdanmark'!H$3:H$504,IF(E231=År2,'Resultater - Vestdanmark'!I$3:I$504,'Resultater - Vestdanmark'!J$3:J$504)),"&gt;0"),SUMIFS(IF(E231=År1,'Resultater - Østdanmark'!H$3:H$504,IF(E231=År2,'Resultater - Østdanmark'!I$3:I$504,'Resultater - Østdanmark'!J$3:J$504)),'Resultater - Østdanmark'!$F$3:$F$504,$A231,IF(E231=År1,'Resultater - Østdanmark'!H$3:H$504,IF(E231=År2,'Resultater - Østdanmark'!I$3:I$504,'Resultater - Østdanmark'!J$3:J$504)),"&gt;0"))</f>
        <v>225804.31636026004</v>
      </c>
      <c r="H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forbrug'!H$3,'Forbrug af biomasse'!$B$2:$B$425,$F231)</f>
        <v>0</v>
      </c>
      <c r="I231">
        <f>IF(F231="Vestdanmark",-IF(A231="Halm",SUMIFS(IF(E231=År1,'Resultater - Vestdanmark'!H$3:H$504,IF(E231=År2,'Resultater - Vestdanmark'!I$3:I$504,'Resultater - Vestdanmark'!J$3:J$504)),'Resultater - Vestdanmark'!$F$3:$F$504,$A231,'Resultater - Vestdanmark'!H$3:H$504,"&lt;0"),0),-IF(A231="Halm",SUMIFS(IF(E231=År1,'Resultater - Østdanmark'!H$3:H$504,IF(E231=År2,'Resultater - Østdanmark'!I$3:I$504,'Resultater - Østdanmark'!J$3:J$504)),'Resultater - Østdanmark'!$F$3:$F$504,$A231,'Resultater - Østdanmark'!H$3:H$504,"&lt;0"),0))</f>
        <v>0</v>
      </c>
      <c r="J231" s="94"/>
      <c r="K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forbrug'!K$3,'Forbrug af biomasse'!$B$2:$B$425,$F231)</f>
        <v>0</v>
      </c>
      <c r="L231" s="94">
        <f>SUMIFS('Forbrug af biomasse'!$E$2:$E$425,'Forbrug af biomasse'!$C$2:$C$425,'Resultat-Produktion &amp; forbrug'!$A231,'Forbrug af biomasse'!$D$2:$D$425,'Resultat-Produktion &amp; forbrug'!$E231,'Forbrug af biomasse'!$A$2:$A$425,'Resultat-Produktion &amp; forbrug'!L$3,'Forbrug af biomasse'!$B$2:$B$425,$F231)</f>
        <v>0</v>
      </c>
      <c r="M231" s="94">
        <f>IF(A231&lt;&gt;"Biogas",SUMIFS('Forbrug af biomasse'!$E$2:$E$425,'Forbrug af biomasse'!$C$2:$C$425,'Resultat-Produktion &amp; forbrug'!$A231,'Forbrug af biomasse'!$D$2:$D$425,'Resultat-Produktion &amp; forbrug'!$E231,'Forbrug af biomasse'!$A$2:$A$425,'Resultat-Produktion &amp; forbrug'!M$3,'Forbrug af biomasse'!$B$2:$B$425,$F231),G231)</f>
        <v>0</v>
      </c>
      <c r="N231" s="94">
        <f>SUMIFS('Forbrug af biomasse'!E:E,'Forbrug af biomasse'!C:C,'Resultat-Produktion &amp; forbrug'!$A231,'Forbrug af biomasse'!D:D,'Resultat-Produktion &amp; forbrug'!$E231,'Forbrug af biomasse'!G:G,1,'Forbrug af biomasse'!B:B,$F231)</f>
        <v>225804.31636026004</v>
      </c>
      <c r="O231" s="179">
        <f t="shared" si="45"/>
        <v>0</v>
      </c>
      <c r="P231" s="94">
        <f t="shared" si="42"/>
        <v>0</v>
      </c>
      <c r="Q231" s="180">
        <f t="shared" si="46"/>
        <v>0</v>
      </c>
      <c r="R231">
        <f>IFERROR(VLOOKUP(A231,[1]Energiindhold!$A$2:$C$11,3,FALSE),IFERROR(VLOOKUP(A231,[1]Biogasudbytte!$A$2:$B$18,2,FALSE)*[1]Energiindhold!$C$10,0))*P231</f>
        <v>0</v>
      </c>
      <c r="S231">
        <f>IF(A231&lt;&gt;"Biogas",IFERROR(VLOOKUP(A231,[1]Biogasudbytte!$A$2:$B$18,2,FALSE)*[1]Energiindhold!$C$10,0)*K231*IFERROR(VLOOKUP(A231,Biogasanlæg!$F$3:$G$8,2,FALSE),1)+IFERROR(VLOOKUP(A231,[1]Energiindhold!$A$2:$C$11,3,FALSE),0)*M231+IF(E231&lt;&gt;År1,R231,0),0)</f>
        <v>0</v>
      </c>
      <c r="T231">
        <f>IFERROR(VLOOKUP(A231,[1]Biogasudbytte!$A$2:$B$18,2,FALSE)*[1]Energiindhold!$C$10,0)*K231*IFERROR(VLOOKUP(A231,Biogasanlæg!$F$3:$G$8,2,FALSE),1)</f>
        <v>0</v>
      </c>
      <c r="U231" s="170">
        <f t="shared" si="47"/>
        <v>0</v>
      </c>
      <c r="V231" s="169">
        <f>P231*IFERROR(VLOOKUP(A231,[1]Tørstofindhold!A$2:B$24,2,FALSE),0)</f>
        <v>0</v>
      </c>
      <c r="W231">
        <f>IF(E231=År1,Q231,SUM(P231,Q231))*IFERROR(VLOOKUP(A231,[1]Tørstofindhold!A$2:B$24,2,FALSE),0)</f>
        <v>0</v>
      </c>
      <c r="X231">
        <f>K231*IFERROR(VLOOKUP(A231,[1]Tørstofindhold!A$2:B$24,2,FALSE),0)</f>
        <v>0</v>
      </c>
      <c r="Y231" s="170">
        <f t="shared" si="48"/>
        <v>0</v>
      </c>
      <c r="Z231">
        <f t="shared" si="43"/>
        <v>0</v>
      </c>
      <c r="AA231">
        <f t="shared" si="44"/>
        <v>0</v>
      </c>
    </row>
    <row r="232" spans="1:27" x14ac:dyDescent="0.25">
      <c r="A232" s="171" t="str">
        <f t="shared" si="49"/>
        <v>Rapskage</v>
      </c>
      <c r="B232" s="171" t="str">
        <f t="shared" si="50"/>
        <v/>
      </c>
      <c r="C232" s="171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0</v>
      </c>
      <c r="D232" s="171">
        <f t="shared" si="38"/>
        <v>0</v>
      </c>
      <c r="E232" s="171">
        <f t="shared" si="41"/>
        <v>2030</v>
      </c>
      <c r="F232" t="s">
        <v>24</v>
      </c>
      <c r="G232" s="94">
        <f>IF(F232="Vestdanmark",SUMIFS(IF(E232=År1,'Resultater - Vestdanmark'!H$3:H$504,IF(E232=År2,'Resultater - Vestdanmark'!I$3:I$504,'Resultater - Vestdanmark'!J$3:J$504)),'Resultater - Vestdanmark'!$F$3:$F$504,$A232,IF(E232=År1,'Resultater - Vestdanmark'!H$3:H$504,IF(E232=År2,'Resultater - Vestdanmark'!I$3:I$504,'Resultater - Vestdanmark'!J$3:J$504)),"&gt;0"),SUMIFS(IF(E232=År1,'Resultater - Østdanmark'!H$3:H$504,IF(E232=År2,'Resultater - Østdanmark'!I$3:I$504,'Resultater - Østdanmark'!J$3:J$504)),'Resultater - Østdanmark'!$F$3:$F$504,$A232,IF(E232=År1,'Resultater - Østdanmark'!H$3:H$504,IF(E232=År2,'Resultater - Østdanmark'!I$3:I$504,'Resultater - Østdanmark'!J$3:J$504)),"&gt;0"))</f>
        <v>112902.15818013002</v>
      </c>
      <c r="H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forbrug'!H$3,'Forbrug af biomasse'!$B$2:$B$425,$F232)</f>
        <v>38968.871949734763</v>
      </c>
      <c r="I232">
        <f>IF(F232="Vestdanmark",-IF(A232="Halm",SUMIFS(IF(E232=År1,'Resultater - Vestdanmark'!H$3:H$504,IF(E232=År2,'Resultater - Vestdanmark'!I$3:I$504,'Resultater - Vestdanmark'!J$3:J$504)),'Resultater - Vestdanmark'!$F$3:$F$504,$A232,'Resultater - Vestdanmark'!H$3:H$504,"&lt;0"),0),-IF(A232="Halm",SUMIFS(IF(E232=År1,'Resultater - Østdanmark'!H$3:H$504,IF(E232=År2,'Resultater - Østdanmark'!I$3:I$504,'Resultater - Østdanmark'!J$3:J$504)),'Resultater - Østdanmark'!$F$3:$F$504,$A232,'Resultater - Østdanmark'!H$3:H$504,"&lt;0"),0))</f>
        <v>0</v>
      </c>
      <c r="J232" s="94"/>
      <c r="K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forbrug'!K$3,'Forbrug af biomasse'!$B$2:$B$425,$F232)</f>
        <v>0</v>
      </c>
      <c r="L232" s="94">
        <f>SUMIFS('Forbrug af biomasse'!$E$2:$E$425,'Forbrug af biomasse'!$C$2:$C$425,'Resultat-Produktion &amp; forbrug'!$A232,'Forbrug af biomasse'!$D$2:$D$425,'Resultat-Produktion &amp; forbrug'!$E232,'Forbrug af biomasse'!$A$2:$A$425,'Resultat-Produktion &amp; forbrug'!L$3,'Forbrug af biomasse'!$B$2:$B$425,$F232)</f>
        <v>0</v>
      </c>
      <c r="M232" s="94">
        <f>IF(A232&lt;&gt;"Biogas",SUMIFS('Forbrug af biomasse'!$E$2:$E$425,'Forbrug af biomasse'!$C$2:$C$425,'Resultat-Produktion &amp; forbrug'!$A232,'Forbrug af biomasse'!$D$2:$D$425,'Resultat-Produktion &amp; forbrug'!$E232,'Forbrug af biomasse'!$A$2:$A$425,'Resultat-Produktion &amp; forbrug'!M$3,'Forbrug af biomasse'!$B$2:$B$425,$F232),G232)</f>
        <v>0</v>
      </c>
      <c r="N232" s="94">
        <f>SUMIFS('Forbrug af biomasse'!E:E,'Forbrug af biomasse'!C:C,'Resultat-Produktion &amp; forbrug'!$A232,'Forbrug af biomasse'!D:D,'Resultat-Produktion &amp; forbrug'!$E232,'Forbrug af biomasse'!G:G,1,'Forbrug af biomasse'!B:B,$F232)</f>
        <v>0</v>
      </c>
      <c r="O232" s="179">
        <f t="shared" si="45"/>
        <v>73933.286230395257</v>
      </c>
      <c r="P232" s="94">
        <f t="shared" si="42"/>
        <v>0</v>
      </c>
      <c r="Q232" s="180">
        <f t="shared" si="46"/>
        <v>0</v>
      </c>
      <c r="R232">
        <f>IFERROR(VLOOKUP(A232,[1]Energiindhold!$A$2:$C$11,3,FALSE),IFERROR(VLOOKUP(A232,[1]Biogasudbytte!$A$2:$B$18,2,FALSE)*[1]Energiindhold!$C$10,0))*P232</f>
        <v>0</v>
      </c>
      <c r="S232">
        <f>IF(A232&lt;&gt;"Biogas",IFERROR(VLOOKUP(A232,[1]Biogasudbytte!$A$2:$B$18,2,FALSE)*[1]Energiindhold!$C$10,0)*K232*IFERROR(VLOOKUP(A232,Biogasanlæg!$F$3:$G$8,2,FALSE),1)+IFERROR(VLOOKUP(A232,[1]Energiindhold!$A$2:$C$11,3,FALSE),0)*M232+IF(E232&lt;&gt;År1,R232,0),0)</f>
        <v>0</v>
      </c>
      <c r="T232">
        <f>IFERROR(VLOOKUP(A232,[1]Biogasudbytte!$A$2:$B$18,2,FALSE)*[1]Energiindhold!$C$10,0)*K232*IFERROR(VLOOKUP(A232,Biogasanlæg!$F$3:$G$8,2,FALSE),1)</f>
        <v>0</v>
      </c>
      <c r="U232" s="170">
        <f t="shared" si="47"/>
        <v>0</v>
      </c>
      <c r="V232" s="169">
        <f>P232*IFERROR(VLOOKUP(A232,[1]Tørstofindhold!A$2:B$24,2,FALSE),0)</f>
        <v>0</v>
      </c>
      <c r="W232">
        <f>IF(E232=År1,Q232,SUM(P232,Q232))*IFERROR(VLOOKUP(A232,[1]Tørstofindhold!A$2:B$24,2,FALSE),0)</f>
        <v>0</v>
      </c>
      <c r="X232">
        <f>K232*IFERROR(VLOOKUP(A232,[1]Tørstofindhold!A$2:B$24,2,FALSE),0)</f>
        <v>0</v>
      </c>
      <c r="Y232" s="170">
        <f t="shared" si="48"/>
        <v>0</v>
      </c>
      <c r="Z232">
        <f t="shared" si="43"/>
        <v>0</v>
      </c>
      <c r="AA232">
        <f t="shared" si="44"/>
        <v>1</v>
      </c>
    </row>
    <row r="233" spans="1:27" x14ac:dyDescent="0.25">
      <c r="A233" s="171" t="str">
        <f t="shared" si="49"/>
        <v>Rapsolie</v>
      </c>
      <c r="B233" s="171" t="str">
        <f t="shared" si="50"/>
        <v>Rapsolie</v>
      </c>
      <c r="C233" s="171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71">
        <f t="shared" si="38"/>
        <v>1</v>
      </c>
      <c r="E233" s="171">
        <f t="shared" si="41"/>
        <v>2030</v>
      </c>
      <c r="F233" t="s">
        <v>24</v>
      </c>
      <c r="G233" s="94">
        <f>IF(F233="Vestdanmark",SUMIFS(IF(E233=År1,'Resultater - Vestdanmark'!H$3:H$504,IF(E233=År2,'Resultater - Vestdanmark'!I$3:I$504,'Resultater - Vestdanmark'!J$3:J$504)),'Resultater - Vestdanmark'!$F$3:$F$504,$A233,IF(E233=År1,'Resultater - Vestdanmark'!H$3:H$504,IF(E233=År2,'Resultater - Vestdanmark'!I$3:I$504,'Resultater - Vestdanmark'!J$3:J$504)),"&gt;0"),SUMIFS(IF(E233=År1,'Resultater - Østdanmark'!H$3:H$504,IF(E233=År2,'Resultater - Østdanmark'!I$3:I$504,'Resultater - Østdanmark'!J$3:J$504)),'Resultater - Østdanmark'!$F$3:$F$504,$A233,IF(E233=År1,'Resultater - Østdanmark'!H$3:H$504,IF(E233=År2,'Resultater - Østdanmark'!I$3:I$504,'Resultater - Østdanmark'!J$3:J$504)),"&gt;0"))</f>
        <v>72257.381235283217</v>
      </c>
      <c r="H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forbrug'!H$3,'Forbrug af biomasse'!$B$2:$B$425,$F233)</f>
        <v>0</v>
      </c>
      <c r="I233">
        <f>IF(F233="Vestdanmark",-IF(A233="Halm",SUMIFS(IF(E233=År1,'Resultater - Vestdanmark'!H$3:H$504,IF(E233=År2,'Resultater - Vestdanmark'!I$3:I$504,'Resultater - Vestdanmark'!J$3:J$504)),'Resultater - Vestdanmark'!$F$3:$F$504,$A233,'Resultater - Vestdanmark'!H$3:H$504,"&lt;0"),0),-IF(A233="Halm",SUMIFS(IF(E233=År1,'Resultater - Østdanmark'!H$3:H$504,IF(E233=År2,'Resultater - Østdanmark'!I$3:I$504,'Resultater - Østdanmark'!J$3:J$504)),'Resultater - Østdanmark'!$F$3:$F$504,$A233,'Resultater - Østdanmark'!H$3:H$504,"&lt;0"),0))</f>
        <v>0</v>
      </c>
      <c r="J233" s="94"/>
      <c r="K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forbrug'!K$3,'Forbrug af biomasse'!$B$2:$B$425,$F233)</f>
        <v>0</v>
      </c>
      <c r="L233" s="94">
        <f>SUMIFS('Forbrug af biomasse'!$E$2:$E$425,'Forbrug af biomasse'!$C$2:$C$425,'Resultat-Produktion &amp; forbrug'!$A233,'Forbrug af biomasse'!$D$2:$D$425,'Resultat-Produktion &amp; forbrug'!$E233,'Forbrug af biomasse'!$A$2:$A$425,'Resultat-Produktion &amp; forbrug'!L$3,'Forbrug af biomasse'!$B$2:$B$425,$F233)</f>
        <v>0</v>
      </c>
      <c r="M233" s="94">
        <f>IF(A233&lt;&gt;"Biogas",SUMIFS('Forbrug af biomasse'!$E$2:$E$425,'Forbrug af biomasse'!$C$2:$C$425,'Resultat-Produktion &amp; forbrug'!$A233,'Forbrug af biomasse'!$D$2:$D$425,'Resultat-Produktion &amp; forbrug'!$E233,'Forbrug af biomasse'!$A$2:$A$425,'Resultat-Produktion &amp; forbrug'!M$3,'Forbrug af biomasse'!$B$2:$B$425,$F233),G233)</f>
        <v>72257.381235283217</v>
      </c>
      <c r="N233" s="94">
        <f>SUMIFS('Forbrug af biomasse'!E:E,'Forbrug af biomasse'!C:C,'Resultat-Produktion &amp; forbrug'!$A233,'Forbrug af biomasse'!D:D,'Resultat-Produktion &amp; forbrug'!$E233,'Forbrug af biomasse'!G:G,1,'Forbrug af biomasse'!B:B,$F233)</f>
        <v>0</v>
      </c>
      <c r="O233" s="179">
        <f t="shared" si="45"/>
        <v>0</v>
      </c>
      <c r="P233" s="94">
        <f t="shared" si="42"/>
        <v>0</v>
      </c>
      <c r="Q233" s="180">
        <f t="shared" si="46"/>
        <v>72257.381235283217</v>
      </c>
      <c r="R233">
        <f>IFERROR(VLOOKUP(A233,[1]Energiindhold!$A$2:$C$11,3,FALSE),IFERROR(VLOOKUP(A233,[1]Biogasudbytte!$A$2:$B$18,2,FALSE)*[1]Energiindhold!$C$10,0))*P233</f>
        <v>0</v>
      </c>
      <c r="S233">
        <f>IF(A233&lt;&gt;"Biogas",IFERROR(VLOOKUP(A233,[1]Biogasudbytte!$A$2:$B$18,2,FALSE)*[1]Energiindhold!$C$10,0)*K233*IFERROR(VLOOKUP(A233,Biogasanlæg!$F$3:$G$8,2,FALSE),1)+IFERROR(VLOOKUP(A233,[1]Energiindhold!$A$2:$C$11,3,FALSE),0)*M233+IF(E233&lt;&gt;År1,R233,0),0)</f>
        <v>2.5290083432349122</v>
      </c>
      <c r="T233">
        <f>IFERROR(VLOOKUP(A233,[1]Biogasudbytte!$A$2:$B$18,2,FALSE)*[1]Energiindhold!$C$10,0)*K233*IFERROR(VLOOKUP(A233,Biogasanlæg!$F$3:$G$8,2,FALSE),1)</f>
        <v>0</v>
      </c>
      <c r="U233" s="170">
        <f t="shared" si="47"/>
        <v>2.5290083432349122</v>
      </c>
      <c r="V233" s="169">
        <f>P233*IFERROR(VLOOKUP(A233,[1]Tørstofindhold!A$2:B$24,2,FALSE),0)</f>
        <v>0</v>
      </c>
      <c r="W233">
        <f>IF(E233=År1,Q233,SUM(P233,Q233))*IFERROR(VLOOKUP(A233,[1]Tørstofindhold!A$2:B$24,2,FALSE),0)</f>
        <v>0</v>
      </c>
      <c r="X233">
        <f>K233*IFERROR(VLOOKUP(A233,[1]Tørstofindhold!A$2:B$24,2,FALSE),0)</f>
        <v>0</v>
      </c>
      <c r="Y233" s="170">
        <f t="shared" si="48"/>
        <v>0</v>
      </c>
      <c r="Z233">
        <f t="shared" si="43"/>
        <v>0</v>
      </c>
      <c r="AA233">
        <f t="shared" si="44"/>
        <v>0</v>
      </c>
    </row>
    <row r="234" spans="1:27" x14ac:dyDescent="0.25">
      <c r="A234" s="171" t="str">
        <f t="shared" si="49"/>
        <v>Roer</v>
      </c>
      <c r="B234" s="171" t="str">
        <f t="shared" si="50"/>
        <v>Græs og urter</v>
      </c>
      <c r="C234" s="171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1</v>
      </c>
      <c r="D234" s="171">
        <f t="shared" si="38"/>
        <v>1</v>
      </c>
      <c r="E234" s="171">
        <f t="shared" si="41"/>
        <v>2030</v>
      </c>
      <c r="F234" t="s">
        <v>24</v>
      </c>
      <c r="G234" s="94">
        <f>IF(F234="Vestdanmark",SUMIFS(IF(E234=År1,'Resultater - Vestdanmark'!H$3:H$504,IF(E234=År2,'Resultater - Vestdanmark'!I$3:I$504,'Resultater - Vestdanmark'!J$3:J$504)),'Resultater - Vestdanmark'!$F$3:$F$504,$A234,IF(E234=År1,'Resultater - Vestdanmark'!H$3:H$504,IF(E234=År2,'Resultater - Vestdanmark'!I$3:I$504,'Resultater - Vestdanmark'!J$3:J$504)),"&gt;0"),SUMIFS(IF(E234=År1,'Resultater - Østdanmark'!H$3:H$504,IF(E234=År2,'Resultater - Østdanmark'!I$3:I$504,'Resultater - Østdanmark'!J$3:J$504)),'Resultater - Østdanmark'!$F$3:$F$504,$A234,IF(E234=År1,'Resultater - Østdanmark'!H$3:H$504,IF(E234=År2,'Resultater - Østdanmark'!I$3:I$504,'Resultater - Østdanmark'!J$3:J$504)),"&gt;0"))</f>
        <v>898519.08431343141</v>
      </c>
      <c r="H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forbrug'!H$3,'Forbrug af biomasse'!$B$2:$B$425,$F234)</f>
        <v>88382.829307445863</v>
      </c>
      <c r="I234">
        <f>IF(F234="Vestdanmark",-IF(A234="Halm",SUMIFS(IF(E234=År1,'Resultater - Vestdanmark'!H$3:H$504,IF(E234=År2,'Resultater - Vestdanmark'!I$3:I$504,'Resultater - Vestdanmark'!J$3:J$504)),'Resultater - Vestdanmark'!$F$3:$F$504,$A234,'Resultater - Vestdanmark'!H$3:H$504,"&lt;0"),0),-IF(A234="Halm",SUMIFS(IF(E234=År1,'Resultater - Østdanmark'!H$3:H$504,IF(E234=År2,'Resultater - Østdanmark'!I$3:I$504,'Resultater - Østdanmark'!J$3:J$504)),'Resultater - Østdanmark'!$F$3:$F$504,$A234,'Resultater - Østdanmark'!H$3:H$504,"&lt;0"),0))</f>
        <v>0</v>
      </c>
      <c r="J234" s="94"/>
      <c r="K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forbrug'!K$3,'Forbrug af biomasse'!$B$2:$B$425,$F234)</f>
        <v>0</v>
      </c>
      <c r="L234" s="94">
        <f>SUMIFS('Forbrug af biomasse'!$E$2:$E$425,'Forbrug af biomasse'!$C$2:$C$425,'Resultat-Produktion &amp; forbrug'!$A234,'Forbrug af biomasse'!$D$2:$D$425,'Resultat-Produktion &amp; forbrug'!$E234,'Forbrug af biomasse'!$A$2:$A$425,'Resultat-Produktion &amp; forbrug'!L$3,'Forbrug af biomasse'!$B$2:$B$425,$F234)</f>
        <v>0</v>
      </c>
      <c r="M234" s="94">
        <f>IF(A234&lt;&gt;"Biogas",SUMIFS('Forbrug af biomasse'!$E$2:$E$425,'Forbrug af biomasse'!$C$2:$C$425,'Resultat-Produktion &amp; forbrug'!$A234,'Forbrug af biomasse'!$D$2:$D$425,'Resultat-Produktion &amp; forbrug'!$E234,'Forbrug af biomasse'!$A$2:$A$425,'Resultat-Produktion &amp; forbrug'!M$3,'Forbrug af biomasse'!$B$2:$B$425,$F234),G234)</f>
        <v>0</v>
      </c>
      <c r="N234" s="94">
        <f>SUMIFS('Forbrug af biomasse'!E:E,'Forbrug af biomasse'!C:C,'Resultat-Produktion &amp; forbrug'!$A234,'Forbrug af biomasse'!D:D,'Resultat-Produktion &amp; forbrug'!$E234,'Forbrug af biomasse'!G:G,1,'Forbrug af biomasse'!B:B,$F234)</f>
        <v>0</v>
      </c>
      <c r="O234" s="179">
        <f t="shared" si="45"/>
        <v>810136.2550059855</v>
      </c>
      <c r="P234" s="94">
        <f t="shared" si="42"/>
        <v>810136.2550059855</v>
      </c>
      <c r="Q234" s="180">
        <f t="shared" si="46"/>
        <v>0</v>
      </c>
      <c r="R234">
        <f>IFERROR(VLOOKUP(A234,[1]Energiindhold!$A$2:$C$11,3,FALSE),IFERROR(VLOOKUP(A234,[1]Biogasudbytte!$A$2:$B$18,2,FALSE)*[1]Energiindhold!$C$10,0))*P234</f>
        <v>2.1987422015364451</v>
      </c>
      <c r="S234">
        <f>IF(A234&lt;&gt;"Biogas",IFERROR(VLOOKUP(A234,[1]Biogasudbytte!$A$2:$B$18,2,FALSE)*[1]Energiindhold!$C$10,0)*K234*IFERROR(VLOOKUP(A234,Biogasanlæg!$F$3:$G$8,2,FALSE),1)+IFERROR(VLOOKUP(A234,[1]Energiindhold!$A$2:$C$11,3,FALSE),0)*M234+IF(E234&lt;&gt;År1,R234,0),0)</f>
        <v>2.1987422015364451</v>
      </c>
      <c r="T234">
        <f>IFERROR(VLOOKUP(A234,[1]Biogasudbytte!$A$2:$B$18,2,FALSE)*[1]Energiindhold!$C$10,0)*K234*IFERROR(VLOOKUP(A234,Biogasanlæg!$F$3:$G$8,2,FALSE),1)</f>
        <v>0</v>
      </c>
      <c r="U234" s="170">
        <f t="shared" si="47"/>
        <v>2.1987422015364451</v>
      </c>
      <c r="V234" s="169">
        <f>P234*IFERROR(VLOOKUP(A234,[1]Tørstofindhold!A$2:B$24,2,FALSE),0)</f>
        <v>162027.25100119712</v>
      </c>
      <c r="W234">
        <f>IF(E234=År1,Q234,SUM(P234,Q234))*IFERROR(VLOOKUP(A234,[1]Tørstofindhold!A$2:B$24,2,FALSE),0)</f>
        <v>162027.25100119712</v>
      </c>
      <c r="X234">
        <f>K234*IFERROR(VLOOKUP(A234,[1]Tørstofindhold!A$2:B$24,2,FALSE),0)</f>
        <v>0</v>
      </c>
      <c r="Y234" s="170">
        <f t="shared" si="48"/>
        <v>162027.25100119712</v>
      </c>
      <c r="Z234">
        <f t="shared" si="43"/>
        <v>0</v>
      </c>
      <c r="AA234">
        <f t="shared" si="44"/>
        <v>1</v>
      </c>
    </row>
    <row r="235" spans="1:27" x14ac:dyDescent="0.25">
      <c r="A235" s="171" t="str">
        <f t="shared" si="49"/>
        <v>Slagteriaffald til andet</v>
      </c>
      <c r="B235" s="171" t="str">
        <f t="shared" si="50"/>
        <v/>
      </c>
      <c r="C235" s="171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71">
        <f t="shared" si="38"/>
        <v>0</v>
      </c>
      <c r="E235" s="171">
        <f t="shared" si="41"/>
        <v>2030</v>
      </c>
      <c r="F235" t="s">
        <v>24</v>
      </c>
      <c r="G235" s="94">
        <f>IF(F235="Vestdanmark",SUMIFS(IF(E235=År1,'Resultater - Vestdanmark'!H$3:H$504,IF(E235=År2,'Resultater - Vestdanmark'!I$3:I$504,'Resultater - Vestdanmark'!J$3:J$504)),'Resultater - Vestdanmark'!$F$3:$F$504,$A235,IF(E235=År1,'Resultater - Vestdanmark'!H$3:H$504,IF(E235=År2,'Resultater - Vestdanmark'!I$3:I$504,'Resultater - Vestdanmark'!J$3:J$504)),"&gt;0"),SUMIFS(IF(E235=År1,'Resultater - Østdanmark'!H$3:H$504,IF(E235=År2,'Resultater - Østdanmark'!I$3:I$504,'Resultater - Østdanmark'!J$3:J$504)),'Resultater - Østdanmark'!$F$3:$F$504,$A235,IF(E235=År1,'Resultater - Østdanmark'!H$3:H$504,IF(E235=År2,'Resultater - Østdanmark'!I$3:I$504,'Resultater - Østdanmark'!J$3:J$504)),"&gt;0"))</f>
        <v>20679.493484661682</v>
      </c>
      <c r="H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forbrug'!H$3,'Forbrug af biomasse'!$B$2:$B$425,$F235)</f>
        <v>0</v>
      </c>
      <c r="I235">
        <f>IF(F235="Vestdanmark",-IF(A235="Halm",SUMIFS(IF(E235=År1,'Resultater - Vestdanmark'!H$3:H$504,IF(E235=År2,'Resultater - Vestdanmark'!I$3:I$504,'Resultater - Vestdanmark'!J$3:J$504)),'Resultater - Vestdanmark'!$F$3:$F$504,$A235,'Resultater - Vestdanmark'!H$3:H$504,"&lt;0"),0),-IF(A235="Halm",SUMIFS(IF(E235=År1,'Resultater - Østdanmark'!H$3:H$504,IF(E235=År2,'Resultater - Østdanmark'!I$3:I$504,'Resultater - Østdanmark'!J$3:J$504)),'Resultater - Østdanmark'!$F$3:$F$504,$A235,'Resultater - Østdanmark'!H$3:H$504,"&lt;0"),0))</f>
        <v>0</v>
      </c>
      <c r="J235" s="94"/>
      <c r="K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forbrug'!K$3,'Forbrug af biomasse'!$B$2:$B$425,$F235)</f>
        <v>0</v>
      </c>
      <c r="L235" s="94">
        <f>SUMIFS('Forbrug af biomasse'!$E$2:$E$425,'Forbrug af biomasse'!$C$2:$C$425,'Resultat-Produktion &amp; forbrug'!$A235,'Forbrug af biomasse'!$D$2:$D$425,'Resultat-Produktion &amp; forbrug'!$E235,'Forbrug af biomasse'!$A$2:$A$425,'Resultat-Produktion &amp; forbrug'!L$3,'Forbrug af biomasse'!$B$2:$B$425,$F235)</f>
        <v>0</v>
      </c>
      <c r="M235" s="94">
        <f>IF(A235&lt;&gt;"Biogas",SUMIFS('Forbrug af biomasse'!$E$2:$E$425,'Forbrug af biomasse'!$C$2:$C$425,'Resultat-Produktion &amp; forbrug'!$A235,'Forbrug af biomasse'!$D$2:$D$425,'Resultat-Produktion &amp; forbrug'!$E235,'Forbrug af biomasse'!$A$2:$A$425,'Resultat-Produktion &amp; forbrug'!M$3,'Forbrug af biomasse'!$B$2:$B$425,$F235),G235)</f>
        <v>0</v>
      </c>
      <c r="N235" s="94">
        <f>SUMIFS('Forbrug af biomasse'!E:E,'Forbrug af biomasse'!C:C,'Resultat-Produktion &amp; forbrug'!$A235,'Forbrug af biomasse'!D:D,'Resultat-Produktion &amp; forbrug'!$E235,'Forbrug af biomasse'!G:G,1,'Forbrug af biomasse'!B:B,$F235)</f>
        <v>0</v>
      </c>
      <c r="O235" s="179">
        <f t="shared" si="45"/>
        <v>20679.493484661682</v>
      </c>
      <c r="P235" s="94">
        <f t="shared" si="42"/>
        <v>0</v>
      </c>
      <c r="Q235" s="180">
        <f t="shared" si="46"/>
        <v>0</v>
      </c>
      <c r="R235">
        <f>IFERROR(VLOOKUP(A235,[1]Energiindhold!$A$2:$C$11,3,FALSE),IFERROR(VLOOKUP(A235,[1]Biogasudbytte!$A$2:$B$18,2,FALSE)*[1]Energiindhold!$C$10,0))*P235</f>
        <v>0</v>
      </c>
      <c r="S235">
        <f>IF(A235&lt;&gt;"Biogas",IFERROR(VLOOKUP(A235,[1]Biogasudbytte!$A$2:$B$18,2,FALSE)*[1]Energiindhold!$C$10,0)*K235*IFERROR(VLOOKUP(A235,Biogasanlæg!$F$3:$G$8,2,FALSE),1)+IFERROR(VLOOKUP(A235,[1]Energiindhold!$A$2:$C$11,3,FALSE),0)*M235+IF(E235&lt;&gt;År1,R235,0),0)</f>
        <v>0</v>
      </c>
      <c r="T235">
        <f>IFERROR(VLOOKUP(A235,[1]Biogasudbytte!$A$2:$B$18,2,FALSE)*[1]Energiindhold!$C$10,0)*K235*IFERROR(VLOOKUP(A235,Biogasanlæg!$F$3:$G$8,2,FALSE),1)</f>
        <v>0</v>
      </c>
      <c r="U235" s="170">
        <f t="shared" si="47"/>
        <v>0</v>
      </c>
      <c r="V235" s="169">
        <f>P235*IFERROR(VLOOKUP(A235,[1]Tørstofindhold!A$2:B$24,2,FALSE),0)</f>
        <v>0</v>
      </c>
      <c r="W235">
        <f>IF(E235=År1,Q235,SUM(P235,Q235))*IFERROR(VLOOKUP(A235,[1]Tørstofindhold!A$2:B$24,2,FALSE),0)</f>
        <v>0</v>
      </c>
      <c r="X235">
        <f>K235*IFERROR(VLOOKUP(A235,[1]Tørstofindhold!A$2:B$24,2,FALSE),0)</f>
        <v>0</v>
      </c>
      <c r="Y235" s="170">
        <f t="shared" si="48"/>
        <v>0</v>
      </c>
      <c r="Z235">
        <f t="shared" si="43"/>
        <v>0</v>
      </c>
      <c r="AA235">
        <f t="shared" si="44"/>
        <v>1</v>
      </c>
    </row>
    <row r="236" spans="1:27" x14ac:dyDescent="0.25">
      <c r="A236" s="171" t="str">
        <f t="shared" si="49"/>
        <v>Slagteriaffald til foder</v>
      </c>
      <c r="B236" s="171" t="str">
        <f t="shared" si="50"/>
        <v/>
      </c>
      <c r="C236" s="171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0</v>
      </c>
      <c r="D236" s="171">
        <f t="shared" si="38"/>
        <v>0</v>
      </c>
      <c r="E236" s="171">
        <f t="shared" si="41"/>
        <v>2030</v>
      </c>
      <c r="F236" t="s">
        <v>24</v>
      </c>
      <c r="G236" s="94">
        <f>IF(F236="Vestdanmark",SUMIFS(IF(E236=År1,'Resultater - Vestdanmark'!H$3:H$504,IF(E236=År2,'Resultater - Vestdanmark'!I$3:I$504,'Resultater - Vestdanmark'!J$3:J$504)),'Resultater - Vestdanmark'!$F$3:$F$504,$A236,IF(E236=År1,'Resultater - Vestdanmark'!H$3:H$504,IF(E236=År2,'Resultater - Vestdanmark'!I$3:I$504,'Resultater - Vestdanmark'!J$3:J$504)),"&gt;0"),SUMIFS(IF(E236=År1,'Resultater - Østdanmark'!H$3:H$504,IF(E236=År2,'Resultater - Østdanmark'!I$3:I$504,'Resultater - Østdanmark'!J$3:J$504)),'Resultater - Østdanmark'!$F$3:$F$504,$A236,IF(E236=År1,'Resultater - Østdanmark'!H$3:H$504,IF(E236=År2,'Resultater - Østdanmark'!I$3:I$504,'Resultater - Østdanmark'!J$3:J$504)),"&gt;0"))</f>
        <v>17189.631072576431</v>
      </c>
      <c r="H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forbrug'!H$3,'Forbrug af biomasse'!$B$2:$B$425,$F236)</f>
        <v>5182.7698392938037</v>
      </c>
      <c r="I236">
        <f>IF(F236="Vestdanmark",-IF(A236="Halm",SUMIFS(IF(E236=År1,'Resultater - Vestdanmark'!H$3:H$504,IF(E236=År2,'Resultater - Vestdanmark'!I$3:I$504,'Resultater - Vestdanmark'!J$3:J$504)),'Resultater - Vestdanmark'!$F$3:$F$504,$A236,'Resultater - Vestdanmark'!H$3:H$504,"&lt;0"),0),-IF(A236="Halm",SUMIFS(IF(E236=År1,'Resultater - Østdanmark'!H$3:H$504,IF(E236=År2,'Resultater - Østdanmark'!I$3:I$504,'Resultater - Østdanmark'!J$3:J$504)),'Resultater - Østdanmark'!$F$3:$F$504,$A236,'Resultater - Østdanmark'!H$3:H$504,"&lt;0"),0))</f>
        <v>0</v>
      </c>
      <c r="J236" s="94"/>
      <c r="K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forbrug'!K$3,'Forbrug af biomasse'!$B$2:$B$425,$F236)</f>
        <v>0</v>
      </c>
      <c r="L236" s="94">
        <f>SUMIFS('Forbrug af biomasse'!$E$2:$E$425,'Forbrug af biomasse'!$C$2:$C$425,'Resultat-Produktion &amp; forbrug'!$A236,'Forbrug af biomasse'!$D$2:$D$425,'Resultat-Produktion &amp; forbrug'!$E236,'Forbrug af biomasse'!$A$2:$A$425,'Resultat-Produktion &amp; forbrug'!L$3,'Forbrug af biomasse'!$B$2:$B$425,$F236)</f>
        <v>0</v>
      </c>
      <c r="M236" s="94">
        <f>IF(A236&lt;&gt;"Biogas",SUMIFS('Forbrug af biomasse'!$E$2:$E$425,'Forbrug af biomasse'!$C$2:$C$425,'Resultat-Produktion &amp; forbrug'!$A236,'Forbrug af biomasse'!$D$2:$D$425,'Resultat-Produktion &amp; forbrug'!$E236,'Forbrug af biomasse'!$A$2:$A$425,'Resultat-Produktion &amp; forbrug'!M$3,'Forbrug af biomasse'!$B$2:$B$425,$F236),G236)</f>
        <v>0</v>
      </c>
      <c r="N236" s="94">
        <f>SUMIFS('Forbrug af biomasse'!E:E,'Forbrug af biomasse'!C:C,'Resultat-Produktion &amp; forbrug'!$A236,'Forbrug af biomasse'!D:D,'Resultat-Produktion &amp; forbrug'!$E236,'Forbrug af biomasse'!G:G,1,'Forbrug af biomasse'!B:B,$F236)</f>
        <v>0</v>
      </c>
      <c r="O236" s="179">
        <f t="shared" si="45"/>
        <v>12006.861233282627</v>
      </c>
      <c r="P236" s="94">
        <f t="shared" si="42"/>
        <v>0</v>
      </c>
      <c r="Q236" s="180">
        <f t="shared" si="46"/>
        <v>0</v>
      </c>
      <c r="R236">
        <f>IFERROR(VLOOKUP(A236,[1]Energiindhold!$A$2:$C$11,3,FALSE),IFERROR(VLOOKUP(A236,[1]Biogasudbytte!$A$2:$B$18,2,FALSE)*[1]Energiindhold!$C$10,0))*P236</f>
        <v>0</v>
      </c>
      <c r="S236">
        <f>IF(A236&lt;&gt;"Biogas",IFERROR(VLOOKUP(A236,[1]Biogasudbytte!$A$2:$B$18,2,FALSE)*[1]Energiindhold!$C$10,0)*K236*IFERROR(VLOOKUP(A236,Biogasanlæg!$F$3:$G$8,2,FALSE),1)+IFERROR(VLOOKUP(A236,[1]Energiindhold!$A$2:$C$11,3,FALSE),0)*M236+IF(E236&lt;&gt;År1,R236,0),0)</f>
        <v>0</v>
      </c>
      <c r="T236">
        <f>IFERROR(VLOOKUP(A236,[1]Biogasudbytte!$A$2:$B$18,2,FALSE)*[1]Energiindhold!$C$10,0)*K236*IFERROR(VLOOKUP(A236,Biogasanlæg!$F$3:$G$8,2,FALSE),1)</f>
        <v>0</v>
      </c>
      <c r="U236" s="170">
        <f t="shared" si="47"/>
        <v>0</v>
      </c>
      <c r="V236" s="169">
        <f>P236*IFERROR(VLOOKUP(A236,[1]Tørstofindhold!A$2:B$24,2,FALSE),0)</f>
        <v>0</v>
      </c>
      <c r="W236">
        <f>IF(E236=År1,Q236,SUM(P236,Q236))*IFERROR(VLOOKUP(A236,[1]Tørstofindhold!A$2:B$24,2,FALSE),0)</f>
        <v>0</v>
      </c>
      <c r="X236">
        <f>K236*IFERROR(VLOOKUP(A236,[1]Tørstofindhold!A$2:B$24,2,FALSE),0)</f>
        <v>0</v>
      </c>
      <c r="Y236" s="170">
        <f t="shared" si="48"/>
        <v>0</v>
      </c>
      <c r="Z236">
        <f t="shared" si="43"/>
        <v>0</v>
      </c>
      <c r="AA236">
        <f t="shared" si="44"/>
        <v>1</v>
      </c>
    </row>
    <row r="237" spans="1:27" x14ac:dyDescent="0.25">
      <c r="A237" s="171" t="str">
        <f t="shared" si="49"/>
        <v>Spildevandsslam</v>
      </c>
      <c r="B237" s="171" t="str">
        <f t="shared" si="50"/>
        <v>Bionedbrydeligt affald</v>
      </c>
      <c r="C237" s="171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71">
        <f t="shared" si="38"/>
        <v>0</v>
      </c>
      <c r="E237" s="171">
        <f t="shared" si="41"/>
        <v>2030</v>
      </c>
      <c r="F237" t="s">
        <v>24</v>
      </c>
      <c r="G237" s="94">
        <f>IF(F237="Vestdanmark",SUMIFS(IF(E237=År1,'Resultater - Vestdanmark'!H$3:H$504,IF(E237=År2,'Resultater - Vestdanmark'!I$3:I$504,'Resultater - Vestdanmark'!J$3:J$504)),'Resultater - Vestdanmark'!$F$3:$F$504,$A237,IF(E237=År1,'Resultater - Vestdanmark'!H$3:H$504,IF(E237=År2,'Resultater - Vestdanmark'!I$3:I$504,'Resultater - Vestdanmark'!J$3:J$504)),"&gt;0"),SUMIFS(IF(E237=År1,'Resultater - Østdanmark'!H$3:H$504,IF(E237=År2,'Resultater - Østdanmark'!I$3:I$504,'Resultater - Østdanmark'!J$3:J$504)),'Resultater - Østdanmark'!$F$3:$F$504,$A237,IF(E237=År1,'Resultater - Østdanmark'!H$3:H$504,IF(E237=År2,'Resultater - Østdanmark'!I$3:I$504,'Resultater - Østdanmark'!J$3:J$504)),"&gt;0"))</f>
        <v>3339172.5135239428</v>
      </c>
      <c r="H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forbrug'!H$3,'Forbrug af biomasse'!$B$2:$B$425,$F237)</f>
        <v>0</v>
      </c>
      <c r="I237">
        <f>IF(F237="Vestdanmark",-IF(A237="Halm",SUMIFS(IF(E237=År1,'Resultater - Vestdanmark'!H$3:H$504,IF(E237=År2,'Resultater - Vestdanmark'!I$3:I$504,'Resultater - Vestdanmark'!J$3:J$504)),'Resultater - Vestdanmark'!$F$3:$F$504,$A237,'Resultater - Vestdanmark'!H$3:H$504,"&lt;0"),0),-IF(A237="Halm",SUMIFS(IF(E237=År1,'Resultater - Østdanmark'!H$3:H$504,IF(E237=År2,'Resultater - Østdanmark'!I$3:I$504,'Resultater - Østdanmark'!J$3:J$504)),'Resultater - Østdanmark'!$F$3:$F$504,$A237,'Resultater - Østdanmark'!H$3:H$504,"&lt;0"),0))</f>
        <v>0</v>
      </c>
      <c r="J237" s="94"/>
      <c r="K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forbrug'!K$3,'Forbrug af biomasse'!$B$2:$B$425,$F237)</f>
        <v>1266377.3160230415</v>
      </c>
      <c r="L237" s="94">
        <f>SUMIFS('Forbrug af biomasse'!$E$2:$E$425,'Forbrug af biomasse'!$C$2:$C$425,'Resultat-Produktion &amp; forbrug'!$A237,'Forbrug af biomasse'!$D$2:$D$425,'Resultat-Produktion &amp; forbrug'!$E237,'Forbrug af biomasse'!$A$2:$A$425,'Resultat-Produktion &amp; forbrug'!L$3,'Forbrug af biomasse'!$B$2:$B$425,$F237)</f>
        <v>0</v>
      </c>
      <c r="M237" s="94">
        <f>IF(A237&lt;&gt;"Biogas",SUMIFS('Forbrug af biomasse'!$E$2:$E$425,'Forbrug af biomasse'!$C$2:$C$425,'Resultat-Produktion &amp; forbrug'!$A237,'Forbrug af biomasse'!$D$2:$D$425,'Resultat-Produktion &amp; forbrug'!$E237,'Forbrug af biomasse'!$A$2:$A$425,'Resultat-Produktion &amp; forbrug'!M$3,'Forbrug af biomasse'!$B$2:$B$425,$F237),G237)</f>
        <v>0</v>
      </c>
      <c r="N237" s="94">
        <f>SUMIFS('Forbrug af biomasse'!E:E,'Forbrug af biomasse'!C:C,'Resultat-Produktion &amp; forbrug'!$A237,'Forbrug af biomasse'!D:D,'Resultat-Produktion &amp; forbrug'!$E237,'Forbrug af biomasse'!G:G,1,'Forbrug af biomasse'!B:B,$F237)</f>
        <v>0</v>
      </c>
      <c r="O237" s="179">
        <f t="shared" si="45"/>
        <v>2072795.1975009013</v>
      </c>
      <c r="P237" s="94">
        <f t="shared" si="42"/>
        <v>2072795.1975009013</v>
      </c>
      <c r="Q237" s="180">
        <f t="shared" si="46"/>
        <v>1266377.3160230415</v>
      </c>
      <c r="R237">
        <f>IFERROR(VLOOKUP(A237,[1]Energiindhold!$A$2:$C$11,3,FALSE),IFERROR(VLOOKUP(A237,[1]Biogasudbytte!$A$2:$B$18,2,FALSE)*[1]Energiindhold!$C$10,0))*P237</f>
        <v>1.0343455315049248</v>
      </c>
      <c r="S237">
        <f>IF(A237&lt;&gt;"Biogas",IFERROR(VLOOKUP(A237,[1]Biogasudbytte!$A$2:$B$18,2,FALSE)*[1]Energiindhold!$C$10,0)*K237*IFERROR(VLOOKUP(A237,Biogasanlæg!$F$3:$G$8,2,FALSE),1)+IFERROR(VLOOKUP(A237,[1]Energiindhold!$A$2:$C$11,3,FALSE),0)*M237+IF(E237&lt;&gt;År1,R237,0),0)</f>
        <v>1.6662804759735828</v>
      </c>
      <c r="T237">
        <f>IFERROR(VLOOKUP(A237,[1]Biogasudbytte!$A$2:$B$18,2,FALSE)*[1]Energiindhold!$C$10,0)*K237*IFERROR(VLOOKUP(A237,Biogasanlæg!$F$3:$G$8,2,FALSE),1)</f>
        <v>0.63193494446865806</v>
      </c>
      <c r="U237" s="170">
        <f t="shared" si="47"/>
        <v>1.0343455315049246</v>
      </c>
      <c r="V237" s="169">
        <f>P237*IFERROR(VLOOKUP(A237,[1]Tørstofindhold!A$2:B$24,2,FALSE),0)</f>
        <v>124367.71185005407</v>
      </c>
      <c r="W237">
        <f>IF(E237=År1,Q237,SUM(P237,Q237))*IFERROR(VLOOKUP(A237,[1]Tørstofindhold!A$2:B$24,2,FALSE),0)</f>
        <v>200350.35081143657</v>
      </c>
      <c r="X237">
        <f>K237*IFERROR(VLOOKUP(A237,[1]Tørstofindhold!A$2:B$24,2,FALSE),0)</f>
        <v>75982.638961382487</v>
      </c>
      <c r="Y237" s="170">
        <f t="shared" si="48"/>
        <v>124367.71185005408</v>
      </c>
      <c r="Z237">
        <f t="shared" si="43"/>
        <v>0</v>
      </c>
      <c r="AA237">
        <f t="shared" si="44"/>
        <v>1</v>
      </c>
    </row>
    <row r="238" spans="1:27" x14ac:dyDescent="0.25">
      <c r="A238" s="171" t="str">
        <f t="shared" si="49"/>
        <v>Svinegylle</v>
      </c>
      <c r="B238" s="171" t="str">
        <f t="shared" si="50"/>
        <v>Husdyrgødning</v>
      </c>
      <c r="C238" s="171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1</v>
      </c>
      <c r="D238" s="171">
        <f t="shared" si="38"/>
        <v>0</v>
      </c>
      <c r="E238" s="171">
        <f t="shared" si="41"/>
        <v>2030</v>
      </c>
      <c r="F238" t="s">
        <v>24</v>
      </c>
      <c r="G238" s="94">
        <f>IF(F238="Vestdanmark",SUMIFS(IF(E238=År1,'Resultater - Vestdanmark'!H$3:H$504,IF(E238=År2,'Resultater - Vestdanmark'!I$3:I$504,'Resultater - Vestdanmark'!J$3:J$504)),'Resultater - Vestdanmark'!$F$3:$F$504,$A238,IF(E238=År1,'Resultater - Vestdanmark'!H$3:H$504,IF(E238=År2,'Resultater - Vestdanmark'!I$3:I$504,'Resultater - Vestdanmark'!J$3:J$504)),"&gt;0"),SUMIFS(IF(E238=År1,'Resultater - Østdanmark'!H$3:H$504,IF(E238=År2,'Resultater - Østdanmark'!I$3:I$504,'Resultater - Østdanmark'!J$3:J$504)),'Resultater - Østdanmark'!$F$3:$F$504,$A238,IF(E238=År1,'Resultater - Østdanmark'!H$3:H$504,IF(E238=År2,'Resultater - Østdanmark'!I$3:I$504,'Resultater - Østdanmark'!J$3:J$504)),"&gt;0"))</f>
        <v>2076065.2002197129</v>
      </c>
      <c r="H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forbrug'!H$3,'Forbrug af biomasse'!$B$2:$B$425,$F238)</f>
        <v>0</v>
      </c>
      <c r="I238">
        <f>IF(F238="Vestdanmark",-IF(A238="Halm",SUMIFS(IF(E238=År1,'Resultater - Vestdanmark'!H$3:H$504,IF(E238=År2,'Resultater - Vestdanmark'!I$3:I$504,'Resultater - Vestdanmark'!J$3:J$504)),'Resultater - Vestdanmark'!$F$3:$F$504,$A238,'Resultater - Vestdanmark'!H$3:H$504,"&lt;0"),0),-IF(A238="Halm",SUMIFS(IF(E238=År1,'Resultater - Østdanmark'!H$3:H$504,IF(E238=År2,'Resultater - Østdanmark'!I$3:I$504,'Resultater - Østdanmark'!J$3:J$504)),'Resultater - Østdanmark'!$F$3:$F$504,$A238,'Resultater - Østdanmark'!H$3:H$504,"&lt;0"),0))</f>
        <v>0</v>
      </c>
      <c r="J238" s="94"/>
      <c r="K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forbrug'!K$3,'Forbrug af biomasse'!$B$2:$B$425,$F238)</f>
        <v>1557048.9001647846</v>
      </c>
      <c r="L238" s="94">
        <f>SUMIFS('Forbrug af biomasse'!$E$2:$E$425,'Forbrug af biomasse'!$C$2:$C$425,'Resultat-Produktion &amp; forbrug'!$A238,'Forbrug af biomasse'!$D$2:$D$425,'Resultat-Produktion &amp; forbrug'!$E238,'Forbrug af biomasse'!$A$2:$A$425,'Resultat-Produktion &amp; forbrug'!L$3,'Forbrug af biomasse'!$B$2:$B$425,$F238)</f>
        <v>519016.30005492823</v>
      </c>
      <c r="M238" s="94">
        <f>IF(A238&lt;&gt;"Biogas",SUMIFS('Forbrug af biomasse'!$E$2:$E$425,'Forbrug af biomasse'!$C$2:$C$425,'Resultat-Produktion &amp; forbrug'!$A238,'Forbrug af biomasse'!$D$2:$D$425,'Resultat-Produktion &amp; forbrug'!$E238,'Forbrug af biomasse'!$A$2:$A$425,'Resultat-Produktion &amp; forbrug'!M$3,'Forbrug af biomasse'!$B$2:$B$425,$F238),G238)</f>
        <v>0</v>
      </c>
      <c r="N238" s="94">
        <f>SUMIFS('Forbrug af biomasse'!E:E,'Forbrug af biomasse'!C:C,'Resultat-Produktion &amp; forbrug'!$A238,'Forbrug af biomasse'!D:D,'Resultat-Produktion &amp; forbrug'!$E238,'Forbrug af biomasse'!G:G,1,'Forbrug af biomasse'!B:B,$F238)</f>
        <v>0</v>
      </c>
      <c r="O238" s="179">
        <f t="shared" si="45"/>
        <v>0</v>
      </c>
      <c r="P238" s="94">
        <f t="shared" si="42"/>
        <v>0</v>
      </c>
      <c r="Q238" s="180">
        <f t="shared" si="46"/>
        <v>1557048.9001647846</v>
      </c>
      <c r="R238">
        <f>IFERROR(VLOOKUP(A238,[1]Energiindhold!$A$2:$C$11,3,FALSE),IFERROR(VLOOKUP(A238,[1]Biogasudbytte!$A$2:$B$18,2,FALSE)*[1]Energiindhold!$C$10,0))*P238</f>
        <v>0</v>
      </c>
      <c r="S238">
        <f>IF(A238&lt;&gt;"Biogas",IFERROR(VLOOKUP(A238,[1]Biogasudbytte!$A$2:$B$18,2,FALSE)*[1]Energiindhold!$C$10,0)*K238*IFERROR(VLOOKUP(A238,Biogasanlæg!$F$3:$G$8,2,FALSE),1)+IFERROR(VLOOKUP(A238,[1]Energiindhold!$A$2:$C$11,3,FALSE),0)*M238+IF(E238&lt;&gt;År1,R238,0),0)</f>
        <v>0.6707766661909893</v>
      </c>
      <c r="T238">
        <f>IFERROR(VLOOKUP(A238,[1]Biogasudbytte!$A$2:$B$18,2,FALSE)*[1]Energiindhold!$C$10,0)*K238*IFERROR(VLOOKUP(A238,Biogasanlæg!$F$3:$G$8,2,FALSE),1)</f>
        <v>0.6707766661909893</v>
      </c>
      <c r="U238" s="170">
        <f t="shared" si="47"/>
        <v>0</v>
      </c>
      <c r="V238" s="169">
        <f>P238*IFERROR(VLOOKUP(A238,[1]Tørstofindhold!A$2:B$24,2,FALSE),0)</f>
        <v>0</v>
      </c>
      <c r="W238">
        <f>IF(E238=År1,Q238,SUM(P238,Q238))*IFERROR(VLOOKUP(A238,[1]Tørstofindhold!A$2:B$24,2,FALSE),0)</f>
        <v>77852.445008239229</v>
      </c>
      <c r="X238">
        <f>K238*IFERROR(VLOOKUP(A238,[1]Tørstofindhold!A$2:B$24,2,FALSE),0)</f>
        <v>77852.445008239229</v>
      </c>
      <c r="Y238" s="170">
        <f t="shared" si="48"/>
        <v>0</v>
      </c>
      <c r="Z238">
        <f t="shared" si="43"/>
        <v>0</v>
      </c>
      <c r="AA238">
        <f t="shared" si="44"/>
        <v>0</v>
      </c>
    </row>
    <row r="239" spans="1:27" x14ac:dyDescent="0.25">
      <c r="A239" s="171" t="str">
        <f t="shared" si="49"/>
        <v>Svinekød</v>
      </c>
      <c r="B239" s="171" t="str">
        <f t="shared" si="50"/>
        <v/>
      </c>
      <c r="C239" s="171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0</v>
      </c>
      <c r="D239" s="171">
        <f t="shared" si="38"/>
        <v>1</v>
      </c>
      <c r="E239" s="171">
        <f t="shared" si="41"/>
        <v>2030</v>
      </c>
      <c r="F239" t="s">
        <v>24</v>
      </c>
      <c r="G239" s="94">
        <f>IF(F239="Vestdanmark",SUMIFS(IF(E239=År1,'Resultater - Vestdanmark'!H$3:H$504,IF(E239=År2,'Resultater - Vestdanmark'!I$3:I$504,'Resultater - Vestdanmark'!J$3:J$504)),'Resultater - Vestdanmark'!$F$3:$F$504,$A239,IF(E239=År1,'Resultater - Vestdanmark'!H$3:H$504,IF(E239=År2,'Resultater - Vestdanmark'!I$3:I$504,'Resultater - Vestdanmark'!J$3:J$504)),"&gt;0"),SUMIFS(IF(E239=År1,'Resultater - Østdanmark'!H$3:H$504,IF(E239=År2,'Resultater - Østdanmark'!I$3:I$504,'Resultater - Østdanmark'!J$3:J$504)),'Resultater - Østdanmark'!$F$3:$F$504,$A239,IF(E239=År1,'Resultater - Østdanmark'!H$3:H$504,IF(E239=År2,'Resultater - Østdanmark'!I$3:I$504,'Resultater - Østdanmark'!J$3:J$504)),"&gt;0"))</f>
        <v>188256.52671213137</v>
      </c>
      <c r="H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forbrug'!H$3,'Forbrug af biomasse'!$B$2:$B$425,$F239)</f>
        <v>0</v>
      </c>
      <c r="I239">
        <f>IF(F239="Vestdanmark",-IF(A239="Halm",SUMIFS(IF(E239=År1,'Resultater - Vestdanmark'!H$3:H$504,IF(E239=År2,'Resultater - Vestdanmark'!I$3:I$504,'Resultater - Vestdanmark'!J$3:J$504)),'Resultater - Vestdanmark'!$F$3:$F$504,$A239,'Resultater - Vestdanmark'!H$3:H$504,"&lt;0"),0),-IF(A239="Halm",SUMIFS(IF(E239=År1,'Resultater - Østdanmark'!H$3:H$504,IF(E239=År2,'Resultater - Østdanmark'!I$3:I$504,'Resultater - Østdanmark'!J$3:J$504)),'Resultater - Østdanmark'!$F$3:$F$504,$A239,'Resultater - Østdanmark'!H$3:H$504,"&lt;0"),0))</f>
        <v>0</v>
      </c>
      <c r="J239" s="94"/>
      <c r="K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forbrug'!K$3,'Forbrug af biomasse'!$B$2:$B$425,$F239)</f>
        <v>0</v>
      </c>
      <c r="L239" s="94">
        <f>SUMIFS('Forbrug af biomasse'!$E$2:$E$425,'Forbrug af biomasse'!$C$2:$C$425,'Resultat-Produktion &amp; forbrug'!$A239,'Forbrug af biomasse'!$D$2:$D$425,'Resultat-Produktion &amp; forbrug'!$E239,'Forbrug af biomasse'!$A$2:$A$425,'Resultat-Produktion &amp; forbrug'!L$3,'Forbrug af biomasse'!$B$2:$B$425,$F239)</f>
        <v>0</v>
      </c>
      <c r="M239" s="94">
        <f>IF(A239&lt;&gt;"Biogas",SUMIFS('Forbrug af biomasse'!$E$2:$E$425,'Forbrug af biomasse'!$C$2:$C$425,'Resultat-Produktion &amp; forbrug'!$A239,'Forbrug af biomasse'!$D$2:$D$425,'Resultat-Produktion &amp; forbrug'!$E239,'Forbrug af biomasse'!$A$2:$A$425,'Resultat-Produktion &amp; forbrug'!M$3,'Forbrug af biomasse'!$B$2:$B$425,$F239),G239)</f>
        <v>0</v>
      </c>
      <c r="N239" s="94">
        <f>SUMIFS('Forbrug af biomasse'!E:E,'Forbrug af biomasse'!C:C,'Resultat-Produktion &amp; forbrug'!$A239,'Forbrug af biomasse'!D:D,'Resultat-Produktion &amp; forbrug'!$E239,'Forbrug af biomasse'!G:G,1,'Forbrug af biomasse'!B:B,$F239)</f>
        <v>0</v>
      </c>
      <c r="O239" s="179">
        <f t="shared" si="45"/>
        <v>188256.52671213137</v>
      </c>
      <c r="P239" s="94">
        <f t="shared" si="42"/>
        <v>0</v>
      </c>
      <c r="Q239" s="180">
        <f t="shared" si="46"/>
        <v>0</v>
      </c>
      <c r="R239">
        <f>IFERROR(VLOOKUP(A239,[1]Energiindhold!$A$2:$C$11,3,FALSE),IFERROR(VLOOKUP(A239,[1]Biogasudbytte!$A$2:$B$18,2,FALSE)*[1]Energiindhold!$C$10,0))*P239</f>
        <v>0</v>
      </c>
      <c r="S239">
        <f>IF(A239&lt;&gt;"Biogas",IFERROR(VLOOKUP(A239,[1]Biogasudbytte!$A$2:$B$18,2,FALSE)*[1]Energiindhold!$C$10,0)*K239*IFERROR(VLOOKUP(A239,Biogasanlæg!$F$3:$G$8,2,FALSE),1)+IFERROR(VLOOKUP(A239,[1]Energiindhold!$A$2:$C$11,3,FALSE),0)*M239+IF(E239&lt;&gt;År1,R239,0),0)</f>
        <v>0</v>
      </c>
      <c r="T239">
        <f>IFERROR(VLOOKUP(A239,[1]Biogasudbytte!$A$2:$B$18,2,FALSE)*[1]Energiindhold!$C$10,0)*K239*IFERROR(VLOOKUP(A239,Biogasanlæg!$F$3:$G$8,2,FALSE),1)</f>
        <v>0</v>
      </c>
      <c r="U239" s="170">
        <f t="shared" si="47"/>
        <v>0</v>
      </c>
      <c r="V239" s="169">
        <f>P239*IFERROR(VLOOKUP(A239,[1]Tørstofindhold!A$2:B$24,2,FALSE),0)</f>
        <v>0</v>
      </c>
      <c r="W239">
        <f>IF(E239=År1,Q239,SUM(P239,Q239))*IFERROR(VLOOKUP(A239,[1]Tørstofindhold!A$2:B$24,2,FALSE),0)</f>
        <v>0</v>
      </c>
      <c r="X239">
        <f>K239*IFERROR(VLOOKUP(A239,[1]Tørstofindhold!A$2:B$24,2,FALSE),0)</f>
        <v>0</v>
      </c>
      <c r="Y239" s="170">
        <f t="shared" si="48"/>
        <v>0</v>
      </c>
      <c r="Z239">
        <f t="shared" si="43"/>
        <v>0</v>
      </c>
      <c r="AA239">
        <f t="shared" si="44"/>
        <v>1</v>
      </c>
    </row>
    <row r="240" spans="1:27" x14ac:dyDescent="0.25">
      <c r="A240" s="171" t="str">
        <f t="shared" si="49"/>
        <v>Tang</v>
      </c>
      <c r="B240" s="171" t="str">
        <f t="shared" si="50"/>
        <v>Havbiomasse</v>
      </c>
      <c r="C240" s="171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71">
        <f t="shared" si="38"/>
        <v>1</v>
      </c>
      <c r="E240" s="171">
        <f t="shared" si="41"/>
        <v>2030</v>
      </c>
      <c r="F240" t="s">
        <v>24</v>
      </c>
      <c r="G240" s="94">
        <f>IF(F240="Vestdanmark",SUMIFS(IF(E240=År1,'Resultater - Vestdanmark'!H$3:H$504,IF(E240=År2,'Resultater - Vestdanmark'!I$3:I$504,'Resultater - Vestdanmark'!J$3:J$504)),'Resultater - Vestdanmark'!$F$3:$F$504,$A240,IF(E240=År1,'Resultater - Vestdanmark'!H$3:H$504,IF(E240=År2,'Resultater - Vestdanmark'!I$3:I$504,'Resultater - Vestdanmark'!J$3:J$504)),"&gt;0"),SUMIFS(IF(E240=År1,'Resultater - Østdanmark'!H$3:H$504,IF(E240=År2,'Resultater - Østdanmark'!I$3:I$504,'Resultater - Østdanmark'!J$3:J$504)),'Resultater - Østdanmark'!$F$3:$F$504,$A240,IF(E240=År1,'Resultater - Østdanmark'!H$3:H$504,IF(E240=År2,'Resultater - Østdanmark'!I$3:I$504,'Resultater - Østdanmark'!J$3:J$504)),"&gt;0"))</f>
        <v>0</v>
      </c>
      <c r="H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forbrug'!H$3,'Forbrug af biomasse'!$B$2:$B$425,$F240)</f>
        <v>0</v>
      </c>
      <c r="I240">
        <f>IF(F240="Vestdanmark",-IF(A240="Halm",SUMIFS(IF(E240=År1,'Resultater - Vestdanmark'!H$3:H$504,IF(E240=År2,'Resultater - Vestdanmark'!I$3:I$504,'Resultater - Vestdanmark'!J$3:J$504)),'Resultater - Vestdanmark'!$F$3:$F$504,$A240,'Resultater - Vestdanmark'!H$3:H$504,"&lt;0"),0),-IF(A240="Halm",SUMIFS(IF(E240=År1,'Resultater - Østdanmark'!H$3:H$504,IF(E240=År2,'Resultater - Østdanmark'!I$3:I$504,'Resultater - Østdanmark'!J$3:J$504)),'Resultater - Østdanmark'!$F$3:$F$504,$A240,'Resultater - Østdanmark'!H$3:H$504,"&lt;0"),0))</f>
        <v>0</v>
      </c>
      <c r="J240" s="94"/>
      <c r="K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forbrug'!K$3,'Forbrug af biomasse'!$B$2:$B$425,$F240)</f>
        <v>0</v>
      </c>
      <c r="L240" s="94">
        <f>SUMIFS('Forbrug af biomasse'!$E$2:$E$425,'Forbrug af biomasse'!$C$2:$C$425,'Resultat-Produktion &amp; forbrug'!$A240,'Forbrug af biomasse'!$D$2:$D$425,'Resultat-Produktion &amp; forbrug'!$E240,'Forbrug af biomasse'!$A$2:$A$425,'Resultat-Produktion &amp; forbrug'!L$3,'Forbrug af biomasse'!$B$2:$B$425,$F240)</f>
        <v>0</v>
      </c>
      <c r="M240" s="94">
        <f>IF(A240&lt;&gt;"Biogas",SUMIFS('Forbrug af biomasse'!$E$2:$E$425,'Forbrug af biomasse'!$C$2:$C$425,'Resultat-Produktion &amp; forbrug'!$A240,'Forbrug af biomasse'!$D$2:$D$425,'Resultat-Produktion &amp; forbrug'!$E240,'Forbrug af biomasse'!$A$2:$A$425,'Resultat-Produktion &amp; forbrug'!M$3,'Forbrug af biomasse'!$B$2:$B$425,$F240),G240)</f>
        <v>0</v>
      </c>
      <c r="N240" s="94">
        <f>SUMIFS('Forbrug af biomasse'!E:E,'Forbrug af biomasse'!C:C,'Resultat-Produktion &amp; forbrug'!$A240,'Forbrug af biomasse'!D:D,'Resultat-Produktion &amp; forbrug'!$E240,'Forbrug af biomasse'!G:G,1,'Forbrug af biomasse'!B:B,$F240)</f>
        <v>0</v>
      </c>
      <c r="O240" s="179">
        <f t="shared" si="45"/>
        <v>0</v>
      </c>
      <c r="P240" s="94">
        <f t="shared" si="42"/>
        <v>0</v>
      </c>
      <c r="Q240" s="180">
        <f t="shared" si="46"/>
        <v>0</v>
      </c>
      <c r="R240">
        <f>IFERROR(VLOOKUP(A240,[1]Energiindhold!$A$2:$C$11,3,FALSE),IFERROR(VLOOKUP(A240,[1]Biogasudbytte!$A$2:$B$18,2,FALSE)*[1]Energiindhold!$C$10,0))*P240</f>
        <v>0</v>
      </c>
      <c r="S240">
        <f>IF(A240&lt;&gt;"Biogas",IFERROR(VLOOKUP(A240,[1]Biogasudbytte!$A$2:$B$18,2,FALSE)*[1]Energiindhold!$C$10,0)*K240*IFERROR(VLOOKUP(A240,Biogasanlæg!$F$3:$G$8,2,FALSE),1)+IFERROR(VLOOKUP(A240,[1]Energiindhold!$A$2:$C$11,3,FALSE),0)*M240+IF(E240&lt;&gt;År1,R240,0),0)</f>
        <v>0</v>
      </c>
      <c r="T240">
        <f>IFERROR(VLOOKUP(A240,[1]Biogasudbytte!$A$2:$B$18,2,FALSE)*[1]Energiindhold!$C$10,0)*K240*IFERROR(VLOOKUP(A240,Biogasanlæg!$F$3:$G$8,2,FALSE),1)</f>
        <v>0</v>
      </c>
      <c r="U240" s="170">
        <f t="shared" si="47"/>
        <v>0</v>
      </c>
      <c r="V240" s="169">
        <f>P240*IFERROR(VLOOKUP(A240,[1]Tørstofindhold!A$2:B$24,2,FALSE),0)</f>
        <v>0</v>
      </c>
      <c r="W240">
        <f>IF(E240=År1,Q240,SUM(P240,Q240))*IFERROR(VLOOKUP(A240,[1]Tørstofindhold!A$2:B$24,2,FALSE),0)</f>
        <v>0</v>
      </c>
      <c r="X240">
        <f>K240*IFERROR(VLOOKUP(A240,[1]Tørstofindhold!A$2:B$24,2,FALSE),0)</f>
        <v>0</v>
      </c>
      <c r="Y240" s="170">
        <f t="shared" si="48"/>
        <v>0</v>
      </c>
      <c r="Z240">
        <f t="shared" si="43"/>
        <v>0</v>
      </c>
      <c r="AA240">
        <f t="shared" si="44"/>
        <v>1</v>
      </c>
    </row>
    <row r="241" spans="1:27" x14ac:dyDescent="0.25">
      <c r="A241" s="171" t="str">
        <f t="shared" si="49"/>
        <v>Total til biogas</v>
      </c>
      <c r="B241" s="171" t="str">
        <f t="shared" si="50"/>
        <v/>
      </c>
      <c r="C241" s="171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71">
        <f t="shared" si="38"/>
        <v>0</v>
      </c>
      <c r="E241" s="171">
        <f t="shared" si="41"/>
        <v>2030</v>
      </c>
      <c r="F241" t="s">
        <v>24</v>
      </c>
      <c r="G241" s="94">
        <f>IF(F241="Vestdanmark",SUMIFS(IF(E241=År1,'Resultater - Vestdanmark'!H$3:H$504,IF(E241=År2,'Resultater - Vestdanmark'!I$3:I$504,'Resultater - Vestdanmark'!J$3:J$504)),'Resultater - Vestdanmark'!$F$3:$F$504,$A241,IF(E241=År1,'Resultater - Vestdanmark'!H$3:H$504,IF(E241=År2,'Resultater - Vestdanmark'!I$3:I$504,'Resultater - Vestdanmark'!J$3:J$504)),"&gt;0"),SUMIFS(IF(E241=År1,'Resultater - Østdanmark'!H$3:H$504,IF(E241=År2,'Resultater - Østdanmark'!I$3:I$504,'Resultater - Østdanmark'!J$3:J$504)),'Resultater - Østdanmark'!$F$3:$F$504,$A241,IF(E241=År1,'Resultater - Østdanmark'!H$3:H$504,IF(E241=År2,'Resultater - Østdanmark'!I$3:I$504,'Resultater - Østdanmark'!J$3:J$504)),"&gt;0"))</f>
        <v>0</v>
      </c>
      <c r="H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forbrug'!H$3,'Forbrug af biomasse'!$B$2:$B$425,$F241)</f>
        <v>0</v>
      </c>
      <c r="I241">
        <f>IF(F241="Vestdanmark",-IF(A241="Halm",SUMIFS(IF(E241=År1,'Resultater - Vestdanmark'!H$3:H$504,IF(E241=År2,'Resultater - Vestdanmark'!I$3:I$504,'Resultater - Vestdanmark'!J$3:J$504)),'Resultater - Vestdanmark'!$F$3:$F$504,$A241,'Resultater - Vestdanmark'!H$3:H$504,"&lt;0"),0),-IF(A241="Halm",SUMIFS(IF(E241=År1,'Resultater - Østdanmark'!H$3:H$504,IF(E241=År2,'Resultater - Østdanmark'!I$3:I$504,'Resultater - Østdanmark'!J$3:J$504)),'Resultater - Østdanmark'!$F$3:$F$504,$A241,'Resultater - Østdanmark'!H$3:H$504,"&lt;0"),0))</f>
        <v>0</v>
      </c>
      <c r="J241" s="94"/>
      <c r="K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forbrug'!K$3,'Forbrug af biomasse'!$B$2:$B$425,$F241)</f>
        <v>0</v>
      </c>
      <c r="L241" s="94">
        <f>SUMIFS('Forbrug af biomasse'!$E$2:$E$425,'Forbrug af biomasse'!$C$2:$C$425,'Resultat-Produktion &amp; forbrug'!$A241,'Forbrug af biomasse'!$D$2:$D$425,'Resultat-Produktion &amp; forbrug'!$E241,'Forbrug af biomasse'!$A$2:$A$425,'Resultat-Produktion &amp; forbrug'!L$3,'Forbrug af biomasse'!$B$2:$B$425,$F241)</f>
        <v>0</v>
      </c>
      <c r="M241" s="94">
        <f>IF(A241&lt;&gt;"Biogas",SUMIFS('Forbrug af biomasse'!$E$2:$E$425,'Forbrug af biomasse'!$C$2:$C$425,'Resultat-Produktion &amp; forbrug'!$A241,'Forbrug af biomasse'!$D$2:$D$425,'Resultat-Produktion &amp; forbrug'!$E241,'Forbrug af biomasse'!$A$2:$A$425,'Resultat-Produktion &amp; forbrug'!M$3,'Forbrug af biomasse'!$B$2:$B$425,$F241),G241)</f>
        <v>0</v>
      </c>
      <c r="N241" s="94">
        <f>SUMIFS('Forbrug af biomasse'!E:E,'Forbrug af biomasse'!C:C,'Resultat-Produktion &amp; forbrug'!$A241,'Forbrug af biomasse'!D:D,'Resultat-Produktion &amp; forbrug'!$E241,'Forbrug af biomasse'!G:G,1,'Forbrug af biomasse'!B:B,$F241)</f>
        <v>0</v>
      </c>
      <c r="O241" s="179">
        <f t="shared" si="45"/>
        <v>0</v>
      </c>
      <c r="P241" s="94">
        <f t="shared" si="42"/>
        <v>0</v>
      </c>
      <c r="Q241" s="180">
        <f t="shared" si="46"/>
        <v>0</v>
      </c>
      <c r="R241">
        <f>IFERROR(VLOOKUP(A241,[1]Energiindhold!$A$2:$C$11,3,FALSE),IFERROR(VLOOKUP(A241,[1]Biogasudbytte!$A$2:$B$18,2,FALSE)*[1]Energiindhold!$C$10,0))*P241</f>
        <v>0</v>
      </c>
      <c r="S241">
        <f>IF(A241&lt;&gt;"Biogas",IFERROR(VLOOKUP(A241,[1]Biogasudbytte!$A$2:$B$18,2,FALSE)*[1]Energiindhold!$C$10,0)*K241*IFERROR(VLOOKUP(A241,Biogasanlæg!$F$3:$G$8,2,FALSE),1)+IFERROR(VLOOKUP(A241,[1]Energiindhold!$A$2:$C$11,3,FALSE),0)*M241+IF(E241&lt;&gt;År1,R241,0),0)</f>
        <v>0</v>
      </c>
      <c r="T241">
        <f>IFERROR(VLOOKUP(A241,[1]Biogasudbytte!$A$2:$B$18,2,FALSE)*[1]Energiindhold!$C$10,0)*K241*IFERROR(VLOOKUP(A241,Biogasanlæg!$F$3:$G$8,2,FALSE),1)</f>
        <v>0</v>
      </c>
      <c r="U241" s="170">
        <f t="shared" si="47"/>
        <v>0</v>
      </c>
      <c r="V241" s="169">
        <f>P241*IFERROR(VLOOKUP(A241,[1]Tørstofindhold!A$2:B$24,2,FALSE),0)</f>
        <v>0</v>
      </c>
      <c r="W241">
        <f>IF(E241=År1,Q241,SUM(P241,Q241))*IFERROR(VLOOKUP(A241,[1]Tørstofindhold!A$2:B$24,2,FALSE),0)</f>
        <v>0</v>
      </c>
      <c r="X241">
        <f>K241*IFERROR(VLOOKUP(A241,[1]Tørstofindhold!A$2:B$24,2,FALSE),0)</f>
        <v>0</v>
      </c>
      <c r="Y241" s="170">
        <f t="shared" si="48"/>
        <v>0</v>
      </c>
      <c r="Z241">
        <f t="shared" si="43"/>
        <v>0</v>
      </c>
      <c r="AA241">
        <f t="shared" si="44"/>
        <v>0</v>
      </c>
    </row>
    <row r="242" spans="1:27" x14ac:dyDescent="0.25">
      <c r="A242" s="171" t="str">
        <f t="shared" si="49"/>
        <v>Træ til energi</v>
      </c>
      <c r="B242" s="171" t="str">
        <f t="shared" si="50"/>
        <v>Vedmasse</v>
      </c>
      <c r="C242" s="171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1</v>
      </c>
      <c r="D242" s="171">
        <f t="shared" si="38"/>
        <v>0</v>
      </c>
      <c r="E242" s="171">
        <f t="shared" si="41"/>
        <v>2030</v>
      </c>
      <c r="F242" t="s">
        <v>24</v>
      </c>
      <c r="G242" s="94">
        <f ca="1">IF(F242="Vestdanmark",SUMIFS(IF(E242=År1,'Resultater - Vestdanmark'!H$3:H$504,IF(E242=År2,'Resultater - Vestdanmark'!I$3:I$504,'Resultater - Vestdanmark'!J$3:J$504)),'Resultater - Vestdanmark'!$F$3:$F$504,$A242,IF(E242=År1,'Resultater - Vestdanmark'!H$3:H$504,IF(E242=År2,'Resultater - Vestdanmark'!I$3:I$504,'Resultater - Vestdanmark'!J$3:J$504)),"&gt;0"),SUMIFS(IF(E242=År1,'Resultater - Østdanmark'!H$3:H$504,IF(E242=År2,'Resultater - Østdanmark'!I$3:I$504,'Resultater - Østdanmark'!J$3:J$504)),'Resultater - Østdanmark'!$F$3:$F$504,$A242,IF(E242=År1,'Resultater - Østdanmark'!H$3:H$504,IF(E242=År2,'Resultater - Østdanmark'!I$3:I$504,'Resultater - Østdanmark'!J$3:J$504)),"&gt;0"))</f>
        <v>646548.74657684658</v>
      </c>
      <c r="H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forbrug'!H$3,'Forbrug af biomasse'!$B$2:$B$425,$F242)</f>
        <v>0</v>
      </c>
      <c r="I242">
        <f>IF(F242="Vestdanmark",-IF(A242="Halm",SUMIFS(IF(E242=År1,'Resultater - Vestdanmark'!H$3:H$504,IF(E242=År2,'Resultater - Vestdanmark'!I$3:I$504,'Resultater - Vestdanmark'!J$3:J$504)),'Resultater - Vestdanmark'!$F$3:$F$504,$A242,'Resultater - Vestdanmark'!H$3:H$504,"&lt;0"),0),-IF(A242="Halm",SUMIFS(IF(E242=År1,'Resultater - Østdanmark'!H$3:H$504,IF(E242=År2,'Resultater - Østdanmark'!I$3:I$504,'Resultater - Østdanmark'!J$3:J$504)),'Resultater - Østdanmark'!$F$3:$F$504,$A242,'Resultater - Østdanmark'!H$3:H$504,"&lt;0"),0))</f>
        <v>0</v>
      </c>
      <c r="J242" s="94"/>
      <c r="K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forbrug'!K$3,'Forbrug af biomasse'!$B$2:$B$425,$F242)</f>
        <v>0</v>
      </c>
      <c r="L242" s="94">
        <f>SUMIFS('Forbrug af biomasse'!$E$2:$E$425,'Forbrug af biomasse'!$C$2:$C$425,'Resultat-Produktion &amp; forbrug'!$A242,'Forbrug af biomasse'!$D$2:$D$425,'Resultat-Produktion &amp; forbrug'!$E242,'Forbrug af biomasse'!$A$2:$A$425,'Resultat-Produktion &amp; forbrug'!L$3,'Forbrug af biomasse'!$B$2:$B$425,$F242)</f>
        <v>0</v>
      </c>
      <c r="M242" s="94">
        <f ca="1">IF(A242&lt;&gt;"Biogas",SUMIFS('Forbrug af biomasse'!$E$2:$E$425,'Forbrug af biomasse'!$C$2:$C$425,'Resultat-Produktion &amp; forbrug'!$A242,'Forbrug af biomasse'!$D$2:$D$425,'Resultat-Produktion &amp; forbrug'!$E242,'Forbrug af biomasse'!$A$2:$A$425,'Resultat-Produktion &amp; forbrug'!M$3,'Forbrug af biomasse'!$B$2:$B$425,$F242),G242)</f>
        <v>646548.74657684658</v>
      </c>
      <c r="N242" s="94">
        <f>SUMIFS('Forbrug af biomasse'!E:E,'Forbrug af biomasse'!C:C,'Resultat-Produktion &amp; forbrug'!$A242,'Forbrug af biomasse'!D:D,'Resultat-Produktion &amp; forbrug'!$E242,'Forbrug af biomasse'!G:G,1,'Forbrug af biomasse'!B:B,$F242)</f>
        <v>0</v>
      </c>
      <c r="O242" s="179">
        <f t="shared" ca="1" si="45"/>
        <v>0</v>
      </c>
      <c r="P242" s="94">
        <f t="shared" ca="1" si="42"/>
        <v>0</v>
      </c>
      <c r="Q242" s="180">
        <f t="shared" ca="1" si="46"/>
        <v>646548.74657684658</v>
      </c>
      <c r="R242">
        <f ca="1">IFERROR(VLOOKUP(A242,[1]Energiindhold!$A$2:$C$11,3,FALSE),IFERROR(VLOOKUP(A242,[1]Biogasudbytte!$A$2:$B$18,2,FALSE)*[1]Energiindhold!$C$10,0))*P242</f>
        <v>0</v>
      </c>
      <c r="S242">
        <f ca="1">IF(A242&lt;&gt;"Biogas",IFERROR(VLOOKUP(A242,[1]Biogasudbytte!$A$2:$B$18,2,FALSE)*[1]Energiindhold!$C$10,0)*K242*IFERROR(VLOOKUP(A242,Biogasanlæg!$F$3:$G$8,2,FALSE),1)+IFERROR(VLOOKUP(A242,[1]Energiindhold!$A$2:$C$11,3,FALSE),0)*M242+IF(E242&lt;&gt;År1,R242,0),0)</f>
        <v>9.3707988062214476</v>
      </c>
      <c r="T242">
        <f>IFERROR(VLOOKUP(A242,[1]Biogasudbytte!$A$2:$B$18,2,FALSE)*[1]Energiindhold!$C$10,0)*K242*IFERROR(VLOOKUP(A242,Biogasanlæg!$F$3:$G$8,2,FALSE),1)</f>
        <v>0</v>
      </c>
      <c r="U242" s="170">
        <f t="shared" ca="1" si="47"/>
        <v>9.3707988062214476</v>
      </c>
      <c r="V242" s="169">
        <f ca="1">P242*IFERROR(VLOOKUP(A242,[1]Tørstofindhold!A$2:B$24,2,FALSE),0)</f>
        <v>0</v>
      </c>
      <c r="W242">
        <f ca="1">IF(E242=År1,Q242,SUM(P242,Q242))*IFERROR(VLOOKUP(A242,[1]Tørstofindhold!A$2:B$24,2,FALSE),0)</f>
        <v>319772.23424446536</v>
      </c>
      <c r="X242">
        <f>K242*IFERROR(VLOOKUP(A242,[1]Tørstofindhold!A$2:B$24,2,FALSE),0)</f>
        <v>0</v>
      </c>
      <c r="Y242" s="170">
        <f t="shared" ca="1" si="48"/>
        <v>319772.23424446536</v>
      </c>
      <c r="Z242">
        <f t="shared" ca="1" si="43"/>
        <v>0</v>
      </c>
      <c r="AA242">
        <f t="shared" ca="1" si="44"/>
        <v>0</v>
      </c>
    </row>
    <row r="243" spans="1:27" x14ac:dyDescent="0.25">
      <c r="A243" s="171" t="str">
        <f t="shared" si="49"/>
        <v>Træmaterialer</v>
      </c>
      <c r="B243" s="171" t="str">
        <f t="shared" si="50"/>
        <v/>
      </c>
      <c r="C243" s="171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71">
        <f t="shared" si="38"/>
        <v>0</v>
      </c>
      <c r="E243" s="171">
        <f t="shared" si="41"/>
        <v>2030</v>
      </c>
      <c r="F243" t="s">
        <v>24</v>
      </c>
      <c r="G243" s="94">
        <f ca="1">IF(F243="Vestdanmark",SUMIFS(IF(E243=År1,'Resultater - Vestdanmark'!H$3:H$504,IF(E243=År2,'Resultater - Vestdanmark'!I$3:I$504,'Resultater - Vestdanmark'!J$3:J$504)),'Resultater - Vestdanmark'!$F$3:$F$504,$A243,IF(E243=År1,'Resultater - Vestdanmark'!H$3:H$504,IF(E243=År2,'Resultater - Vestdanmark'!I$3:I$504,'Resultater - Vestdanmark'!J$3:J$504)),"&gt;0"),SUMIFS(IF(E243=År1,'Resultater - Østdanmark'!H$3:H$504,IF(E243=År2,'Resultater - Østdanmark'!I$3:I$504,'Resultater - Østdanmark'!J$3:J$504)),'Resultater - Østdanmark'!$F$3:$F$504,$A243,IF(E243=År1,'Resultater - Østdanmark'!H$3:H$504,IF(E243=År2,'Resultater - Østdanmark'!I$3:I$504,'Resultater - Østdanmark'!J$3:J$504)),"&gt;0"))</f>
        <v>178296.99682560615</v>
      </c>
      <c r="H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forbrug'!H$3,'Forbrug af biomasse'!$B$2:$B$425,$F243)</f>
        <v>0</v>
      </c>
      <c r="I243">
        <f>IF(F243="Vestdanmark",-IF(A243="Halm",SUMIFS(IF(E243=År1,'Resultater - Vestdanmark'!H$3:H$504,IF(E243=År2,'Resultater - Vestdanmark'!I$3:I$504,'Resultater - Vestdanmark'!J$3:J$504)),'Resultater - Vestdanmark'!$F$3:$F$504,$A243,'Resultater - Vestdanmark'!H$3:H$504,"&lt;0"),0),-IF(A243="Halm",SUMIFS(IF(E243=År1,'Resultater - Østdanmark'!H$3:H$504,IF(E243=År2,'Resultater - Østdanmark'!I$3:I$504,'Resultater - Østdanmark'!J$3:J$504)),'Resultater - Østdanmark'!$F$3:$F$504,$A243,'Resultater - Østdanmark'!H$3:H$504,"&lt;0"),0))</f>
        <v>0</v>
      </c>
      <c r="J243" s="94"/>
      <c r="K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forbrug'!K$3,'Forbrug af biomasse'!$B$2:$B$425,$F243)</f>
        <v>0</v>
      </c>
      <c r="L243" s="94">
        <f>SUMIFS('Forbrug af biomasse'!$E$2:$E$425,'Forbrug af biomasse'!$C$2:$C$425,'Resultat-Produktion &amp; forbrug'!$A243,'Forbrug af biomasse'!$D$2:$D$425,'Resultat-Produktion &amp; forbrug'!$E243,'Forbrug af biomasse'!$A$2:$A$425,'Resultat-Produktion &amp; forbrug'!L$3,'Forbrug af biomasse'!$B$2:$B$425,$F243)</f>
        <v>0</v>
      </c>
      <c r="M243" s="94">
        <f>IF(A243&lt;&gt;"Biogas",SUMIFS('Forbrug af biomasse'!$E$2:$E$425,'Forbrug af biomasse'!$C$2:$C$425,'Resultat-Produktion &amp; forbrug'!$A243,'Forbrug af biomasse'!$D$2:$D$425,'Resultat-Produktion &amp; forbrug'!$E243,'Forbrug af biomasse'!$A$2:$A$425,'Resultat-Produktion &amp; forbrug'!M$3,'Forbrug af biomasse'!$B$2:$B$425,$F243),G243)</f>
        <v>0</v>
      </c>
      <c r="N243" s="94">
        <f ca="1">SUMIFS('Forbrug af biomasse'!E:E,'Forbrug af biomasse'!C:C,'Resultat-Produktion &amp; forbrug'!$A243,'Forbrug af biomasse'!D:D,'Resultat-Produktion &amp; forbrug'!$E243,'Forbrug af biomasse'!G:G,1,'Forbrug af biomasse'!B:B,$F243)</f>
        <v>178296.99682560615</v>
      </c>
      <c r="O243" s="179">
        <f t="shared" ca="1" si="45"/>
        <v>0</v>
      </c>
      <c r="P243" s="94">
        <f t="shared" si="42"/>
        <v>0</v>
      </c>
      <c r="Q243" s="180">
        <f t="shared" si="46"/>
        <v>0</v>
      </c>
      <c r="R243">
        <f>IFERROR(VLOOKUP(A243,[1]Energiindhold!$A$2:$C$11,3,FALSE),IFERROR(VLOOKUP(A243,[1]Biogasudbytte!$A$2:$B$18,2,FALSE)*[1]Energiindhold!$C$10,0))*P243</f>
        <v>0</v>
      </c>
      <c r="S243">
        <f>IF(A243&lt;&gt;"Biogas",IFERROR(VLOOKUP(A243,[1]Biogasudbytte!$A$2:$B$18,2,FALSE)*[1]Energiindhold!$C$10,0)*K243*IFERROR(VLOOKUP(A243,Biogasanlæg!$F$3:$G$8,2,FALSE),1)+IFERROR(VLOOKUP(A243,[1]Energiindhold!$A$2:$C$11,3,FALSE),0)*M243+IF(E243&lt;&gt;År1,R243,0),0)</f>
        <v>0</v>
      </c>
      <c r="T243">
        <f>IFERROR(VLOOKUP(A243,[1]Biogasudbytte!$A$2:$B$18,2,FALSE)*[1]Energiindhold!$C$10,0)*K243*IFERROR(VLOOKUP(A243,Biogasanlæg!$F$3:$G$8,2,FALSE),1)</f>
        <v>0</v>
      </c>
      <c r="U243" s="170">
        <f t="shared" si="47"/>
        <v>0</v>
      </c>
      <c r="V243" s="169">
        <f>P243*IFERROR(VLOOKUP(A243,[1]Tørstofindhold!A$2:B$24,2,FALSE),0)</f>
        <v>0</v>
      </c>
      <c r="W243">
        <f>IF(E243=År1,Q243,SUM(P243,Q243))*IFERROR(VLOOKUP(A243,[1]Tørstofindhold!A$2:B$24,2,FALSE),0)</f>
        <v>0</v>
      </c>
      <c r="X243">
        <f>K243*IFERROR(VLOOKUP(A243,[1]Tørstofindhold!A$2:B$24,2,FALSE),0)</f>
        <v>0</v>
      </c>
      <c r="Y243" s="170">
        <f t="shared" si="48"/>
        <v>0</v>
      </c>
      <c r="Z243">
        <f t="shared" ca="1" si="43"/>
        <v>0</v>
      </c>
      <c r="AA243">
        <f t="shared" ca="1" si="44"/>
        <v>0</v>
      </c>
    </row>
    <row r="244" spans="1:27" x14ac:dyDescent="0.25">
      <c r="A244" s="171" t="str">
        <f t="shared" si="49"/>
        <v>Æg</v>
      </c>
      <c r="B244" s="171" t="str">
        <f t="shared" si="50"/>
        <v/>
      </c>
      <c r="C244" s="171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71">
        <f t="shared" si="38"/>
        <v>1</v>
      </c>
      <c r="E244" s="171">
        <f t="shared" ref="E244:E282" si="51">År3</f>
        <v>2050</v>
      </c>
      <c r="F244" t="s">
        <v>24</v>
      </c>
      <c r="G244" s="94">
        <f>IF(F244="Vestdanmark",SUMIFS(IF(E244=År1,'Resultater - Vestdanmark'!H$3:H$504,IF(E244=År2,'Resultater - Vestdanmark'!I$3:I$504,'Resultater - Vestdanmark'!J$3:J$504)),'Resultater - Vestdanmark'!$F$3:$F$504,$A244,IF(E244=År1,'Resultater - Vestdanmark'!H$3:H$504,IF(E244=År2,'Resultater - Vestdanmark'!I$3:I$504,'Resultater - Vestdanmark'!J$3:J$504)),"&gt;0"),SUMIFS(IF(E244=År1,'Resultater - Østdanmark'!H$3:H$504,IF(E244=År2,'Resultater - Østdanmark'!I$3:I$504,'Resultater - Østdanmark'!J$3:J$504)),'Resultater - Østdanmark'!$F$3:$F$504,$A244,IF(E244=År1,'Resultater - Østdanmark'!H$3:H$504,IF(E244=År2,'Resultater - Østdanmark'!I$3:I$504,'Resultater - Østdanmark'!J$3:J$504)),"&gt;0"))</f>
        <v>8172.3709275385399</v>
      </c>
      <c r="H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forbrug'!H$3,'Forbrug af biomasse'!$B$2:$B$425,$F244)</f>
        <v>0</v>
      </c>
      <c r="I244">
        <f>IF(F244="Vestdanmark",-IF(A244="Halm",SUMIFS(IF(E244=År1,'Resultater - Vestdanmark'!H$3:H$504,IF(E244=År2,'Resultater - Vestdanmark'!I$3:I$504,'Resultater - Vestdanmark'!J$3:J$504)),'Resultater - Vestdanmark'!$F$3:$F$504,$A244,'Resultater - Vestdanmark'!H$3:H$504,"&lt;0"),0),-IF(A244="Halm",SUMIFS(IF(E244=År1,'Resultater - Østdanmark'!H$3:H$504,IF(E244=År2,'Resultater - Østdanmark'!I$3:I$504,'Resultater - Østdanmark'!J$3:J$504)),'Resultater - Østdanmark'!$F$3:$F$504,$A244,'Resultater - Østdanmark'!H$3:H$504,"&lt;0"),0))</f>
        <v>0</v>
      </c>
      <c r="J244" s="94"/>
      <c r="K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forbrug'!K$3,'Forbrug af biomasse'!$B$2:$B$425,$F244)</f>
        <v>0</v>
      </c>
      <c r="L244" s="94">
        <f>SUMIFS('Forbrug af biomasse'!$E$2:$E$425,'Forbrug af biomasse'!$C$2:$C$425,'Resultat-Produktion &amp; forbrug'!$A244,'Forbrug af biomasse'!$D$2:$D$425,'Resultat-Produktion &amp; forbrug'!$E244,'Forbrug af biomasse'!$A$2:$A$425,'Resultat-Produktion &amp; forbrug'!L$3,'Forbrug af biomasse'!$B$2:$B$425,$F244)</f>
        <v>0</v>
      </c>
      <c r="M244" s="94">
        <f>IF(A244&lt;&gt;"Biogas",SUMIFS('Forbrug af biomasse'!$E$2:$E$425,'Forbrug af biomasse'!$C$2:$C$425,'Resultat-Produktion &amp; forbrug'!$A244,'Forbrug af biomasse'!$D$2:$D$425,'Resultat-Produktion &amp; forbrug'!$E244,'Forbrug af biomasse'!$A$2:$A$425,'Resultat-Produktion &amp; forbrug'!M$3,'Forbrug af biomasse'!$B$2:$B$425,$F244),G244)</f>
        <v>0</v>
      </c>
      <c r="N244" s="94">
        <f>SUMIFS('Forbrug af biomasse'!E:E,'Forbrug af biomasse'!C:C,'Resultat-Produktion &amp; forbrug'!$A244,'Forbrug af biomasse'!D:D,'Resultat-Produktion &amp; forbrug'!$E244,'Forbrug af biomasse'!G:G,1,'Forbrug af biomasse'!B:B,$F244)</f>
        <v>0</v>
      </c>
      <c r="O244" s="179">
        <f t="shared" si="45"/>
        <v>8172.3709275385399</v>
      </c>
      <c r="P244" s="94">
        <f t="shared" si="42"/>
        <v>0</v>
      </c>
      <c r="Q244" s="180">
        <f t="shared" si="46"/>
        <v>0</v>
      </c>
      <c r="R244">
        <f>IFERROR(VLOOKUP(A244,[1]Energiindhold!$A$2:$C$11,3,FALSE),IFERROR(VLOOKUP(A244,[1]Biogasudbytte!$A$2:$B$18,2,FALSE)*[1]Energiindhold!$C$10,0))*P244</f>
        <v>0</v>
      </c>
      <c r="S244">
        <f>IF(A244&lt;&gt;"Biogas",IFERROR(VLOOKUP(A244,[1]Biogasudbytte!$A$2:$B$18,2,FALSE)*[1]Energiindhold!$C$10,0)*K244*IFERROR(VLOOKUP(A244,Biogasanlæg!$F$3:$G$8,2,FALSE),1)+IFERROR(VLOOKUP(A244,[1]Energiindhold!$A$2:$C$11,3,FALSE),0)*M244+IF(E244&lt;&gt;År1,R244,0),0)</f>
        <v>0</v>
      </c>
      <c r="T244">
        <f>IFERROR(VLOOKUP(A244,[1]Biogasudbytte!$A$2:$B$18,2,FALSE)*[1]Energiindhold!$C$10,0)*K244*IFERROR(VLOOKUP(A244,Biogasanlæg!$F$3:$G$8,2,FALSE),1)</f>
        <v>0</v>
      </c>
      <c r="U244" s="170">
        <f t="shared" si="47"/>
        <v>0</v>
      </c>
      <c r="V244" s="169">
        <f>P244*IFERROR(VLOOKUP(A244,[1]Tørstofindhold!A$2:B$24,2,FALSE),0)</f>
        <v>0</v>
      </c>
      <c r="W244">
        <f>IF(E244=År1,Q244,SUM(P244,Q244))*IFERROR(VLOOKUP(A244,[1]Tørstofindhold!A$2:B$24,2,FALSE),0)</f>
        <v>0</v>
      </c>
      <c r="X244">
        <f>K244*IFERROR(VLOOKUP(A244,[1]Tørstofindhold!A$2:B$24,2,FALSE),0)</f>
        <v>0</v>
      </c>
      <c r="Y244" s="170">
        <f t="shared" si="48"/>
        <v>0</v>
      </c>
      <c r="Z244">
        <f t="shared" si="43"/>
        <v>0</v>
      </c>
      <c r="AA244">
        <f t="shared" si="44"/>
        <v>1</v>
      </c>
    </row>
    <row r="245" spans="1:27" x14ac:dyDescent="0.25">
      <c r="A245" s="171" t="str">
        <f t="shared" si="49"/>
        <v>Bælgsæd</v>
      </c>
      <c r="B245" s="171" t="str">
        <f t="shared" si="50"/>
        <v/>
      </c>
      <c r="C245" s="171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0</v>
      </c>
      <c r="D245" s="171">
        <f t="shared" ref="D245:D291" si="52">D197</f>
        <v>1</v>
      </c>
      <c r="E245" s="171">
        <f t="shared" si="51"/>
        <v>2050</v>
      </c>
      <c r="F245" t="s">
        <v>24</v>
      </c>
      <c r="G245" s="94">
        <f>IF(F245="Vestdanmark",SUMIFS(IF(E245=År1,'Resultater - Vestdanmark'!H$3:H$504,IF(E245=År2,'Resultater - Vestdanmark'!I$3:I$504,'Resultater - Vestdanmark'!J$3:J$504)),'Resultater - Vestdanmark'!$F$3:$F$504,$A245,IF(E245=År1,'Resultater - Vestdanmark'!H$3:H$504,IF(E245=År2,'Resultater - Vestdanmark'!I$3:I$504,'Resultater - Vestdanmark'!J$3:J$504)),"&gt;0"),SUMIFS(IF(E245=År1,'Resultater - Østdanmark'!H$3:H$504,IF(E245=År2,'Resultater - Østdanmark'!I$3:I$504,'Resultater - Østdanmark'!J$3:J$504)),'Resultater - Østdanmark'!$F$3:$F$504,$A245,IF(E245=År1,'Resultater - Østdanmark'!H$3:H$504,IF(E245=År2,'Resultater - Østdanmark'!I$3:I$504,'Resultater - Østdanmark'!J$3:J$504)),"&gt;0"))</f>
        <v>222547.77389902543</v>
      </c>
      <c r="H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forbrug'!H$3,'Forbrug af biomasse'!$B$2:$B$425,$F245)</f>
        <v>5365.8998488810739</v>
      </c>
      <c r="I245">
        <f>IF(F245="Vestdanmark",-IF(A245="Halm",SUMIFS(IF(E245=År1,'Resultater - Vestdanmark'!H$3:H$504,IF(E245=År2,'Resultater - Vestdanmark'!I$3:I$504,'Resultater - Vestdanmark'!J$3:J$504)),'Resultater - Vestdanmark'!$F$3:$F$504,$A245,'Resultater - Vestdanmark'!H$3:H$504,"&lt;0"),0),-IF(A245="Halm",SUMIFS(IF(E245=År1,'Resultater - Østdanmark'!H$3:H$504,IF(E245=År2,'Resultater - Østdanmark'!I$3:I$504,'Resultater - Østdanmark'!J$3:J$504)),'Resultater - Østdanmark'!$F$3:$F$504,$A245,'Resultater - Østdanmark'!H$3:H$504,"&lt;0"),0))</f>
        <v>0</v>
      </c>
      <c r="J245" s="94"/>
      <c r="K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forbrug'!K$3,'Forbrug af biomasse'!$B$2:$B$425,$F245)</f>
        <v>0</v>
      </c>
      <c r="L245" s="94">
        <f>SUMIFS('Forbrug af biomasse'!$E$2:$E$425,'Forbrug af biomasse'!$C$2:$C$425,'Resultat-Produktion &amp; forbrug'!$A245,'Forbrug af biomasse'!$D$2:$D$425,'Resultat-Produktion &amp; forbrug'!$E245,'Forbrug af biomasse'!$A$2:$A$425,'Resultat-Produktion &amp; forbrug'!L$3,'Forbrug af biomasse'!$B$2:$B$425,$F245)</f>
        <v>0</v>
      </c>
      <c r="M245" s="94">
        <f>IF(A245&lt;&gt;"Biogas",SUMIFS('Forbrug af biomasse'!$E$2:$E$425,'Forbrug af biomasse'!$C$2:$C$425,'Resultat-Produktion &amp; forbrug'!$A245,'Forbrug af biomasse'!$D$2:$D$425,'Resultat-Produktion &amp; forbrug'!$E245,'Forbrug af biomasse'!$A$2:$A$425,'Resultat-Produktion &amp; forbrug'!M$3,'Forbrug af biomasse'!$B$2:$B$425,$F245),G245)</f>
        <v>0</v>
      </c>
      <c r="N245" s="94">
        <f>SUMIFS('Forbrug af biomasse'!E:E,'Forbrug af biomasse'!C:C,'Resultat-Produktion &amp; forbrug'!$A245,'Forbrug af biomasse'!D:D,'Resultat-Produktion &amp; forbrug'!$E245,'Forbrug af biomasse'!G:G,1,'Forbrug af biomasse'!B:B,$F245)</f>
        <v>0</v>
      </c>
      <c r="O245" s="179">
        <f t="shared" si="45"/>
        <v>217181.87405014437</v>
      </c>
      <c r="P245" s="94">
        <f t="shared" si="42"/>
        <v>0</v>
      </c>
      <c r="Q245" s="180">
        <f t="shared" si="46"/>
        <v>0</v>
      </c>
      <c r="R245">
        <f>IFERROR(VLOOKUP(A245,[1]Energiindhold!$A$2:$C$11,3,FALSE),IFERROR(VLOOKUP(A245,[1]Biogasudbytte!$A$2:$B$18,2,FALSE)*[1]Energiindhold!$C$10,0))*P245</f>
        <v>0</v>
      </c>
      <c r="S245">
        <f>IF(A245&lt;&gt;"Biogas",IFERROR(VLOOKUP(A245,[1]Biogasudbytte!$A$2:$B$18,2,FALSE)*[1]Energiindhold!$C$10,0)*K245*IFERROR(VLOOKUP(A245,Biogasanlæg!$F$3:$G$8,2,FALSE),1)+IFERROR(VLOOKUP(A245,[1]Energiindhold!$A$2:$C$11,3,FALSE),0)*M245+IF(E245&lt;&gt;År1,R245,0),0)</f>
        <v>0</v>
      </c>
      <c r="T245">
        <f>IFERROR(VLOOKUP(A245,[1]Biogasudbytte!$A$2:$B$18,2,FALSE)*[1]Energiindhold!$C$10,0)*K245*IFERROR(VLOOKUP(A245,Biogasanlæg!$F$3:$G$8,2,FALSE),1)</f>
        <v>0</v>
      </c>
      <c r="U245" s="170">
        <f t="shared" si="47"/>
        <v>0</v>
      </c>
      <c r="V245" s="169">
        <f>P245*IFERROR(VLOOKUP(A245,[1]Tørstofindhold!A$2:B$24,2,FALSE),0)</f>
        <v>0</v>
      </c>
      <c r="W245">
        <f>IF(E245=År1,Q245,SUM(P245,Q245))*IFERROR(VLOOKUP(A245,[1]Tørstofindhold!A$2:B$24,2,FALSE),0)</f>
        <v>0</v>
      </c>
      <c r="X245">
        <f>K245*IFERROR(VLOOKUP(A245,[1]Tørstofindhold!A$2:B$24,2,FALSE),0)</f>
        <v>0</v>
      </c>
      <c r="Y245" s="170">
        <f t="shared" si="48"/>
        <v>0</v>
      </c>
      <c r="Z245">
        <f t="shared" si="43"/>
        <v>0</v>
      </c>
      <c r="AA245">
        <f t="shared" si="44"/>
        <v>1</v>
      </c>
    </row>
    <row r="246" spans="1:27" x14ac:dyDescent="0.25">
      <c r="A246" s="171" t="str">
        <f t="shared" si="49"/>
        <v>Bioaffald</v>
      </c>
      <c r="B246" s="171" t="str">
        <f t="shared" si="50"/>
        <v>Bionedbrydeligt affald</v>
      </c>
      <c r="C246" s="171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71">
        <f t="shared" si="52"/>
        <v>0</v>
      </c>
      <c r="E246" s="171">
        <f t="shared" si="51"/>
        <v>2050</v>
      </c>
      <c r="F246" t="s">
        <v>24</v>
      </c>
      <c r="G246" s="94">
        <f ca="1">IF(F246="Vestdanmark",SUMIFS(IF(E246=År1,'Resultater - Vestdanmark'!H$3:H$504,IF(E246=År2,'Resultater - Vestdanmark'!I$3:I$504,'Resultater - Vestdanmark'!J$3:J$504)),'Resultater - Vestdanmark'!$F$3:$F$504,$A246,IF(E246=År1,'Resultater - Vestdanmark'!H$3:H$504,IF(E246=År2,'Resultater - Vestdanmark'!I$3:I$504,'Resultater - Vestdanmark'!J$3:J$504)),"&gt;0"),SUMIFS(IF(E246=År1,'Resultater - Østdanmark'!H$3:H$504,IF(E246=År2,'Resultater - Østdanmark'!I$3:I$504,'Resultater - Østdanmark'!J$3:J$504)),'Resultater - Østdanmark'!$F$3:$F$504,$A246,IF(E246=År1,'Resultater - Østdanmark'!H$3:H$504,IF(E246=År2,'Resultater - Østdanmark'!I$3:I$504,'Resultater - Østdanmark'!J$3:J$504)),"&gt;0"))</f>
        <v>172292.68030975034</v>
      </c>
      <c r="H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forbrug'!H$3,'Forbrug af biomasse'!$B$2:$B$425,$F246)</f>
        <v>0</v>
      </c>
      <c r="I246">
        <f>IF(F246="Vestdanmark",-IF(A246="Halm",SUMIFS(IF(E246=År1,'Resultater - Vestdanmark'!H$3:H$504,IF(E246=År2,'Resultater - Vestdanmark'!I$3:I$504,'Resultater - Vestdanmark'!J$3:J$504)),'Resultater - Vestdanmark'!$F$3:$F$504,$A246,'Resultater - Vestdanmark'!H$3:H$504,"&lt;0"),0),-IF(A246="Halm",SUMIFS(IF(E246=År1,'Resultater - Østdanmark'!H$3:H$504,IF(E246=År2,'Resultater - Østdanmark'!I$3:I$504,'Resultater - Østdanmark'!J$3:J$504)),'Resultater - Østdanmark'!$F$3:$F$504,$A246,'Resultater - Østdanmark'!H$3:H$504,"&lt;0"),0))</f>
        <v>0</v>
      </c>
      <c r="J246" s="94"/>
      <c r="K246" s="94">
        <f ca="1">SUMIFS('Forbrug af biomasse'!$E$2:$E$425,'Forbrug af biomasse'!$C$2:$C$425,'Resultat-Produktion &amp; forbrug'!$A246,'Forbrug af biomasse'!$D$2:$D$425,'Resultat-Produktion &amp; forbrug'!$E246,'Forbrug af biomasse'!$A$2:$A$425,'Resultat-Produktion &amp; forbrug'!K$3,'Forbrug af biomasse'!$B$2:$B$425,$F246)</f>
        <v>0</v>
      </c>
      <c r="L246" s="94">
        <f>SUMIFS('Forbrug af biomasse'!$E$2:$E$425,'Forbrug af biomasse'!$C$2:$C$425,'Resultat-Produktion &amp; forbrug'!$A246,'Forbrug af biomasse'!$D$2:$D$425,'Resultat-Produktion &amp; forbrug'!$E246,'Forbrug af biomasse'!$A$2:$A$425,'Resultat-Produktion &amp; forbrug'!L$3,'Forbrug af biomasse'!$B$2:$B$425,$F246)</f>
        <v>0</v>
      </c>
      <c r="M246" s="94">
        <f ca="1">IF(A246&lt;&gt;"Biogas",SUMIFS('Forbrug af biomasse'!$E$2:$E$425,'Forbrug af biomasse'!$C$2:$C$425,'Resultat-Produktion &amp; forbrug'!$A246,'Forbrug af biomasse'!$D$2:$D$425,'Resultat-Produktion &amp; forbrug'!$E246,'Forbrug af biomasse'!$A$2:$A$425,'Resultat-Produktion &amp; forbrug'!M$3,'Forbrug af biomasse'!$B$2:$B$425,$F246),G246)</f>
        <v>172292.68030975034</v>
      </c>
      <c r="N246" s="94">
        <f ca="1">SUMIFS('Forbrug af biomasse'!E:E,'Forbrug af biomasse'!C:C,'Resultat-Produktion &amp; forbrug'!$A246,'Forbrug af biomasse'!D:D,'Resultat-Produktion &amp; forbrug'!$E246,'Forbrug af biomasse'!G:G,1,'Forbrug af biomasse'!B:B,$F246)</f>
        <v>0</v>
      </c>
      <c r="O246" s="179">
        <f t="shared" ca="1" si="45"/>
        <v>0</v>
      </c>
      <c r="P246" s="94">
        <f t="shared" ca="1" si="42"/>
        <v>0</v>
      </c>
      <c r="Q246" s="180">
        <f t="shared" ca="1" si="46"/>
        <v>172292.68030975034</v>
      </c>
      <c r="R246">
        <f ca="1">IFERROR(VLOOKUP(A246,[1]Energiindhold!$A$2:$C$11,3,FALSE),IFERROR(VLOOKUP(A246,[1]Biogasudbytte!$A$2:$B$18,2,FALSE)*[1]Energiindhold!$C$10,0))*P246</f>
        <v>0</v>
      </c>
      <c r="S246">
        <f ca="1">IF(A246&lt;&gt;"Biogas",IFERROR(VLOOKUP(A246,[1]Biogasudbytte!$A$2:$B$18,2,FALSE)*[1]Energiindhold!$C$10,0)*K246*IFERROR(VLOOKUP(A246,Biogasanlæg!$F$3:$G$8,2,FALSE),1)+IFERROR(VLOOKUP(A246,[1]Energiindhold!$A$2:$C$11,3,FALSE),0)*M246+IF(E246&lt;&gt;År1,R246,0),0)</f>
        <v>3.0758069229876184</v>
      </c>
      <c r="T246">
        <f ca="1">IFERROR(VLOOKUP(A246,[1]Biogasudbytte!$A$2:$B$18,2,FALSE)*[1]Energiindhold!$C$10,0)*K246*IFERROR(VLOOKUP(A246,Biogasanlæg!$F$3:$G$8,2,FALSE),1)</f>
        <v>0</v>
      </c>
      <c r="U246" s="170">
        <f t="shared" ca="1" si="47"/>
        <v>3.0758069229876184</v>
      </c>
      <c r="V246" s="169">
        <f ca="1">P246*IFERROR(VLOOKUP(A246,[1]Tørstofindhold!A$2:B$24,2,FALSE),0)</f>
        <v>0</v>
      </c>
      <c r="W246">
        <f ca="1">IF(E246=År1,Q246,SUM(P246,Q246))*IFERROR(VLOOKUP(A246,[1]Tørstofindhold!A$2:B$24,2,FALSE),0)</f>
        <v>48241.9504867301</v>
      </c>
      <c r="X246">
        <f ca="1">K246*IFERROR(VLOOKUP(A246,[1]Tørstofindhold!A$2:B$24,2,FALSE),0)</f>
        <v>0</v>
      </c>
      <c r="Y246" s="170">
        <f t="shared" ca="1" si="48"/>
        <v>48241.9504867301</v>
      </c>
      <c r="Z246">
        <f t="shared" ca="1" si="43"/>
        <v>0</v>
      </c>
      <c r="AA246">
        <f t="shared" ca="1" si="44"/>
        <v>0</v>
      </c>
    </row>
    <row r="247" spans="1:27" x14ac:dyDescent="0.25">
      <c r="A247" s="171" t="str">
        <f t="shared" si="49"/>
        <v>Biogas</v>
      </c>
      <c r="B247" s="171" t="str">
        <f t="shared" si="50"/>
        <v/>
      </c>
      <c r="C247" s="171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1</v>
      </c>
      <c r="D247" s="171">
        <f t="shared" si="52"/>
        <v>0</v>
      </c>
      <c r="E247" s="171">
        <f t="shared" si="51"/>
        <v>2050</v>
      </c>
      <c r="F247" t="s">
        <v>24</v>
      </c>
      <c r="G247" s="94">
        <f ca="1">IF(F247="Vestdanmark",SUMIFS(IF(E247=År1,'Resultater - Vestdanmark'!H$3:H$504,IF(E247=År2,'Resultater - Vestdanmark'!I$3:I$504,'Resultater - Vestdanmark'!J$3:J$504)),'Resultater - Vestdanmark'!$F$3:$F$504,$A247,IF(E247=År1,'Resultater - Vestdanmark'!H$3:H$504,IF(E247=År2,'Resultater - Vestdanmark'!I$3:I$504,'Resultater - Vestdanmark'!J$3:J$504)),"&gt;0"),SUMIFS(IF(E247=År1,'Resultater - Østdanmark'!H$3:H$504,IF(E247=År2,'Resultater - Østdanmark'!I$3:I$504,'Resultater - Østdanmark'!J$3:J$504)),'Resultater - Østdanmark'!$F$3:$F$504,$A247,IF(E247=År1,'Resultater - Østdanmark'!H$3:H$504,IF(E247=År2,'Resultater - Østdanmark'!I$3:I$504,'Resultater - Østdanmark'!J$3:J$504)),"&gt;0"))</f>
        <v>74477877.175066754</v>
      </c>
      <c r="H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forbrug'!H$3,'Forbrug af biomasse'!$B$2:$B$425,$F247)</f>
        <v>0</v>
      </c>
      <c r="I247">
        <f>IF(F247="Vestdanmark",-IF(A247="Halm",SUMIFS(IF(E247=År1,'Resultater - Vestdanmark'!H$3:H$504,IF(E247=År2,'Resultater - Vestdanmark'!I$3:I$504,'Resultater - Vestdanmark'!J$3:J$504)),'Resultater - Vestdanmark'!$F$3:$F$504,$A247,'Resultater - Vestdanmark'!H$3:H$504,"&lt;0"),0),-IF(A247="Halm",SUMIFS(IF(E247=År1,'Resultater - Østdanmark'!H$3:H$504,IF(E247=År2,'Resultater - Østdanmark'!I$3:I$504,'Resultater - Østdanmark'!J$3:J$504)),'Resultater - Østdanmark'!$F$3:$F$504,$A247,'Resultater - Østdanmark'!H$3:H$504,"&lt;0"),0))</f>
        <v>0</v>
      </c>
      <c r="J247" s="94"/>
      <c r="K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forbrug'!K$3,'Forbrug af biomasse'!$B$2:$B$425,$F247)</f>
        <v>0</v>
      </c>
      <c r="L247" s="94">
        <f>SUMIFS('Forbrug af biomasse'!$E$2:$E$425,'Forbrug af biomasse'!$C$2:$C$425,'Resultat-Produktion &amp; forbrug'!$A247,'Forbrug af biomasse'!$D$2:$D$425,'Resultat-Produktion &amp; forbrug'!$E247,'Forbrug af biomasse'!$A$2:$A$425,'Resultat-Produktion &amp; forbrug'!L$3,'Forbrug af biomasse'!$B$2:$B$425,$F247)</f>
        <v>0</v>
      </c>
      <c r="M247" s="94">
        <f ca="1">IF(A247&lt;&gt;"Biogas",SUMIFS('Forbrug af biomasse'!$E$2:$E$425,'Forbrug af biomasse'!$C$2:$C$425,'Resultat-Produktion &amp; forbrug'!$A247,'Forbrug af biomasse'!$D$2:$D$425,'Resultat-Produktion &amp; forbrug'!$E247,'Forbrug af biomasse'!$A$2:$A$425,'Resultat-Produktion &amp; forbrug'!M$3,'Forbrug af biomasse'!$B$2:$B$425,$F247),G247)</f>
        <v>74477877.175066754</v>
      </c>
      <c r="N247" s="94">
        <f>SUMIFS('Forbrug af biomasse'!E:E,'Forbrug af biomasse'!C:C,'Resultat-Produktion &amp; forbrug'!$A247,'Forbrug af biomasse'!D:D,'Resultat-Produktion &amp; forbrug'!$E247,'Forbrug af biomasse'!G:G,1,'Forbrug af biomasse'!B:B,$F247)</f>
        <v>0</v>
      </c>
      <c r="O247" s="179">
        <f t="shared" ca="1" si="45"/>
        <v>0</v>
      </c>
      <c r="P247" s="94">
        <f t="shared" ca="1" si="42"/>
        <v>0</v>
      </c>
      <c r="Q247" s="180">
        <f t="shared" ca="1" si="46"/>
        <v>74477877.175066754</v>
      </c>
      <c r="R247">
        <f ca="1">IFERROR(VLOOKUP(A247,[1]Energiindhold!$A$2:$C$11,3,FALSE),IFERROR(VLOOKUP(A247,[1]Biogasudbytte!$A$2:$B$18,2,FALSE)*[1]Energiindhold!$C$10,0))*P247</f>
        <v>0</v>
      </c>
      <c r="S247">
        <f>IF(A247&lt;&gt;"Biogas",IFERROR(VLOOKUP(A247,[1]Biogasudbytte!$A$2:$B$18,2,FALSE)*[1]Energiindhold!$C$10,0)*K247*IFERROR(VLOOKUP(A247,Biogasanlæg!$F$3:$G$8,2,FALSE),1)+IFERROR(VLOOKUP(A247,[1]Energiindhold!$A$2:$C$11,3,FALSE),0)*M247+IF(E247&lt;&gt;År1,R247,0),0)</f>
        <v>0</v>
      </c>
      <c r="T247">
        <f>IFERROR(VLOOKUP(A247,[1]Biogasudbytte!$A$2:$B$18,2,FALSE)*[1]Energiindhold!$C$10,0)*K247*IFERROR(VLOOKUP(A247,Biogasanlæg!$F$3:$G$8,2,FALSE),1)</f>
        <v>0</v>
      </c>
      <c r="U247" s="170">
        <f t="shared" si="47"/>
        <v>0</v>
      </c>
      <c r="V247" s="169">
        <f ca="1">P247*IFERROR(VLOOKUP(A247,[1]Tørstofindhold!A$2:B$24,2,FALSE),0)</f>
        <v>0</v>
      </c>
      <c r="W247">
        <f ca="1">IF(E247=År1,Q247,SUM(P247,Q247))*IFERROR(VLOOKUP(A247,[1]Tørstofindhold!A$2:B$24,2,FALSE),0)</f>
        <v>0</v>
      </c>
      <c r="X247">
        <f>K247*IFERROR(VLOOKUP(A247,[1]Tørstofindhold!A$2:B$24,2,FALSE),0)</f>
        <v>0</v>
      </c>
      <c r="Y247" s="170">
        <f t="shared" ca="1" si="48"/>
        <v>0</v>
      </c>
      <c r="Z247">
        <f t="shared" ca="1" si="43"/>
        <v>0</v>
      </c>
      <c r="AA247">
        <f t="shared" ca="1" si="44"/>
        <v>0</v>
      </c>
    </row>
    <row r="248" spans="1:27" x14ac:dyDescent="0.25">
      <c r="A248" s="171" t="str">
        <f t="shared" si="49"/>
        <v>Biogasgylle</v>
      </c>
      <c r="B248" s="171" t="str">
        <f t="shared" si="50"/>
        <v/>
      </c>
      <c r="C248" s="171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0</v>
      </c>
      <c r="D248" s="171">
        <f t="shared" si="52"/>
        <v>0</v>
      </c>
      <c r="E248" s="171">
        <f t="shared" si="51"/>
        <v>2050</v>
      </c>
      <c r="F248" t="s">
        <v>24</v>
      </c>
      <c r="G248" s="94">
        <f ca="1">IF(F248="Vestdanmark",SUMIFS(IF(E248=År1,'Resultater - Vestdanmark'!H$3:H$504,IF(E248=År2,'Resultater - Vestdanmark'!I$3:I$504,'Resultater - Vestdanmark'!J$3:J$504)),'Resultater - Vestdanmark'!$F$3:$F$504,$A248,IF(E248=År1,'Resultater - Vestdanmark'!H$3:H$504,IF(E248=År2,'Resultater - Vestdanmark'!I$3:I$504,'Resultater - Vestdanmark'!J$3:J$504)),"&gt;0"),SUMIFS(IF(E248=År1,'Resultater - Østdanmark'!H$3:H$504,IF(E248=År2,'Resultater - Østdanmark'!I$3:I$504,'Resultater - Østdanmark'!J$3:J$504)),'Resultater - Østdanmark'!$F$3:$F$504,$A248,IF(E248=År1,'Resultater - Østdanmark'!H$3:H$504,IF(E248=År2,'Resultater - Østdanmark'!I$3:I$504,'Resultater - Østdanmark'!J$3:J$504)),"&gt;0"))</f>
        <v>2991109.452383338</v>
      </c>
      <c r="H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forbrug'!H$3,'Forbrug af biomasse'!$B$2:$B$425,$F248)</f>
        <v>0</v>
      </c>
      <c r="I248">
        <f>IF(F248="Vestdanmark",-IF(A248="Halm",SUMIFS(IF(E248=År1,'Resultater - Vestdanmark'!H$3:H$504,IF(E248=År2,'Resultater - Vestdanmark'!I$3:I$504,'Resultater - Vestdanmark'!J$3:J$504)),'Resultater - Vestdanmark'!$F$3:$F$504,$A248,'Resultater - Vestdanmark'!H$3:H$504,"&lt;0"),0),-IF(A248="Halm",SUMIFS(IF(E248=År1,'Resultater - Østdanmark'!H$3:H$504,IF(E248=År2,'Resultater - Østdanmark'!I$3:I$504,'Resultater - Østdanmark'!J$3:J$504)),'Resultater - Østdanmark'!$F$3:$F$504,$A248,'Resultater - Østdanmark'!H$3:H$504,"&lt;0"),0))</f>
        <v>0</v>
      </c>
      <c r="J248" s="94"/>
      <c r="K248" s="94">
        <f>SUMIFS('Forbrug af biomasse'!$E$2:$E$425,'Forbrug af biomasse'!$C$2:$C$425,'Resultat-Produktion &amp; forbrug'!$A248,'Forbrug af biomasse'!$D$2:$D$425,'Resultat-Produktion &amp; forbrug'!$E248,'Forbrug af biomasse'!$A$2:$A$425,'Resultat-Produktion &amp; forbrug'!K$3,'Forbrug af biomasse'!$B$2:$B$425,$F248)</f>
        <v>0</v>
      </c>
      <c r="L248" s="94">
        <f ca="1">SUMIFS('Forbrug af biomasse'!$E$2:$E$425,'Forbrug af biomasse'!$C$2:$C$425,'Resultat-Produktion &amp; forbrug'!$A248,'Forbrug af biomasse'!$D$2:$D$425,'Resultat-Produktion &amp; forbrug'!$E248,'Forbrug af biomasse'!$A$2:$A$425,'Resultat-Produktion &amp; forbrug'!L$3,'Forbrug af biomasse'!$B$2:$B$425,$F248)</f>
        <v>81858.543893972019</v>
      </c>
      <c r="M248" s="94">
        <f>IF(A248&lt;&gt;"Biogas",SUMIFS('Forbrug af biomasse'!$E$2:$E$425,'Forbrug af biomasse'!$C$2:$C$425,'Resultat-Produktion &amp; forbrug'!$A248,'Forbrug af biomasse'!$D$2:$D$425,'Resultat-Produktion &amp; forbrug'!$E248,'Forbrug af biomasse'!$A$2:$A$425,'Resultat-Produktion &amp; forbrug'!M$3,'Forbrug af biomasse'!$B$2:$B$425,$F248),G248)</f>
        <v>0</v>
      </c>
      <c r="N248" s="94">
        <f>SUMIFS('Forbrug af biomasse'!E:E,'Forbrug af biomasse'!C:C,'Resultat-Produktion &amp; forbrug'!$A248,'Forbrug af biomasse'!D:D,'Resultat-Produktion &amp; forbrug'!$E248,'Forbrug af biomasse'!G:G,1,'Forbrug af biomasse'!B:B,$F248)</f>
        <v>0</v>
      </c>
      <c r="O248" s="179">
        <f t="shared" ca="1" si="45"/>
        <v>2909250.9084893661</v>
      </c>
      <c r="P248" s="94">
        <f t="shared" si="42"/>
        <v>0</v>
      </c>
      <c r="Q248" s="180">
        <f t="shared" si="46"/>
        <v>0</v>
      </c>
      <c r="R248">
        <f>IFERROR(VLOOKUP(A248,[1]Energiindhold!$A$2:$C$11,3,FALSE),IFERROR(VLOOKUP(A248,[1]Biogasudbytte!$A$2:$B$18,2,FALSE)*[1]Energiindhold!$C$10,0))*P248</f>
        <v>0</v>
      </c>
      <c r="S248">
        <f>IF(A248&lt;&gt;"Biogas",IFERROR(VLOOKUP(A248,[1]Biogasudbytte!$A$2:$B$18,2,FALSE)*[1]Energiindhold!$C$10,0)*K248*IFERROR(VLOOKUP(A248,Biogasanlæg!$F$3:$G$8,2,FALSE),1)+IFERROR(VLOOKUP(A248,[1]Energiindhold!$A$2:$C$11,3,FALSE),0)*M248+IF(E248&lt;&gt;År1,R248,0),0)</f>
        <v>0</v>
      </c>
      <c r="T248">
        <f>IFERROR(VLOOKUP(A248,[1]Biogasudbytte!$A$2:$B$18,2,FALSE)*[1]Energiindhold!$C$10,0)*K248*IFERROR(VLOOKUP(A248,Biogasanlæg!$F$3:$G$8,2,FALSE),1)</f>
        <v>0</v>
      </c>
      <c r="U248" s="170">
        <f t="shared" si="47"/>
        <v>0</v>
      </c>
      <c r="V248" s="169">
        <f>P248*IFERROR(VLOOKUP(A248,[1]Tørstofindhold!A$2:B$24,2,FALSE),0)</f>
        <v>0</v>
      </c>
      <c r="W248">
        <f>IF(E248=År1,Q248,SUM(P248,Q248))*IFERROR(VLOOKUP(A248,[1]Tørstofindhold!A$2:B$24,2,FALSE),0)</f>
        <v>0</v>
      </c>
      <c r="X248">
        <f>K248*IFERROR(VLOOKUP(A248,[1]Tørstofindhold!A$2:B$24,2,FALSE),0)</f>
        <v>0</v>
      </c>
      <c r="Y248" s="170">
        <f t="shared" si="48"/>
        <v>0</v>
      </c>
      <c r="Z248">
        <f t="shared" ca="1" si="43"/>
        <v>0</v>
      </c>
      <c r="AA248">
        <f t="shared" ca="1" si="44"/>
        <v>1</v>
      </c>
    </row>
    <row r="249" spans="1:27" x14ac:dyDescent="0.25">
      <c r="A249" s="171" t="str">
        <f t="shared" si="49"/>
        <v>Brun saft</v>
      </c>
      <c r="B249" s="171" t="str">
        <f t="shared" si="50"/>
        <v>Bionedbrydeligt affald</v>
      </c>
      <c r="C249" s="171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71">
        <f t="shared" si="52"/>
        <v>0</v>
      </c>
      <c r="E249" s="171">
        <f t="shared" si="51"/>
        <v>2050</v>
      </c>
      <c r="F249" t="s">
        <v>24</v>
      </c>
      <c r="G249" s="94">
        <f>IF(F249="Vestdanmark",SUMIFS(IF(E249=År1,'Resultater - Vestdanmark'!H$3:H$504,IF(E249=År2,'Resultater - Vestdanmark'!I$3:I$504,'Resultater - Vestdanmark'!J$3:J$504)),'Resultater - Vestdanmark'!$F$3:$F$504,$A249,IF(E249=År1,'Resultater - Vestdanmark'!H$3:H$504,IF(E249=År2,'Resultater - Vestdanmark'!I$3:I$504,'Resultater - Vestdanmark'!J$3:J$504)),"&gt;0"),SUMIFS(IF(E249=År1,'Resultater - Østdanmark'!H$3:H$504,IF(E249=År2,'Resultater - Østdanmark'!I$3:I$504,'Resultater - Østdanmark'!J$3:J$504)),'Resultater - Østdanmark'!$F$3:$F$504,$A249,IF(E249=År1,'Resultater - Østdanmark'!H$3:H$504,IF(E249=År2,'Resultater - Østdanmark'!I$3:I$504,'Resultater - Østdanmark'!J$3:J$504)),"&gt;0"))</f>
        <v>1495057.7438579726</v>
      </c>
      <c r="H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forbrug'!H$3,'Forbrug af biomasse'!$B$2:$B$425,$F249)</f>
        <v>0</v>
      </c>
      <c r="I249">
        <f>IF(F249="Vestdanmark",-IF(A249="Halm",SUMIFS(IF(E249=År1,'Resultater - Vestdanmark'!H$3:H$504,IF(E249=År2,'Resultater - Vestdanmark'!I$3:I$504,'Resultater - Vestdanmark'!J$3:J$504)),'Resultater - Vestdanmark'!$F$3:$F$504,$A249,'Resultater - Vestdanmark'!H$3:H$504,"&lt;0"),0),-IF(A249="Halm",SUMIFS(IF(E249=År1,'Resultater - Østdanmark'!H$3:H$504,IF(E249=År2,'Resultater - Østdanmark'!I$3:I$504,'Resultater - Østdanmark'!J$3:J$504)),'Resultater - Østdanmark'!$F$3:$F$504,$A249,'Resultater - Østdanmark'!H$3:H$504,"&lt;0"),0))</f>
        <v>0</v>
      </c>
      <c r="J249" s="94"/>
      <c r="K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forbrug'!K$3,'Forbrug af biomasse'!$B$2:$B$425,$F249)</f>
        <v>1345551.9694721752</v>
      </c>
      <c r="L249" s="94">
        <f>SUMIFS('Forbrug af biomasse'!$E$2:$E$425,'Forbrug af biomasse'!$C$2:$C$425,'Resultat-Produktion &amp; forbrug'!$A249,'Forbrug af biomasse'!$D$2:$D$425,'Resultat-Produktion &amp; forbrug'!$E249,'Forbrug af biomasse'!$A$2:$A$425,'Resultat-Produktion &amp; forbrug'!L$3,'Forbrug af biomasse'!$B$2:$B$425,$F249)</f>
        <v>0</v>
      </c>
      <c r="M249" s="94">
        <f>IF(A249&lt;&gt;"Biogas",SUMIFS('Forbrug af biomasse'!$E$2:$E$425,'Forbrug af biomasse'!$C$2:$C$425,'Resultat-Produktion &amp; forbrug'!$A249,'Forbrug af biomasse'!$D$2:$D$425,'Resultat-Produktion &amp; forbrug'!$E249,'Forbrug af biomasse'!$A$2:$A$425,'Resultat-Produktion &amp; forbrug'!M$3,'Forbrug af biomasse'!$B$2:$B$425,$F249),G249)</f>
        <v>0</v>
      </c>
      <c r="N249" s="94">
        <f>SUMIFS('Forbrug af biomasse'!E:E,'Forbrug af biomasse'!C:C,'Resultat-Produktion &amp; forbrug'!$A249,'Forbrug af biomasse'!D:D,'Resultat-Produktion &amp; forbrug'!$E249,'Forbrug af biomasse'!G:G,1,'Forbrug af biomasse'!B:B,$F249)</f>
        <v>0</v>
      </c>
      <c r="O249" s="179">
        <f t="shared" si="45"/>
        <v>149505.77438579733</v>
      </c>
      <c r="P249" s="94">
        <f t="shared" si="42"/>
        <v>149505.77438579733</v>
      </c>
      <c r="Q249" s="180">
        <f t="shared" si="46"/>
        <v>1345551.9694721752</v>
      </c>
      <c r="R249">
        <f>IFERROR(VLOOKUP(A249,[1]Energiindhold!$A$2:$C$11,3,FALSE),IFERROR(VLOOKUP(A249,[1]Biogasudbytte!$A$2:$B$18,2,FALSE)*[1]Energiindhold!$C$10,0))*P249</f>
        <v>8.4923178504119914E-2</v>
      </c>
      <c r="S249">
        <f>IF(A249&lt;&gt;"Biogas",IFERROR(VLOOKUP(A249,[1]Biogasudbytte!$A$2:$B$18,2,FALSE)*[1]Energiindhold!$C$10,0)*K249*IFERROR(VLOOKUP(A249,Biogasanlæg!$F$3:$G$8,2,FALSE),1)+IFERROR(VLOOKUP(A249,[1]Energiindhold!$A$2:$C$11,3,FALSE),0)*M249+IF(E249&lt;&gt;År1,R249,0),0)</f>
        <v>0.84923178504119867</v>
      </c>
      <c r="T249">
        <f>IFERROR(VLOOKUP(A249,[1]Biogasudbytte!$A$2:$B$18,2,FALSE)*[1]Energiindhold!$C$10,0)*K249*IFERROR(VLOOKUP(A249,Biogasanlæg!$F$3:$G$8,2,FALSE),1)</f>
        <v>0.76430860653707877</v>
      </c>
      <c r="U249" s="170">
        <f t="shared" si="47"/>
        <v>8.4923178504119901E-2</v>
      </c>
      <c r="V249" s="169">
        <f>P249*IFERROR(VLOOKUP(A249,[1]Tørstofindhold!A$2:B$24,2,FALSE),0)</f>
        <v>6393.3733722893849</v>
      </c>
      <c r="W249">
        <f>IF(E249=År1,Q249,SUM(P249,Q249))*IFERROR(VLOOKUP(A249,[1]Tørstofindhold!A$2:B$24,2,FALSE),0)</f>
        <v>63933.73372289382</v>
      </c>
      <c r="X249">
        <f>K249*IFERROR(VLOOKUP(A249,[1]Tørstofindhold!A$2:B$24,2,FALSE),0)</f>
        <v>57540.360350604431</v>
      </c>
      <c r="Y249" s="170">
        <f t="shared" si="48"/>
        <v>6393.3733722893885</v>
      </c>
      <c r="Z249">
        <f t="shared" si="43"/>
        <v>0</v>
      </c>
      <c r="AA249">
        <f t="shared" si="44"/>
        <v>1</v>
      </c>
    </row>
    <row r="250" spans="1:27" x14ac:dyDescent="0.25">
      <c r="A250" s="171" t="str">
        <f t="shared" si="49"/>
        <v>Dybstrøelse</v>
      </c>
      <c r="B250" s="171" t="str">
        <f t="shared" si="50"/>
        <v>Husdyrgødning</v>
      </c>
      <c r="C250" s="171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1</v>
      </c>
      <c r="D250" s="171">
        <f t="shared" si="52"/>
        <v>0</v>
      </c>
      <c r="E250" s="171">
        <f t="shared" si="51"/>
        <v>2050</v>
      </c>
      <c r="F250" t="s">
        <v>24</v>
      </c>
      <c r="G250" s="94">
        <f>IF(F250="Vestdanmark",SUMIFS(IF(E250=År1,'Resultater - Vestdanmark'!H$3:H$504,IF(E250=År2,'Resultater - Vestdanmark'!I$3:I$504,'Resultater - Vestdanmark'!J$3:J$504)),'Resultater - Vestdanmark'!$F$3:$F$504,$A250,IF(E250=År1,'Resultater - Vestdanmark'!H$3:H$504,IF(E250=År2,'Resultater - Vestdanmark'!I$3:I$504,'Resultater - Vestdanmark'!J$3:J$504)),"&gt;0"),SUMIFS(IF(E250=År1,'Resultater - Østdanmark'!H$3:H$504,IF(E250=År2,'Resultater - Østdanmark'!I$3:I$504,'Resultater - Østdanmark'!J$3:J$504)),'Resultater - Østdanmark'!$F$3:$F$504,$A250,IF(E250=År1,'Resultater - Østdanmark'!H$3:H$504,IF(E250=År2,'Resultater - Østdanmark'!I$3:I$504,'Resultater - Østdanmark'!J$3:J$504)),"&gt;0"))</f>
        <v>642682.86193424952</v>
      </c>
      <c r="H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forbrug'!H$3,'Forbrug af biomasse'!$B$2:$B$425,$F250)</f>
        <v>0</v>
      </c>
      <c r="I250">
        <f>IF(F250="Vestdanmark",-IF(A250="Halm",SUMIFS(IF(E250=År1,'Resultater - Vestdanmark'!H$3:H$504,IF(E250=År2,'Resultater - Vestdanmark'!I$3:I$504,'Resultater - Vestdanmark'!J$3:J$504)),'Resultater - Vestdanmark'!$F$3:$F$504,$A250,'Resultater - Vestdanmark'!H$3:H$504,"&lt;0"),0),-IF(A250="Halm",SUMIFS(IF(E250=År1,'Resultater - Østdanmark'!H$3:H$504,IF(E250=År2,'Resultater - Østdanmark'!I$3:I$504,'Resultater - Østdanmark'!J$3:J$504)),'Resultater - Østdanmark'!$F$3:$F$504,$A250,'Resultater - Østdanmark'!H$3:H$504,"&lt;0"),0))</f>
        <v>0</v>
      </c>
      <c r="J250" s="94"/>
      <c r="K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forbrug'!K$3,'Forbrug af biomasse'!$B$2:$B$425,$F250)</f>
        <v>578414.57574082457</v>
      </c>
      <c r="L250" s="94">
        <f>SUMIFS('Forbrug af biomasse'!$E$2:$E$425,'Forbrug af biomasse'!$C$2:$C$425,'Resultat-Produktion &amp; forbrug'!$A250,'Forbrug af biomasse'!$D$2:$D$425,'Resultat-Produktion &amp; forbrug'!$E250,'Forbrug af biomasse'!$A$2:$A$425,'Resultat-Produktion &amp; forbrug'!L$3,'Forbrug af biomasse'!$B$2:$B$425,$F250)</f>
        <v>24330.136916082298</v>
      </c>
      <c r="M250" s="94">
        <f>IF(A250&lt;&gt;"Biogas",SUMIFS('Forbrug af biomasse'!$E$2:$E$425,'Forbrug af biomasse'!$C$2:$C$425,'Resultat-Produktion &amp; forbrug'!$A250,'Forbrug af biomasse'!$D$2:$D$425,'Resultat-Produktion &amp; forbrug'!$E250,'Forbrug af biomasse'!$A$2:$A$425,'Resultat-Produktion &amp; forbrug'!M$3,'Forbrug af biomasse'!$B$2:$B$425,$F250),G250)</f>
        <v>0</v>
      </c>
      <c r="N250" s="94">
        <f>SUMIFS('Forbrug af biomasse'!E:E,'Forbrug af biomasse'!C:C,'Resultat-Produktion &amp; forbrug'!$A250,'Forbrug af biomasse'!D:D,'Resultat-Produktion &amp; forbrug'!$E250,'Forbrug af biomasse'!G:G,1,'Forbrug af biomasse'!B:B,$F250)</f>
        <v>0</v>
      </c>
      <c r="O250" s="179">
        <f t="shared" si="45"/>
        <v>39938.1492773426</v>
      </c>
      <c r="P250" s="94">
        <f t="shared" si="42"/>
        <v>39938.1492773426</v>
      </c>
      <c r="Q250" s="180">
        <f t="shared" si="46"/>
        <v>578414.57574082457</v>
      </c>
      <c r="R250">
        <f>IFERROR(VLOOKUP(A250,[1]Energiindhold!$A$2:$C$11,3,FALSE),IFERROR(VLOOKUP(A250,[1]Biogasudbytte!$A$2:$B$18,2,FALSE)*[1]Energiindhold!$C$10,0))*P250</f>
        <v>8.6026773543395968E-2</v>
      </c>
      <c r="S250">
        <f>IF(A250&lt;&gt;"Biogas",IFERROR(VLOOKUP(A250,[1]Biogasudbytte!$A$2:$B$18,2,FALSE)*[1]Energiindhold!$C$10,0)*K250*IFERROR(VLOOKUP(A250,Biogasanlæg!$F$3:$G$8,2,FALSE),1)+IFERROR(VLOOKUP(A250,[1]Energiindhold!$A$2:$C$11,3,FALSE),0)*M250+IF(E250&lt;&gt;År1,R250,0),0)</f>
        <v>1.3319317696891322</v>
      </c>
      <c r="T250">
        <f>IFERROR(VLOOKUP(A250,[1]Biogasudbytte!$A$2:$B$18,2,FALSE)*[1]Energiindhold!$C$10,0)*K250*IFERROR(VLOOKUP(A250,Biogasanlæg!$F$3:$G$8,2,FALSE),1)</f>
        <v>1.2459049961457362</v>
      </c>
      <c r="U250" s="170">
        <f t="shared" si="47"/>
        <v>8.602677354339594E-2</v>
      </c>
      <c r="V250" s="169">
        <f>P250*IFERROR(VLOOKUP(A250,[1]Tørstofindhold!A$2:B$24,2,FALSE),0)</f>
        <v>11981.44478320278</v>
      </c>
      <c r="W250">
        <f>IF(E250=År1,Q250,SUM(P250,Q250))*IFERROR(VLOOKUP(A250,[1]Tørstofindhold!A$2:B$24,2,FALSE),0)</f>
        <v>185505.81750545013</v>
      </c>
      <c r="X250">
        <f>K250*IFERROR(VLOOKUP(A250,[1]Tørstofindhold!A$2:B$24,2,FALSE),0)</f>
        <v>173524.37272224735</v>
      </c>
      <c r="Y250" s="170">
        <f t="shared" si="48"/>
        <v>11981.44478320278</v>
      </c>
      <c r="Z250">
        <f t="shared" si="43"/>
        <v>0</v>
      </c>
      <c r="AA250">
        <f t="shared" si="44"/>
        <v>1</v>
      </c>
    </row>
    <row r="251" spans="1:27" x14ac:dyDescent="0.25">
      <c r="A251" s="171" t="str">
        <f t="shared" si="49"/>
        <v>Fiberfraktion</v>
      </c>
      <c r="B251" s="171" t="str">
        <f t="shared" si="50"/>
        <v/>
      </c>
      <c r="C251" s="171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0</v>
      </c>
      <c r="D251" s="171">
        <f t="shared" si="52"/>
        <v>0</v>
      </c>
      <c r="E251" s="171">
        <f t="shared" si="51"/>
        <v>2050</v>
      </c>
      <c r="F251" t="s">
        <v>24</v>
      </c>
      <c r="G251" s="94">
        <f>IF(F251="Vestdanmark",SUMIFS(IF(E251=År1,'Resultater - Vestdanmark'!H$3:H$504,IF(E251=År2,'Resultater - Vestdanmark'!I$3:I$504,'Resultater - Vestdanmark'!J$3:J$504)),'Resultater - Vestdanmark'!$F$3:$F$504,$A251,IF(E251=År1,'Resultater - Vestdanmark'!H$3:H$504,IF(E251=År2,'Resultater - Vestdanmark'!I$3:I$504,'Resultater - Vestdanmark'!J$3:J$504)),"&gt;0"),SUMIFS(IF(E251=År1,'Resultater - Østdanmark'!H$3:H$504,IF(E251=År2,'Resultater - Østdanmark'!I$3:I$504,'Resultater - Østdanmark'!J$3:J$504)),'Resultater - Østdanmark'!$F$3:$F$504,$A251,IF(E251=År1,'Resultater - Østdanmark'!H$3:H$504,IF(E251=År2,'Resultater - Østdanmark'!I$3:I$504,'Resultater - Østdanmark'!J$3:J$504)),"&gt;0"))</f>
        <v>1053026.2024947219</v>
      </c>
      <c r="H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forbrug'!H$3,'Forbrug af biomasse'!$B$2:$B$425,$F251)</f>
        <v>1052867.5549564718</v>
      </c>
      <c r="I251">
        <f>IF(F251="Vestdanmark",-IF(A251="Halm",SUMIFS(IF(E251=År1,'Resultater - Vestdanmark'!H$3:H$504,IF(E251=År2,'Resultater - Vestdanmark'!I$3:I$504,'Resultater - Vestdanmark'!J$3:J$504)),'Resultater - Vestdanmark'!$F$3:$F$504,$A251,'Resultater - Vestdanmark'!H$3:H$504,"&lt;0"),0),-IF(A251="Halm",SUMIFS(IF(E251=År1,'Resultater - Østdanmark'!H$3:H$504,IF(E251=År2,'Resultater - Østdanmark'!I$3:I$504,'Resultater - Østdanmark'!J$3:J$504)),'Resultater - Østdanmark'!$F$3:$F$504,$A251,'Resultater - Østdanmark'!H$3:H$504,"&lt;0"),0))</f>
        <v>0</v>
      </c>
      <c r="J251" s="94"/>
      <c r="K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forbrug'!K$3,'Forbrug af biomasse'!$B$2:$B$425,$F251)</f>
        <v>0</v>
      </c>
      <c r="L251" s="94">
        <f>SUMIFS('Forbrug af biomasse'!$E$2:$E$425,'Forbrug af biomasse'!$C$2:$C$425,'Resultat-Produktion &amp; forbrug'!$A251,'Forbrug af biomasse'!$D$2:$D$425,'Resultat-Produktion &amp; forbrug'!$E251,'Forbrug af biomasse'!$A$2:$A$425,'Resultat-Produktion &amp; forbrug'!L$3,'Forbrug af biomasse'!$B$2:$B$425,$F251)</f>
        <v>0</v>
      </c>
      <c r="M251" s="94">
        <f>IF(A251&lt;&gt;"Biogas",SUMIFS('Forbrug af biomasse'!$E$2:$E$425,'Forbrug af biomasse'!$C$2:$C$425,'Resultat-Produktion &amp; forbrug'!$A251,'Forbrug af biomasse'!$D$2:$D$425,'Resultat-Produktion &amp; forbrug'!$E251,'Forbrug af biomasse'!$A$2:$A$425,'Resultat-Produktion &amp; forbrug'!M$3,'Forbrug af biomasse'!$B$2:$B$425,$F251),G251)</f>
        <v>0</v>
      </c>
      <c r="N251" s="94">
        <f>SUMIFS('Forbrug af biomasse'!E:E,'Forbrug af biomasse'!C:C,'Resultat-Produktion &amp; forbrug'!$A251,'Forbrug af biomasse'!D:D,'Resultat-Produktion &amp; forbrug'!$E251,'Forbrug af biomasse'!G:G,1,'Forbrug af biomasse'!B:B,$F251)</f>
        <v>0</v>
      </c>
      <c r="O251" s="179">
        <f t="shared" si="45"/>
        <v>158.64753825007938</v>
      </c>
      <c r="P251" s="94">
        <f t="shared" si="42"/>
        <v>0</v>
      </c>
      <c r="Q251" s="180">
        <f t="shared" si="46"/>
        <v>0</v>
      </c>
      <c r="R251">
        <f>IFERROR(VLOOKUP(A251,[1]Energiindhold!$A$2:$C$11,3,FALSE),IFERROR(VLOOKUP(A251,[1]Biogasudbytte!$A$2:$B$18,2,FALSE)*[1]Energiindhold!$C$10,0))*P251</f>
        <v>0</v>
      </c>
      <c r="S251">
        <f>IF(A251&lt;&gt;"Biogas",IFERROR(VLOOKUP(A251,[1]Biogasudbytte!$A$2:$B$18,2,FALSE)*[1]Energiindhold!$C$10,0)*K251*IFERROR(VLOOKUP(A251,Biogasanlæg!$F$3:$G$8,2,FALSE),1)+IFERROR(VLOOKUP(A251,[1]Energiindhold!$A$2:$C$11,3,FALSE),0)*M251+IF(E251&lt;&gt;År1,R251,0),0)</f>
        <v>0</v>
      </c>
      <c r="T251">
        <f>IFERROR(VLOOKUP(A251,[1]Biogasudbytte!$A$2:$B$18,2,FALSE)*[1]Energiindhold!$C$10,0)*K251*IFERROR(VLOOKUP(A251,Biogasanlæg!$F$3:$G$8,2,FALSE),1)</f>
        <v>0</v>
      </c>
      <c r="U251" s="170">
        <f t="shared" si="47"/>
        <v>0</v>
      </c>
      <c r="V251" s="169">
        <f>P251*IFERROR(VLOOKUP(A251,[1]Tørstofindhold!A$2:B$24,2,FALSE),0)</f>
        <v>0</v>
      </c>
      <c r="W251">
        <f>IF(E251=År1,Q251,SUM(P251,Q251))*IFERROR(VLOOKUP(A251,[1]Tørstofindhold!A$2:B$24,2,FALSE),0)</f>
        <v>0</v>
      </c>
      <c r="X251">
        <f>K251*IFERROR(VLOOKUP(A251,[1]Tørstofindhold!A$2:B$24,2,FALSE),0)</f>
        <v>0</v>
      </c>
      <c r="Y251" s="170">
        <f t="shared" si="48"/>
        <v>0</v>
      </c>
      <c r="Z251">
        <f t="shared" si="43"/>
        <v>0</v>
      </c>
      <c r="AA251">
        <f t="shared" si="44"/>
        <v>1</v>
      </c>
    </row>
    <row r="252" spans="1:27" x14ac:dyDescent="0.25">
      <c r="A252" s="171" t="str">
        <f t="shared" si="49"/>
        <v>Fjerkrægylle</v>
      </c>
      <c r="B252" s="171" t="str">
        <f t="shared" si="50"/>
        <v>Husdyrgødning</v>
      </c>
      <c r="C252" s="171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1</v>
      </c>
      <c r="D252" s="171">
        <f t="shared" si="52"/>
        <v>0</v>
      </c>
      <c r="E252" s="171">
        <f t="shared" si="51"/>
        <v>2050</v>
      </c>
      <c r="F252" t="s">
        <v>24</v>
      </c>
      <c r="G252" s="94">
        <f>IF(F252="Vestdanmark",SUMIFS(IF(E252=År1,'Resultater - Vestdanmark'!H$3:H$504,IF(E252=År2,'Resultater - Vestdanmark'!I$3:I$504,'Resultater - Vestdanmark'!J$3:J$504)),'Resultater - Vestdanmark'!$F$3:$F$504,$A252,IF(E252=År1,'Resultater - Vestdanmark'!H$3:H$504,IF(E252=År2,'Resultater - Vestdanmark'!I$3:I$504,'Resultater - Vestdanmark'!J$3:J$504)),"&gt;0"),SUMIFS(IF(E252=År1,'Resultater - Østdanmark'!H$3:H$504,IF(E252=År2,'Resultater - Østdanmark'!I$3:I$504,'Resultater - Østdanmark'!J$3:J$504)),'Resultater - Østdanmark'!$F$3:$F$504,$A252,IF(E252=År1,'Resultater - Østdanmark'!H$3:H$504,IF(E252=År2,'Resultater - Østdanmark'!I$3:I$504,'Resultater - Østdanmark'!J$3:J$504)),"&gt;0"))</f>
        <v>1178.8787785976031</v>
      </c>
      <c r="H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forbrug'!H$3,'Forbrug af biomasse'!$B$2:$B$425,$F252)</f>
        <v>0</v>
      </c>
      <c r="I252">
        <f>IF(F252="Vestdanmark",-IF(A252="Halm",SUMIFS(IF(E252=År1,'Resultater - Vestdanmark'!H$3:H$504,IF(E252=År2,'Resultater - Vestdanmark'!I$3:I$504,'Resultater - Vestdanmark'!J$3:J$504)),'Resultater - Vestdanmark'!$F$3:$F$504,$A252,'Resultater - Vestdanmark'!H$3:H$504,"&lt;0"),0),-IF(A252="Halm",SUMIFS(IF(E252=År1,'Resultater - Østdanmark'!H$3:H$504,IF(E252=År2,'Resultater - Østdanmark'!I$3:I$504,'Resultater - Østdanmark'!J$3:J$504)),'Resultater - Østdanmark'!$F$3:$F$504,$A252,'Resultater - Østdanmark'!H$3:H$504,"&lt;0"),0))</f>
        <v>0</v>
      </c>
      <c r="J252" s="94"/>
      <c r="K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forbrug'!K$3,'Forbrug af biomasse'!$B$2:$B$425,$F252)</f>
        <v>1060.9909007378428</v>
      </c>
      <c r="L252" s="94">
        <f>SUMIFS('Forbrug af biomasse'!$E$2:$E$425,'Forbrug af biomasse'!$C$2:$C$425,'Resultat-Produktion &amp; forbrug'!$A252,'Forbrug af biomasse'!$D$2:$D$425,'Resultat-Produktion &amp; forbrug'!$E252,'Forbrug af biomasse'!$A$2:$A$425,'Resultat-Produktion &amp; forbrug'!L$3,'Forbrug af biomasse'!$B$2:$B$425,$F252)</f>
        <v>117.88787785976028</v>
      </c>
      <c r="M252" s="94">
        <f>IF(A252&lt;&gt;"Biogas",SUMIFS('Forbrug af biomasse'!$E$2:$E$425,'Forbrug af biomasse'!$C$2:$C$425,'Resultat-Produktion &amp; forbrug'!$A252,'Forbrug af biomasse'!$D$2:$D$425,'Resultat-Produktion &amp; forbrug'!$E252,'Forbrug af biomasse'!$A$2:$A$425,'Resultat-Produktion &amp; forbrug'!M$3,'Forbrug af biomasse'!$B$2:$B$425,$F252),G252)</f>
        <v>0</v>
      </c>
      <c r="N252" s="94">
        <f>SUMIFS('Forbrug af biomasse'!E:E,'Forbrug af biomasse'!C:C,'Resultat-Produktion &amp; forbrug'!$A252,'Forbrug af biomasse'!D:D,'Resultat-Produktion &amp; forbrug'!$E252,'Forbrug af biomasse'!G:G,1,'Forbrug af biomasse'!B:B,$F252)</f>
        <v>0</v>
      </c>
      <c r="O252" s="179">
        <f t="shared" si="45"/>
        <v>0</v>
      </c>
      <c r="P252" s="94">
        <f t="shared" si="42"/>
        <v>0</v>
      </c>
      <c r="Q252" s="180">
        <f t="shared" si="46"/>
        <v>1060.9909007378428</v>
      </c>
      <c r="R252">
        <f>IFERROR(VLOOKUP(A252,[1]Energiindhold!$A$2:$C$11,3,FALSE),IFERROR(VLOOKUP(A252,[1]Biogasudbytte!$A$2:$B$18,2,FALSE)*[1]Energiindhold!$C$10,0))*P252</f>
        <v>0</v>
      </c>
      <c r="S252">
        <f>IF(A252&lt;&gt;"Biogas",IFERROR(VLOOKUP(A252,[1]Biogasudbytte!$A$2:$B$18,2,FALSE)*[1]Energiindhold!$C$10,0)*K252*IFERROR(VLOOKUP(A252,Biogasanlæg!$F$3:$G$8,2,FALSE),1)+IFERROR(VLOOKUP(A252,[1]Energiindhold!$A$2:$C$11,3,FALSE),0)*M252+IF(E252&lt;&gt;År1,R252,0),0)</f>
        <v>4.9897341070800016E-4</v>
      </c>
      <c r="T252">
        <f>IFERROR(VLOOKUP(A252,[1]Biogasudbytte!$A$2:$B$18,2,FALSE)*[1]Energiindhold!$C$10,0)*K252*IFERROR(VLOOKUP(A252,Biogasanlæg!$F$3:$G$8,2,FALSE),1)</f>
        <v>4.9897341070800016E-4</v>
      </c>
      <c r="U252" s="170">
        <f t="shared" si="47"/>
        <v>0</v>
      </c>
      <c r="V252" s="169">
        <f>P252*IFERROR(VLOOKUP(A252,[1]Tørstofindhold!A$2:B$24,2,FALSE),0)</f>
        <v>0</v>
      </c>
      <c r="W252">
        <f>IF(E252=År1,Q252,SUM(P252,Q252))*IFERROR(VLOOKUP(A252,[1]Tørstofindhold!A$2:B$24,2,FALSE),0)</f>
        <v>66.842426746484094</v>
      </c>
      <c r="X252">
        <f>K252*IFERROR(VLOOKUP(A252,[1]Tørstofindhold!A$2:B$24,2,FALSE),0)</f>
        <v>66.842426746484094</v>
      </c>
      <c r="Y252" s="170">
        <f t="shared" si="48"/>
        <v>0</v>
      </c>
      <c r="Z252">
        <f t="shared" si="43"/>
        <v>0</v>
      </c>
      <c r="AA252">
        <f t="shared" si="44"/>
        <v>0</v>
      </c>
    </row>
    <row r="253" spans="1:27" x14ac:dyDescent="0.25">
      <c r="A253" s="171" t="str">
        <f t="shared" si="49"/>
        <v>Fjerkrækød</v>
      </c>
      <c r="B253" s="171" t="str">
        <f t="shared" si="50"/>
        <v/>
      </c>
      <c r="C253" s="171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71">
        <f t="shared" si="52"/>
        <v>1</v>
      </c>
      <c r="E253" s="171">
        <f t="shared" si="51"/>
        <v>2050</v>
      </c>
      <c r="F253" t="s">
        <v>24</v>
      </c>
      <c r="G253" s="94">
        <f>IF(F253="Vestdanmark",SUMIFS(IF(E253=År1,'Resultater - Vestdanmark'!H$3:H$504,IF(E253=År2,'Resultater - Vestdanmark'!I$3:I$504,'Resultater - Vestdanmark'!J$3:J$504)),'Resultater - Vestdanmark'!$F$3:$F$504,$A253,IF(E253=År1,'Resultater - Vestdanmark'!H$3:H$504,IF(E253=År2,'Resultater - Vestdanmark'!I$3:I$504,'Resultater - Vestdanmark'!J$3:J$504)),"&gt;0"),SUMIFS(IF(E253=År1,'Resultater - Østdanmark'!H$3:H$504,IF(E253=År2,'Resultater - Østdanmark'!I$3:I$504,'Resultater - Østdanmark'!J$3:J$504)),'Resultater - Østdanmark'!$F$3:$F$504,$A253,IF(E253=År1,'Resultater - Østdanmark'!H$3:H$504,IF(E253=År2,'Resultater - Østdanmark'!I$3:I$504,'Resultater - Østdanmark'!J$3:J$504)),"&gt;0"))</f>
        <v>1259.2854048567958</v>
      </c>
      <c r="H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forbrug'!H$3,'Forbrug af biomasse'!$B$2:$B$425,$F253)</f>
        <v>0</v>
      </c>
      <c r="I253">
        <f>IF(F253="Vestdanmark",-IF(A253="Halm",SUMIFS(IF(E253=År1,'Resultater - Vestdanmark'!H$3:H$504,IF(E253=År2,'Resultater - Vestdanmark'!I$3:I$504,'Resultater - Vestdanmark'!J$3:J$504)),'Resultater - Vestdanmark'!$F$3:$F$504,$A253,'Resultater - Vestdanmark'!H$3:H$504,"&lt;0"),0),-IF(A253="Halm",SUMIFS(IF(E253=År1,'Resultater - Østdanmark'!H$3:H$504,IF(E253=År2,'Resultater - Østdanmark'!I$3:I$504,'Resultater - Østdanmark'!J$3:J$504)),'Resultater - Østdanmark'!$F$3:$F$504,$A253,'Resultater - Østdanmark'!H$3:H$504,"&lt;0"),0))</f>
        <v>0</v>
      </c>
      <c r="J253" s="94"/>
      <c r="K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forbrug'!K$3,'Forbrug af biomasse'!$B$2:$B$425,$F253)</f>
        <v>0</v>
      </c>
      <c r="L253" s="94">
        <f>SUMIFS('Forbrug af biomasse'!$E$2:$E$425,'Forbrug af biomasse'!$C$2:$C$425,'Resultat-Produktion &amp; forbrug'!$A253,'Forbrug af biomasse'!$D$2:$D$425,'Resultat-Produktion &amp; forbrug'!$E253,'Forbrug af biomasse'!$A$2:$A$425,'Resultat-Produktion &amp; forbrug'!L$3,'Forbrug af biomasse'!$B$2:$B$425,$F253)</f>
        <v>0</v>
      </c>
      <c r="M253" s="94">
        <f>IF(A253&lt;&gt;"Biogas",SUMIFS('Forbrug af biomasse'!$E$2:$E$425,'Forbrug af biomasse'!$C$2:$C$425,'Resultat-Produktion &amp; forbrug'!$A253,'Forbrug af biomasse'!$D$2:$D$425,'Resultat-Produktion &amp; forbrug'!$E253,'Forbrug af biomasse'!$A$2:$A$425,'Resultat-Produktion &amp; forbrug'!M$3,'Forbrug af biomasse'!$B$2:$B$425,$F253),G253)</f>
        <v>0</v>
      </c>
      <c r="N253" s="94">
        <f>SUMIFS('Forbrug af biomasse'!E:E,'Forbrug af biomasse'!C:C,'Resultat-Produktion &amp; forbrug'!$A253,'Forbrug af biomasse'!D:D,'Resultat-Produktion &amp; forbrug'!$E253,'Forbrug af biomasse'!G:G,1,'Forbrug af biomasse'!B:B,$F253)</f>
        <v>0</v>
      </c>
      <c r="O253" s="179">
        <f t="shared" si="45"/>
        <v>1259.2854048567958</v>
      </c>
      <c r="P253" s="94">
        <f t="shared" si="42"/>
        <v>0</v>
      </c>
      <c r="Q253" s="180">
        <f t="shared" si="46"/>
        <v>0</v>
      </c>
      <c r="R253">
        <f>IFERROR(VLOOKUP(A253,[1]Energiindhold!$A$2:$C$11,3,FALSE),IFERROR(VLOOKUP(A253,[1]Biogasudbytte!$A$2:$B$18,2,FALSE)*[1]Energiindhold!$C$10,0))*P253</f>
        <v>0</v>
      </c>
      <c r="S253">
        <f>IF(A253&lt;&gt;"Biogas",IFERROR(VLOOKUP(A253,[1]Biogasudbytte!$A$2:$B$18,2,FALSE)*[1]Energiindhold!$C$10,0)*K253*IFERROR(VLOOKUP(A253,Biogasanlæg!$F$3:$G$8,2,FALSE),1)+IFERROR(VLOOKUP(A253,[1]Energiindhold!$A$2:$C$11,3,FALSE),0)*M253+IF(E253&lt;&gt;År1,R253,0),0)</f>
        <v>0</v>
      </c>
      <c r="T253">
        <f>IFERROR(VLOOKUP(A253,[1]Biogasudbytte!$A$2:$B$18,2,FALSE)*[1]Energiindhold!$C$10,0)*K253*IFERROR(VLOOKUP(A253,Biogasanlæg!$F$3:$G$8,2,FALSE),1)</f>
        <v>0</v>
      </c>
      <c r="U253" s="170">
        <f t="shared" si="47"/>
        <v>0</v>
      </c>
      <c r="V253" s="169">
        <f>P253*IFERROR(VLOOKUP(A253,[1]Tørstofindhold!A$2:B$24,2,FALSE),0)</f>
        <v>0</v>
      </c>
      <c r="W253">
        <f>IF(E253=År1,Q253,SUM(P253,Q253))*IFERROR(VLOOKUP(A253,[1]Tørstofindhold!A$2:B$24,2,FALSE),0)</f>
        <v>0</v>
      </c>
      <c r="X253">
        <f>K253*IFERROR(VLOOKUP(A253,[1]Tørstofindhold!A$2:B$24,2,FALSE),0)</f>
        <v>0</v>
      </c>
      <c r="Y253" s="170">
        <f t="shared" si="48"/>
        <v>0</v>
      </c>
      <c r="Z253">
        <f t="shared" si="43"/>
        <v>0</v>
      </c>
      <c r="AA253">
        <f t="shared" si="44"/>
        <v>1</v>
      </c>
    </row>
    <row r="254" spans="1:27" x14ac:dyDescent="0.25">
      <c r="A254" s="171" t="str">
        <f t="shared" si="49"/>
        <v>Frø</v>
      </c>
      <c r="B254" s="171" t="str">
        <f t="shared" si="50"/>
        <v/>
      </c>
      <c r="C254" s="171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71">
        <f t="shared" si="52"/>
        <v>0</v>
      </c>
      <c r="E254" s="171">
        <f t="shared" si="51"/>
        <v>2050</v>
      </c>
      <c r="F254" t="s">
        <v>24</v>
      </c>
      <c r="G254" s="94">
        <f>IF(F254="Vestdanmark",SUMIFS(IF(E254=År1,'Resultater - Vestdanmark'!H$3:H$504,IF(E254=År2,'Resultater - Vestdanmark'!I$3:I$504,'Resultater - Vestdanmark'!J$3:J$504)),'Resultater - Vestdanmark'!$F$3:$F$504,$A254,IF(E254=År1,'Resultater - Vestdanmark'!H$3:H$504,IF(E254=År2,'Resultater - Vestdanmark'!I$3:I$504,'Resultater - Vestdanmark'!J$3:J$504)),"&gt;0"),SUMIFS(IF(E254=År1,'Resultater - Østdanmark'!H$3:H$504,IF(E254=År2,'Resultater - Østdanmark'!I$3:I$504,'Resultater - Østdanmark'!J$3:J$504)),'Resultater - Østdanmark'!$F$3:$F$504,$A254,IF(E254=År1,'Resultater - Østdanmark'!H$3:H$504,IF(E254=År2,'Resultater - Østdanmark'!I$3:I$504,'Resultater - Østdanmark'!J$3:J$504)),"&gt;0"))</f>
        <v>20896.559297118682</v>
      </c>
      <c r="H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forbrug'!H$3,'Forbrug af biomasse'!$B$2:$B$425,$F254)</f>
        <v>0</v>
      </c>
      <c r="I254">
        <f>IF(F254="Vestdanmark",-IF(A254="Halm",SUMIFS(IF(E254=År1,'Resultater - Vestdanmark'!H$3:H$504,IF(E254=År2,'Resultater - Vestdanmark'!I$3:I$504,'Resultater - Vestdanmark'!J$3:J$504)),'Resultater - Vestdanmark'!$F$3:$F$504,$A254,'Resultater - Vestdanmark'!H$3:H$504,"&lt;0"),0),-IF(A254="Halm",SUMIFS(IF(E254=År1,'Resultater - Østdanmark'!H$3:H$504,IF(E254=År2,'Resultater - Østdanmark'!I$3:I$504,'Resultater - Østdanmark'!J$3:J$504)),'Resultater - Østdanmark'!$F$3:$F$504,$A254,'Resultater - Østdanmark'!H$3:H$504,"&lt;0"),0))</f>
        <v>0</v>
      </c>
      <c r="J254" s="94"/>
      <c r="K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forbrug'!K$3,'Forbrug af biomasse'!$B$2:$B$425,$F254)</f>
        <v>0</v>
      </c>
      <c r="L254" s="94">
        <f>SUMIFS('Forbrug af biomasse'!$E$2:$E$425,'Forbrug af biomasse'!$C$2:$C$425,'Resultat-Produktion &amp; forbrug'!$A254,'Forbrug af biomasse'!$D$2:$D$425,'Resultat-Produktion &amp; forbrug'!$E254,'Forbrug af biomasse'!$A$2:$A$425,'Resultat-Produktion &amp; forbrug'!L$3,'Forbrug af biomasse'!$B$2:$B$425,$F254)</f>
        <v>0</v>
      </c>
      <c r="M254" s="94">
        <f>IF(A254&lt;&gt;"Biogas",SUMIFS('Forbrug af biomasse'!$E$2:$E$425,'Forbrug af biomasse'!$C$2:$C$425,'Resultat-Produktion &amp; forbrug'!$A254,'Forbrug af biomasse'!$D$2:$D$425,'Resultat-Produktion &amp; forbrug'!$E254,'Forbrug af biomasse'!$A$2:$A$425,'Resultat-Produktion &amp; forbrug'!M$3,'Forbrug af biomasse'!$B$2:$B$425,$F254),G254)</f>
        <v>0</v>
      </c>
      <c r="N254" s="94">
        <f>SUMIFS('Forbrug af biomasse'!E:E,'Forbrug af biomasse'!C:C,'Resultat-Produktion &amp; forbrug'!$A254,'Forbrug af biomasse'!D:D,'Resultat-Produktion &amp; forbrug'!$E254,'Forbrug af biomasse'!G:G,1,'Forbrug af biomasse'!B:B,$F254)</f>
        <v>0</v>
      </c>
      <c r="O254" s="179">
        <f t="shared" si="45"/>
        <v>20896.559297118682</v>
      </c>
      <c r="P254" s="94">
        <f t="shared" si="42"/>
        <v>0</v>
      </c>
      <c r="Q254" s="180">
        <f t="shared" si="46"/>
        <v>0</v>
      </c>
      <c r="R254">
        <f>IFERROR(VLOOKUP(A254,[1]Energiindhold!$A$2:$C$11,3,FALSE),IFERROR(VLOOKUP(A254,[1]Biogasudbytte!$A$2:$B$18,2,FALSE)*[1]Energiindhold!$C$10,0))*P254</f>
        <v>0</v>
      </c>
      <c r="S254">
        <f>IF(A254&lt;&gt;"Biogas",IFERROR(VLOOKUP(A254,[1]Biogasudbytte!$A$2:$B$18,2,FALSE)*[1]Energiindhold!$C$10,0)*K254*IFERROR(VLOOKUP(A254,Biogasanlæg!$F$3:$G$8,2,FALSE),1)+IFERROR(VLOOKUP(A254,[1]Energiindhold!$A$2:$C$11,3,FALSE),0)*M254+IF(E254&lt;&gt;År1,R254,0),0)</f>
        <v>0</v>
      </c>
      <c r="T254">
        <f>IFERROR(VLOOKUP(A254,[1]Biogasudbytte!$A$2:$B$18,2,FALSE)*[1]Energiindhold!$C$10,0)*K254*IFERROR(VLOOKUP(A254,Biogasanlæg!$F$3:$G$8,2,FALSE),1)</f>
        <v>0</v>
      </c>
      <c r="U254" s="170">
        <f t="shared" si="47"/>
        <v>0</v>
      </c>
      <c r="V254" s="169">
        <f>P254*IFERROR(VLOOKUP(A254,[1]Tørstofindhold!A$2:B$24,2,FALSE),0)</f>
        <v>0</v>
      </c>
      <c r="W254">
        <f>IF(E254=År1,Q254,SUM(P254,Q254))*IFERROR(VLOOKUP(A254,[1]Tørstofindhold!A$2:B$24,2,FALSE),0)</f>
        <v>0</v>
      </c>
      <c r="X254">
        <f>K254*IFERROR(VLOOKUP(A254,[1]Tørstofindhold!A$2:B$24,2,FALSE),0)</f>
        <v>0</v>
      </c>
      <c r="Y254" s="170">
        <f t="shared" si="48"/>
        <v>0</v>
      </c>
      <c r="Z254">
        <f t="shared" si="43"/>
        <v>0</v>
      </c>
      <c r="AA254">
        <f t="shared" si="44"/>
        <v>1</v>
      </c>
    </row>
    <row r="255" spans="1:27" x14ac:dyDescent="0.25">
      <c r="A255" s="171" t="str">
        <f t="shared" si="49"/>
        <v>Frugt</v>
      </c>
      <c r="B255" s="171" t="str">
        <f t="shared" si="50"/>
        <v/>
      </c>
      <c r="C255" s="171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0</v>
      </c>
      <c r="D255" s="171">
        <f t="shared" si="52"/>
        <v>1</v>
      </c>
      <c r="E255" s="171">
        <f t="shared" si="51"/>
        <v>2050</v>
      </c>
      <c r="F255" t="s">
        <v>24</v>
      </c>
      <c r="G255" s="94">
        <f>IF(F255="Vestdanmark",SUMIFS(IF(E255=År1,'Resultater - Vestdanmark'!H$3:H$504,IF(E255=År2,'Resultater - Vestdanmark'!I$3:I$504,'Resultater - Vestdanmark'!J$3:J$504)),'Resultater - Vestdanmark'!$F$3:$F$504,$A255,IF(E255=År1,'Resultater - Vestdanmark'!H$3:H$504,IF(E255=År2,'Resultater - Vestdanmark'!I$3:I$504,'Resultater - Vestdanmark'!J$3:J$504)),"&gt;0"),SUMIFS(IF(E255=År1,'Resultater - Østdanmark'!H$3:H$504,IF(E255=År2,'Resultater - Østdanmark'!I$3:I$504,'Resultater - Østdanmark'!J$3:J$504)),'Resultater - Østdanmark'!$F$3:$F$504,$A255,IF(E255=År1,'Resultater - Østdanmark'!H$3:H$504,IF(E255=År2,'Resultater - Østdanmark'!I$3:I$504,'Resultater - Østdanmark'!J$3:J$504)),"&gt;0"))</f>
        <v>257689.18202978774</v>
      </c>
      <c r="H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forbrug'!H$3,'Forbrug af biomasse'!$B$2:$B$425,$F255)</f>
        <v>0</v>
      </c>
      <c r="I255">
        <f>IF(F255="Vestdanmark",-IF(A255="Halm",SUMIFS(IF(E255=År1,'Resultater - Vestdanmark'!H$3:H$504,IF(E255=År2,'Resultater - Vestdanmark'!I$3:I$504,'Resultater - Vestdanmark'!J$3:J$504)),'Resultater - Vestdanmark'!$F$3:$F$504,$A255,'Resultater - Vestdanmark'!H$3:H$504,"&lt;0"),0),-IF(A255="Halm",SUMIFS(IF(E255=År1,'Resultater - Østdanmark'!H$3:H$504,IF(E255=År2,'Resultater - Østdanmark'!I$3:I$504,'Resultater - Østdanmark'!J$3:J$504)),'Resultater - Østdanmark'!$F$3:$F$504,$A255,'Resultater - Østdanmark'!H$3:H$504,"&lt;0"),0))</f>
        <v>0</v>
      </c>
      <c r="J255" s="94"/>
      <c r="K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forbrug'!K$3,'Forbrug af biomasse'!$B$2:$B$425,$F255)</f>
        <v>0</v>
      </c>
      <c r="L255" s="94">
        <f>SUMIFS('Forbrug af biomasse'!$E$2:$E$425,'Forbrug af biomasse'!$C$2:$C$425,'Resultat-Produktion &amp; forbrug'!$A255,'Forbrug af biomasse'!$D$2:$D$425,'Resultat-Produktion &amp; forbrug'!$E255,'Forbrug af biomasse'!$A$2:$A$425,'Resultat-Produktion &amp; forbrug'!L$3,'Forbrug af biomasse'!$B$2:$B$425,$F255)</f>
        <v>0</v>
      </c>
      <c r="M255" s="94">
        <f>IF(A255&lt;&gt;"Biogas",SUMIFS('Forbrug af biomasse'!$E$2:$E$425,'Forbrug af biomasse'!$C$2:$C$425,'Resultat-Produktion &amp; forbrug'!$A255,'Forbrug af biomasse'!$D$2:$D$425,'Resultat-Produktion &amp; forbrug'!$E255,'Forbrug af biomasse'!$A$2:$A$425,'Resultat-Produktion &amp; forbrug'!M$3,'Forbrug af biomasse'!$B$2:$B$425,$F255),G255)</f>
        <v>0</v>
      </c>
      <c r="N255" s="94">
        <f>SUMIFS('Forbrug af biomasse'!E:E,'Forbrug af biomasse'!C:C,'Resultat-Produktion &amp; forbrug'!$A255,'Forbrug af biomasse'!D:D,'Resultat-Produktion &amp; forbrug'!$E255,'Forbrug af biomasse'!G:G,1,'Forbrug af biomasse'!B:B,$F255)</f>
        <v>0</v>
      </c>
      <c r="O255" s="179">
        <f t="shared" si="45"/>
        <v>257689.18202978774</v>
      </c>
      <c r="P255" s="94">
        <f t="shared" si="42"/>
        <v>0</v>
      </c>
      <c r="Q255" s="180">
        <f t="shared" si="46"/>
        <v>0</v>
      </c>
      <c r="R255">
        <f>IFERROR(VLOOKUP(A255,[1]Energiindhold!$A$2:$C$11,3,FALSE),IFERROR(VLOOKUP(A255,[1]Biogasudbytte!$A$2:$B$18,2,FALSE)*[1]Energiindhold!$C$10,0))*P255</f>
        <v>0</v>
      </c>
      <c r="S255">
        <f>IF(A255&lt;&gt;"Biogas",IFERROR(VLOOKUP(A255,[1]Biogasudbytte!$A$2:$B$18,2,FALSE)*[1]Energiindhold!$C$10,0)*K255*IFERROR(VLOOKUP(A255,Biogasanlæg!$F$3:$G$8,2,FALSE),1)+IFERROR(VLOOKUP(A255,[1]Energiindhold!$A$2:$C$11,3,FALSE),0)*M255+IF(E255&lt;&gt;År1,R255,0),0)</f>
        <v>0</v>
      </c>
      <c r="T255">
        <f>IFERROR(VLOOKUP(A255,[1]Biogasudbytte!$A$2:$B$18,2,FALSE)*[1]Energiindhold!$C$10,0)*K255*IFERROR(VLOOKUP(A255,Biogasanlæg!$F$3:$G$8,2,FALSE),1)</f>
        <v>0</v>
      </c>
      <c r="U255" s="170">
        <f t="shared" si="47"/>
        <v>0</v>
      </c>
      <c r="V255" s="169">
        <f>P255*IFERROR(VLOOKUP(A255,[1]Tørstofindhold!A$2:B$24,2,FALSE),0)</f>
        <v>0</v>
      </c>
      <c r="W255">
        <f>IF(E255=År1,Q255,SUM(P255,Q255))*IFERROR(VLOOKUP(A255,[1]Tørstofindhold!A$2:B$24,2,FALSE),0)</f>
        <v>0</v>
      </c>
      <c r="X255">
        <f>K255*IFERROR(VLOOKUP(A255,[1]Tørstofindhold!A$2:B$24,2,FALSE),0)</f>
        <v>0</v>
      </c>
      <c r="Y255" s="170">
        <f t="shared" si="48"/>
        <v>0</v>
      </c>
      <c r="Z255">
        <f t="shared" si="43"/>
        <v>0</v>
      </c>
      <c r="AA255">
        <f t="shared" si="44"/>
        <v>1</v>
      </c>
    </row>
    <row r="256" spans="1:27" x14ac:dyDescent="0.25">
      <c r="A256" s="171" t="str">
        <f t="shared" si="49"/>
        <v>Glycerin</v>
      </c>
      <c r="B256" s="171" t="str">
        <f t="shared" si="50"/>
        <v>Glycerin</v>
      </c>
      <c r="C256" s="171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71">
        <f t="shared" si="52"/>
        <v>0</v>
      </c>
      <c r="E256" s="171">
        <f t="shared" si="51"/>
        <v>2050</v>
      </c>
      <c r="F256" t="s">
        <v>24</v>
      </c>
      <c r="G256" s="94">
        <f>IF(F256="Vestdanmark",SUMIFS(IF(E256=År1,'Resultater - Vestdanmark'!H$3:H$504,IF(E256=År2,'Resultater - Vestdanmark'!I$3:I$504,'Resultater - Vestdanmark'!J$3:J$504)),'Resultater - Vestdanmark'!$F$3:$F$504,$A256,IF(E256=År1,'Resultater - Vestdanmark'!H$3:H$504,IF(E256=År2,'Resultater - Vestdanmark'!I$3:I$504,'Resultater - Vestdanmark'!J$3:J$504)),"&gt;0"),SUMIFS(IF(E256=År1,'Resultater - Østdanmark'!H$3:H$504,IF(E256=År2,'Resultater - Østdanmark'!I$3:I$504,'Resultater - Østdanmark'!J$3:J$504)),'Resultater - Østdanmark'!$F$3:$F$504,$A256,IF(E256=År1,'Resultater - Østdanmark'!H$3:H$504,IF(E256=År2,'Resultater - Østdanmark'!I$3:I$504,'Resultater - Østdanmark'!J$3:J$504)),"&gt;0"))</f>
        <v>0</v>
      </c>
      <c r="H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forbrug'!H$3,'Forbrug af biomasse'!$B$2:$B$425,$F256)</f>
        <v>0</v>
      </c>
      <c r="I256">
        <f>IF(F256="Vestdanmark",-IF(A256="Halm",SUMIFS(IF(E256=År1,'Resultater - Vestdanmark'!H$3:H$504,IF(E256=År2,'Resultater - Vestdanmark'!I$3:I$504,'Resultater - Vestdanmark'!J$3:J$504)),'Resultater - Vestdanmark'!$F$3:$F$504,$A256,'Resultater - Vestdanmark'!H$3:H$504,"&lt;0"),0),-IF(A256="Halm",SUMIFS(IF(E256=År1,'Resultater - Østdanmark'!H$3:H$504,IF(E256=År2,'Resultater - Østdanmark'!I$3:I$504,'Resultater - Østdanmark'!J$3:J$504)),'Resultater - Østdanmark'!$F$3:$F$504,$A256,'Resultater - Østdanmark'!H$3:H$504,"&lt;0"),0))</f>
        <v>0</v>
      </c>
      <c r="J256" s="94"/>
      <c r="K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forbrug'!K$3,'Forbrug af biomasse'!$B$2:$B$425,$F256)</f>
        <v>0</v>
      </c>
      <c r="L256" s="94">
        <f>SUMIFS('Forbrug af biomasse'!$E$2:$E$425,'Forbrug af biomasse'!$C$2:$C$425,'Resultat-Produktion &amp; forbrug'!$A256,'Forbrug af biomasse'!$D$2:$D$425,'Resultat-Produktion &amp; forbrug'!$E256,'Forbrug af biomasse'!$A$2:$A$425,'Resultat-Produktion &amp; forbrug'!L$3,'Forbrug af biomasse'!$B$2:$B$425,$F256)</f>
        <v>0</v>
      </c>
      <c r="M256" s="94">
        <f>IF(A256&lt;&gt;"Biogas",SUMIFS('Forbrug af biomasse'!$E$2:$E$425,'Forbrug af biomasse'!$C$2:$C$425,'Resultat-Produktion &amp; forbrug'!$A256,'Forbrug af biomasse'!$D$2:$D$425,'Resultat-Produktion &amp; forbrug'!$E256,'Forbrug af biomasse'!$A$2:$A$425,'Resultat-Produktion &amp; forbrug'!M$3,'Forbrug af biomasse'!$B$2:$B$425,$F256),G256)</f>
        <v>0</v>
      </c>
      <c r="N256" s="94">
        <f>SUMIFS('Forbrug af biomasse'!E:E,'Forbrug af biomasse'!C:C,'Resultat-Produktion &amp; forbrug'!$A256,'Forbrug af biomasse'!D:D,'Resultat-Produktion &amp; forbrug'!$E256,'Forbrug af biomasse'!G:G,1,'Forbrug af biomasse'!B:B,$F256)</f>
        <v>0</v>
      </c>
      <c r="O256" s="179">
        <f t="shared" si="45"/>
        <v>0</v>
      </c>
      <c r="P256" s="94">
        <f t="shared" si="42"/>
        <v>0</v>
      </c>
      <c r="Q256" s="180">
        <f t="shared" si="46"/>
        <v>0</v>
      </c>
      <c r="R256">
        <f>IFERROR(VLOOKUP(A256,[1]Energiindhold!$A$2:$C$11,3,FALSE),IFERROR(VLOOKUP(A256,[1]Biogasudbytte!$A$2:$B$18,2,FALSE)*[1]Energiindhold!$C$10,0))*P256</f>
        <v>0</v>
      </c>
      <c r="S256">
        <f>IF(A256&lt;&gt;"Biogas",IFERROR(VLOOKUP(A256,[1]Biogasudbytte!$A$2:$B$18,2,FALSE)*[1]Energiindhold!$C$10,0)*K256*IFERROR(VLOOKUP(A256,Biogasanlæg!$F$3:$G$8,2,FALSE),1)+IFERROR(VLOOKUP(A256,[1]Energiindhold!$A$2:$C$11,3,FALSE),0)*M256+IF(E256&lt;&gt;År1,R256,0),0)</f>
        <v>0</v>
      </c>
      <c r="T256">
        <f>IFERROR(VLOOKUP(A256,[1]Biogasudbytte!$A$2:$B$18,2,FALSE)*[1]Energiindhold!$C$10,0)*K256*IFERROR(VLOOKUP(A256,Biogasanlæg!$F$3:$G$8,2,FALSE),1)</f>
        <v>0</v>
      </c>
      <c r="U256" s="170">
        <f t="shared" si="47"/>
        <v>0</v>
      </c>
      <c r="V256" s="169">
        <f>P256*IFERROR(VLOOKUP(A256,[1]Tørstofindhold!A$2:B$24,2,FALSE),0)</f>
        <v>0</v>
      </c>
      <c r="W256">
        <f>IF(E256=År1,Q256,SUM(P256,Q256))*IFERROR(VLOOKUP(A256,[1]Tørstofindhold!A$2:B$24,2,FALSE),0)</f>
        <v>0</v>
      </c>
      <c r="X256">
        <f>K256*IFERROR(VLOOKUP(A256,[1]Tørstofindhold!A$2:B$24,2,FALSE),0)</f>
        <v>0</v>
      </c>
      <c r="Y256" s="170">
        <f t="shared" si="48"/>
        <v>0</v>
      </c>
      <c r="Z256">
        <f t="shared" si="43"/>
        <v>0</v>
      </c>
      <c r="AA256">
        <f t="shared" si="44"/>
        <v>0</v>
      </c>
    </row>
    <row r="257" spans="1:27" x14ac:dyDescent="0.25">
      <c r="A257" s="171" t="str">
        <f t="shared" si="49"/>
        <v>Græs</v>
      </c>
      <c r="B257" s="171" t="str">
        <f t="shared" si="50"/>
        <v>Græs og urter</v>
      </c>
      <c r="C257" s="171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1</v>
      </c>
      <c r="D257" s="171">
        <f t="shared" si="52"/>
        <v>0</v>
      </c>
      <c r="E257" s="171">
        <f t="shared" si="51"/>
        <v>2050</v>
      </c>
      <c r="F257" t="s">
        <v>24</v>
      </c>
      <c r="G257" s="94">
        <f>IF(F257="Vestdanmark",SUMIFS(IF(E257=År1,'Resultater - Vestdanmark'!H$3:H$504,IF(E257=År2,'Resultater - Vestdanmark'!I$3:I$504,'Resultater - Vestdanmark'!J$3:J$504)),'Resultater - Vestdanmark'!$F$3:$F$504,$A257,IF(E257=År1,'Resultater - Vestdanmark'!H$3:H$504,IF(E257=År2,'Resultater - Vestdanmark'!I$3:I$504,'Resultater - Vestdanmark'!J$3:J$504)),"&gt;0"),SUMIFS(IF(E257=År1,'Resultater - Østdanmark'!H$3:H$504,IF(E257=År2,'Resultater - Østdanmark'!I$3:I$504,'Resultater - Østdanmark'!J$3:J$504)),'Resultater - Østdanmark'!$F$3:$F$504,$A257,IF(E257=År1,'Resultater - Østdanmark'!H$3:H$504,IF(E257=År2,'Resultater - Østdanmark'!I$3:I$504,'Resultater - Østdanmark'!J$3:J$504)),"&gt;0"))</f>
        <v>11397047.281261299</v>
      </c>
      <c r="H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forbrug'!H$3,'Forbrug af biomasse'!$B$2:$B$425,$F257)</f>
        <v>1018104.9699383936</v>
      </c>
      <c r="I257">
        <f>IF(F257="Vestdanmark",-IF(A257="Halm",SUMIFS(IF(E257=År1,'Resultater - Vestdanmark'!H$3:H$504,IF(E257=År2,'Resultater - Vestdanmark'!I$3:I$504,'Resultater - Vestdanmark'!J$3:J$504)),'Resultater - Vestdanmark'!$F$3:$F$504,$A257,'Resultater - Vestdanmark'!H$3:H$504,"&lt;0"),0),-IF(A257="Halm",SUMIFS(IF(E257=År1,'Resultater - Østdanmark'!H$3:H$504,IF(E257=År2,'Resultater - Østdanmark'!I$3:I$504,'Resultater - Østdanmark'!J$3:J$504)),'Resultater - Østdanmark'!$F$3:$F$504,$A257,'Resultater - Østdanmark'!H$3:H$504,"&lt;0"),0))</f>
        <v>0</v>
      </c>
      <c r="J257" s="94"/>
      <c r="K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forbrug'!K$3,'Forbrug af biomasse'!$B$2:$B$425,$F257)</f>
        <v>0</v>
      </c>
      <c r="L257" s="94">
        <f>SUMIFS('Forbrug af biomasse'!$E$2:$E$425,'Forbrug af biomasse'!$C$2:$C$425,'Resultat-Produktion &amp; forbrug'!$A257,'Forbrug af biomasse'!$D$2:$D$425,'Resultat-Produktion &amp; forbrug'!$E257,'Forbrug af biomasse'!$A$2:$A$425,'Resultat-Produktion &amp; forbrug'!L$3,'Forbrug af biomasse'!$B$2:$B$425,$F257)</f>
        <v>0</v>
      </c>
      <c r="M257" s="94">
        <f>IF(A257&lt;&gt;"Biogas",SUMIFS('Forbrug af biomasse'!$E$2:$E$425,'Forbrug af biomasse'!$C$2:$C$425,'Resultat-Produktion &amp; forbrug'!$A257,'Forbrug af biomasse'!$D$2:$D$425,'Resultat-Produktion &amp; forbrug'!$E257,'Forbrug af biomasse'!$A$2:$A$425,'Resultat-Produktion &amp; forbrug'!M$3,'Forbrug af biomasse'!$B$2:$B$425,$F257),G257)</f>
        <v>0</v>
      </c>
      <c r="N257" s="94">
        <f>SUMIFS('Forbrug af biomasse'!E:E,'Forbrug af biomasse'!C:C,'Resultat-Produktion &amp; forbrug'!$A257,'Forbrug af biomasse'!D:D,'Resultat-Produktion &amp; forbrug'!$E257,'Forbrug af biomasse'!G:G,1,'Forbrug af biomasse'!B:B,$F257)</f>
        <v>3059553.8161358451</v>
      </c>
      <c r="O257" s="179">
        <f t="shared" si="45"/>
        <v>7319388.49518706</v>
      </c>
      <c r="P257" s="94">
        <f t="shared" si="42"/>
        <v>7319388.49518706</v>
      </c>
      <c r="Q257" s="180">
        <f t="shared" si="46"/>
        <v>0</v>
      </c>
      <c r="R257">
        <f>IFERROR(VLOOKUP(A257,[1]Energiindhold!$A$2:$C$11,3,FALSE),IFERROR(VLOOKUP(A257,[1]Biogasudbytte!$A$2:$B$18,2,FALSE)*[1]Energiindhold!$C$10,0))*P257</f>
        <v>13.466759907582293</v>
      </c>
      <c r="S257">
        <f>IF(A257&lt;&gt;"Biogas",IFERROR(VLOOKUP(A257,[1]Biogasudbytte!$A$2:$B$18,2,FALSE)*[1]Energiindhold!$C$10,0)*K257*IFERROR(VLOOKUP(A257,Biogasanlæg!$F$3:$G$8,2,FALSE),1)+IFERROR(VLOOKUP(A257,[1]Energiindhold!$A$2:$C$11,3,FALSE),0)*M257+IF(E257&lt;&gt;År1,R257,0),0)</f>
        <v>13.466759907582293</v>
      </c>
      <c r="T257">
        <f>IFERROR(VLOOKUP(A257,[1]Biogasudbytte!$A$2:$B$18,2,FALSE)*[1]Energiindhold!$C$10,0)*K257*IFERROR(VLOOKUP(A257,Biogasanlæg!$F$3:$G$8,2,FALSE),1)</f>
        <v>0</v>
      </c>
      <c r="U257" s="170">
        <f t="shared" si="47"/>
        <v>13.466759907582293</v>
      </c>
      <c r="V257" s="169">
        <f>P257*IFERROR(VLOOKUP(A257,[1]Tørstofindhold!A$2:B$24,2,FALSE),0)</f>
        <v>2049428.778652377</v>
      </c>
      <c r="W257">
        <f>IF(E257=År1,Q257,SUM(P257,Q257))*IFERROR(VLOOKUP(A257,[1]Tørstofindhold!A$2:B$24,2,FALSE),0)</f>
        <v>2049428.778652377</v>
      </c>
      <c r="X257">
        <f>K257*IFERROR(VLOOKUP(A257,[1]Tørstofindhold!A$2:B$24,2,FALSE),0)</f>
        <v>0</v>
      </c>
      <c r="Y257" s="170">
        <f t="shared" si="48"/>
        <v>2049428.778652377</v>
      </c>
      <c r="Z257">
        <f t="shared" si="43"/>
        <v>0</v>
      </c>
      <c r="AA257">
        <f t="shared" si="44"/>
        <v>1</v>
      </c>
    </row>
    <row r="258" spans="1:27" x14ac:dyDescent="0.25">
      <c r="A258" s="171" t="str">
        <f t="shared" si="49"/>
        <v>Græsprotein</v>
      </c>
      <c r="B258" s="171" t="str">
        <f t="shared" si="50"/>
        <v/>
      </c>
      <c r="C258" s="171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71">
        <f t="shared" si="52"/>
        <v>0</v>
      </c>
      <c r="E258" s="171">
        <f t="shared" si="51"/>
        <v>2050</v>
      </c>
      <c r="F258" t="s">
        <v>24</v>
      </c>
      <c r="G258" s="94">
        <f>IF(F258="Vestdanmark",SUMIFS(IF(E258=År1,'Resultater - Vestdanmark'!H$3:H$504,IF(E258=År2,'Resultater - Vestdanmark'!I$3:I$504,'Resultater - Vestdanmark'!J$3:J$504)),'Resultater - Vestdanmark'!$F$3:$F$504,$A258,IF(E258=År1,'Resultater - Vestdanmark'!H$3:H$504,IF(E258=År2,'Resultater - Vestdanmark'!I$3:I$504,'Resultater - Vestdanmark'!J$3:J$504)),"&gt;0"),SUMIFS(IF(E258=År1,'Resultater - Østdanmark'!H$3:H$504,IF(E258=År2,'Resultater - Østdanmark'!I$3:I$504,'Resultater - Østdanmark'!J$3:J$504)),'Resultater - Østdanmark'!$F$3:$F$504,$A258,IF(E258=År1,'Resultater - Østdanmark'!H$3:H$504,IF(E258=År2,'Resultater - Østdanmark'!I$3:I$504,'Resultater - Østdanmark'!J$3:J$504)),"&gt;0"))</f>
        <v>511469.86978315056</v>
      </c>
      <c r="H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forbrug'!H$3,'Forbrug af biomasse'!$B$2:$B$425,$F258)</f>
        <v>511469.86978315056</v>
      </c>
      <c r="I258">
        <f>IF(F258="Vestdanmark",-IF(A258="Halm",SUMIFS(IF(E258=År1,'Resultater - Vestdanmark'!H$3:H$504,IF(E258=År2,'Resultater - Vestdanmark'!I$3:I$504,'Resultater - Vestdanmark'!J$3:J$504)),'Resultater - Vestdanmark'!$F$3:$F$504,$A258,'Resultater - Vestdanmark'!H$3:H$504,"&lt;0"),0),-IF(A258="Halm",SUMIFS(IF(E258=År1,'Resultater - Østdanmark'!H$3:H$504,IF(E258=År2,'Resultater - Østdanmark'!I$3:I$504,'Resultater - Østdanmark'!J$3:J$504)),'Resultater - Østdanmark'!$F$3:$F$504,$A258,'Resultater - Østdanmark'!H$3:H$504,"&lt;0"),0))</f>
        <v>0</v>
      </c>
      <c r="J258" s="94"/>
      <c r="K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forbrug'!K$3,'Forbrug af biomasse'!$B$2:$B$425,$F258)</f>
        <v>0</v>
      </c>
      <c r="L258" s="94">
        <f>SUMIFS('Forbrug af biomasse'!$E$2:$E$425,'Forbrug af biomasse'!$C$2:$C$425,'Resultat-Produktion &amp; forbrug'!$A258,'Forbrug af biomasse'!$D$2:$D$425,'Resultat-Produktion &amp; forbrug'!$E258,'Forbrug af biomasse'!$A$2:$A$425,'Resultat-Produktion &amp; forbrug'!L$3,'Forbrug af biomasse'!$B$2:$B$425,$F258)</f>
        <v>0</v>
      </c>
      <c r="M258" s="94">
        <f>IF(A258&lt;&gt;"Biogas",SUMIFS('Forbrug af biomasse'!$E$2:$E$425,'Forbrug af biomasse'!$C$2:$C$425,'Resultat-Produktion &amp; forbrug'!$A258,'Forbrug af biomasse'!$D$2:$D$425,'Resultat-Produktion &amp; forbrug'!$E258,'Forbrug af biomasse'!$A$2:$A$425,'Resultat-Produktion &amp; forbrug'!M$3,'Forbrug af biomasse'!$B$2:$B$425,$F258),G258)</f>
        <v>0</v>
      </c>
      <c r="N258" s="94">
        <f>SUMIFS('Forbrug af biomasse'!E:E,'Forbrug af biomasse'!C:C,'Resultat-Produktion &amp; forbrug'!$A258,'Forbrug af biomasse'!D:D,'Resultat-Produktion &amp; forbrug'!$E258,'Forbrug af biomasse'!G:G,1,'Forbrug af biomasse'!B:B,$F258)</f>
        <v>0</v>
      </c>
      <c r="O258" s="179">
        <f t="shared" si="45"/>
        <v>0</v>
      </c>
      <c r="P258" s="94">
        <f t="shared" si="42"/>
        <v>0</v>
      </c>
      <c r="Q258" s="180">
        <f t="shared" si="46"/>
        <v>0</v>
      </c>
      <c r="R258">
        <f>IFERROR(VLOOKUP(A258,[1]Energiindhold!$A$2:$C$11,3,FALSE),IFERROR(VLOOKUP(A258,[1]Biogasudbytte!$A$2:$B$18,2,FALSE)*[1]Energiindhold!$C$10,0))*P258</f>
        <v>0</v>
      </c>
      <c r="S258">
        <f>IF(A258&lt;&gt;"Biogas",IFERROR(VLOOKUP(A258,[1]Biogasudbytte!$A$2:$B$18,2,FALSE)*[1]Energiindhold!$C$10,0)*K258*IFERROR(VLOOKUP(A258,Biogasanlæg!$F$3:$G$8,2,FALSE),1)+IFERROR(VLOOKUP(A258,[1]Energiindhold!$A$2:$C$11,3,FALSE),0)*M258+IF(E258&lt;&gt;År1,R258,0),0)</f>
        <v>0</v>
      </c>
      <c r="T258">
        <f>IFERROR(VLOOKUP(A258,[1]Biogasudbytte!$A$2:$B$18,2,FALSE)*[1]Energiindhold!$C$10,0)*K258*IFERROR(VLOOKUP(A258,Biogasanlæg!$F$3:$G$8,2,FALSE),1)</f>
        <v>0</v>
      </c>
      <c r="U258" s="170">
        <f t="shared" si="47"/>
        <v>0</v>
      </c>
      <c r="V258" s="169">
        <f>P258*IFERROR(VLOOKUP(A258,[1]Tørstofindhold!A$2:B$24,2,FALSE),0)</f>
        <v>0</v>
      </c>
      <c r="W258">
        <f>IF(E258=År1,Q258,SUM(P258,Q258))*IFERROR(VLOOKUP(A258,[1]Tørstofindhold!A$2:B$24,2,FALSE),0)</f>
        <v>0</v>
      </c>
      <c r="X258">
        <f>K258*IFERROR(VLOOKUP(A258,[1]Tørstofindhold!A$2:B$24,2,FALSE),0)</f>
        <v>0</v>
      </c>
      <c r="Y258" s="170">
        <f t="shared" si="48"/>
        <v>0</v>
      </c>
      <c r="Z258">
        <f t="shared" si="43"/>
        <v>0</v>
      </c>
      <c r="AA258">
        <f t="shared" si="44"/>
        <v>0</v>
      </c>
    </row>
    <row r="259" spans="1:27" x14ac:dyDescent="0.25">
      <c r="A259" s="171" t="str">
        <f t="shared" si="49"/>
        <v>Grøntsager</v>
      </c>
      <c r="B259" s="171" t="str">
        <f t="shared" si="50"/>
        <v/>
      </c>
      <c r="C259" s="171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0</v>
      </c>
      <c r="D259" s="171">
        <f t="shared" si="52"/>
        <v>1</v>
      </c>
      <c r="E259" s="171">
        <f t="shared" si="51"/>
        <v>2050</v>
      </c>
      <c r="F259" t="s">
        <v>24</v>
      </c>
      <c r="G259" s="94">
        <f>IF(F259="Vestdanmark",SUMIFS(IF(E259=År1,'Resultater - Vestdanmark'!H$3:H$504,IF(E259=År2,'Resultater - Vestdanmark'!I$3:I$504,'Resultater - Vestdanmark'!J$3:J$504)),'Resultater - Vestdanmark'!$F$3:$F$504,$A259,IF(E259=År1,'Resultater - Vestdanmark'!H$3:H$504,IF(E259=År2,'Resultater - Vestdanmark'!I$3:I$504,'Resultater - Vestdanmark'!J$3:J$504)),"&gt;0"),SUMIFS(IF(E259=År1,'Resultater - Østdanmark'!H$3:H$504,IF(E259=År2,'Resultater - Østdanmark'!I$3:I$504,'Resultater - Østdanmark'!J$3:J$504)),'Resultater - Østdanmark'!$F$3:$F$504,$A259,IF(E259=År1,'Resultater - Østdanmark'!H$3:H$504,IF(E259=År2,'Resultater - Østdanmark'!I$3:I$504,'Resultater - Østdanmark'!J$3:J$504)),"&gt;0"))</f>
        <v>100376.66803290648</v>
      </c>
      <c r="H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forbrug'!H$3,'Forbrug af biomasse'!$B$2:$B$425,$F259)</f>
        <v>0</v>
      </c>
      <c r="I259">
        <f>IF(F259="Vestdanmark",-IF(A259="Halm",SUMIFS(IF(E259=År1,'Resultater - Vestdanmark'!H$3:H$504,IF(E259=År2,'Resultater - Vestdanmark'!I$3:I$504,'Resultater - Vestdanmark'!J$3:J$504)),'Resultater - Vestdanmark'!$F$3:$F$504,$A259,'Resultater - Vestdanmark'!H$3:H$504,"&lt;0"),0),-IF(A259="Halm",SUMIFS(IF(E259=År1,'Resultater - Østdanmark'!H$3:H$504,IF(E259=År2,'Resultater - Østdanmark'!I$3:I$504,'Resultater - Østdanmark'!J$3:J$504)),'Resultater - Østdanmark'!$F$3:$F$504,$A259,'Resultater - Østdanmark'!H$3:H$504,"&lt;0"),0))</f>
        <v>0</v>
      </c>
      <c r="J259" s="94"/>
      <c r="K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forbrug'!K$3,'Forbrug af biomasse'!$B$2:$B$425,$F259)</f>
        <v>0</v>
      </c>
      <c r="L259" s="94">
        <f>SUMIFS('Forbrug af biomasse'!$E$2:$E$425,'Forbrug af biomasse'!$C$2:$C$425,'Resultat-Produktion &amp; forbrug'!$A259,'Forbrug af biomasse'!$D$2:$D$425,'Resultat-Produktion &amp; forbrug'!$E259,'Forbrug af biomasse'!$A$2:$A$425,'Resultat-Produktion &amp; forbrug'!L$3,'Forbrug af biomasse'!$B$2:$B$425,$F259)</f>
        <v>0</v>
      </c>
      <c r="M259" s="94">
        <f>IF(A259&lt;&gt;"Biogas",SUMIFS('Forbrug af biomasse'!$E$2:$E$425,'Forbrug af biomasse'!$C$2:$C$425,'Resultat-Produktion &amp; forbrug'!$A259,'Forbrug af biomasse'!$D$2:$D$425,'Resultat-Produktion &amp; forbrug'!$E259,'Forbrug af biomasse'!$A$2:$A$425,'Resultat-Produktion &amp; forbrug'!M$3,'Forbrug af biomasse'!$B$2:$B$425,$F259),G259)</f>
        <v>0</v>
      </c>
      <c r="N259" s="94">
        <f>SUMIFS('Forbrug af biomasse'!E:E,'Forbrug af biomasse'!C:C,'Resultat-Produktion &amp; forbrug'!$A259,'Forbrug af biomasse'!D:D,'Resultat-Produktion &amp; forbrug'!$E259,'Forbrug af biomasse'!G:G,1,'Forbrug af biomasse'!B:B,$F259)</f>
        <v>0</v>
      </c>
      <c r="O259" s="179">
        <f t="shared" si="45"/>
        <v>100376.66803290648</v>
      </c>
      <c r="P259" s="94">
        <f t="shared" si="42"/>
        <v>0</v>
      </c>
      <c r="Q259" s="180">
        <f t="shared" si="46"/>
        <v>0</v>
      </c>
      <c r="R259">
        <f>IFERROR(VLOOKUP(A259,[1]Energiindhold!$A$2:$C$11,3,FALSE),IFERROR(VLOOKUP(A259,[1]Biogasudbytte!$A$2:$B$18,2,FALSE)*[1]Energiindhold!$C$10,0))*P259</f>
        <v>0</v>
      </c>
      <c r="S259">
        <f>IF(A259&lt;&gt;"Biogas",IFERROR(VLOOKUP(A259,[1]Biogasudbytte!$A$2:$B$18,2,FALSE)*[1]Energiindhold!$C$10,0)*K259*IFERROR(VLOOKUP(A259,Biogasanlæg!$F$3:$G$8,2,FALSE),1)+IFERROR(VLOOKUP(A259,[1]Energiindhold!$A$2:$C$11,3,FALSE),0)*M259+IF(E259&lt;&gt;År1,R259,0),0)</f>
        <v>0</v>
      </c>
      <c r="T259">
        <f>IFERROR(VLOOKUP(A259,[1]Biogasudbytte!$A$2:$B$18,2,FALSE)*[1]Energiindhold!$C$10,0)*K259*IFERROR(VLOOKUP(A259,Biogasanlæg!$F$3:$G$8,2,FALSE),1)</f>
        <v>0</v>
      </c>
      <c r="U259" s="170">
        <f t="shared" si="47"/>
        <v>0</v>
      </c>
      <c r="V259" s="169">
        <f>P259*IFERROR(VLOOKUP(A259,[1]Tørstofindhold!A$2:B$24,2,FALSE),0)</f>
        <v>0</v>
      </c>
      <c r="W259">
        <f>IF(E259=År1,Q259,SUM(P259,Q259))*IFERROR(VLOOKUP(A259,[1]Tørstofindhold!A$2:B$24,2,FALSE),0)</f>
        <v>0</v>
      </c>
      <c r="X259">
        <f>K259*IFERROR(VLOOKUP(A259,[1]Tørstofindhold!A$2:B$24,2,FALSE),0)</f>
        <v>0</v>
      </c>
      <c r="Y259" s="170">
        <f t="shared" si="48"/>
        <v>0</v>
      </c>
      <c r="Z259">
        <f t="shared" si="43"/>
        <v>0</v>
      </c>
      <c r="AA259">
        <f t="shared" si="44"/>
        <v>1</v>
      </c>
    </row>
    <row r="260" spans="1:27" x14ac:dyDescent="0.25">
      <c r="A260" s="171" t="str">
        <f t="shared" si="49"/>
        <v>Halm</v>
      </c>
      <c r="B260" s="171" t="str">
        <f t="shared" si="50"/>
        <v>Halm og strå</v>
      </c>
      <c r="C260" s="171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71">
        <f t="shared" si="52"/>
        <v>0</v>
      </c>
      <c r="E260" s="171">
        <f t="shared" si="51"/>
        <v>2050</v>
      </c>
      <c r="F260" t="s">
        <v>24</v>
      </c>
      <c r="G260" s="94">
        <f>IF(F260="Vestdanmark",SUMIFS(IF(E260=År1,'Resultater - Vestdanmark'!H$3:H$504,IF(E260=År2,'Resultater - Vestdanmark'!I$3:I$504,'Resultater - Vestdanmark'!J$3:J$504)),'Resultater - Vestdanmark'!$F$3:$F$504,$A260,IF(E260=År1,'Resultater - Vestdanmark'!H$3:H$504,IF(E260=År2,'Resultater - Vestdanmark'!I$3:I$504,'Resultater - Vestdanmark'!J$3:J$504)),"&gt;0"),SUMIFS(IF(E260=År1,'Resultater - Østdanmark'!H$3:H$504,IF(E260=År2,'Resultater - Østdanmark'!I$3:I$504,'Resultater - Østdanmark'!J$3:J$504)),'Resultater - Østdanmark'!$F$3:$F$504,$A260,IF(E260=År1,'Resultater - Østdanmark'!H$3:H$504,IF(E260=År2,'Resultater - Østdanmark'!I$3:I$504,'Resultater - Østdanmark'!J$3:J$504)),"&gt;0"))</f>
        <v>237236.55198901493</v>
      </c>
      <c r="H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forbrug'!H$3,'Forbrug af biomasse'!$B$2:$B$425,$F260)</f>
        <v>28956.048343518098</v>
      </c>
      <c r="I260">
        <f>IF(F260="Vestdanmark",-IF(A260="Halm",SUMIFS(IF(E260=År1,'Resultater - Vestdanmark'!H$3:H$504,IF(E260=År2,'Resultater - Vestdanmark'!I$3:I$504,'Resultater - Vestdanmark'!J$3:J$504)),'Resultater - Vestdanmark'!$F$3:$F$504,$A260,'Resultater - Vestdanmark'!H$3:H$504,"&lt;0"),0),-IF(A260="Halm",SUMIFS(IF(E260=År1,'Resultater - Østdanmark'!H$3:H$504,IF(E260=År2,'Resultater - Østdanmark'!I$3:I$504,'Resultater - Østdanmark'!J$3:J$504)),'Resultater - Østdanmark'!$F$3:$F$504,$A260,'Resultater - Østdanmark'!H$3:H$504,"&lt;0"),0))</f>
        <v>73473.232241454796</v>
      </c>
      <c r="J260" s="94"/>
      <c r="K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forbrug'!K$3,'Forbrug af biomasse'!$B$2:$B$425,$F260)</f>
        <v>0</v>
      </c>
      <c r="L260" s="94">
        <f>SUMIFS('Forbrug af biomasse'!$E$2:$E$425,'Forbrug af biomasse'!$C$2:$C$425,'Resultat-Produktion &amp; forbrug'!$A260,'Forbrug af biomasse'!$D$2:$D$425,'Resultat-Produktion &amp; forbrug'!$E260,'Forbrug af biomasse'!$A$2:$A$425,'Resultat-Produktion &amp; forbrug'!L$3,'Forbrug af biomasse'!$B$2:$B$425,$F260)</f>
        <v>0</v>
      </c>
      <c r="M260" s="94">
        <f>IF(A260&lt;&gt;"Biogas",SUMIFS('Forbrug af biomasse'!$E$2:$E$425,'Forbrug af biomasse'!$C$2:$C$425,'Resultat-Produktion &amp; forbrug'!$A260,'Forbrug af biomasse'!$D$2:$D$425,'Resultat-Produktion &amp; forbrug'!$E260,'Forbrug af biomasse'!$A$2:$A$425,'Resultat-Produktion &amp; forbrug'!M$3,'Forbrug af biomasse'!$B$2:$B$425,$F260),G260)</f>
        <v>128289.96787416932</v>
      </c>
      <c r="N260" s="94">
        <f>SUMIFS('Forbrug af biomasse'!E:E,'Forbrug af biomasse'!C:C,'Resultat-Produktion &amp; forbrug'!$A260,'Forbrug af biomasse'!D:D,'Resultat-Produktion &amp; forbrug'!$E260,'Forbrug af biomasse'!G:G,1,'Forbrug af biomasse'!B:B,$F260)</f>
        <v>0</v>
      </c>
      <c r="O260" s="179">
        <f t="shared" si="45"/>
        <v>6517.3035298727045</v>
      </c>
      <c r="P260" s="94">
        <f t="shared" ref="P260:P275" si="53">IF(C260=1,IF(O260+IF(SUMIFS($O$4:$O$291,$A$4:$A$291,A260,$E$4:$E$291,E260,$F$4:$F$291,"&lt;&gt;"&amp;F260)&lt;0,SUMIFS($O$4:$O$291,$A$4:$A$291,A260,$E$4:$E$291,E260,$F$4:$F$291,"&lt;&gt;"&amp;F260),0)&gt;0,O260+IF(SUMIFS($O$4:$O$291,$A$4:$A$291,A260,$E$4:$E$291,E260,$F$4:$F$291,"&lt;&gt;"&amp;F260)&lt;0,SUMIFS($O$4:$O$291,$A$4:$A$291,A260,$E$4:$E$291,E260,$F$4:$F$291,"&lt;&gt;"&amp;F260),0),0),0)</f>
        <v>2.9103830456733704E-11</v>
      </c>
      <c r="Q260" s="180">
        <f t="shared" si="46"/>
        <v>128289.96787416932</v>
      </c>
      <c r="R260">
        <f>IFERROR(VLOOKUP(A260,[1]Energiindhold!$A$2:$C$11,3,FALSE),IFERROR(VLOOKUP(A260,[1]Biogasudbytte!$A$2:$B$18,2,FALSE)*[1]Energiindhold!$C$10,0))*P260</f>
        <v>3.0081155532780002E-16</v>
      </c>
      <c r="S260">
        <f>IF(A260&lt;&gt;"Biogas",IFERROR(VLOOKUP(A260,[1]Biogasudbytte!$A$2:$B$18,2,FALSE)*[1]Energiindhold!$C$10,0)*K260*IFERROR(VLOOKUP(A260,Biogasanlæg!$F$3:$G$8,2,FALSE),1)+IFERROR(VLOOKUP(A260,[1]Energiindhold!$A$2:$C$11,3,FALSE),0)*M260+IF(E260&lt;&gt;År1,R260,0),0)</f>
        <v>1.3259802632011835</v>
      </c>
      <c r="T260">
        <f>IFERROR(VLOOKUP(A260,[1]Biogasudbytte!$A$2:$B$18,2,FALSE)*[1]Energiindhold!$C$10,0)*K260*IFERROR(VLOOKUP(A260,Biogasanlæg!$F$3:$G$8,2,FALSE),1)</f>
        <v>0</v>
      </c>
      <c r="U260" s="170">
        <f t="shared" si="47"/>
        <v>1.3259802632011835</v>
      </c>
      <c r="V260" s="169">
        <f>P260*IFERROR(VLOOKUP(A260,[1]Tørstofindhold!A$2:B$24,2,FALSE),0)</f>
        <v>2.4738255888223647E-11</v>
      </c>
      <c r="W260">
        <f>IF(E260=År1,Q260,SUM(P260,Q260))*IFERROR(VLOOKUP(A260,[1]Tørstofindhold!A$2:B$24,2,FALSE),0)</f>
        <v>109046.47269304395</v>
      </c>
      <c r="X260">
        <f>K260*IFERROR(VLOOKUP(A260,[1]Tørstofindhold!A$2:B$24,2,FALSE),0)</f>
        <v>0</v>
      </c>
      <c r="Y260" s="170">
        <f t="shared" si="48"/>
        <v>109046.47269304395</v>
      </c>
      <c r="Z260">
        <f t="shared" ref="Z260:Z275" si="54">IF(SUMIFS($O$4:$O$291,$A$4:$A$291,A260,$E$4:$E$291,E260)&lt;0,1,0)</f>
        <v>0</v>
      </c>
      <c r="AA260">
        <f t="shared" ref="AA260:AA275" si="55">IF(SUMIFS($O$4:$O$291,$A$4:$A$291,A260,$E$4:$E$291,E260)&gt;0,1,0)</f>
        <v>1</v>
      </c>
    </row>
    <row r="261" spans="1:27" x14ac:dyDescent="0.25">
      <c r="A261" s="171" t="str">
        <f t="shared" si="49"/>
        <v>Have/parkaffald</v>
      </c>
      <c r="B261" s="171" t="str">
        <f t="shared" si="50"/>
        <v>Bionedbrydeligt affald</v>
      </c>
      <c r="C261" s="171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1</v>
      </c>
      <c r="D261" s="171">
        <f t="shared" si="52"/>
        <v>0</v>
      </c>
      <c r="E261" s="171">
        <f t="shared" si="51"/>
        <v>2050</v>
      </c>
      <c r="F261" t="s">
        <v>24</v>
      </c>
      <c r="G261" s="94">
        <f>IF(F261="Vestdanmark",SUMIFS(IF(E261=År1,'Resultater - Vestdanmark'!H$3:H$504,IF(E261=År2,'Resultater - Vestdanmark'!I$3:I$504,'Resultater - Vestdanmark'!J$3:J$504)),'Resultater - Vestdanmark'!$F$3:$F$504,$A261,IF(E261=År1,'Resultater - Vestdanmark'!H$3:H$504,IF(E261=År2,'Resultater - Vestdanmark'!I$3:I$504,'Resultater - Vestdanmark'!J$3:J$504)),"&gt;0"),SUMIFS(IF(E261=År1,'Resultater - Østdanmark'!H$3:H$504,IF(E261=År2,'Resultater - Østdanmark'!I$3:I$504,'Resultater - Østdanmark'!J$3:J$504)),'Resultater - Østdanmark'!$F$3:$F$504,$A261,IF(E261=År1,'Resultater - Østdanmark'!H$3:H$504,IF(E261=År2,'Resultater - Østdanmark'!I$3:I$504,'Resultater - Østdanmark'!J$3:J$504)),"&gt;0"))</f>
        <v>457927.02496060182</v>
      </c>
      <c r="H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forbrug'!H$3,'Forbrug af biomasse'!$B$2:$B$425,$F261)</f>
        <v>0</v>
      </c>
      <c r="I261">
        <f>IF(F261="Vestdanmark",-IF(A261="Halm",SUMIFS(IF(E261=År1,'Resultater - Vestdanmark'!H$3:H$504,IF(E261=År2,'Resultater - Vestdanmark'!I$3:I$504,'Resultater - Vestdanmark'!J$3:J$504)),'Resultater - Vestdanmark'!$F$3:$F$504,$A261,'Resultater - Vestdanmark'!H$3:H$504,"&lt;0"),0),-IF(A261="Halm",SUMIFS(IF(E261=År1,'Resultater - Østdanmark'!H$3:H$504,IF(E261=År2,'Resultater - Østdanmark'!I$3:I$504,'Resultater - Østdanmark'!J$3:J$504)),'Resultater - Østdanmark'!$F$3:$F$504,$A261,'Resultater - Østdanmark'!H$3:H$504,"&lt;0"),0))</f>
        <v>0</v>
      </c>
      <c r="J261" s="94"/>
      <c r="K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forbrug'!K$3,'Forbrug af biomasse'!$B$2:$B$425,$F261)</f>
        <v>0</v>
      </c>
      <c r="L261" s="94">
        <f>SUMIFS('Forbrug af biomasse'!$E$2:$E$425,'Forbrug af biomasse'!$C$2:$C$425,'Resultat-Produktion &amp; forbrug'!$A261,'Forbrug af biomasse'!$D$2:$D$425,'Resultat-Produktion &amp; forbrug'!$E261,'Forbrug af biomasse'!$A$2:$A$425,'Resultat-Produktion &amp; forbrug'!L$3,'Forbrug af biomasse'!$B$2:$B$425,$F261)</f>
        <v>0</v>
      </c>
      <c r="M261" s="94">
        <f>IF(A261&lt;&gt;"Biogas",SUMIFS('Forbrug af biomasse'!$E$2:$E$425,'Forbrug af biomasse'!$C$2:$C$425,'Resultat-Produktion &amp; forbrug'!$A261,'Forbrug af biomasse'!$D$2:$D$425,'Resultat-Produktion &amp; forbrug'!$E261,'Forbrug af biomasse'!$A$2:$A$425,'Resultat-Produktion &amp; forbrug'!M$3,'Forbrug af biomasse'!$B$2:$B$425,$F261),G261)</f>
        <v>457927.02496060182</v>
      </c>
      <c r="N261" s="94">
        <f>SUMIFS('Forbrug af biomasse'!E:E,'Forbrug af biomasse'!C:C,'Resultat-Produktion &amp; forbrug'!$A261,'Forbrug af biomasse'!D:D,'Resultat-Produktion &amp; forbrug'!$E261,'Forbrug af biomasse'!G:G,1,'Forbrug af biomasse'!B:B,$F261)</f>
        <v>0</v>
      </c>
      <c r="O261" s="179">
        <f t="shared" si="45"/>
        <v>0</v>
      </c>
      <c r="P261" s="94">
        <f t="shared" si="53"/>
        <v>0</v>
      </c>
      <c r="Q261" s="180">
        <f t="shared" si="46"/>
        <v>457927.02496060182</v>
      </c>
      <c r="R261">
        <f>IFERROR(VLOOKUP(A261,[1]Energiindhold!$A$2:$C$11,3,FALSE),IFERROR(VLOOKUP(A261,[1]Biogasudbytte!$A$2:$B$18,2,FALSE)*[1]Energiindhold!$C$10,0))*P261</f>
        <v>0</v>
      </c>
      <c r="S261">
        <f>IF(A261&lt;&gt;"Biogas",IFERROR(VLOOKUP(A261,[1]Biogasudbytte!$A$2:$B$18,2,FALSE)*[1]Energiindhold!$C$10,0)*K261*IFERROR(VLOOKUP(A261,Biogasanlæg!$F$3:$G$8,2,FALSE),1)+IFERROR(VLOOKUP(A261,[1]Energiindhold!$A$2:$C$11,3,FALSE),0)*M261+IF(E261&lt;&gt;År1,R261,0),0)</f>
        <v>8.1750142319727654</v>
      </c>
      <c r="T261">
        <f>IFERROR(VLOOKUP(A261,[1]Biogasudbytte!$A$2:$B$18,2,FALSE)*[1]Energiindhold!$C$10,0)*K261*IFERROR(VLOOKUP(A261,Biogasanlæg!$F$3:$G$8,2,FALSE),1)</f>
        <v>0</v>
      </c>
      <c r="U261" s="170">
        <f t="shared" si="47"/>
        <v>8.1750142319727654</v>
      </c>
      <c r="V261" s="169">
        <f>P261*IFERROR(VLOOKUP(A261,[1]Tørstofindhold!A$2:B$24,2,FALSE),0)</f>
        <v>0</v>
      </c>
      <c r="W261">
        <f>IF(E261=År1,Q261,SUM(P261,Q261))*IFERROR(VLOOKUP(A261,[1]Tørstofindhold!A$2:B$24,2,FALSE),0)</f>
        <v>137378.10748818054</v>
      </c>
      <c r="X261">
        <f>K261*IFERROR(VLOOKUP(A261,[1]Tørstofindhold!A$2:B$24,2,FALSE),0)</f>
        <v>0</v>
      </c>
      <c r="Y261" s="170">
        <f t="shared" si="48"/>
        <v>137378.10748818054</v>
      </c>
      <c r="Z261">
        <f t="shared" si="54"/>
        <v>0</v>
      </c>
      <c r="AA261">
        <f t="shared" si="55"/>
        <v>0</v>
      </c>
    </row>
    <row r="262" spans="1:27" x14ac:dyDescent="0.25">
      <c r="A262" s="171" t="str">
        <f t="shared" si="49"/>
        <v>Import af foder</v>
      </c>
      <c r="B262" s="171" t="str">
        <f t="shared" si="50"/>
        <v/>
      </c>
      <c r="C262" s="171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0</v>
      </c>
      <c r="D262" s="171">
        <f t="shared" si="52"/>
        <v>1</v>
      </c>
      <c r="E262" s="171">
        <f t="shared" si="51"/>
        <v>2050</v>
      </c>
      <c r="F262" t="s">
        <v>24</v>
      </c>
      <c r="G262" s="94">
        <f>IF(F262="Vestdanmark",SUMIFS(IF(E262=År1,'Resultater - Vestdanmark'!H$3:H$504,IF(E262=År2,'Resultater - Vestdanmark'!I$3:I$504,'Resultater - Vestdanmark'!J$3:J$504)),'Resultater - Vestdanmark'!$F$3:$F$504,$A262,IF(E262=År1,'Resultater - Vestdanmark'!H$3:H$504,IF(E262=År2,'Resultater - Vestdanmark'!I$3:I$504,'Resultater - Vestdanmark'!J$3:J$504)),"&gt;0"),SUMIFS(IF(E262=År1,'Resultater - Østdanmark'!H$3:H$504,IF(E262=År2,'Resultater - Østdanmark'!I$3:I$504,'Resultater - Østdanmark'!J$3:J$504)),'Resultater - Østdanmark'!$F$3:$F$504,$A262,IF(E262=År1,'Resultater - Østdanmark'!H$3:H$504,IF(E262=År2,'Resultater - Østdanmark'!I$3:I$504,'Resultater - Østdanmark'!J$3:J$504)),"&gt;0"))</f>
        <v>0</v>
      </c>
      <c r="H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forbrug'!H$3,'Forbrug af biomasse'!$B$2:$B$425,$F262)</f>
        <v>0</v>
      </c>
      <c r="I262">
        <f>IF(F262="Vestdanmark",-IF(A262="Halm",SUMIFS(IF(E262=År1,'Resultater - Vestdanmark'!H$3:H$504,IF(E262=År2,'Resultater - Vestdanmark'!I$3:I$504,'Resultater - Vestdanmark'!J$3:J$504)),'Resultater - Vestdanmark'!$F$3:$F$504,$A262,'Resultater - Vestdanmark'!H$3:H$504,"&lt;0"),0),-IF(A262="Halm",SUMIFS(IF(E262=År1,'Resultater - Østdanmark'!H$3:H$504,IF(E262=År2,'Resultater - Østdanmark'!I$3:I$504,'Resultater - Østdanmark'!J$3:J$504)),'Resultater - Østdanmark'!$F$3:$F$504,$A262,'Resultater - Østdanmark'!H$3:H$504,"&lt;0"),0))</f>
        <v>0</v>
      </c>
      <c r="J262" s="94"/>
      <c r="K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forbrug'!K$3,'Forbrug af biomasse'!$B$2:$B$425,$F262)</f>
        <v>0</v>
      </c>
      <c r="L262" s="94">
        <f>SUMIFS('Forbrug af biomasse'!$E$2:$E$425,'Forbrug af biomasse'!$C$2:$C$425,'Resultat-Produktion &amp; forbrug'!$A262,'Forbrug af biomasse'!$D$2:$D$425,'Resultat-Produktion &amp; forbrug'!$E262,'Forbrug af biomasse'!$A$2:$A$425,'Resultat-Produktion &amp; forbrug'!L$3,'Forbrug af biomasse'!$B$2:$B$425,$F262)</f>
        <v>0</v>
      </c>
      <c r="M262" s="94">
        <f>IF(A262&lt;&gt;"Biogas",SUMIFS('Forbrug af biomasse'!$E$2:$E$425,'Forbrug af biomasse'!$C$2:$C$425,'Resultat-Produktion &amp; forbrug'!$A262,'Forbrug af biomasse'!$D$2:$D$425,'Resultat-Produktion &amp; forbrug'!$E262,'Forbrug af biomasse'!$A$2:$A$425,'Resultat-Produktion &amp; forbrug'!M$3,'Forbrug af biomasse'!$B$2:$B$425,$F262),G262)</f>
        <v>0</v>
      </c>
      <c r="N262" s="94">
        <f>SUMIFS('Forbrug af biomasse'!E:E,'Forbrug af biomasse'!C:C,'Resultat-Produktion &amp; forbrug'!$A262,'Forbrug af biomasse'!D:D,'Resultat-Produktion &amp; forbrug'!$E262,'Forbrug af biomasse'!G:G,1,'Forbrug af biomasse'!B:B,$F262)</f>
        <v>0</v>
      </c>
      <c r="O262" s="179">
        <f t="shared" si="45"/>
        <v>0</v>
      </c>
      <c r="P262" s="94">
        <f t="shared" si="53"/>
        <v>0</v>
      </c>
      <c r="Q262" s="180">
        <f t="shared" si="46"/>
        <v>0</v>
      </c>
      <c r="R262">
        <f>IFERROR(VLOOKUP(A262,[1]Energiindhold!$A$2:$C$11,3,FALSE),IFERROR(VLOOKUP(A262,[1]Biogasudbytte!$A$2:$B$18,2,FALSE)*[1]Energiindhold!$C$10,0))*P262</f>
        <v>0</v>
      </c>
      <c r="S262">
        <f>IF(A262&lt;&gt;"Biogas",IFERROR(VLOOKUP(A262,[1]Biogasudbytte!$A$2:$B$18,2,FALSE)*[1]Energiindhold!$C$10,0)*K262*IFERROR(VLOOKUP(A262,Biogasanlæg!$F$3:$G$8,2,FALSE),1)+IFERROR(VLOOKUP(A262,[1]Energiindhold!$A$2:$C$11,3,FALSE),0)*M262+IF(E262&lt;&gt;År1,R262,0),0)</f>
        <v>0</v>
      </c>
      <c r="T262">
        <f>IFERROR(VLOOKUP(A262,[1]Biogasudbytte!$A$2:$B$18,2,FALSE)*[1]Energiindhold!$C$10,0)*K262*IFERROR(VLOOKUP(A262,Biogasanlæg!$F$3:$G$8,2,FALSE),1)</f>
        <v>0</v>
      </c>
      <c r="U262" s="170">
        <f t="shared" si="47"/>
        <v>0</v>
      </c>
      <c r="V262" s="169">
        <f>P262*IFERROR(VLOOKUP(A262,[1]Tørstofindhold!A$2:B$24,2,FALSE),0)</f>
        <v>0</v>
      </c>
      <c r="W262">
        <f>IF(E262=År1,Q262,SUM(P262,Q262))*IFERROR(VLOOKUP(A262,[1]Tørstofindhold!A$2:B$24,2,FALSE),0)</f>
        <v>0</v>
      </c>
      <c r="X262">
        <f>K262*IFERROR(VLOOKUP(A262,[1]Tørstofindhold!A$2:B$24,2,FALSE),0)</f>
        <v>0</v>
      </c>
      <c r="Y262" s="170">
        <f t="shared" si="48"/>
        <v>0</v>
      </c>
      <c r="Z262">
        <f t="shared" si="54"/>
        <v>0</v>
      </c>
      <c r="AA262">
        <f t="shared" si="55"/>
        <v>0</v>
      </c>
    </row>
    <row r="263" spans="1:27" x14ac:dyDescent="0.25">
      <c r="A263" s="171" t="str">
        <f t="shared" si="49"/>
        <v>Industriaffald</v>
      </c>
      <c r="B263" s="171" t="str">
        <f t="shared" si="50"/>
        <v>Bionedbrydeligt affald</v>
      </c>
      <c r="C263" s="171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1</v>
      </c>
      <c r="D263" s="171">
        <f t="shared" si="52"/>
        <v>0</v>
      </c>
      <c r="E263" s="171">
        <f t="shared" si="51"/>
        <v>2050</v>
      </c>
      <c r="F263" t="s">
        <v>24</v>
      </c>
      <c r="G263" s="94">
        <f>IF(F263="Vestdanmark",SUMIFS(IF(E263=År1,'Resultater - Vestdanmark'!H$3:H$504,IF(E263=År2,'Resultater - Vestdanmark'!I$3:I$504,'Resultater - Vestdanmark'!J$3:J$504)),'Resultater - Vestdanmark'!$F$3:$F$504,$A263,IF(E263=År1,'Resultater - Vestdanmark'!H$3:H$504,IF(E263=År2,'Resultater - Vestdanmark'!I$3:I$504,'Resultater - Vestdanmark'!J$3:J$504)),"&gt;0"),SUMIFS(IF(E263=År1,'Resultater - Østdanmark'!H$3:H$504,IF(E263=År2,'Resultater - Østdanmark'!I$3:I$504,'Resultater - Østdanmark'!J$3:J$504)),'Resultater - Østdanmark'!$F$3:$F$504,$A263,IF(E263=År1,'Resultater - Østdanmark'!H$3:H$504,IF(E263=År2,'Resultater - Østdanmark'!I$3:I$504,'Resultater - Østdanmark'!J$3:J$504)),"&gt;0"))</f>
        <v>187278.00650272256</v>
      </c>
      <c r="H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forbrug'!H$3,'Forbrug af biomasse'!$B$2:$B$425,$F263)</f>
        <v>0</v>
      </c>
      <c r="I263">
        <f>IF(F263="Vestdanmark",-IF(A263="Halm",SUMIFS(IF(E263=År1,'Resultater - Vestdanmark'!H$3:H$504,IF(E263=År2,'Resultater - Vestdanmark'!I$3:I$504,'Resultater - Vestdanmark'!J$3:J$504)),'Resultater - Vestdanmark'!$F$3:$F$504,$A263,'Resultater - Vestdanmark'!H$3:H$504,"&lt;0"),0),-IF(A263="Halm",SUMIFS(IF(E263=År1,'Resultater - Østdanmark'!H$3:H$504,IF(E263=År2,'Resultater - Østdanmark'!I$3:I$504,'Resultater - Østdanmark'!J$3:J$504)),'Resultater - Østdanmark'!$F$3:$F$504,$A263,'Resultater - Østdanmark'!H$3:H$504,"&lt;0"),0))</f>
        <v>0</v>
      </c>
      <c r="J263" s="94"/>
      <c r="K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forbrug'!K$3,'Forbrug af biomasse'!$B$2:$B$425,$F263)</f>
        <v>0</v>
      </c>
      <c r="L263" s="94">
        <f>SUMIFS('Forbrug af biomasse'!$E$2:$E$425,'Forbrug af biomasse'!$C$2:$C$425,'Resultat-Produktion &amp; forbrug'!$A263,'Forbrug af biomasse'!$D$2:$D$425,'Resultat-Produktion &amp; forbrug'!$E263,'Forbrug af biomasse'!$A$2:$A$425,'Resultat-Produktion &amp; forbrug'!L$3,'Forbrug af biomasse'!$B$2:$B$425,$F263)</f>
        <v>0</v>
      </c>
      <c r="M263" s="94">
        <f>IF(A263&lt;&gt;"Biogas",SUMIFS('Forbrug af biomasse'!$E$2:$E$425,'Forbrug af biomasse'!$C$2:$C$425,'Resultat-Produktion &amp; forbrug'!$A263,'Forbrug af biomasse'!$D$2:$D$425,'Resultat-Produktion &amp; forbrug'!$E263,'Forbrug af biomasse'!$A$2:$A$425,'Resultat-Produktion &amp; forbrug'!M$3,'Forbrug af biomasse'!$B$2:$B$425,$F263),G263)</f>
        <v>0</v>
      </c>
      <c r="N263" s="94">
        <f>SUMIFS('Forbrug af biomasse'!E:E,'Forbrug af biomasse'!C:C,'Resultat-Produktion &amp; forbrug'!$A263,'Forbrug af biomasse'!D:D,'Resultat-Produktion &amp; forbrug'!$E263,'Forbrug af biomasse'!G:G,1,'Forbrug af biomasse'!B:B,$F263)</f>
        <v>0</v>
      </c>
      <c r="O263" s="179">
        <f t="shared" si="45"/>
        <v>187278.00650272256</v>
      </c>
      <c r="P263" s="94">
        <f t="shared" si="53"/>
        <v>187278.00650272256</v>
      </c>
      <c r="Q263" s="180">
        <f t="shared" si="46"/>
        <v>0</v>
      </c>
      <c r="R263">
        <f>IFERROR(VLOOKUP(A263,[1]Energiindhold!$A$2:$C$11,3,FALSE),IFERROR(VLOOKUP(A263,[1]Biogasudbytte!$A$2:$B$18,2,FALSE)*[1]Energiindhold!$C$10,0))*P263</f>
        <v>0.81149994831714234</v>
      </c>
      <c r="S263">
        <f>IF(A263&lt;&gt;"Biogas",IFERROR(VLOOKUP(A263,[1]Biogasudbytte!$A$2:$B$18,2,FALSE)*[1]Energiindhold!$C$10,0)*K263*IFERROR(VLOOKUP(A263,Biogasanlæg!$F$3:$G$8,2,FALSE),1)+IFERROR(VLOOKUP(A263,[1]Energiindhold!$A$2:$C$11,3,FALSE),0)*M263+IF(E263&lt;&gt;År1,R263,0),0)</f>
        <v>0.81149994831714234</v>
      </c>
      <c r="T263">
        <f>IFERROR(VLOOKUP(A263,[1]Biogasudbytte!$A$2:$B$18,2,FALSE)*[1]Energiindhold!$C$10,0)*K263*IFERROR(VLOOKUP(A263,Biogasanlæg!$F$3:$G$8,2,FALSE),1)</f>
        <v>0</v>
      </c>
      <c r="U263" s="170">
        <f t="shared" si="47"/>
        <v>0.81149994831714234</v>
      </c>
      <c r="V263" s="169">
        <f>P263*IFERROR(VLOOKUP(A263,[1]Tørstofindhold!A$2:B$24,2,FALSE),0)</f>
        <v>78656.762731143477</v>
      </c>
      <c r="W263">
        <f>IF(E263=År1,Q263,SUM(P263,Q263))*IFERROR(VLOOKUP(A263,[1]Tørstofindhold!A$2:B$24,2,FALSE),0)</f>
        <v>78656.762731143477</v>
      </c>
      <c r="X263">
        <f>K263*IFERROR(VLOOKUP(A263,[1]Tørstofindhold!A$2:B$24,2,FALSE),0)</f>
        <v>0</v>
      </c>
      <c r="Y263" s="170">
        <f t="shared" si="48"/>
        <v>78656.762731143477</v>
      </c>
      <c r="Z263">
        <f t="shared" si="54"/>
        <v>0</v>
      </c>
      <c r="AA263">
        <f t="shared" si="55"/>
        <v>1</v>
      </c>
    </row>
    <row r="264" spans="1:27" x14ac:dyDescent="0.25">
      <c r="A264" s="171" t="str">
        <f t="shared" si="49"/>
        <v>Juletræer</v>
      </c>
      <c r="B264" s="171" t="str">
        <f t="shared" si="50"/>
        <v/>
      </c>
      <c r="C264" s="171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71">
        <f t="shared" si="52"/>
        <v>0</v>
      </c>
      <c r="E264" s="171">
        <f t="shared" si="51"/>
        <v>2050</v>
      </c>
      <c r="F264" t="s">
        <v>24</v>
      </c>
      <c r="G264" s="94">
        <f>IF(F264="Vestdanmark",SUMIFS(IF(E264=År1,'Resultater - Vestdanmark'!H$3:H$504,IF(E264=År2,'Resultater - Vestdanmark'!I$3:I$504,'Resultater - Vestdanmark'!J$3:J$504)),'Resultater - Vestdanmark'!$F$3:$F$504,$A264,IF(E264=År1,'Resultater - Vestdanmark'!H$3:H$504,IF(E264=År2,'Resultater - Vestdanmark'!I$3:I$504,'Resultater - Vestdanmark'!J$3:J$504)),"&gt;0"),SUMIFS(IF(E264=År1,'Resultater - Østdanmark'!H$3:H$504,IF(E264=År2,'Resultater - Østdanmark'!I$3:I$504,'Resultater - Østdanmark'!J$3:J$504)),'Resultater - Østdanmark'!$F$3:$F$504,$A264,IF(E264=År1,'Resultater - Østdanmark'!H$3:H$504,IF(E264=År2,'Resultater - Østdanmark'!I$3:I$504,'Resultater - Østdanmark'!J$3:J$504)),"&gt;0"))</f>
        <v>128654.0299653736</v>
      </c>
      <c r="H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forbrug'!H$3,'Forbrug af biomasse'!$B$2:$B$425,$F264)</f>
        <v>0</v>
      </c>
      <c r="I264">
        <f>IF(F264="Vestdanmark",-IF(A264="Halm",SUMIFS(IF(E264=År1,'Resultater - Vestdanmark'!H$3:H$504,IF(E264=År2,'Resultater - Vestdanmark'!I$3:I$504,'Resultater - Vestdanmark'!J$3:J$504)),'Resultater - Vestdanmark'!$F$3:$F$504,$A264,'Resultater - Vestdanmark'!H$3:H$504,"&lt;0"),0),-IF(A264="Halm",SUMIFS(IF(E264=År1,'Resultater - Østdanmark'!H$3:H$504,IF(E264=År2,'Resultater - Østdanmark'!I$3:I$504,'Resultater - Østdanmark'!J$3:J$504)),'Resultater - Østdanmark'!$F$3:$F$504,$A264,'Resultater - Østdanmark'!H$3:H$504,"&lt;0"),0))</f>
        <v>0</v>
      </c>
      <c r="J264" s="94"/>
      <c r="K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forbrug'!K$3,'Forbrug af biomasse'!$B$2:$B$425,$F264)</f>
        <v>0</v>
      </c>
      <c r="L264" s="94">
        <f>SUMIFS('Forbrug af biomasse'!$E$2:$E$425,'Forbrug af biomasse'!$C$2:$C$425,'Resultat-Produktion &amp; forbrug'!$A264,'Forbrug af biomasse'!$D$2:$D$425,'Resultat-Produktion &amp; forbrug'!$E264,'Forbrug af biomasse'!$A$2:$A$425,'Resultat-Produktion &amp; forbrug'!L$3,'Forbrug af biomasse'!$B$2:$B$425,$F264)</f>
        <v>0</v>
      </c>
      <c r="M264" s="94">
        <f>IF(A264&lt;&gt;"Biogas",SUMIFS('Forbrug af biomasse'!$E$2:$E$425,'Forbrug af biomasse'!$C$2:$C$425,'Resultat-Produktion &amp; forbrug'!$A264,'Forbrug af biomasse'!$D$2:$D$425,'Resultat-Produktion &amp; forbrug'!$E264,'Forbrug af biomasse'!$A$2:$A$425,'Resultat-Produktion &amp; forbrug'!M$3,'Forbrug af biomasse'!$B$2:$B$425,$F264),G264)</f>
        <v>0</v>
      </c>
      <c r="N264" s="94">
        <f>SUMIFS('Forbrug af biomasse'!E:E,'Forbrug af biomasse'!C:C,'Resultat-Produktion &amp; forbrug'!$A264,'Forbrug af biomasse'!D:D,'Resultat-Produktion &amp; forbrug'!$E264,'Forbrug af biomasse'!G:G,1,'Forbrug af biomasse'!B:B,$F264)</f>
        <v>0</v>
      </c>
      <c r="O264" s="179">
        <f t="shared" si="45"/>
        <v>128654.0299653736</v>
      </c>
      <c r="P264" s="94">
        <f t="shared" si="53"/>
        <v>0</v>
      </c>
      <c r="Q264" s="180">
        <f t="shared" si="46"/>
        <v>0</v>
      </c>
      <c r="R264">
        <f>IFERROR(VLOOKUP(A264,[1]Energiindhold!$A$2:$C$11,3,FALSE),IFERROR(VLOOKUP(A264,[1]Biogasudbytte!$A$2:$B$18,2,FALSE)*[1]Energiindhold!$C$10,0))*P264</f>
        <v>0</v>
      </c>
      <c r="S264">
        <f>IF(A264&lt;&gt;"Biogas",IFERROR(VLOOKUP(A264,[1]Biogasudbytte!$A$2:$B$18,2,FALSE)*[1]Energiindhold!$C$10,0)*K264*IFERROR(VLOOKUP(A264,Biogasanlæg!$F$3:$G$8,2,FALSE),1)+IFERROR(VLOOKUP(A264,[1]Energiindhold!$A$2:$C$11,3,FALSE),0)*M264+IF(E264&lt;&gt;År1,R264,0),0)</f>
        <v>0</v>
      </c>
      <c r="T264">
        <f>IFERROR(VLOOKUP(A264,[1]Biogasudbytte!$A$2:$B$18,2,FALSE)*[1]Energiindhold!$C$10,0)*K264*IFERROR(VLOOKUP(A264,Biogasanlæg!$F$3:$G$8,2,FALSE),1)</f>
        <v>0</v>
      </c>
      <c r="U264" s="170">
        <f t="shared" si="47"/>
        <v>0</v>
      </c>
      <c r="V264" s="169">
        <f>P264*IFERROR(VLOOKUP(A264,[1]Tørstofindhold!A$2:B$24,2,FALSE),0)</f>
        <v>0</v>
      </c>
      <c r="W264">
        <f>IF(E264=År1,Q264,SUM(P264,Q264))*IFERROR(VLOOKUP(A264,[1]Tørstofindhold!A$2:B$24,2,FALSE),0)</f>
        <v>0</v>
      </c>
      <c r="X264">
        <f>K264*IFERROR(VLOOKUP(A264,[1]Tørstofindhold!A$2:B$24,2,FALSE),0)</f>
        <v>0</v>
      </c>
      <c r="Y264" s="170">
        <f t="shared" si="48"/>
        <v>0</v>
      </c>
      <c r="Z264">
        <f t="shared" si="54"/>
        <v>0</v>
      </c>
      <c r="AA264">
        <f t="shared" si="55"/>
        <v>1</v>
      </c>
    </row>
    <row r="265" spans="1:27" x14ac:dyDescent="0.25">
      <c r="A265" s="171" t="str">
        <f t="shared" si="49"/>
        <v>Kartofler</v>
      </c>
      <c r="B265" s="171" t="str">
        <f t="shared" si="50"/>
        <v/>
      </c>
      <c r="C265" s="171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0</v>
      </c>
      <c r="D265" s="171">
        <f t="shared" si="52"/>
        <v>1</v>
      </c>
      <c r="E265" s="171">
        <f t="shared" si="51"/>
        <v>2050</v>
      </c>
      <c r="F265" t="s">
        <v>24</v>
      </c>
      <c r="G265" s="94">
        <f>IF(F265="Vestdanmark",SUMIFS(IF(E265=År1,'Resultater - Vestdanmark'!H$3:H$504,IF(E265=År2,'Resultater - Vestdanmark'!I$3:I$504,'Resultater - Vestdanmark'!J$3:J$504)),'Resultater - Vestdanmark'!$F$3:$F$504,$A265,IF(E265=År1,'Resultater - Vestdanmark'!H$3:H$504,IF(E265=År2,'Resultater - Vestdanmark'!I$3:I$504,'Resultater - Vestdanmark'!J$3:J$504)),"&gt;0"),SUMIFS(IF(E265=År1,'Resultater - Østdanmark'!H$3:H$504,IF(E265=År2,'Resultater - Østdanmark'!I$3:I$504,'Resultater - Østdanmark'!J$3:J$504)),'Resultater - Østdanmark'!$F$3:$F$504,$A265,IF(E265=År1,'Resultater - Østdanmark'!H$3:H$504,IF(E265=År2,'Resultater - Østdanmark'!I$3:I$504,'Resultater - Østdanmark'!J$3:J$504)),"&gt;0"))</f>
        <v>777428.93272593827</v>
      </c>
      <c r="H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forbrug'!H$3,'Forbrug af biomasse'!$B$2:$B$425,$F265)</f>
        <v>220106.23074563002</v>
      </c>
      <c r="I265">
        <f>IF(F265="Vestdanmark",-IF(A265="Halm",SUMIFS(IF(E265=År1,'Resultater - Vestdanmark'!H$3:H$504,IF(E265=År2,'Resultater - Vestdanmark'!I$3:I$504,'Resultater - Vestdanmark'!J$3:J$504)),'Resultater - Vestdanmark'!$F$3:$F$504,$A265,'Resultater - Vestdanmark'!H$3:H$504,"&lt;0"),0),-IF(A265="Halm",SUMIFS(IF(E265=År1,'Resultater - Østdanmark'!H$3:H$504,IF(E265=År2,'Resultater - Østdanmark'!I$3:I$504,'Resultater - Østdanmark'!J$3:J$504)),'Resultater - Østdanmark'!$F$3:$F$504,$A265,'Resultater - Østdanmark'!H$3:H$504,"&lt;0"),0))</f>
        <v>0</v>
      </c>
      <c r="J265" s="94"/>
      <c r="K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forbrug'!K$3,'Forbrug af biomasse'!$B$2:$B$425,$F265)</f>
        <v>0</v>
      </c>
      <c r="L265" s="94">
        <f>SUMIFS('Forbrug af biomasse'!$E$2:$E$425,'Forbrug af biomasse'!$C$2:$C$425,'Resultat-Produktion &amp; forbrug'!$A265,'Forbrug af biomasse'!$D$2:$D$425,'Resultat-Produktion &amp; forbrug'!$E265,'Forbrug af biomasse'!$A$2:$A$425,'Resultat-Produktion &amp; forbrug'!L$3,'Forbrug af biomasse'!$B$2:$B$425,$F265)</f>
        <v>0</v>
      </c>
      <c r="M265" s="94">
        <f>IF(A265&lt;&gt;"Biogas",SUMIFS('Forbrug af biomasse'!$E$2:$E$425,'Forbrug af biomasse'!$C$2:$C$425,'Resultat-Produktion &amp; forbrug'!$A265,'Forbrug af biomasse'!$D$2:$D$425,'Resultat-Produktion &amp; forbrug'!$E265,'Forbrug af biomasse'!$A$2:$A$425,'Resultat-Produktion &amp; forbrug'!M$3,'Forbrug af biomasse'!$B$2:$B$425,$F265),G265)</f>
        <v>0</v>
      </c>
      <c r="N265" s="94">
        <f>SUMIFS('Forbrug af biomasse'!E:E,'Forbrug af biomasse'!C:C,'Resultat-Produktion &amp; forbrug'!$A265,'Forbrug af biomasse'!D:D,'Resultat-Produktion &amp; forbrug'!$E265,'Forbrug af biomasse'!G:G,1,'Forbrug af biomasse'!B:B,$F265)</f>
        <v>0</v>
      </c>
      <c r="O265" s="179">
        <f t="shared" si="45"/>
        <v>557322.70198030828</v>
      </c>
      <c r="P265" s="94">
        <f t="shared" si="53"/>
        <v>0</v>
      </c>
      <c r="Q265" s="180">
        <f t="shared" si="46"/>
        <v>0</v>
      </c>
      <c r="R265">
        <f>IFERROR(VLOOKUP(A265,[1]Energiindhold!$A$2:$C$11,3,FALSE),IFERROR(VLOOKUP(A265,[1]Biogasudbytte!$A$2:$B$18,2,FALSE)*[1]Energiindhold!$C$10,0))*P265</f>
        <v>0</v>
      </c>
      <c r="S265">
        <f>IF(A265&lt;&gt;"Biogas",IFERROR(VLOOKUP(A265,[1]Biogasudbytte!$A$2:$B$18,2,FALSE)*[1]Energiindhold!$C$10,0)*K265*IFERROR(VLOOKUP(A265,Biogasanlæg!$F$3:$G$8,2,FALSE),1)+IFERROR(VLOOKUP(A265,[1]Energiindhold!$A$2:$C$11,3,FALSE),0)*M265+IF(E265&lt;&gt;År1,R265,0),0)</f>
        <v>0</v>
      </c>
      <c r="T265">
        <f>IFERROR(VLOOKUP(A265,[1]Biogasudbytte!$A$2:$B$18,2,FALSE)*[1]Energiindhold!$C$10,0)*K265*IFERROR(VLOOKUP(A265,Biogasanlæg!$F$3:$G$8,2,FALSE),1)</f>
        <v>0</v>
      </c>
      <c r="U265" s="170">
        <f t="shared" si="47"/>
        <v>0</v>
      </c>
      <c r="V265" s="169">
        <f>P265*IFERROR(VLOOKUP(A265,[1]Tørstofindhold!A$2:B$24,2,FALSE),0)</f>
        <v>0</v>
      </c>
      <c r="W265">
        <f>IF(E265=År1,Q265,SUM(P265,Q265))*IFERROR(VLOOKUP(A265,[1]Tørstofindhold!A$2:B$24,2,FALSE),0)</f>
        <v>0</v>
      </c>
      <c r="X265">
        <f>K265*IFERROR(VLOOKUP(A265,[1]Tørstofindhold!A$2:B$24,2,FALSE),0)</f>
        <v>0</v>
      </c>
      <c r="Y265" s="170">
        <f t="shared" si="48"/>
        <v>0</v>
      </c>
      <c r="Z265">
        <f t="shared" si="54"/>
        <v>0</v>
      </c>
      <c r="AA265">
        <f t="shared" si="55"/>
        <v>1</v>
      </c>
    </row>
    <row r="266" spans="1:27" x14ac:dyDescent="0.25">
      <c r="A266" s="171" t="str">
        <f t="shared" si="49"/>
        <v>Korn</v>
      </c>
      <c r="B266" s="171" t="str">
        <f t="shared" si="50"/>
        <v>Halm og strå</v>
      </c>
      <c r="C266" s="171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1</v>
      </c>
      <c r="D266" s="171">
        <f t="shared" si="52"/>
        <v>1</v>
      </c>
      <c r="E266" s="171">
        <f t="shared" si="51"/>
        <v>2050</v>
      </c>
      <c r="F266" t="s">
        <v>24</v>
      </c>
      <c r="G266" s="94">
        <f>IF(F266="Vestdanmark",SUMIFS(IF(E266=År1,'Resultater - Vestdanmark'!H$3:H$504,IF(E266=År2,'Resultater - Vestdanmark'!I$3:I$504,'Resultater - Vestdanmark'!J$3:J$504)),'Resultater - Vestdanmark'!$F$3:$F$504,$A266,IF(E266=År1,'Resultater - Vestdanmark'!H$3:H$504,IF(E266=År2,'Resultater - Vestdanmark'!I$3:I$504,'Resultater - Vestdanmark'!J$3:J$504)),"&gt;0"),SUMIFS(IF(E266=År1,'Resultater - Østdanmark'!H$3:H$504,IF(E266=År2,'Resultater - Østdanmark'!I$3:I$504,'Resultater - Østdanmark'!J$3:J$504)),'Resultater - Østdanmark'!$F$3:$F$504,$A266,IF(E266=År1,'Resultater - Østdanmark'!H$3:H$504,IF(E266=År2,'Resultater - Østdanmark'!I$3:I$504,'Resultater - Østdanmark'!J$3:J$504)),"&gt;0"))</f>
        <v>160350.24819795735</v>
      </c>
      <c r="H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forbrug'!H$3,'Forbrug af biomasse'!$B$2:$B$425,$F266)</f>
        <v>49529.771665708242</v>
      </c>
      <c r="I266">
        <f>IF(F266="Vestdanmark",-IF(A266="Halm",SUMIFS(IF(E266=År1,'Resultater - Vestdanmark'!H$3:H$504,IF(E266=År2,'Resultater - Vestdanmark'!I$3:I$504,'Resultater - Vestdanmark'!J$3:J$504)),'Resultater - Vestdanmark'!$F$3:$F$504,$A266,'Resultater - Vestdanmark'!H$3:H$504,"&lt;0"),0),-IF(A266="Halm",SUMIFS(IF(E266=År1,'Resultater - Østdanmark'!H$3:H$504,IF(E266=År2,'Resultater - Østdanmark'!I$3:I$504,'Resultater - Østdanmark'!J$3:J$504)),'Resultater - Østdanmark'!$F$3:$F$504,$A266,'Resultater - Østdanmark'!H$3:H$504,"&lt;0"),0))</f>
        <v>0</v>
      </c>
      <c r="J266" s="94"/>
      <c r="K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forbrug'!K$3,'Forbrug af biomasse'!$B$2:$B$425,$F266)</f>
        <v>0</v>
      </c>
      <c r="L266" s="94">
        <f>SUMIFS('Forbrug af biomasse'!$E$2:$E$425,'Forbrug af biomasse'!$C$2:$C$425,'Resultat-Produktion &amp; forbrug'!$A266,'Forbrug af biomasse'!$D$2:$D$425,'Resultat-Produktion &amp; forbrug'!$E266,'Forbrug af biomasse'!$A$2:$A$425,'Resultat-Produktion &amp; forbrug'!L$3,'Forbrug af biomasse'!$B$2:$B$425,$F266)</f>
        <v>0</v>
      </c>
      <c r="M266" s="94">
        <f>IF(A266&lt;&gt;"Biogas",SUMIFS('Forbrug af biomasse'!$E$2:$E$425,'Forbrug af biomasse'!$C$2:$C$425,'Resultat-Produktion &amp; forbrug'!$A266,'Forbrug af biomasse'!$D$2:$D$425,'Resultat-Produktion &amp; forbrug'!$E266,'Forbrug af biomasse'!$A$2:$A$425,'Resultat-Produktion &amp; forbrug'!M$3,'Forbrug af biomasse'!$B$2:$B$425,$F266),G266)</f>
        <v>0</v>
      </c>
      <c r="N266" s="94">
        <f>SUMIFS('Forbrug af biomasse'!E:E,'Forbrug af biomasse'!C:C,'Resultat-Produktion &amp; forbrug'!$A266,'Forbrug af biomasse'!D:D,'Resultat-Produktion &amp; forbrug'!$E266,'Forbrug af biomasse'!G:G,1,'Forbrug af biomasse'!B:B,$F266)</f>
        <v>0</v>
      </c>
      <c r="O266" s="179">
        <f t="shared" si="45"/>
        <v>110820.4765322491</v>
      </c>
      <c r="P266" s="94">
        <f t="shared" si="53"/>
        <v>110820.4765322491</v>
      </c>
      <c r="Q266" s="180">
        <f t="shared" si="46"/>
        <v>0</v>
      </c>
      <c r="R266">
        <f>IFERROR(VLOOKUP(A266,[1]Energiindhold!$A$2:$C$11,3,FALSE),IFERROR(VLOOKUP(A266,[1]Biogasudbytte!$A$2:$B$18,2,FALSE)*[1]Energiindhold!$C$10,0))*P266</f>
        <v>0.37954461725623873</v>
      </c>
      <c r="S266">
        <f>IF(A266&lt;&gt;"Biogas",IFERROR(VLOOKUP(A266,[1]Biogasudbytte!$A$2:$B$18,2,FALSE)*[1]Energiindhold!$C$10,0)*K266*IFERROR(VLOOKUP(A266,Biogasanlæg!$F$3:$G$8,2,FALSE),1)+IFERROR(VLOOKUP(A266,[1]Energiindhold!$A$2:$C$11,3,FALSE),0)*M266+IF(E266&lt;&gt;År1,R266,0),0)</f>
        <v>0.37954461725623873</v>
      </c>
      <c r="T266">
        <f>IFERROR(VLOOKUP(A266,[1]Biogasudbytte!$A$2:$B$18,2,FALSE)*[1]Energiindhold!$C$10,0)*K266*IFERROR(VLOOKUP(A266,Biogasanlæg!$F$3:$G$8,2,FALSE),1)</f>
        <v>0</v>
      </c>
      <c r="U266" s="170">
        <f t="shared" si="47"/>
        <v>0.37954461725623873</v>
      </c>
      <c r="V266" s="169">
        <f>P266*IFERROR(VLOOKUP(A266,[1]Tørstofindhold!A$2:B$24,2,FALSE),0)</f>
        <v>34354.34772499722</v>
      </c>
      <c r="W266">
        <f>IF(E266=År1,Q266,SUM(P266,Q266))*IFERROR(VLOOKUP(A266,[1]Tørstofindhold!A$2:B$24,2,FALSE),0)</f>
        <v>34354.34772499722</v>
      </c>
      <c r="X266">
        <f>K266*IFERROR(VLOOKUP(A266,[1]Tørstofindhold!A$2:B$24,2,FALSE),0)</f>
        <v>0</v>
      </c>
      <c r="Y266" s="170">
        <f t="shared" si="48"/>
        <v>34354.34772499722</v>
      </c>
      <c r="Z266">
        <f t="shared" si="54"/>
        <v>0</v>
      </c>
      <c r="AA266">
        <f t="shared" si="55"/>
        <v>1</v>
      </c>
    </row>
    <row r="267" spans="1:27" x14ac:dyDescent="0.25">
      <c r="A267" s="171" t="str">
        <f t="shared" si="49"/>
        <v>Kunstgødning</v>
      </c>
      <c r="B267" s="171" t="str">
        <f t="shared" si="50"/>
        <v/>
      </c>
      <c r="C267" s="171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0</v>
      </c>
      <c r="D267" s="171">
        <f t="shared" si="52"/>
        <v>0</v>
      </c>
      <c r="E267" s="171">
        <f t="shared" si="51"/>
        <v>2050</v>
      </c>
      <c r="F267" t="s">
        <v>24</v>
      </c>
      <c r="G267" s="94">
        <f>IF(F267="Vestdanmark",SUMIFS(IF(E267=År1,'Resultater - Vestdanmark'!H$3:H$504,IF(E267=År2,'Resultater - Vestdanmark'!I$3:I$504,'Resultater - Vestdanmark'!J$3:J$504)),'Resultater - Vestdanmark'!$F$3:$F$504,$A267,IF(E267=År1,'Resultater - Vestdanmark'!H$3:H$504,IF(E267=År2,'Resultater - Vestdanmark'!I$3:I$504,'Resultater - Vestdanmark'!J$3:J$504)),"&gt;0"),SUMIFS(IF(E267=År1,'Resultater - Østdanmark'!H$3:H$504,IF(E267=År2,'Resultater - Østdanmark'!I$3:I$504,'Resultater - Østdanmark'!J$3:J$504)),'Resultater - Østdanmark'!$F$3:$F$504,$A267,IF(E267=År1,'Resultater - Østdanmark'!H$3:H$504,IF(E267=År2,'Resultater - Østdanmark'!I$3:I$504,'Resultater - Østdanmark'!J$3:J$504)),"&gt;0"))</f>
        <v>0</v>
      </c>
      <c r="H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forbrug'!H$3,'Forbrug af biomasse'!$B$2:$B$425,$F267)</f>
        <v>0</v>
      </c>
      <c r="I267">
        <f>IF(F267="Vestdanmark",-IF(A267="Halm",SUMIFS(IF(E267=År1,'Resultater - Vestdanmark'!H$3:H$504,IF(E267=År2,'Resultater - Vestdanmark'!I$3:I$504,'Resultater - Vestdanmark'!J$3:J$504)),'Resultater - Vestdanmark'!$F$3:$F$504,$A267,'Resultater - Vestdanmark'!H$3:H$504,"&lt;0"),0),-IF(A267="Halm",SUMIFS(IF(E267=År1,'Resultater - Østdanmark'!H$3:H$504,IF(E267=År2,'Resultater - Østdanmark'!I$3:I$504,'Resultater - Østdanmark'!J$3:J$504)),'Resultater - Østdanmark'!$F$3:$F$504,$A267,'Resultater - Østdanmark'!H$3:H$504,"&lt;0"),0))</f>
        <v>0</v>
      </c>
      <c r="J267" s="94"/>
      <c r="K267" s="94">
        <f>SUMIFS('Forbrug af biomasse'!$E$2:$E$425,'Forbrug af biomasse'!$C$2:$C$425,'Resultat-Produktion &amp; forbrug'!$A267,'Forbrug af biomasse'!$D$2:$D$425,'Resultat-Produktion &amp; forbrug'!$E267,'Forbrug af biomasse'!$A$2:$A$425,'Resultat-Produktion &amp; forbrug'!K$3,'Forbrug af biomasse'!$B$2:$B$425,$F267)</f>
        <v>0</v>
      </c>
      <c r="L267" s="94">
        <f ca="1">SUMIFS('Forbrug af biomasse'!$E$2:$E$425,'Forbrug af biomasse'!$C$2:$C$425,'Resultat-Produktion &amp; forbrug'!$A267,'Forbrug af biomasse'!$D$2:$D$425,'Resultat-Produktion &amp; forbrug'!$E267,'Forbrug af biomasse'!$A$2:$A$425,'Resultat-Produktion &amp; forbrug'!L$3,'Forbrug af biomasse'!$B$2:$B$425,$F267)</f>
        <v>351154.23536016268</v>
      </c>
      <c r="M267" s="94">
        <f>IF(A267&lt;&gt;"Biogas",SUMIFS('Forbrug af biomasse'!$E$2:$E$425,'Forbrug af biomasse'!$C$2:$C$425,'Resultat-Produktion &amp; forbrug'!$A267,'Forbrug af biomasse'!$D$2:$D$425,'Resultat-Produktion &amp; forbrug'!$E267,'Forbrug af biomasse'!$A$2:$A$425,'Resultat-Produktion &amp; forbrug'!M$3,'Forbrug af biomasse'!$B$2:$B$425,$F267),G267)</f>
        <v>0</v>
      </c>
      <c r="N267" s="94">
        <f>SUMIFS('Forbrug af biomasse'!E:E,'Forbrug af biomasse'!C:C,'Resultat-Produktion &amp; forbrug'!$A267,'Forbrug af biomasse'!D:D,'Resultat-Produktion &amp; forbrug'!$E267,'Forbrug af biomasse'!G:G,1,'Forbrug af biomasse'!B:B,$F267)</f>
        <v>0</v>
      </c>
      <c r="O267" s="179">
        <f t="shared" ca="1" si="45"/>
        <v>-351154.23536016268</v>
      </c>
      <c r="P267" s="94">
        <f t="shared" si="53"/>
        <v>0</v>
      </c>
      <c r="Q267" s="180">
        <f t="shared" si="46"/>
        <v>0</v>
      </c>
      <c r="R267">
        <f>IFERROR(VLOOKUP(A267,[1]Energiindhold!$A$2:$C$11,3,FALSE),IFERROR(VLOOKUP(A267,[1]Biogasudbytte!$A$2:$B$18,2,FALSE)*[1]Energiindhold!$C$10,0))*P267</f>
        <v>0</v>
      </c>
      <c r="S267">
        <f>IF(A267&lt;&gt;"Biogas",IFERROR(VLOOKUP(A267,[1]Biogasudbytte!$A$2:$B$18,2,FALSE)*[1]Energiindhold!$C$10,0)*K267*IFERROR(VLOOKUP(A267,Biogasanlæg!$F$3:$G$8,2,FALSE),1)+IFERROR(VLOOKUP(A267,[1]Energiindhold!$A$2:$C$11,3,FALSE),0)*M267+IF(E267&lt;&gt;År1,R267,0),0)</f>
        <v>0</v>
      </c>
      <c r="T267">
        <f>IFERROR(VLOOKUP(A267,[1]Biogasudbytte!$A$2:$B$18,2,FALSE)*[1]Energiindhold!$C$10,0)*K267*IFERROR(VLOOKUP(A267,Biogasanlæg!$F$3:$G$8,2,FALSE),1)</f>
        <v>0</v>
      </c>
      <c r="U267" s="170">
        <f t="shared" si="47"/>
        <v>0</v>
      </c>
      <c r="V267" s="169">
        <f>P267*IFERROR(VLOOKUP(A267,[1]Tørstofindhold!A$2:B$24,2,FALSE),0)</f>
        <v>0</v>
      </c>
      <c r="W267">
        <f>IF(E267=År1,Q267,SUM(P267,Q267))*IFERROR(VLOOKUP(A267,[1]Tørstofindhold!A$2:B$24,2,FALSE),0)</f>
        <v>0</v>
      </c>
      <c r="X267">
        <f>K267*IFERROR(VLOOKUP(A267,[1]Tørstofindhold!A$2:B$24,2,FALSE),0)</f>
        <v>0</v>
      </c>
      <c r="Y267" s="170">
        <f t="shared" si="48"/>
        <v>0</v>
      </c>
      <c r="Z267">
        <f t="shared" ca="1" si="54"/>
        <v>1</v>
      </c>
      <c r="AA267">
        <f t="shared" ca="1" si="55"/>
        <v>0</v>
      </c>
    </row>
    <row r="268" spans="1:27" x14ac:dyDescent="0.25">
      <c r="A268" s="171" t="str">
        <f t="shared" si="49"/>
        <v>Kvæggylle</v>
      </c>
      <c r="B268" s="171" t="str">
        <f t="shared" si="50"/>
        <v>Husdyrgødning</v>
      </c>
      <c r="C268" s="171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1</v>
      </c>
      <c r="D268" s="171">
        <f t="shared" si="52"/>
        <v>0</v>
      </c>
      <c r="E268" s="171">
        <f t="shared" si="51"/>
        <v>2050</v>
      </c>
      <c r="F268" t="s">
        <v>24</v>
      </c>
      <c r="G268" s="94">
        <f>IF(F268="Vestdanmark",SUMIFS(IF(E268=År1,'Resultater - Vestdanmark'!H$3:H$504,IF(E268=År2,'Resultater - Vestdanmark'!I$3:I$504,'Resultater - Vestdanmark'!J$3:J$504)),'Resultater - Vestdanmark'!$F$3:$F$504,$A268,IF(E268=År1,'Resultater - Vestdanmark'!H$3:H$504,IF(E268=År2,'Resultater - Vestdanmark'!I$3:I$504,'Resultater - Vestdanmark'!J$3:J$504)),"&gt;0"),SUMIFS(IF(E268=År1,'Resultater - Østdanmark'!H$3:H$504,IF(E268=År2,'Resultater - Østdanmark'!I$3:I$504,'Resultater - Østdanmark'!J$3:J$504)),'Resultater - Østdanmark'!$F$3:$F$504,$A268,IF(E268=År1,'Resultater - Østdanmark'!H$3:H$504,IF(E268=År2,'Resultater - Østdanmark'!I$3:I$504,'Resultater - Østdanmark'!J$3:J$504)),"&gt;0"))</f>
        <v>4885.9701831397151</v>
      </c>
      <c r="H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forbrug'!H$3,'Forbrug af biomasse'!$B$2:$B$425,$F268)</f>
        <v>0</v>
      </c>
      <c r="I268">
        <f>IF(F268="Vestdanmark",-IF(A268="Halm",SUMIFS(IF(E268=År1,'Resultater - Vestdanmark'!H$3:H$504,IF(E268=År2,'Resultater - Vestdanmark'!I$3:I$504,'Resultater - Vestdanmark'!J$3:J$504)),'Resultater - Vestdanmark'!$F$3:$F$504,$A268,'Resultater - Vestdanmark'!H$3:H$504,"&lt;0"),0),-IF(A268="Halm",SUMIFS(IF(E268=År1,'Resultater - Østdanmark'!H$3:H$504,IF(E268=År2,'Resultater - Østdanmark'!I$3:I$504,'Resultater - Østdanmark'!J$3:J$504)),'Resultater - Østdanmark'!$F$3:$F$504,$A268,'Resultater - Østdanmark'!H$3:H$504,"&lt;0"),0))</f>
        <v>0</v>
      </c>
      <c r="J268" s="94"/>
      <c r="K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forbrug'!K$3,'Forbrug af biomasse'!$B$2:$B$425,$F268)</f>
        <v>4397.3731648257435</v>
      </c>
      <c r="L268" s="94">
        <f>SUMIFS('Forbrug af biomasse'!$E$2:$E$425,'Forbrug af biomasse'!$C$2:$C$425,'Resultat-Produktion &amp; forbrug'!$A268,'Forbrug af biomasse'!$D$2:$D$425,'Resultat-Produktion &amp; forbrug'!$E268,'Forbrug af biomasse'!$A$2:$A$425,'Resultat-Produktion &amp; forbrug'!L$3,'Forbrug af biomasse'!$B$2:$B$425,$F268)</f>
        <v>488.59701831397138</v>
      </c>
      <c r="M268" s="94">
        <f>IF(A268&lt;&gt;"Biogas",SUMIFS('Forbrug af biomasse'!$E$2:$E$425,'Forbrug af biomasse'!$C$2:$C$425,'Resultat-Produktion &amp; forbrug'!$A268,'Forbrug af biomasse'!$D$2:$D$425,'Resultat-Produktion &amp; forbrug'!$E268,'Forbrug af biomasse'!$A$2:$A$425,'Resultat-Produktion &amp; forbrug'!M$3,'Forbrug af biomasse'!$B$2:$B$425,$F268),G268)</f>
        <v>0</v>
      </c>
      <c r="N268" s="94">
        <f>SUMIFS('Forbrug af biomasse'!E:E,'Forbrug af biomasse'!C:C,'Resultat-Produktion &amp; forbrug'!$A268,'Forbrug af biomasse'!D:D,'Resultat-Produktion &amp; forbrug'!$E268,'Forbrug af biomasse'!G:G,1,'Forbrug af biomasse'!B:B,$F268)</f>
        <v>0</v>
      </c>
      <c r="O268" s="179">
        <f t="shared" si="45"/>
        <v>0</v>
      </c>
      <c r="P268" s="94">
        <f t="shared" si="53"/>
        <v>0</v>
      </c>
      <c r="Q268" s="180">
        <f t="shared" si="46"/>
        <v>4397.3731648257435</v>
      </c>
      <c r="R268">
        <f>IFERROR(VLOOKUP(A268,[1]Energiindhold!$A$2:$C$11,3,FALSE),IFERROR(VLOOKUP(A268,[1]Biogasudbytte!$A$2:$B$18,2,FALSE)*[1]Energiindhold!$C$10,0))*P268</f>
        <v>0</v>
      </c>
      <c r="S268">
        <f>IF(A268&lt;&gt;"Biogas",IFERROR(VLOOKUP(A268,[1]Biogasudbytte!$A$2:$B$18,2,FALSE)*[1]Energiindhold!$C$10,0)*K268*IFERROR(VLOOKUP(A268,Biogasanlæg!$F$3:$G$8,2,FALSE),1)+IFERROR(VLOOKUP(A268,[1]Energiindhold!$A$2:$C$11,3,FALSE),0)*M268+IF(E268&lt;&gt;År1,R268,0),0)</f>
        <v>2.2259063223031435E-3</v>
      </c>
      <c r="T268">
        <f>IFERROR(VLOOKUP(A268,[1]Biogasudbytte!$A$2:$B$18,2,FALSE)*[1]Energiindhold!$C$10,0)*K268*IFERROR(VLOOKUP(A268,Biogasanlæg!$F$3:$G$8,2,FALSE),1)</f>
        <v>2.2259063223031435E-3</v>
      </c>
      <c r="U268" s="170">
        <f t="shared" si="47"/>
        <v>0</v>
      </c>
      <c r="V268" s="169">
        <f>P268*IFERROR(VLOOKUP(A268,[1]Tørstofindhold!A$2:B$24,2,FALSE),0)</f>
        <v>0</v>
      </c>
      <c r="W268">
        <f>IF(E268=År1,Q268,SUM(P268,Q268))*IFERROR(VLOOKUP(A268,[1]Tørstofindhold!A$2:B$24,2,FALSE),0)</f>
        <v>334.20036052675653</v>
      </c>
      <c r="X268">
        <f>K268*IFERROR(VLOOKUP(A268,[1]Tørstofindhold!A$2:B$24,2,FALSE),0)</f>
        <v>334.20036052675653</v>
      </c>
      <c r="Y268" s="170">
        <f t="shared" si="48"/>
        <v>0</v>
      </c>
      <c r="Z268">
        <f t="shared" si="54"/>
        <v>0</v>
      </c>
      <c r="AA268">
        <f t="shared" si="55"/>
        <v>0</v>
      </c>
    </row>
    <row r="269" spans="1:27" x14ac:dyDescent="0.25">
      <c r="A269" s="171" t="str">
        <f t="shared" si="49"/>
        <v>Mælk til foder</v>
      </c>
      <c r="B269" s="171" t="str">
        <f t="shared" si="50"/>
        <v/>
      </c>
      <c r="C269" s="171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0</v>
      </c>
      <c r="D269" s="171">
        <f t="shared" si="52"/>
        <v>0</v>
      </c>
      <c r="E269" s="171">
        <f t="shared" si="51"/>
        <v>2050</v>
      </c>
      <c r="F269" t="s">
        <v>24</v>
      </c>
      <c r="G269" s="94">
        <f>IF(F269="Vestdanmark",SUMIFS(IF(E269=År1,'Resultater - Vestdanmark'!H$3:H$504,IF(E269=År2,'Resultater - Vestdanmark'!I$3:I$504,'Resultater - Vestdanmark'!J$3:J$504)),'Resultater - Vestdanmark'!$F$3:$F$504,$A269,IF(E269=År1,'Resultater - Vestdanmark'!H$3:H$504,IF(E269=År2,'Resultater - Vestdanmark'!I$3:I$504,'Resultater - Vestdanmark'!J$3:J$504)),"&gt;0"),SUMIFS(IF(E269=År1,'Resultater - Østdanmark'!H$3:H$504,IF(E269=År2,'Resultater - Østdanmark'!I$3:I$504,'Resultater - Østdanmark'!J$3:J$504)),'Resultater - Østdanmark'!$F$3:$F$504,$A269,IF(E269=År1,'Resultater - Østdanmark'!H$3:H$504,IF(E269=År2,'Resultater - Østdanmark'!I$3:I$504,'Resultater - Østdanmark'!J$3:J$504)),"&gt;0"))</f>
        <v>0</v>
      </c>
      <c r="H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forbrug'!H$3,'Forbrug af biomasse'!$B$2:$B$425,$F269)</f>
        <v>0</v>
      </c>
      <c r="I269">
        <f>IF(F269="Vestdanmark",-IF(A269="Halm",SUMIFS(IF(E269=År1,'Resultater - Vestdanmark'!H$3:H$504,IF(E269=År2,'Resultater - Vestdanmark'!I$3:I$504,'Resultater - Vestdanmark'!J$3:J$504)),'Resultater - Vestdanmark'!$F$3:$F$504,$A269,'Resultater - Vestdanmark'!H$3:H$504,"&lt;0"),0),-IF(A269="Halm",SUMIFS(IF(E269=År1,'Resultater - Østdanmark'!H$3:H$504,IF(E269=År2,'Resultater - Østdanmark'!I$3:I$504,'Resultater - Østdanmark'!J$3:J$504)),'Resultater - Østdanmark'!$F$3:$F$504,$A269,'Resultater - Østdanmark'!H$3:H$504,"&lt;0"),0))</f>
        <v>0</v>
      </c>
      <c r="J269" s="94"/>
      <c r="K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forbrug'!K$3,'Forbrug af biomasse'!$B$2:$B$425,$F269)</f>
        <v>0</v>
      </c>
      <c r="L269" s="94">
        <f>SUMIFS('Forbrug af biomasse'!$E$2:$E$425,'Forbrug af biomasse'!$C$2:$C$425,'Resultat-Produktion &amp; forbrug'!$A269,'Forbrug af biomasse'!$D$2:$D$425,'Resultat-Produktion &amp; forbrug'!$E269,'Forbrug af biomasse'!$A$2:$A$425,'Resultat-Produktion &amp; forbrug'!L$3,'Forbrug af biomasse'!$B$2:$B$425,$F269)</f>
        <v>0</v>
      </c>
      <c r="M269" s="94">
        <f>IF(A269&lt;&gt;"Biogas",SUMIFS('Forbrug af biomasse'!$E$2:$E$425,'Forbrug af biomasse'!$C$2:$C$425,'Resultat-Produktion &amp; forbrug'!$A269,'Forbrug af biomasse'!$D$2:$D$425,'Resultat-Produktion &amp; forbrug'!$E269,'Forbrug af biomasse'!$A$2:$A$425,'Resultat-Produktion &amp; forbrug'!M$3,'Forbrug af biomasse'!$B$2:$B$425,$F269),G269)</f>
        <v>0</v>
      </c>
      <c r="N269" s="94">
        <f>SUMIFS('Forbrug af biomasse'!E:E,'Forbrug af biomasse'!C:C,'Resultat-Produktion &amp; forbrug'!$A269,'Forbrug af biomasse'!D:D,'Resultat-Produktion &amp; forbrug'!$E269,'Forbrug af biomasse'!G:G,1,'Forbrug af biomasse'!B:B,$F269)</f>
        <v>0</v>
      </c>
      <c r="O269" s="179">
        <f t="shared" si="45"/>
        <v>0</v>
      </c>
      <c r="P269" s="94">
        <f t="shared" si="53"/>
        <v>0</v>
      </c>
      <c r="Q269" s="180">
        <f t="shared" si="46"/>
        <v>0</v>
      </c>
      <c r="R269">
        <f>IFERROR(VLOOKUP(A269,[1]Energiindhold!$A$2:$C$11,3,FALSE),IFERROR(VLOOKUP(A269,[1]Biogasudbytte!$A$2:$B$18,2,FALSE)*[1]Energiindhold!$C$10,0))*P269</f>
        <v>0</v>
      </c>
      <c r="S269">
        <f>IF(A269&lt;&gt;"Biogas",IFERROR(VLOOKUP(A269,[1]Biogasudbytte!$A$2:$B$18,2,FALSE)*[1]Energiindhold!$C$10,0)*K269*IFERROR(VLOOKUP(A269,Biogasanlæg!$F$3:$G$8,2,FALSE),1)+IFERROR(VLOOKUP(A269,[1]Energiindhold!$A$2:$C$11,3,FALSE),0)*M269+IF(E269&lt;&gt;År1,R269,0),0)</f>
        <v>0</v>
      </c>
      <c r="T269">
        <f>IFERROR(VLOOKUP(A269,[1]Biogasudbytte!$A$2:$B$18,2,FALSE)*[1]Energiindhold!$C$10,0)*K269*IFERROR(VLOOKUP(A269,Biogasanlæg!$F$3:$G$8,2,FALSE),1)</f>
        <v>0</v>
      </c>
      <c r="U269" s="170">
        <f t="shared" si="47"/>
        <v>0</v>
      </c>
      <c r="V269" s="169">
        <f>P269*IFERROR(VLOOKUP(A269,[1]Tørstofindhold!A$2:B$24,2,FALSE),0)</f>
        <v>0</v>
      </c>
      <c r="W269">
        <f>IF(E269=År1,Q269,SUM(P269,Q269))*IFERROR(VLOOKUP(A269,[1]Tørstofindhold!A$2:B$24,2,FALSE),0)</f>
        <v>0</v>
      </c>
      <c r="X269">
        <f>K269*IFERROR(VLOOKUP(A269,[1]Tørstofindhold!A$2:B$24,2,FALSE),0)</f>
        <v>0</v>
      </c>
      <c r="Y269" s="170">
        <f t="shared" si="48"/>
        <v>0</v>
      </c>
      <c r="Z269">
        <f t="shared" si="54"/>
        <v>0</v>
      </c>
      <c r="AA269">
        <f t="shared" si="55"/>
        <v>0</v>
      </c>
    </row>
    <row r="270" spans="1:27" x14ac:dyDescent="0.25">
      <c r="A270" s="171" t="str">
        <f t="shared" si="49"/>
        <v>Majs</v>
      </c>
      <c r="B270" s="171" t="str">
        <f t="shared" si="50"/>
        <v>Græs og urter</v>
      </c>
      <c r="C270" s="171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1</v>
      </c>
      <c r="D270" s="171">
        <f t="shared" si="52"/>
        <v>1</v>
      </c>
      <c r="E270" s="171">
        <f t="shared" si="51"/>
        <v>2050</v>
      </c>
      <c r="F270" t="s">
        <v>24</v>
      </c>
      <c r="G270" s="94">
        <f>IF(F270="Vestdanmark",SUMIFS(IF(E270=År1,'Resultater - Vestdanmark'!H$3:H$504,IF(E270=År2,'Resultater - Vestdanmark'!I$3:I$504,'Resultater - Vestdanmark'!J$3:J$504)),'Resultater - Vestdanmark'!$F$3:$F$504,$A270,IF(E270=År1,'Resultater - Vestdanmark'!H$3:H$504,IF(E270=År2,'Resultater - Vestdanmark'!I$3:I$504,'Resultater - Vestdanmark'!J$3:J$504)),"&gt;0"),SUMIFS(IF(E270=År1,'Resultater - Østdanmark'!H$3:H$504,IF(E270=År2,'Resultater - Østdanmark'!I$3:I$504,'Resultater - Østdanmark'!J$3:J$504)),'Resultater - Østdanmark'!$F$3:$F$504,$A270,IF(E270=År1,'Resultater - Østdanmark'!H$3:H$504,IF(E270=År2,'Resultater - Østdanmark'!I$3:I$504,'Resultater - Østdanmark'!J$3:J$504)),"&gt;0"))</f>
        <v>170724.37456200234</v>
      </c>
      <c r="H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forbrug'!H$3,'Forbrug af biomasse'!$B$2:$B$425,$F270)</f>
        <v>51926.585742627525</v>
      </c>
      <c r="I270">
        <f>IF(F270="Vestdanmark",-IF(A270="Halm",SUMIFS(IF(E270=År1,'Resultater - Vestdanmark'!H$3:H$504,IF(E270=År2,'Resultater - Vestdanmark'!I$3:I$504,'Resultater - Vestdanmark'!J$3:J$504)),'Resultater - Vestdanmark'!$F$3:$F$504,$A270,'Resultater - Vestdanmark'!H$3:H$504,"&lt;0"),0),-IF(A270="Halm",SUMIFS(IF(E270=År1,'Resultater - Østdanmark'!H$3:H$504,IF(E270=År2,'Resultater - Østdanmark'!I$3:I$504,'Resultater - Østdanmark'!J$3:J$504)),'Resultater - Østdanmark'!$F$3:$F$504,$A270,'Resultater - Østdanmark'!H$3:H$504,"&lt;0"),0))</f>
        <v>0</v>
      </c>
      <c r="J270" s="94"/>
      <c r="K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forbrug'!K$3,'Forbrug af biomasse'!$B$2:$B$425,$F270)</f>
        <v>0</v>
      </c>
      <c r="L270" s="94">
        <f>SUMIFS('Forbrug af biomasse'!$E$2:$E$425,'Forbrug af biomasse'!$C$2:$C$425,'Resultat-Produktion &amp; forbrug'!$A270,'Forbrug af biomasse'!$D$2:$D$425,'Resultat-Produktion &amp; forbrug'!$E270,'Forbrug af biomasse'!$A$2:$A$425,'Resultat-Produktion &amp; forbrug'!L$3,'Forbrug af biomasse'!$B$2:$B$425,$F270)</f>
        <v>0</v>
      </c>
      <c r="M270" s="94">
        <f>IF(A270&lt;&gt;"Biogas",SUMIFS('Forbrug af biomasse'!$E$2:$E$425,'Forbrug af biomasse'!$C$2:$C$425,'Resultat-Produktion &amp; forbrug'!$A270,'Forbrug af biomasse'!$D$2:$D$425,'Resultat-Produktion &amp; forbrug'!$E270,'Forbrug af biomasse'!$A$2:$A$425,'Resultat-Produktion &amp; forbrug'!M$3,'Forbrug af biomasse'!$B$2:$B$425,$F270),G270)</f>
        <v>0</v>
      </c>
      <c r="N270" s="94">
        <f>SUMIFS('Forbrug af biomasse'!E:E,'Forbrug af biomasse'!C:C,'Resultat-Produktion &amp; forbrug'!$A270,'Forbrug af biomasse'!D:D,'Resultat-Produktion &amp; forbrug'!$E270,'Forbrug af biomasse'!G:G,1,'Forbrug af biomasse'!B:B,$F270)</f>
        <v>0</v>
      </c>
      <c r="O270" s="179">
        <f t="shared" si="45"/>
        <v>118797.78881937481</v>
      </c>
      <c r="P270" s="94">
        <f t="shared" si="53"/>
        <v>118797.78881937481</v>
      </c>
      <c r="Q270" s="180">
        <f t="shared" si="46"/>
        <v>0</v>
      </c>
      <c r="R270">
        <f>IFERROR(VLOOKUP(A270,[1]Energiindhold!$A$2:$C$11,3,FALSE),IFERROR(VLOOKUP(A270,[1]Biogasudbytte!$A$2:$B$18,2,FALSE)*[1]Energiindhold!$C$10,0))*P270</f>
        <v>0.42648406186155557</v>
      </c>
      <c r="S270">
        <f>IF(A270&lt;&gt;"Biogas",IFERROR(VLOOKUP(A270,[1]Biogasudbytte!$A$2:$B$18,2,FALSE)*[1]Energiindhold!$C$10,0)*K270*IFERROR(VLOOKUP(A270,Biogasanlæg!$F$3:$G$8,2,FALSE),1)+IFERROR(VLOOKUP(A270,[1]Energiindhold!$A$2:$C$11,3,FALSE),0)*M270+IF(E270&lt;&gt;År1,R270,0),0)</f>
        <v>0.42648406186155557</v>
      </c>
      <c r="T270">
        <f>IFERROR(VLOOKUP(A270,[1]Biogasudbytte!$A$2:$B$18,2,FALSE)*[1]Energiindhold!$C$10,0)*K270*IFERROR(VLOOKUP(A270,Biogasanlæg!$F$3:$G$8,2,FALSE),1)</f>
        <v>0</v>
      </c>
      <c r="U270" s="170">
        <f t="shared" si="47"/>
        <v>0.42648406186155557</v>
      </c>
      <c r="V270" s="169">
        <f>P270*IFERROR(VLOOKUP(A270,[1]Tørstofindhold!A$2:B$24,2,FALSE),0)</f>
        <v>35639.336645812444</v>
      </c>
      <c r="W270">
        <f>IF(E270=År1,Q270,SUM(P270,Q270))*IFERROR(VLOOKUP(A270,[1]Tørstofindhold!A$2:B$24,2,FALSE),0)</f>
        <v>35639.336645812444</v>
      </c>
      <c r="X270">
        <f>K270*IFERROR(VLOOKUP(A270,[1]Tørstofindhold!A$2:B$24,2,FALSE),0)</f>
        <v>0</v>
      </c>
      <c r="Y270" s="170">
        <f t="shared" si="48"/>
        <v>35639.336645812444</v>
      </c>
      <c r="Z270">
        <f t="shared" si="54"/>
        <v>0</v>
      </c>
      <c r="AA270">
        <f t="shared" si="55"/>
        <v>1</v>
      </c>
    </row>
    <row r="271" spans="1:27" x14ac:dyDescent="0.25">
      <c r="A271" s="171" t="str">
        <f t="shared" si="49"/>
        <v>Mejeriprodukter</v>
      </c>
      <c r="B271" s="171" t="str">
        <f t="shared" si="50"/>
        <v/>
      </c>
      <c r="C271" s="171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0</v>
      </c>
      <c r="D271" s="171">
        <f t="shared" si="52"/>
        <v>1</v>
      </c>
      <c r="E271" s="171">
        <f t="shared" si="51"/>
        <v>2050</v>
      </c>
      <c r="F271" t="s">
        <v>24</v>
      </c>
      <c r="G271" s="94">
        <f>IF(F271="Vestdanmark",SUMIFS(IF(E271=År1,'Resultater - Vestdanmark'!H$3:H$504,IF(E271=År2,'Resultater - Vestdanmark'!I$3:I$504,'Resultater - Vestdanmark'!J$3:J$504)),'Resultater - Vestdanmark'!$F$3:$F$504,$A271,IF(E271=År1,'Resultater - Vestdanmark'!H$3:H$504,IF(E271=År2,'Resultater - Vestdanmark'!I$3:I$504,'Resultater - Vestdanmark'!J$3:J$504)),"&gt;0"),SUMIFS(IF(E271=År1,'Resultater - Østdanmark'!H$3:H$504,IF(E271=År2,'Resultater - Østdanmark'!I$3:I$504,'Resultater - Østdanmark'!J$3:J$504)),'Resultater - Østdanmark'!$F$3:$F$504,$A271,IF(E271=År1,'Resultater - Østdanmark'!H$3:H$504,IF(E271=År2,'Resultater - Østdanmark'!I$3:I$504,'Resultater - Østdanmark'!J$3:J$504)),"&gt;0"))</f>
        <v>0</v>
      </c>
      <c r="H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forbrug'!H$3,'Forbrug af biomasse'!$B$2:$B$425,$F271)</f>
        <v>0</v>
      </c>
      <c r="I271">
        <f>IF(F271="Vestdanmark",-IF(A271="Halm",SUMIFS(IF(E271=År1,'Resultater - Vestdanmark'!H$3:H$504,IF(E271=År2,'Resultater - Vestdanmark'!I$3:I$504,'Resultater - Vestdanmark'!J$3:J$504)),'Resultater - Vestdanmark'!$F$3:$F$504,$A271,'Resultater - Vestdanmark'!H$3:H$504,"&lt;0"),0),-IF(A271="Halm",SUMIFS(IF(E271=År1,'Resultater - Østdanmark'!H$3:H$504,IF(E271=År2,'Resultater - Østdanmark'!I$3:I$504,'Resultater - Østdanmark'!J$3:J$504)),'Resultater - Østdanmark'!$F$3:$F$504,$A271,'Resultater - Østdanmark'!H$3:H$504,"&lt;0"),0))</f>
        <v>0</v>
      </c>
      <c r="J271" s="94"/>
      <c r="K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forbrug'!K$3,'Forbrug af biomasse'!$B$2:$B$425,$F271)</f>
        <v>0</v>
      </c>
      <c r="L271" s="94">
        <f>SUMIFS('Forbrug af biomasse'!$E$2:$E$425,'Forbrug af biomasse'!$C$2:$C$425,'Resultat-Produktion &amp; forbrug'!$A271,'Forbrug af biomasse'!$D$2:$D$425,'Resultat-Produktion &amp; forbrug'!$E271,'Forbrug af biomasse'!$A$2:$A$425,'Resultat-Produktion &amp; forbrug'!L$3,'Forbrug af biomasse'!$B$2:$B$425,$F271)</f>
        <v>0</v>
      </c>
      <c r="M271" s="94">
        <f>IF(A271&lt;&gt;"Biogas",SUMIFS('Forbrug af biomasse'!$E$2:$E$425,'Forbrug af biomasse'!$C$2:$C$425,'Resultat-Produktion &amp; forbrug'!$A271,'Forbrug af biomasse'!$D$2:$D$425,'Resultat-Produktion &amp; forbrug'!$E271,'Forbrug af biomasse'!$A$2:$A$425,'Resultat-Produktion &amp; forbrug'!M$3,'Forbrug af biomasse'!$B$2:$B$425,$F271),G271)</f>
        <v>0</v>
      </c>
      <c r="N271" s="94">
        <f>SUMIFS('Forbrug af biomasse'!E:E,'Forbrug af biomasse'!C:C,'Resultat-Produktion &amp; forbrug'!$A271,'Forbrug af biomasse'!D:D,'Resultat-Produktion &amp; forbrug'!$E271,'Forbrug af biomasse'!G:G,1,'Forbrug af biomasse'!B:B,$F271)</f>
        <v>0</v>
      </c>
      <c r="O271" s="179">
        <f t="shared" si="45"/>
        <v>0</v>
      </c>
      <c r="P271" s="94">
        <f t="shared" si="53"/>
        <v>0</v>
      </c>
      <c r="Q271" s="180">
        <f t="shared" si="46"/>
        <v>0</v>
      </c>
      <c r="R271">
        <f>IFERROR(VLOOKUP(A271,[1]Energiindhold!$A$2:$C$11,3,FALSE),IFERROR(VLOOKUP(A271,[1]Biogasudbytte!$A$2:$B$18,2,FALSE)*[1]Energiindhold!$C$10,0))*P271</f>
        <v>0</v>
      </c>
      <c r="S271">
        <f>IF(A271&lt;&gt;"Biogas",IFERROR(VLOOKUP(A271,[1]Biogasudbytte!$A$2:$B$18,2,FALSE)*[1]Energiindhold!$C$10,0)*K271*IFERROR(VLOOKUP(A271,Biogasanlæg!$F$3:$G$8,2,FALSE),1)+IFERROR(VLOOKUP(A271,[1]Energiindhold!$A$2:$C$11,3,FALSE),0)*M271+IF(E271&lt;&gt;År1,R271,0),0)</f>
        <v>0</v>
      </c>
      <c r="T271">
        <f>IFERROR(VLOOKUP(A271,[1]Biogasudbytte!$A$2:$B$18,2,FALSE)*[1]Energiindhold!$C$10,0)*K271*IFERROR(VLOOKUP(A271,Biogasanlæg!$F$3:$G$8,2,FALSE),1)</f>
        <v>0</v>
      </c>
      <c r="U271" s="170">
        <f t="shared" si="47"/>
        <v>0</v>
      </c>
      <c r="V271" s="169">
        <f>P271*IFERROR(VLOOKUP(A271,[1]Tørstofindhold!A$2:B$24,2,FALSE),0)</f>
        <v>0</v>
      </c>
      <c r="W271">
        <f>IF(E271=År1,Q271,SUM(P271,Q271))*IFERROR(VLOOKUP(A271,[1]Tørstofindhold!A$2:B$24,2,FALSE),0)</f>
        <v>0</v>
      </c>
      <c r="X271">
        <f>K271*IFERROR(VLOOKUP(A271,[1]Tørstofindhold!A$2:B$24,2,FALSE),0)</f>
        <v>0</v>
      </c>
      <c r="Y271" s="170">
        <f t="shared" si="48"/>
        <v>0</v>
      </c>
      <c r="Z271">
        <f t="shared" si="54"/>
        <v>0</v>
      </c>
      <c r="AA271">
        <f t="shared" si="55"/>
        <v>0</v>
      </c>
    </row>
    <row r="272" spans="1:27" x14ac:dyDescent="0.25">
      <c r="A272" s="171" t="str">
        <f t="shared" si="49"/>
        <v>Muslinger</v>
      </c>
      <c r="B272" s="171" t="str">
        <f t="shared" si="50"/>
        <v>Havbiomasse</v>
      </c>
      <c r="C272" s="171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1</v>
      </c>
      <c r="D272" s="171">
        <f t="shared" si="52"/>
        <v>1</v>
      </c>
      <c r="E272" s="171">
        <f t="shared" si="51"/>
        <v>2050</v>
      </c>
      <c r="F272" t="s">
        <v>24</v>
      </c>
      <c r="G272" s="94">
        <f>IF(F272="Vestdanmark",SUMIFS(IF(E272=År1,'Resultater - Vestdanmark'!H$3:H$504,IF(E272=År2,'Resultater - Vestdanmark'!I$3:I$504,'Resultater - Vestdanmark'!J$3:J$504)),'Resultater - Vestdanmark'!$F$3:$F$504,$A272,IF(E272=År1,'Resultater - Vestdanmark'!H$3:H$504,IF(E272=År2,'Resultater - Vestdanmark'!I$3:I$504,'Resultater - Vestdanmark'!J$3:J$504)),"&gt;0"),SUMIFS(IF(E272=År1,'Resultater - Østdanmark'!H$3:H$504,IF(E272=År2,'Resultater - Østdanmark'!I$3:I$504,'Resultater - Østdanmark'!J$3:J$504)),'Resultater - Østdanmark'!$F$3:$F$504,$A272,IF(E272=År1,'Resultater - Østdanmark'!H$3:H$504,IF(E272=År2,'Resultater - Østdanmark'!I$3:I$504,'Resultater - Østdanmark'!J$3:J$504)),"&gt;0"))</f>
        <v>1.1976865502381491</v>
      </c>
      <c r="H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forbrug'!H$3,'Forbrug af biomasse'!$B$2:$B$425,$F272)</f>
        <v>0</v>
      </c>
      <c r="I272">
        <f>IF(F272="Vestdanmark",-IF(A272="Halm",SUMIFS(IF(E272=År1,'Resultater - Vestdanmark'!H$3:H$504,IF(E272=År2,'Resultater - Vestdanmark'!I$3:I$504,'Resultater - Vestdanmark'!J$3:J$504)),'Resultater - Vestdanmark'!$F$3:$F$504,$A272,'Resultater - Vestdanmark'!H$3:H$504,"&lt;0"),0),-IF(A272="Halm",SUMIFS(IF(E272=År1,'Resultater - Østdanmark'!H$3:H$504,IF(E272=År2,'Resultater - Østdanmark'!I$3:I$504,'Resultater - Østdanmark'!J$3:J$504)),'Resultater - Østdanmark'!$F$3:$F$504,$A272,'Resultater - Østdanmark'!H$3:H$504,"&lt;0"),0))</f>
        <v>0</v>
      </c>
      <c r="J272" s="94"/>
      <c r="K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forbrug'!K$3,'Forbrug af biomasse'!$B$2:$B$425,$F272)</f>
        <v>0</v>
      </c>
      <c r="L272" s="94">
        <f>SUMIFS('Forbrug af biomasse'!$E$2:$E$425,'Forbrug af biomasse'!$C$2:$C$425,'Resultat-Produktion &amp; forbrug'!$A272,'Forbrug af biomasse'!$D$2:$D$425,'Resultat-Produktion &amp; forbrug'!$E272,'Forbrug af biomasse'!$A$2:$A$425,'Resultat-Produktion &amp; forbrug'!L$3,'Forbrug af biomasse'!$B$2:$B$425,$F272)</f>
        <v>0</v>
      </c>
      <c r="M272" s="94">
        <f>IF(A272&lt;&gt;"Biogas",SUMIFS('Forbrug af biomasse'!$E$2:$E$425,'Forbrug af biomasse'!$C$2:$C$425,'Resultat-Produktion &amp; forbrug'!$A272,'Forbrug af biomasse'!$D$2:$D$425,'Resultat-Produktion &amp; forbrug'!$E272,'Forbrug af biomasse'!$A$2:$A$425,'Resultat-Produktion &amp; forbrug'!M$3,'Forbrug af biomasse'!$B$2:$B$425,$F272),G272)</f>
        <v>0</v>
      </c>
      <c r="N272" s="94">
        <f>SUMIFS('Forbrug af biomasse'!E:E,'Forbrug af biomasse'!C:C,'Resultat-Produktion &amp; forbrug'!$A272,'Forbrug af biomasse'!D:D,'Resultat-Produktion &amp; forbrug'!$E272,'Forbrug af biomasse'!G:G,1,'Forbrug af biomasse'!B:B,$F272)</f>
        <v>0</v>
      </c>
      <c r="O272" s="179">
        <f t="shared" si="45"/>
        <v>1.1976865502381491</v>
      </c>
      <c r="P272" s="94">
        <f t="shared" si="53"/>
        <v>1.1976865502381491</v>
      </c>
      <c r="Q272" s="180">
        <f t="shared" si="46"/>
        <v>0</v>
      </c>
      <c r="R272">
        <f>IFERROR(VLOOKUP(A272,[1]Energiindhold!$A$2:$C$11,3,FALSE),IFERROR(VLOOKUP(A272,[1]Biogasudbytte!$A$2:$B$18,2,FALSE)*[1]Energiindhold!$C$10,0))*P272</f>
        <v>1.0749236788387388E-6</v>
      </c>
      <c r="S272">
        <f>IF(A272&lt;&gt;"Biogas",IFERROR(VLOOKUP(A272,[1]Biogasudbytte!$A$2:$B$18,2,FALSE)*[1]Energiindhold!$C$10,0)*K272*IFERROR(VLOOKUP(A272,Biogasanlæg!$F$3:$G$8,2,FALSE),1)+IFERROR(VLOOKUP(A272,[1]Energiindhold!$A$2:$C$11,3,FALSE),0)*M272+IF(E272&lt;&gt;År1,R272,0),0)</f>
        <v>1.0749236788387388E-6</v>
      </c>
      <c r="T272">
        <f>IFERROR(VLOOKUP(A272,[1]Biogasudbytte!$A$2:$B$18,2,FALSE)*[1]Energiindhold!$C$10,0)*K272*IFERROR(VLOOKUP(A272,Biogasanlæg!$F$3:$G$8,2,FALSE),1)</f>
        <v>0</v>
      </c>
      <c r="U272" s="170">
        <f t="shared" si="47"/>
        <v>1.0749236788387388E-6</v>
      </c>
      <c r="V272" s="169">
        <f>P272*IFERROR(VLOOKUP(A272,[1]Tørstofindhold!A$2:B$24,2,FALSE),0)</f>
        <v>0.17965298253572234</v>
      </c>
      <c r="W272">
        <f>IF(E272=År1,Q272,SUM(P272,Q272))*IFERROR(VLOOKUP(A272,[1]Tørstofindhold!A$2:B$24,2,FALSE),0)</f>
        <v>0.17965298253572234</v>
      </c>
      <c r="X272">
        <f>K272*IFERROR(VLOOKUP(A272,[1]Tørstofindhold!A$2:B$24,2,FALSE),0)</f>
        <v>0</v>
      </c>
      <c r="Y272" s="170">
        <f t="shared" si="48"/>
        <v>0.17965298253572234</v>
      </c>
      <c r="Z272">
        <f t="shared" si="54"/>
        <v>0</v>
      </c>
      <c r="AA272">
        <f t="shared" si="55"/>
        <v>1</v>
      </c>
    </row>
    <row r="273" spans="1:27" x14ac:dyDescent="0.25">
      <c r="A273" s="171" t="str">
        <f t="shared" si="49"/>
        <v>Oksekød</v>
      </c>
      <c r="B273" s="171" t="str">
        <f t="shared" si="50"/>
        <v/>
      </c>
      <c r="C273" s="171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71">
        <f t="shared" si="52"/>
        <v>1</v>
      </c>
      <c r="E273" s="171">
        <f t="shared" si="51"/>
        <v>2050</v>
      </c>
      <c r="F273" t="s">
        <v>24</v>
      </c>
      <c r="G273" s="94">
        <f>IF(F273="Vestdanmark",SUMIFS(IF(E273=År1,'Resultater - Vestdanmark'!H$3:H$504,IF(E273=År2,'Resultater - Vestdanmark'!I$3:I$504,'Resultater - Vestdanmark'!J$3:J$504)),'Resultater - Vestdanmark'!$F$3:$F$504,$A273,IF(E273=År1,'Resultater - Vestdanmark'!H$3:H$504,IF(E273=År2,'Resultater - Vestdanmark'!I$3:I$504,'Resultater - Vestdanmark'!J$3:J$504)),"&gt;0"),SUMIFS(IF(E273=År1,'Resultater - Østdanmark'!H$3:H$504,IF(E273=År2,'Resultater - Østdanmark'!I$3:I$504,'Resultater - Østdanmark'!J$3:J$504)),'Resultater - Østdanmark'!$F$3:$F$504,$A273,IF(E273=År1,'Resultater - Østdanmark'!H$3:H$504,IF(E273=År2,'Resultater - Østdanmark'!I$3:I$504,'Resultater - Østdanmark'!J$3:J$504)),"&gt;0"))</f>
        <v>278.2619831544028</v>
      </c>
      <c r="H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forbrug'!H$3,'Forbrug af biomasse'!$B$2:$B$425,$F273)</f>
        <v>0</v>
      </c>
      <c r="I273">
        <f>IF(F273="Vestdanmark",-IF(A273="Halm",SUMIFS(IF(E273=År1,'Resultater - Vestdanmark'!H$3:H$504,IF(E273=År2,'Resultater - Vestdanmark'!I$3:I$504,'Resultater - Vestdanmark'!J$3:J$504)),'Resultater - Vestdanmark'!$F$3:$F$504,$A273,'Resultater - Vestdanmark'!H$3:H$504,"&lt;0"),0),-IF(A273="Halm",SUMIFS(IF(E273=År1,'Resultater - Østdanmark'!H$3:H$504,IF(E273=År2,'Resultater - Østdanmark'!I$3:I$504,'Resultater - Østdanmark'!J$3:J$504)),'Resultater - Østdanmark'!$F$3:$F$504,$A273,'Resultater - Østdanmark'!H$3:H$504,"&lt;0"),0))</f>
        <v>0</v>
      </c>
      <c r="J273" s="94"/>
      <c r="K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forbrug'!K$3,'Forbrug af biomasse'!$B$2:$B$425,$F273)</f>
        <v>0</v>
      </c>
      <c r="L273" s="94">
        <f>SUMIFS('Forbrug af biomasse'!$E$2:$E$425,'Forbrug af biomasse'!$C$2:$C$425,'Resultat-Produktion &amp; forbrug'!$A273,'Forbrug af biomasse'!$D$2:$D$425,'Resultat-Produktion &amp; forbrug'!$E273,'Forbrug af biomasse'!$A$2:$A$425,'Resultat-Produktion &amp; forbrug'!L$3,'Forbrug af biomasse'!$B$2:$B$425,$F273)</f>
        <v>0</v>
      </c>
      <c r="M273" s="94">
        <f>IF(A273&lt;&gt;"Biogas",SUMIFS('Forbrug af biomasse'!$E$2:$E$425,'Forbrug af biomasse'!$C$2:$C$425,'Resultat-Produktion &amp; forbrug'!$A273,'Forbrug af biomasse'!$D$2:$D$425,'Resultat-Produktion &amp; forbrug'!$E273,'Forbrug af biomasse'!$A$2:$A$425,'Resultat-Produktion &amp; forbrug'!M$3,'Forbrug af biomasse'!$B$2:$B$425,$F273),G273)</f>
        <v>0</v>
      </c>
      <c r="N273" s="94">
        <f>SUMIFS('Forbrug af biomasse'!E:E,'Forbrug af biomasse'!C:C,'Resultat-Produktion &amp; forbrug'!$A273,'Forbrug af biomasse'!D:D,'Resultat-Produktion &amp; forbrug'!$E273,'Forbrug af biomasse'!G:G,1,'Forbrug af biomasse'!B:B,$F273)</f>
        <v>0</v>
      </c>
      <c r="O273" s="179">
        <f t="shared" si="45"/>
        <v>278.2619831544028</v>
      </c>
      <c r="P273" s="94">
        <f t="shared" si="53"/>
        <v>0</v>
      </c>
      <c r="Q273" s="180">
        <f t="shared" si="46"/>
        <v>0</v>
      </c>
      <c r="R273">
        <f>IFERROR(VLOOKUP(A273,[1]Energiindhold!$A$2:$C$11,3,FALSE),IFERROR(VLOOKUP(A273,[1]Biogasudbytte!$A$2:$B$18,2,FALSE)*[1]Energiindhold!$C$10,0))*P273</f>
        <v>0</v>
      </c>
      <c r="S273">
        <f>IF(A273&lt;&gt;"Biogas",IFERROR(VLOOKUP(A273,[1]Biogasudbytte!$A$2:$B$18,2,FALSE)*[1]Energiindhold!$C$10,0)*K273*IFERROR(VLOOKUP(A273,Biogasanlæg!$F$3:$G$8,2,FALSE),1)+IFERROR(VLOOKUP(A273,[1]Energiindhold!$A$2:$C$11,3,FALSE),0)*M273+IF(E273&lt;&gt;År1,R273,0),0)</f>
        <v>0</v>
      </c>
      <c r="T273">
        <f>IFERROR(VLOOKUP(A273,[1]Biogasudbytte!$A$2:$B$18,2,FALSE)*[1]Energiindhold!$C$10,0)*K273*IFERROR(VLOOKUP(A273,Biogasanlæg!$F$3:$G$8,2,FALSE),1)</f>
        <v>0</v>
      </c>
      <c r="U273" s="170">
        <f t="shared" si="47"/>
        <v>0</v>
      </c>
      <c r="V273" s="169">
        <f>P273*IFERROR(VLOOKUP(A273,[1]Tørstofindhold!A$2:B$24,2,FALSE),0)</f>
        <v>0</v>
      </c>
      <c r="W273">
        <f>IF(E273=År1,Q273,SUM(P273,Q273))*IFERROR(VLOOKUP(A273,[1]Tørstofindhold!A$2:B$24,2,FALSE),0)</f>
        <v>0</v>
      </c>
      <c r="X273">
        <f>K273*IFERROR(VLOOKUP(A273,[1]Tørstofindhold!A$2:B$24,2,FALSE),0)</f>
        <v>0</v>
      </c>
      <c r="Y273" s="170">
        <f t="shared" si="48"/>
        <v>0</v>
      </c>
      <c r="Z273">
        <f t="shared" si="54"/>
        <v>0</v>
      </c>
      <c r="AA273">
        <f t="shared" si="55"/>
        <v>1</v>
      </c>
    </row>
    <row r="274" spans="1:27" x14ac:dyDescent="0.25">
      <c r="A274" s="171" t="str">
        <f t="shared" si="49"/>
        <v>Øvrige</v>
      </c>
      <c r="B274" s="171" t="str">
        <f t="shared" si="50"/>
        <v/>
      </c>
      <c r="C274" s="171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0</v>
      </c>
      <c r="D274" s="171">
        <f t="shared" si="52"/>
        <v>1</v>
      </c>
      <c r="E274" s="171">
        <f t="shared" si="51"/>
        <v>2050</v>
      </c>
      <c r="F274" t="s">
        <v>24</v>
      </c>
      <c r="G274" s="94">
        <f>IF(F274="Vestdanmark",SUMIFS(IF(E274=År1,'Resultater - Vestdanmark'!H$3:H$504,IF(E274=År2,'Resultater - Vestdanmark'!I$3:I$504,'Resultater - Vestdanmark'!J$3:J$504)),'Resultater - Vestdanmark'!$F$3:$F$504,$A274,IF(E274=År1,'Resultater - Vestdanmark'!H$3:H$504,IF(E274=År2,'Resultater - Vestdanmark'!I$3:I$504,'Resultater - Vestdanmark'!J$3:J$504)),"&gt;0"),SUMIFS(IF(E274=År1,'Resultater - Østdanmark'!H$3:H$504,IF(E274=År2,'Resultater - Østdanmark'!I$3:I$504,'Resultater - Østdanmark'!J$3:J$504)),'Resultater - Østdanmark'!$F$3:$F$504,$A274,IF(E274=År1,'Resultater - Østdanmark'!H$3:H$504,IF(E274=År2,'Resultater - Østdanmark'!I$3:I$504,'Resultater - Østdanmark'!J$3:J$504)),"&gt;0"))</f>
        <v>30169.993972883625</v>
      </c>
      <c r="H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forbrug'!H$3,'Forbrug af biomasse'!$B$2:$B$425,$F274)</f>
        <v>0</v>
      </c>
      <c r="I274">
        <f>IF(F274="Vestdanmark",-IF(A274="Halm",SUMIFS(IF(E274=År1,'Resultater - Vestdanmark'!H$3:H$504,IF(E274=År2,'Resultater - Vestdanmark'!I$3:I$504,'Resultater - Vestdanmark'!J$3:J$504)),'Resultater - Vestdanmark'!$F$3:$F$504,$A274,'Resultater - Vestdanmark'!H$3:H$504,"&lt;0"),0),-IF(A274="Halm",SUMIFS(IF(E274=År1,'Resultater - Østdanmark'!H$3:H$504,IF(E274=År2,'Resultater - Østdanmark'!I$3:I$504,'Resultater - Østdanmark'!J$3:J$504)),'Resultater - Østdanmark'!$F$3:$F$504,$A274,'Resultater - Østdanmark'!H$3:H$504,"&lt;0"),0))</f>
        <v>0</v>
      </c>
      <c r="J274" s="94"/>
      <c r="K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forbrug'!K$3,'Forbrug af biomasse'!$B$2:$B$425,$F274)</f>
        <v>0</v>
      </c>
      <c r="L274" s="94">
        <f>SUMIFS('Forbrug af biomasse'!$E$2:$E$425,'Forbrug af biomasse'!$C$2:$C$425,'Resultat-Produktion &amp; forbrug'!$A274,'Forbrug af biomasse'!$D$2:$D$425,'Resultat-Produktion &amp; forbrug'!$E274,'Forbrug af biomasse'!$A$2:$A$425,'Resultat-Produktion &amp; forbrug'!L$3,'Forbrug af biomasse'!$B$2:$B$425,$F274)</f>
        <v>0</v>
      </c>
      <c r="M274" s="94">
        <f>IF(A274&lt;&gt;"Biogas",SUMIFS('Forbrug af biomasse'!$E$2:$E$425,'Forbrug af biomasse'!$C$2:$C$425,'Resultat-Produktion &amp; forbrug'!$A274,'Forbrug af biomasse'!$D$2:$D$425,'Resultat-Produktion &amp; forbrug'!$E274,'Forbrug af biomasse'!$A$2:$A$425,'Resultat-Produktion &amp; forbrug'!M$3,'Forbrug af biomasse'!$B$2:$B$425,$F274),G274)</f>
        <v>0</v>
      </c>
      <c r="N274" s="94">
        <f>SUMIFS('Forbrug af biomasse'!E:E,'Forbrug af biomasse'!C:C,'Resultat-Produktion &amp; forbrug'!$A274,'Forbrug af biomasse'!D:D,'Resultat-Produktion &amp; forbrug'!$E274,'Forbrug af biomasse'!G:G,1,'Forbrug af biomasse'!B:B,$F274)</f>
        <v>0</v>
      </c>
      <c r="O274" s="179">
        <f t="shared" si="45"/>
        <v>30169.993972883625</v>
      </c>
      <c r="P274" s="94">
        <f t="shared" si="53"/>
        <v>0</v>
      </c>
      <c r="Q274" s="180">
        <f t="shared" si="46"/>
        <v>0</v>
      </c>
      <c r="R274">
        <f>IFERROR(VLOOKUP(A274,[1]Energiindhold!$A$2:$C$11,3,FALSE),IFERROR(VLOOKUP(A274,[1]Biogasudbytte!$A$2:$B$18,2,FALSE)*[1]Energiindhold!$C$10,0))*P274</f>
        <v>0</v>
      </c>
      <c r="S274">
        <f>IF(A274&lt;&gt;"Biogas",IFERROR(VLOOKUP(A274,[1]Biogasudbytte!$A$2:$B$18,2,FALSE)*[1]Energiindhold!$C$10,0)*K274*IFERROR(VLOOKUP(A274,Biogasanlæg!$F$3:$G$8,2,FALSE),1)+IFERROR(VLOOKUP(A274,[1]Energiindhold!$A$2:$C$11,3,FALSE),0)*M274+IF(E274&lt;&gt;År1,R274,0),0)</f>
        <v>0</v>
      </c>
      <c r="T274">
        <f>IFERROR(VLOOKUP(A274,[1]Biogasudbytte!$A$2:$B$18,2,FALSE)*[1]Energiindhold!$C$10,0)*K274*IFERROR(VLOOKUP(A274,Biogasanlæg!$F$3:$G$8,2,FALSE),1)</f>
        <v>0</v>
      </c>
      <c r="U274" s="170">
        <f t="shared" si="47"/>
        <v>0</v>
      </c>
      <c r="V274" s="169">
        <f>P274*IFERROR(VLOOKUP(A274,[1]Tørstofindhold!A$2:B$24,2,FALSE),0)</f>
        <v>0</v>
      </c>
      <c r="W274">
        <f>IF(E274=År1,Q274,SUM(P274,Q274))*IFERROR(VLOOKUP(A274,[1]Tørstofindhold!A$2:B$24,2,FALSE),0)</f>
        <v>0</v>
      </c>
      <c r="X274">
        <f>K274*IFERROR(VLOOKUP(A274,[1]Tørstofindhold!A$2:B$24,2,FALSE),0)</f>
        <v>0</v>
      </c>
      <c r="Y274" s="170">
        <f t="shared" si="48"/>
        <v>0</v>
      </c>
      <c r="Z274">
        <f t="shared" si="54"/>
        <v>0</v>
      </c>
      <c r="AA274">
        <f t="shared" si="55"/>
        <v>1</v>
      </c>
    </row>
    <row r="275" spans="1:27" x14ac:dyDescent="0.25">
      <c r="A275" s="171" t="str">
        <f t="shared" si="49"/>
        <v>Pil &amp; poppel</v>
      </c>
      <c r="B275" s="171" t="str">
        <f t="shared" si="50"/>
        <v>Vedmasse</v>
      </c>
      <c r="C275" s="171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71">
        <f t="shared" si="52"/>
        <v>0</v>
      </c>
      <c r="E275" s="171">
        <f t="shared" si="51"/>
        <v>2050</v>
      </c>
      <c r="F275" t="s">
        <v>24</v>
      </c>
      <c r="G275" s="94">
        <f>IF(F275="Vestdanmark",SUMIFS(IF(E275=År1,'Resultater - Vestdanmark'!H$3:H$504,IF(E275=År2,'Resultater - Vestdanmark'!I$3:I$504,'Resultater - Vestdanmark'!J$3:J$504)),'Resultater - Vestdanmark'!$F$3:$F$504,$A275,IF(E275=År1,'Resultater - Vestdanmark'!H$3:H$504,IF(E275=År2,'Resultater - Vestdanmark'!I$3:I$504,'Resultater - Vestdanmark'!J$3:J$504)),"&gt;0"),SUMIFS(IF(E275=År1,'Resultater - Østdanmark'!H$3:H$504,IF(E275=År2,'Resultater - Østdanmark'!I$3:I$504,'Resultater - Østdanmark'!J$3:J$504)),'Resultater - Østdanmark'!$F$3:$F$504,$A275,IF(E275=År1,'Resultater - Østdanmark'!H$3:H$504,IF(E275=År2,'Resultater - Østdanmark'!I$3:I$504,'Resultater - Østdanmark'!J$3:J$504)),"&gt;0"))</f>
        <v>437726.22620455944</v>
      </c>
      <c r="H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forbrug'!H$3,'Forbrug af biomasse'!$B$2:$B$425,$F275)</f>
        <v>0</v>
      </c>
      <c r="I275">
        <f>IF(F275="Vestdanmark",-IF(A275="Halm",SUMIFS(IF(E275=År1,'Resultater - Vestdanmark'!H$3:H$504,IF(E275=År2,'Resultater - Vestdanmark'!I$3:I$504,'Resultater - Vestdanmark'!J$3:J$504)),'Resultater - Vestdanmark'!$F$3:$F$504,$A275,'Resultater - Vestdanmark'!H$3:H$504,"&lt;0"),0),-IF(A275="Halm",SUMIFS(IF(E275=År1,'Resultater - Østdanmark'!H$3:H$504,IF(E275=År2,'Resultater - Østdanmark'!I$3:I$504,'Resultater - Østdanmark'!J$3:J$504)),'Resultater - Østdanmark'!$F$3:$F$504,$A275,'Resultater - Østdanmark'!H$3:H$504,"&lt;0"),0))</f>
        <v>0</v>
      </c>
      <c r="J275" s="94"/>
      <c r="K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forbrug'!K$3,'Forbrug af biomasse'!$B$2:$B$425,$F275)</f>
        <v>0</v>
      </c>
      <c r="L275" s="94">
        <f>SUMIFS('Forbrug af biomasse'!$E$2:$E$425,'Forbrug af biomasse'!$C$2:$C$425,'Resultat-Produktion &amp; forbrug'!$A275,'Forbrug af biomasse'!$D$2:$D$425,'Resultat-Produktion &amp; forbrug'!$E275,'Forbrug af biomasse'!$A$2:$A$425,'Resultat-Produktion &amp; forbrug'!L$3,'Forbrug af biomasse'!$B$2:$B$425,$F275)</f>
        <v>0</v>
      </c>
      <c r="M275" s="94">
        <f>IF(A275&lt;&gt;"Biogas",SUMIFS('Forbrug af biomasse'!$E$2:$E$425,'Forbrug af biomasse'!$C$2:$C$425,'Resultat-Produktion &amp; forbrug'!$A275,'Forbrug af biomasse'!$D$2:$D$425,'Resultat-Produktion &amp; forbrug'!$E275,'Forbrug af biomasse'!$A$2:$A$425,'Resultat-Produktion &amp; forbrug'!M$3,'Forbrug af biomasse'!$B$2:$B$425,$F275),G275)</f>
        <v>437726.22620455944</v>
      </c>
      <c r="N275" s="94">
        <f>SUMIFS('Forbrug af biomasse'!E:E,'Forbrug af biomasse'!C:C,'Resultat-Produktion &amp; forbrug'!$A275,'Forbrug af biomasse'!D:D,'Resultat-Produktion &amp; forbrug'!$E275,'Forbrug af biomasse'!G:G,1,'Forbrug af biomasse'!B:B,$F275)</f>
        <v>0</v>
      </c>
      <c r="O275" s="179">
        <f t="shared" si="45"/>
        <v>0</v>
      </c>
      <c r="P275" s="94">
        <f t="shared" si="53"/>
        <v>0</v>
      </c>
      <c r="Q275" s="180">
        <f t="shared" si="46"/>
        <v>437726.22620455944</v>
      </c>
      <c r="R275">
        <f>IFERROR(VLOOKUP(A275,[1]Energiindhold!$A$2:$C$11,3,FALSE),IFERROR(VLOOKUP(A275,[1]Biogasudbytte!$A$2:$B$18,2,FALSE)*[1]Energiindhold!$C$10,0))*P275</f>
        <v>0</v>
      </c>
      <c r="S275">
        <f>IF(A275&lt;&gt;"Biogas",IFERROR(VLOOKUP(A275,[1]Biogasudbytte!$A$2:$B$18,2,FALSE)*[1]Energiindhold!$C$10,0)*K275*IFERROR(VLOOKUP(A275,Biogasanlæg!$F$3:$G$8,2,FALSE),1)+IFERROR(VLOOKUP(A275,[1]Energiindhold!$A$2:$C$11,3,FALSE),0)*M275+IF(E275&lt;&gt;År1,R275,0),0)</f>
        <v>8.0541625621638921</v>
      </c>
      <c r="T275">
        <f>IFERROR(VLOOKUP(A275,[1]Biogasudbytte!$A$2:$B$18,2,FALSE)*[1]Energiindhold!$C$10,0)*K275*IFERROR(VLOOKUP(A275,Biogasanlæg!$F$3:$G$8,2,FALSE),1)</f>
        <v>0</v>
      </c>
      <c r="U275" s="170">
        <f t="shared" si="47"/>
        <v>8.0541625621638921</v>
      </c>
      <c r="V275" s="169">
        <f>P275*IFERROR(VLOOKUP(A275,[1]Tørstofindhold!A$2:B$24,2,FALSE),0)</f>
        <v>0</v>
      </c>
      <c r="W275">
        <f>IF(E275=År1,Q275,SUM(P275,Q275))*IFERROR(VLOOKUP(A275,[1]Tørstofindhold!A$2:B$24,2,FALSE),0)</f>
        <v>181656.38387489217</v>
      </c>
      <c r="X275">
        <f>K275*IFERROR(VLOOKUP(A275,[1]Tørstofindhold!A$2:B$24,2,FALSE),0)</f>
        <v>0</v>
      </c>
      <c r="Y275" s="170">
        <f t="shared" si="48"/>
        <v>181656.38387489217</v>
      </c>
      <c r="Z275">
        <f t="shared" si="54"/>
        <v>0</v>
      </c>
      <c r="AA275">
        <f t="shared" si="55"/>
        <v>0</v>
      </c>
    </row>
    <row r="276" spans="1:27" x14ac:dyDescent="0.25">
      <c r="A276" s="171" t="str">
        <f>A228</f>
        <v>Pyrolysegas</v>
      </c>
      <c r="B276" s="171" t="str">
        <f>IF(B228&lt;&gt;"",B228,"")</f>
        <v>Pyrolyseprodukter</v>
      </c>
      <c r="C276" s="171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71">
        <f t="shared" si="52"/>
        <v>0</v>
      </c>
      <c r="E276" s="171">
        <f t="shared" si="51"/>
        <v>2050</v>
      </c>
      <c r="F276" t="s">
        <v>24</v>
      </c>
      <c r="G276" s="94">
        <f>IF(F276="Vestdanmark",SUMIFS(IF(E276=År1,'Resultater - Vestdanmark'!H$3:H$504,IF(E276=År2,'Resultater - Vestdanmark'!I$3:I$504,'Resultater - Vestdanmark'!J$3:J$504)),'Resultater - Vestdanmark'!$F$3:$F$504,$A276,IF(E276=År1,'Resultater - Vestdanmark'!H$3:H$504,IF(E276=År2,'Resultater - Vestdanmark'!I$3:I$504,'Resultater - Vestdanmark'!J$3:J$504)),"&gt;0"),SUMIFS(IF(E276=År1,'Resultater - Østdanmark'!H$3:H$504,IF(E276=År2,'Resultater - Østdanmark'!I$3:I$504,'Resultater - Østdanmark'!J$3:J$504)),'Resultater - Østdanmark'!$F$3:$F$504,$A276,IF(E276=År1,'Resultater - Østdanmark'!H$3:H$504,IF(E276=År2,'Resultater - Østdanmark'!I$3:I$504,'Resultater - Østdanmark'!J$3:J$504)),"&gt;0"))</f>
        <v>0</v>
      </c>
      <c r="H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forbrug'!H$3,'Forbrug af biomasse'!$B$2:$B$425,$F276)</f>
        <v>0</v>
      </c>
      <c r="I276">
        <f>IF(F276="Vestdanmark",-IF(A276="Halm",SUMIFS(IF(E276=År1,'Resultater - Vestdanmark'!H$3:H$504,IF(E276=År2,'Resultater - Vestdanmark'!I$3:I$504,'Resultater - Vestdanmark'!J$3:J$504)),'Resultater - Vestdanmark'!$F$3:$F$504,$A276,'Resultater - Vestdanmark'!H$3:H$504,"&lt;0"),0),-IF(A276="Halm",SUMIFS(IF(E276=År1,'Resultater - Østdanmark'!H$3:H$504,IF(E276=År2,'Resultater - Østdanmark'!I$3:I$504,'Resultater - Østdanmark'!J$3:J$504)),'Resultater - Østdanmark'!$F$3:$F$504,$A276,'Resultater - Østdanmark'!H$3:H$504,"&lt;0"),0))</f>
        <v>0</v>
      </c>
      <c r="J276" s="94"/>
      <c r="K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forbrug'!K$3,'Forbrug af biomasse'!$B$2:$B$425,$F276)</f>
        <v>0</v>
      </c>
      <c r="L276" s="94">
        <f>SUMIFS('Forbrug af biomasse'!$E$2:$E$425,'Forbrug af biomasse'!$C$2:$C$425,'Resultat-Produktion &amp; forbrug'!$A276,'Forbrug af biomasse'!$D$2:$D$425,'Resultat-Produktion &amp; forbrug'!$E276,'Forbrug af biomasse'!$A$2:$A$425,'Resultat-Produktion &amp; forbrug'!L$3,'Forbrug af biomasse'!$B$2:$B$425,$F276)</f>
        <v>0</v>
      </c>
      <c r="M276" s="94">
        <f>IF(A276&lt;&gt;"Biogas",SUMIFS('Forbrug af biomasse'!$E$2:$E$425,'Forbrug af biomasse'!$C$2:$C$425,'Resultat-Produktion &amp; forbrug'!$A276,'Forbrug af biomasse'!$D$2:$D$425,'Resultat-Produktion &amp; forbrug'!$E276,'Forbrug af biomasse'!$A$2:$A$425,'Resultat-Produktion &amp; forbrug'!M$3,'Forbrug af biomasse'!$B$2:$B$425,$F276),G276)</f>
        <v>0</v>
      </c>
      <c r="N276" s="94">
        <f>SUMIFS('Forbrug af biomasse'!E:E,'Forbrug af biomasse'!C:C,'Resultat-Produktion &amp; forbrug'!$A276,'Forbrug af biomasse'!D:D,'Resultat-Produktion &amp; forbrug'!$E276,'Forbrug af biomasse'!G:G,1,'Forbrug af biomasse'!B:B,$F276)</f>
        <v>0</v>
      </c>
      <c r="O276" s="179">
        <f>G276-SUM(H276:N276)</f>
        <v>0</v>
      </c>
      <c r="P276" s="94">
        <f>IF(C276=1,IF(O276+IF(SUMIFS($O$4:$O$291,$A$4:$A$291,A276,$E$4:$E$291,E276,$F$4:$F$291,"&lt;&gt;"&amp;F276)&lt;0,SUMIFS($O$4:$O$291,$A$4:$A$291,A276,$E$4:$E$291,E276,$F$4:$F$291,"&lt;&gt;"&amp;F276),0)&gt;0,O276+IF(SUMIFS($O$4:$O$291,$A$4:$A$291,A276,$E$4:$E$291,E276,$F$4:$F$291,"&lt;&gt;"&amp;F276)&lt;0,SUMIFS($O$4:$O$291,$A$4:$A$291,A276,$E$4:$E$291,E276,$F$4:$F$291,"&lt;&gt;"&amp;F276),0),0),0)</f>
        <v>0</v>
      </c>
      <c r="Q276" s="180">
        <f>SUM(K276,M276)</f>
        <v>0</v>
      </c>
      <c r="R276">
        <f>IFERROR(VLOOKUP(A276,[1]Energiindhold!$A$2:$C$11,3,FALSE),IFERROR(VLOOKUP(A276,[1]Biogasudbytte!$A$2:$B$18,2,FALSE)*[1]Energiindhold!$C$10,0))*P276</f>
        <v>0</v>
      </c>
      <c r="S276">
        <f>IF(A276&lt;&gt;"Biogas",IFERROR(VLOOKUP(A276,[1]Biogasudbytte!$A$2:$B$18,2,FALSE)*[1]Energiindhold!$C$10,0)*K276*IFERROR(VLOOKUP(A276,Biogasanlæg!$F$3:$G$8,2,FALSE),1)+IFERROR(VLOOKUP(A276,[1]Energiindhold!$A$2:$C$11,3,FALSE),0)*M276+IF(E276&lt;&gt;År1,R276,0),0)</f>
        <v>0</v>
      </c>
      <c r="T276">
        <f>IFERROR(VLOOKUP(A276,[1]Biogasudbytte!$A$2:$B$18,2,FALSE)*[1]Energiindhold!$C$10,0)*K276*IFERROR(VLOOKUP(A276,Biogasanlæg!$F$3:$G$8,2,FALSE),1)</f>
        <v>0</v>
      </c>
      <c r="U276" s="170">
        <f>S276-T276</f>
        <v>0</v>
      </c>
      <c r="V276" s="169">
        <f>P276*IFERROR(VLOOKUP(A276,[1]Tørstofindhold!A$2:B$24,2,FALSE),0)</f>
        <v>0</v>
      </c>
      <c r="W276">
        <f>IF(E276=År1,Q276,SUM(P276,Q276))*IFERROR(VLOOKUP(A276,[1]Tørstofindhold!A$2:B$24,2,FALSE),0)</f>
        <v>0</v>
      </c>
      <c r="X276">
        <f>K276*IFERROR(VLOOKUP(A276,[1]Tørstofindhold!A$2:B$24,2,FALSE),0)</f>
        <v>0</v>
      </c>
      <c r="Y276" s="170">
        <f>W276-X276</f>
        <v>0</v>
      </c>
      <c r="Z276">
        <f>IF(SUMIFS($O$4:$O$291,$A$4:$A$291,A276,$E$4:$E$291,E276)&lt;0,1,0)</f>
        <v>0</v>
      </c>
      <c r="AA276">
        <f>IF(SUMIFS($O$4:$O$291,$A$4:$A$291,A276,$E$4:$E$291,E276)&gt;0,1,0)</f>
        <v>0</v>
      </c>
    </row>
    <row r="277" spans="1:27" x14ac:dyDescent="0.25">
      <c r="A277" s="171" t="str">
        <f>A229</f>
        <v>Pyrolyseolie</v>
      </c>
      <c r="B277" s="171" t="str">
        <f>IF(B229&lt;&gt;"",B229,"")</f>
        <v>Pyrolyseprodukter</v>
      </c>
      <c r="C277" s="171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1</v>
      </c>
      <c r="D277" s="171">
        <f t="shared" si="52"/>
        <v>0</v>
      </c>
      <c r="E277" s="171">
        <f t="shared" si="51"/>
        <v>2050</v>
      </c>
      <c r="F277" t="s">
        <v>24</v>
      </c>
      <c r="G277" s="94">
        <f>IF(F277="Vestdanmark",SUMIFS(IF(E277=År1,'Resultater - Vestdanmark'!H$3:H$504,IF(E277=År2,'Resultater - Vestdanmark'!I$3:I$504,'Resultater - Vestdanmark'!J$3:J$504)),'Resultater - Vestdanmark'!$F$3:$F$504,$A277,IF(E277=År1,'Resultater - Vestdanmark'!H$3:H$504,IF(E277=År2,'Resultater - Vestdanmark'!I$3:I$504,'Resultater - Vestdanmark'!J$3:J$504)),"&gt;0"),SUMIFS(IF(E277=År1,'Resultater - Østdanmark'!H$3:H$504,IF(E277=År2,'Resultater - Østdanmark'!I$3:I$504,'Resultater - Østdanmark'!J$3:J$504)),'Resultater - Østdanmark'!$F$3:$F$504,$A277,IF(E277=År1,'Resultater - Østdanmark'!H$3:H$504,IF(E277=År2,'Resultater - Østdanmark'!I$3:I$504,'Resultater - Østdanmark'!J$3:J$504)),"&gt;0"))</f>
        <v>0</v>
      </c>
      <c r="H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forbrug'!H$3,'Forbrug af biomasse'!$B$2:$B$425,$F277)</f>
        <v>0</v>
      </c>
      <c r="I277">
        <f>IF(F277="Vestdanmark",-IF(A277="Halm",SUMIFS(IF(E277=År1,'Resultater - Vestdanmark'!H$3:H$504,IF(E277=År2,'Resultater - Vestdanmark'!I$3:I$504,'Resultater - Vestdanmark'!J$3:J$504)),'Resultater - Vestdanmark'!$F$3:$F$504,$A277,'Resultater - Vestdanmark'!H$3:H$504,"&lt;0"),0),-IF(A277="Halm",SUMIFS(IF(E277=År1,'Resultater - Østdanmark'!H$3:H$504,IF(E277=År2,'Resultater - Østdanmark'!I$3:I$504,'Resultater - Østdanmark'!J$3:J$504)),'Resultater - Østdanmark'!$F$3:$F$504,$A277,'Resultater - Østdanmark'!H$3:H$504,"&lt;0"),0))</f>
        <v>0</v>
      </c>
      <c r="J277" s="94"/>
      <c r="K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forbrug'!K$3,'Forbrug af biomasse'!$B$2:$B$425,$F277)</f>
        <v>0</v>
      </c>
      <c r="L277" s="94">
        <f>SUMIFS('Forbrug af biomasse'!$E$2:$E$425,'Forbrug af biomasse'!$C$2:$C$425,'Resultat-Produktion &amp; forbrug'!$A277,'Forbrug af biomasse'!$D$2:$D$425,'Resultat-Produktion &amp; forbrug'!$E277,'Forbrug af biomasse'!$A$2:$A$425,'Resultat-Produktion &amp; forbrug'!L$3,'Forbrug af biomasse'!$B$2:$B$425,$F277)</f>
        <v>0</v>
      </c>
      <c r="M277" s="94">
        <f>IF(A277&lt;&gt;"Biogas",SUMIFS('Forbrug af biomasse'!$E$2:$E$425,'Forbrug af biomasse'!$C$2:$C$425,'Resultat-Produktion &amp; forbrug'!$A277,'Forbrug af biomasse'!$D$2:$D$425,'Resultat-Produktion &amp; forbrug'!$E277,'Forbrug af biomasse'!$A$2:$A$425,'Resultat-Produktion &amp; forbrug'!M$3,'Forbrug af biomasse'!$B$2:$B$425,$F277),G277)</f>
        <v>0</v>
      </c>
      <c r="N277" s="94">
        <f>SUMIFS('Forbrug af biomasse'!E:E,'Forbrug af biomasse'!C:C,'Resultat-Produktion &amp; forbrug'!$A277,'Forbrug af biomasse'!D:D,'Resultat-Produktion &amp; forbrug'!$E277,'Forbrug af biomasse'!G:G,1,'Forbrug af biomasse'!B:B,$F277)</f>
        <v>0</v>
      </c>
      <c r="O277" s="179">
        <f>G277-SUM(H277:N277)</f>
        <v>0</v>
      </c>
      <c r="P277" s="94">
        <f>IF(C277=1,IF(O277+IF(SUMIFS($O$4:$O$291,$A$4:$A$291,A277,$E$4:$E$291,E277,$F$4:$F$291,"&lt;&gt;"&amp;F277)&lt;0,SUMIFS($O$4:$O$291,$A$4:$A$291,A277,$E$4:$E$291,E277,$F$4:$F$291,"&lt;&gt;"&amp;F277),0)&gt;0,O277+IF(SUMIFS($O$4:$O$291,$A$4:$A$291,A277,$E$4:$E$291,E277,$F$4:$F$291,"&lt;&gt;"&amp;F277)&lt;0,SUMIFS($O$4:$O$291,$A$4:$A$291,A277,$E$4:$E$291,E277,$F$4:$F$291,"&lt;&gt;"&amp;F277),0),0),0)</f>
        <v>0</v>
      </c>
      <c r="Q277" s="180">
        <f>SUM(K277,M277)</f>
        <v>0</v>
      </c>
      <c r="R277">
        <f>IFERROR(VLOOKUP(A277,[1]Energiindhold!$A$2:$C$11,3,FALSE),IFERROR(VLOOKUP(A277,[1]Biogasudbytte!$A$2:$B$18,2,FALSE)*[1]Energiindhold!$C$10,0))*P277</f>
        <v>0</v>
      </c>
      <c r="S277">
        <f>IF(A277&lt;&gt;"Biogas",IFERROR(VLOOKUP(A277,[1]Biogasudbytte!$A$2:$B$18,2,FALSE)*[1]Energiindhold!$C$10,0)*K277*IFERROR(VLOOKUP(A277,Biogasanlæg!$F$3:$G$8,2,FALSE),1)+IFERROR(VLOOKUP(A277,[1]Energiindhold!$A$2:$C$11,3,FALSE),0)*M277+IF(E277&lt;&gt;År1,R277,0),0)</f>
        <v>0</v>
      </c>
      <c r="T277">
        <f>IFERROR(VLOOKUP(A277,[1]Biogasudbytte!$A$2:$B$18,2,FALSE)*[1]Energiindhold!$C$10,0)*K277*IFERROR(VLOOKUP(A277,Biogasanlæg!$F$3:$G$8,2,FALSE),1)</f>
        <v>0</v>
      </c>
      <c r="U277" s="170">
        <f>S277-T277</f>
        <v>0</v>
      </c>
      <c r="V277" s="169">
        <f>P277*IFERROR(VLOOKUP(A277,[1]Tørstofindhold!A$2:B$24,2,FALSE),0)</f>
        <v>0</v>
      </c>
      <c r="W277">
        <f>IF(E277=År1,Q277,SUM(P277,Q277))*IFERROR(VLOOKUP(A277,[1]Tørstofindhold!A$2:B$24,2,FALSE),0)</f>
        <v>0</v>
      </c>
      <c r="X277">
        <f>K277*IFERROR(VLOOKUP(A277,[1]Tørstofindhold!A$2:B$24,2,FALSE),0)</f>
        <v>0</v>
      </c>
      <c r="Y277" s="170">
        <f>W277-X277</f>
        <v>0</v>
      </c>
      <c r="Z277">
        <f>IF(SUMIFS($O$4:$O$291,$A$4:$A$291,A277,$E$4:$E$291,E277)&lt;0,1,0)</f>
        <v>0</v>
      </c>
      <c r="AA277">
        <f>IF(SUMIFS($O$4:$O$291,$A$4:$A$291,A277,$E$4:$E$291,E277)&gt;0,1,0)</f>
        <v>0</v>
      </c>
    </row>
    <row r="278" spans="1:27" x14ac:dyDescent="0.25">
      <c r="A278" s="171" t="str">
        <f t="shared" ref="A278:A291" si="56">A230</f>
        <v>Råmælk</v>
      </c>
      <c r="B278" s="171" t="str">
        <f t="shared" ref="B278:B291" si="57">IF(B230&lt;&gt;"",B230,"")</f>
        <v/>
      </c>
      <c r="C278" s="171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71">
        <f t="shared" si="52"/>
        <v>0</v>
      </c>
      <c r="E278" s="171">
        <f t="shared" si="51"/>
        <v>2050</v>
      </c>
      <c r="F278" t="s">
        <v>24</v>
      </c>
      <c r="G278" s="94">
        <f>IF(F278="Vestdanmark",SUMIFS(IF(E278=År1,'Resultater - Vestdanmark'!H$3:H$504,IF(E278=År2,'Resultater - Vestdanmark'!I$3:I$504,'Resultater - Vestdanmark'!J$3:J$504)),'Resultater - Vestdanmark'!$F$3:$F$504,$A278,IF(E278=År1,'Resultater - Vestdanmark'!H$3:H$504,IF(E278=År2,'Resultater - Vestdanmark'!I$3:I$504,'Resultater - Vestdanmark'!J$3:J$504)),"&gt;0"),SUMIFS(IF(E278=År1,'Resultater - Østdanmark'!H$3:H$504,IF(E278=År2,'Resultater - Østdanmark'!I$3:I$504,'Resultater - Østdanmark'!J$3:J$504)),'Resultater - Østdanmark'!$F$3:$F$504,$A278,IF(E278=År1,'Resultater - Østdanmark'!H$3:H$504,IF(E278=År2,'Resultater - Østdanmark'!I$3:I$504,'Resultater - Østdanmark'!J$3:J$504)),"&gt;0"))</f>
        <v>0</v>
      </c>
      <c r="H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forbrug'!H$3,'Forbrug af biomasse'!$B$2:$B$425,$F278)</f>
        <v>0</v>
      </c>
      <c r="I278">
        <f>IF(F278="Vestdanmark",-IF(A278="Halm",SUMIFS(IF(E278=År1,'Resultater - Vestdanmark'!H$3:H$504,IF(E278=År2,'Resultater - Vestdanmark'!I$3:I$504,'Resultater - Vestdanmark'!J$3:J$504)),'Resultater - Vestdanmark'!$F$3:$F$504,$A278,'Resultater - Vestdanmark'!H$3:H$504,"&lt;0"),0),-IF(A278="Halm",SUMIFS(IF(E278=År1,'Resultater - Østdanmark'!H$3:H$504,IF(E278=År2,'Resultater - Østdanmark'!I$3:I$504,'Resultater - Østdanmark'!J$3:J$504)),'Resultater - Østdanmark'!$F$3:$F$504,$A278,'Resultater - Østdanmark'!H$3:H$504,"&lt;0"),0))</f>
        <v>0</v>
      </c>
      <c r="J278" s="94"/>
      <c r="K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forbrug'!K$3,'Forbrug af biomasse'!$B$2:$B$425,$F278)</f>
        <v>0</v>
      </c>
      <c r="L278" s="94">
        <f>SUMIFS('Forbrug af biomasse'!$E$2:$E$425,'Forbrug af biomasse'!$C$2:$C$425,'Resultat-Produktion &amp; forbrug'!$A278,'Forbrug af biomasse'!$D$2:$D$425,'Resultat-Produktion &amp; forbrug'!$E278,'Forbrug af biomasse'!$A$2:$A$425,'Resultat-Produktion &amp; forbrug'!L$3,'Forbrug af biomasse'!$B$2:$B$425,$F278)</f>
        <v>0</v>
      </c>
      <c r="M278" s="94">
        <f>IF(A278&lt;&gt;"Biogas",SUMIFS('Forbrug af biomasse'!$E$2:$E$425,'Forbrug af biomasse'!$C$2:$C$425,'Resultat-Produktion &amp; forbrug'!$A278,'Forbrug af biomasse'!$D$2:$D$425,'Resultat-Produktion &amp; forbrug'!$E278,'Forbrug af biomasse'!$A$2:$A$425,'Resultat-Produktion &amp; forbrug'!M$3,'Forbrug af biomasse'!$B$2:$B$425,$F278),G278)</f>
        <v>0</v>
      </c>
      <c r="N278" s="94">
        <f>SUMIFS('Forbrug af biomasse'!E:E,'Forbrug af biomasse'!C:C,'Resultat-Produktion &amp; forbrug'!$A278,'Forbrug af biomasse'!D:D,'Resultat-Produktion &amp; forbrug'!$E278,'Forbrug af biomasse'!G:G,1,'Forbrug af biomasse'!B:B,$F278)</f>
        <v>0</v>
      </c>
      <c r="O278" s="179">
        <f t="shared" si="45"/>
        <v>0</v>
      </c>
      <c r="P278" s="94">
        <f t="shared" ref="P278:P291" si="58">IF(C278=1,IF(O278+IF(SUMIFS($O$4:$O$291,$A$4:$A$291,A278,$E$4:$E$291,E278,$F$4:$F$291,"&lt;&gt;"&amp;F278)&lt;0,SUMIFS($O$4:$O$291,$A$4:$A$291,A278,$E$4:$E$291,E278,$F$4:$F$291,"&lt;&gt;"&amp;F278),0)&gt;0,O278+IF(SUMIFS($O$4:$O$291,$A$4:$A$291,A278,$E$4:$E$291,E278,$F$4:$F$291,"&lt;&gt;"&amp;F278)&lt;0,SUMIFS($O$4:$O$291,$A$4:$A$291,A278,$E$4:$E$291,E278,$F$4:$F$291,"&lt;&gt;"&amp;F278),0),0),0)</f>
        <v>0</v>
      </c>
      <c r="Q278" s="180">
        <f t="shared" si="46"/>
        <v>0</v>
      </c>
      <c r="R278">
        <f>IFERROR(VLOOKUP(A278,[1]Energiindhold!$A$2:$C$11,3,FALSE),IFERROR(VLOOKUP(A278,[1]Biogasudbytte!$A$2:$B$18,2,FALSE)*[1]Energiindhold!$C$10,0))*P278</f>
        <v>0</v>
      </c>
      <c r="S278">
        <f>IF(A278&lt;&gt;"Biogas",IFERROR(VLOOKUP(A278,[1]Biogasudbytte!$A$2:$B$18,2,FALSE)*[1]Energiindhold!$C$10,0)*K278*IFERROR(VLOOKUP(A278,Biogasanlæg!$F$3:$G$8,2,FALSE),1)+IFERROR(VLOOKUP(A278,[1]Energiindhold!$A$2:$C$11,3,FALSE),0)*M278+IF(E278&lt;&gt;År1,R278,0),0)</f>
        <v>0</v>
      </c>
      <c r="T278">
        <f>IFERROR(VLOOKUP(A278,[1]Biogasudbytte!$A$2:$B$18,2,FALSE)*[1]Energiindhold!$C$10,0)*K278*IFERROR(VLOOKUP(A278,Biogasanlæg!$F$3:$G$8,2,FALSE),1)</f>
        <v>0</v>
      </c>
      <c r="U278" s="170">
        <f t="shared" si="47"/>
        <v>0</v>
      </c>
      <c r="V278" s="169">
        <f>P278*IFERROR(VLOOKUP(A278,[1]Tørstofindhold!A$2:B$24,2,FALSE),0)</f>
        <v>0</v>
      </c>
      <c r="W278">
        <f>IF(E278=År1,Q278,SUM(P278,Q278))*IFERROR(VLOOKUP(A278,[1]Tørstofindhold!A$2:B$24,2,FALSE),0)</f>
        <v>0</v>
      </c>
      <c r="X278">
        <f>K278*IFERROR(VLOOKUP(A278,[1]Tørstofindhold!A$2:B$24,2,FALSE),0)</f>
        <v>0</v>
      </c>
      <c r="Y278" s="170">
        <f t="shared" si="48"/>
        <v>0</v>
      </c>
      <c r="Z278">
        <f t="shared" ref="Z278:Z291" si="59">IF(SUMIFS($O$4:$O$291,$A$4:$A$291,A278,$E$4:$E$291,E278)&lt;0,1,0)</f>
        <v>0</v>
      </c>
      <c r="AA278">
        <f t="shared" ref="AA278:AA291" si="60">IF(SUMIFS($O$4:$O$291,$A$4:$A$291,A278,$E$4:$E$291,E278)&gt;0,1,0)</f>
        <v>0</v>
      </c>
    </row>
    <row r="279" spans="1:27" x14ac:dyDescent="0.25">
      <c r="A279" s="171" t="str">
        <f t="shared" si="56"/>
        <v>Raps</v>
      </c>
      <c r="B279" s="171" t="str">
        <f t="shared" si="57"/>
        <v/>
      </c>
      <c r="C279" s="171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71">
        <f t="shared" si="52"/>
        <v>0</v>
      </c>
      <c r="E279" s="171">
        <f t="shared" si="51"/>
        <v>2050</v>
      </c>
      <c r="F279" t="s">
        <v>24</v>
      </c>
      <c r="G279" s="94">
        <f>IF(F279="Vestdanmark",SUMIFS(IF(E279=År1,'Resultater - Vestdanmark'!H$3:H$504,IF(E279=År2,'Resultater - Vestdanmark'!I$3:I$504,'Resultater - Vestdanmark'!J$3:J$504)),'Resultater - Vestdanmark'!$F$3:$F$504,$A279,IF(E279=År1,'Resultater - Vestdanmark'!H$3:H$504,IF(E279=År2,'Resultater - Vestdanmark'!I$3:I$504,'Resultater - Vestdanmark'!J$3:J$504)),"&gt;0"),SUMIFS(IF(E279=År1,'Resultater - Østdanmark'!H$3:H$504,IF(E279=År2,'Resultater - Østdanmark'!I$3:I$504,'Resultater - Østdanmark'!J$3:J$504)),'Resultater - Østdanmark'!$F$3:$F$504,$A279,IF(E279=År1,'Resultater - Østdanmark'!H$3:H$504,IF(E279=År2,'Resultater - Østdanmark'!I$3:I$504,'Resultater - Østdanmark'!J$3:J$504)),"&gt;0"))</f>
        <v>215982.61635398451</v>
      </c>
      <c r="H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forbrug'!H$3,'Forbrug af biomasse'!$B$2:$B$425,$F279)</f>
        <v>0</v>
      </c>
      <c r="I279">
        <f>IF(F279="Vestdanmark",-IF(A279="Halm",SUMIFS(IF(E279=År1,'Resultater - Vestdanmark'!H$3:H$504,IF(E279=År2,'Resultater - Vestdanmark'!I$3:I$504,'Resultater - Vestdanmark'!J$3:J$504)),'Resultater - Vestdanmark'!$F$3:$F$504,$A279,'Resultater - Vestdanmark'!H$3:H$504,"&lt;0"),0),-IF(A279="Halm",SUMIFS(IF(E279=År1,'Resultater - Østdanmark'!H$3:H$504,IF(E279=År2,'Resultater - Østdanmark'!I$3:I$504,'Resultater - Østdanmark'!J$3:J$504)),'Resultater - Østdanmark'!$F$3:$F$504,$A279,'Resultater - Østdanmark'!H$3:H$504,"&lt;0"),0))</f>
        <v>0</v>
      </c>
      <c r="J279" s="94"/>
      <c r="K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forbrug'!K$3,'Forbrug af biomasse'!$B$2:$B$425,$F279)</f>
        <v>0</v>
      </c>
      <c r="L279" s="94">
        <f>SUMIFS('Forbrug af biomasse'!$E$2:$E$425,'Forbrug af biomasse'!$C$2:$C$425,'Resultat-Produktion &amp; forbrug'!$A279,'Forbrug af biomasse'!$D$2:$D$425,'Resultat-Produktion &amp; forbrug'!$E279,'Forbrug af biomasse'!$A$2:$A$425,'Resultat-Produktion &amp; forbrug'!L$3,'Forbrug af biomasse'!$B$2:$B$425,$F279)</f>
        <v>0</v>
      </c>
      <c r="M279" s="94">
        <f>IF(A279&lt;&gt;"Biogas",SUMIFS('Forbrug af biomasse'!$E$2:$E$425,'Forbrug af biomasse'!$C$2:$C$425,'Resultat-Produktion &amp; forbrug'!$A279,'Forbrug af biomasse'!$D$2:$D$425,'Resultat-Produktion &amp; forbrug'!$E279,'Forbrug af biomasse'!$A$2:$A$425,'Resultat-Produktion &amp; forbrug'!M$3,'Forbrug af biomasse'!$B$2:$B$425,$F279),G279)</f>
        <v>0</v>
      </c>
      <c r="N279" s="94">
        <f>SUMIFS('Forbrug af biomasse'!E:E,'Forbrug af biomasse'!C:C,'Resultat-Produktion &amp; forbrug'!$A279,'Forbrug af biomasse'!D:D,'Resultat-Produktion &amp; forbrug'!$E279,'Forbrug af biomasse'!G:G,1,'Forbrug af biomasse'!B:B,$F279)</f>
        <v>215982.61635398451</v>
      </c>
      <c r="O279" s="179">
        <f t="shared" si="45"/>
        <v>0</v>
      </c>
      <c r="P279" s="94">
        <f t="shared" si="58"/>
        <v>0</v>
      </c>
      <c r="Q279" s="180">
        <f t="shared" si="46"/>
        <v>0</v>
      </c>
      <c r="R279">
        <f>IFERROR(VLOOKUP(A279,[1]Energiindhold!$A$2:$C$11,3,FALSE),IFERROR(VLOOKUP(A279,[1]Biogasudbytte!$A$2:$B$18,2,FALSE)*[1]Energiindhold!$C$10,0))*P279</f>
        <v>0</v>
      </c>
      <c r="S279">
        <f>IF(A279&lt;&gt;"Biogas",IFERROR(VLOOKUP(A279,[1]Biogasudbytte!$A$2:$B$18,2,FALSE)*[1]Energiindhold!$C$10,0)*K279*IFERROR(VLOOKUP(A279,Biogasanlæg!$F$3:$G$8,2,FALSE),1)+IFERROR(VLOOKUP(A279,[1]Energiindhold!$A$2:$C$11,3,FALSE),0)*M279+IF(E279&lt;&gt;År1,R279,0),0)</f>
        <v>0</v>
      </c>
      <c r="T279">
        <f>IFERROR(VLOOKUP(A279,[1]Biogasudbytte!$A$2:$B$18,2,FALSE)*[1]Energiindhold!$C$10,0)*K279*IFERROR(VLOOKUP(A279,Biogasanlæg!$F$3:$G$8,2,FALSE),1)</f>
        <v>0</v>
      </c>
      <c r="U279" s="170">
        <f t="shared" si="47"/>
        <v>0</v>
      </c>
      <c r="V279" s="169">
        <f>P279*IFERROR(VLOOKUP(A279,[1]Tørstofindhold!A$2:B$24,2,FALSE),0)</f>
        <v>0</v>
      </c>
      <c r="W279">
        <f>IF(E279=År1,Q279,SUM(P279,Q279))*IFERROR(VLOOKUP(A279,[1]Tørstofindhold!A$2:B$24,2,FALSE),0)</f>
        <v>0</v>
      </c>
      <c r="X279">
        <f>K279*IFERROR(VLOOKUP(A279,[1]Tørstofindhold!A$2:B$24,2,FALSE),0)</f>
        <v>0</v>
      </c>
      <c r="Y279" s="170">
        <f t="shared" si="48"/>
        <v>0</v>
      </c>
      <c r="Z279">
        <f t="shared" si="59"/>
        <v>0</v>
      </c>
      <c r="AA279">
        <f t="shared" si="60"/>
        <v>0</v>
      </c>
    </row>
    <row r="280" spans="1:27" x14ac:dyDescent="0.25">
      <c r="A280" s="171" t="str">
        <f t="shared" si="56"/>
        <v>Rapskage</v>
      </c>
      <c r="B280" s="171" t="str">
        <f t="shared" si="57"/>
        <v/>
      </c>
      <c r="C280" s="171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0</v>
      </c>
      <c r="D280" s="171">
        <f t="shared" si="52"/>
        <v>0</v>
      </c>
      <c r="E280" s="171">
        <f t="shared" si="51"/>
        <v>2050</v>
      </c>
      <c r="F280" t="s">
        <v>24</v>
      </c>
      <c r="G280" s="94">
        <f>IF(F280="Vestdanmark",SUMIFS(IF(E280=År1,'Resultater - Vestdanmark'!H$3:H$504,IF(E280=År2,'Resultater - Vestdanmark'!I$3:I$504,'Resultater - Vestdanmark'!J$3:J$504)),'Resultater - Vestdanmark'!$F$3:$F$504,$A280,IF(E280=År1,'Resultater - Vestdanmark'!H$3:H$504,IF(E280=År2,'Resultater - Vestdanmark'!I$3:I$504,'Resultater - Vestdanmark'!J$3:J$504)),"&gt;0"),SUMIFS(IF(E280=År1,'Resultater - Østdanmark'!H$3:H$504,IF(E280=År2,'Resultater - Østdanmark'!I$3:I$504,'Resultater - Østdanmark'!J$3:J$504)),'Resultater - Østdanmark'!$F$3:$F$504,$A280,IF(E280=År1,'Resultater - Østdanmark'!H$3:H$504,IF(E280=År2,'Resultater - Østdanmark'!I$3:I$504,'Resultater - Østdanmark'!J$3:J$504)),"&gt;0"))</f>
        <v>107991.30817699226</v>
      </c>
      <c r="H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forbrug'!H$3,'Forbrug af biomasse'!$B$2:$B$425,$F280)</f>
        <v>54569.905755399974</v>
      </c>
      <c r="I280">
        <f>IF(F280="Vestdanmark",-IF(A280="Halm",SUMIFS(IF(E280=År1,'Resultater - Vestdanmark'!H$3:H$504,IF(E280=År2,'Resultater - Vestdanmark'!I$3:I$504,'Resultater - Vestdanmark'!J$3:J$504)),'Resultater - Vestdanmark'!$F$3:$F$504,$A280,'Resultater - Vestdanmark'!H$3:H$504,"&lt;0"),0),-IF(A280="Halm",SUMIFS(IF(E280=År1,'Resultater - Østdanmark'!H$3:H$504,IF(E280=År2,'Resultater - Østdanmark'!I$3:I$504,'Resultater - Østdanmark'!J$3:J$504)),'Resultater - Østdanmark'!$F$3:$F$504,$A280,'Resultater - Østdanmark'!H$3:H$504,"&lt;0"),0))</f>
        <v>0</v>
      </c>
      <c r="J280" s="94"/>
      <c r="K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forbrug'!K$3,'Forbrug af biomasse'!$B$2:$B$425,$F280)</f>
        <v>0</v>
      </c>
      <c r="L280" s="94">
        <f>SUMIFS('Forbrug af biomasse'!$E$2:$E$425,'Forbrug af biomasse'!$C$2:$C$425,'Resultat-Produktion &amp; forbrug'!$A280,'Forbrug af biomasse'!$D$2:$D$425,'Resultat-Produktion &amp; forbrug'!$E280,'Forbrug af biomasse'!$A$2:$A$425,'Resultat-Produktion &amp; forbrug'!L$3,'Forbrug af biomasse'!$B$2:$B$425,$F280)</f>
        <v>0</v>
      </c>
      <c r="M280" s="94">
        <f>IF(A280&lt;&gt;"Biogas",SUMIFS('Forbrug af biomasse'!$E$2:$E$425,'Forbrug af biomasse'!$C$2:$C$425,'Resultat-Produktion &amp; forbrug'!$A280,'Forbrug af biomasse'!$D$2:$D$425,'Resultat-Produktion &amp; forbrug'!$E280,'Forbrug af biomasse'!$A$2:$A$425,'Resultat-Produktion &amp; forbrug'!M$3,'Forbrug af biomasse'!$B$2:$B$425,$F280),G280)</f>
        <v>0</v>
      </c>
      <c r="N280" s="94">
        <f>SUMIFS('Forbrug af biomasse'!E:E,'Forbrug af biomasse'!C:C,'Resultat-Produktion &amp; forbrug'!$A280,'Forbrug af biomasse'!D:D,'Resultat-Produktion &amp; forbrug'!$E280,'Forbrug af biomasse'!G:G,1,'Forbrug af biomasse'!B:B,$F280)</f>
        <v>0</v>
      </c>
      <c r="O280" s="179">
        <f t="shared" si="45"/>
        <v>53421.402421592284</v>
      </c>
      <c r="P280" s="94">
        <f t="shared" si="58"/>
        <v>0</v>
      </c>
      <c r="Q280" s="180">
        <f t="shared" si="46"/>
        <v>0</v>
      </c>
      <c r="R280">
        <f>IFERROR(VLOOKUP(A280,[1]Energiindhold!$A$2:$C$11,3,FALSE),IFERROR(VLOOKUP(A280,[1]Biogasudbytte!$A$2:$B$18,2,FALSE)*[1]Energiindhold!$C$10,0))*P280</f>
        <v>0</v>
      </c>
      <c r="S280">
        <f>IF(A280&lt;&gt;"Biogas",IFERROR(VLOOKUP(A280,[1]Biogasudbytte!$A$2:$B$18,2,FALSE)*[1]Energiindhold!$C$10,0)*K280*IFERROR(VLOOKUP(A280,Biogasanlæg!$F$3:$G$8,2,FALSE),1)+IFERROR(VLOOKUP(A280,[1]Energiindhold!$A$2:$C$11,3,FALSE),0)*M280+IF(E280&lt;&gt;År1,R280,0),0)</f>
        <v>0</v>
      </c>
      <c r="T280">
        <f>IFERROR(VLOOKUP(A280,[1]Biogasudbytte!$A$2:$B$18,2,FALSE)*[1]Energiindhold!$C$10,0)*K280*IFERROR(VLOOKUP(A280,Biogasanlæg!$F$3:$G$8,2,FALSE),1)</f>
        <v>0</v>
      </c>
      <c r="U280" s="170">
        <f t="shared" si="47"/>
        <v>0</v>
      </c>
      <c r="V280" s="169">
        <f>P280*IFERROR(VLOOKUP(A280,[1]Tørstofindhold!A$2:B$24,2,FALSE),0)</f>
        <v>0</v>
      </c>
      <c r="W280">
        <f>IF(E280=År1,Q280,SUM(P280,Q280))*IFERROR(VLOOKUP(A280,[1]Tørstofindhold!A$2:B$24,2,FALSE),0)</f>
        <v>0</v>
      </c>
      <c r="X280">
        <f>K280*IFERROR(VLOOKUP(A280,[1]Tørstofindhold!A$2:B$24,2,FALSE),0)</f>
        <v>0</v>
      </c>
      <c r="Y280" s="170">
        <f t="shared" si="48"/>
        <v>0</v>
      </c>
      <c r="Z280">
        <f t="shared" si="59"/>
        <v>1</v>
      </c>
      <c r="AA280">
        <f t="shared" si="60"/>
        <v>0</v>
      </c>
    </row>
    <row r="281" spans="1:27" x14ac:dyDescent="0.25">
      <c r="A281" s="171" t="str">
        <f t="shared" si="56"/>
        <v>Rapsolie</v>
      </c>
      <c r="B281" s="171" t="str">
        <f t="shared" si="57"/>
        <v>Rapsolie</v>
      </c>
      <c r="C281" s="171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71">
        <f t="shared" si="52"/>
        <v>1</v>
      </c>
      <c r="E281" s="171">
        <f t="shared" si="51"/>
        <v>2050</v>
      </c>
      <c r="F281" t="s">
        <v>24</v>
      </c>
      <c r="G281" s="94">
        <f>IF(F281="Vestdanmark",SUMIFS(IF(E281=År1,'Resultater - Vestdanmark'!H$3:H$504,IF(E281=År2,'Resultater - Vestdanmark'!I$3:I$504,'Resultater - Vestdanmark'!J$3:J$504)),'Resultater - Vestdanmark'!$F$3:$F$504,$A281,IF(E281=År1,'Resultater - Vestdanmark'!H$3:H$504,IF(E281=År2,'Resultater - Vestdanmark'!I$3:I$504,'Resultater - Vestdanmark'!J$3:J$504)),"&gt;0"),SUMIFS(IF(E281=År1,'Resultater - Østdanmark'!H$3:H$504,IF(E281=År2,'Resultater - Østdanmark'!I$3:I$504,'Resultater - Østdanmark'!J$3:J$504)),'Resultater - Østdanmark'!$F$3:$F$504,$A281,IF(E281=År1,'Resultater - Østdanmark'!H$3:H$504,IF(E281=År2,'Resultater - Østdanmark'!I$3:I$504,'Resultater - Østdanmark'!J$3:J$504)),"&gt;0"))</f>
        <v>69114.43723327505</v>
      </c>
      <c r="H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forbrug'!H$3,'Forbrug af biomasse'!$B$2:$B$425,$F281)</f>
        <v>0</v>
      </c>
      <c r="I281">
        <f>IF(F281="Vestdanmark",-IF(A281="Halm",SUMIFS(IF(E281=År1,'Resultater - Vestdanmark'!H$3:H$504,IF(E281=År2,'Resultater - Vestdanmark'!I$3:I$504,'Resultater - Vestdanmark'!J$3:J$504)),'Resultater - Vestdanmark'!$F$3:$F$504,$A281,'Resultater - Vestdanmark'!H$3:H$504,"&lt;0"),0),-IF(A281="Halm",SUMIFS(IF(E281=År1,'Resultater - Østdanmark'!H$3:H$504,IF(E281=År2,'Resultater - Østdanmark'!I$3:I$504,'Resultater - Østdanmark'!J$3:J$504)),'Resultater - Østdanmark'!$F$3:$F$504,$A281,'Resultater - Østdanmark'!H$3:H$504,"&lt;0"),0))</f>
        <v>0</v>
      </c>
      <c r="J281" s="94"/>
      <c r="K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forbrug'!K$3,'Forbrug af biomasse'!$B$2:$B$425,$F281)</f>
        <v>0</v>
      </c>
      <c r="L281" s="94">
        <f>SUMIFS('Forbrug af biomasse'!$E$2:$E$425,'Forbrug af biomasse'!$C$2:$C$425,'Resultat-Produktion &amp; forbrug'!$A281,'Forbrug af biomasse'!$D$2:$D$425,'Resultat-Produktion &amp; forbrug'!$E281,'Forbrug af biomasse'!$A$2:$A$425,'Resultat-Produktion &amp; forbrug'!L$3,'Forbrug af biomasse'!$B$2:$B$425,$F281)</f>
        <v>0</v>
      </c>
      <c r="M281" s="94">
        <f>IF(A281&lt;&gt;"Biogas",SUMIFS('Forbrug af biomasse'!$E$2:$E$425,'Forbrug af biomasse'!$C$2:$C$425,'Resultat-Produktion &amp; forbrug'!$A281,'Forbrug af biomasse'!$D$2:$D$425,'Resultat-Produktion &amp; forbrug'!$E281,'Forbrug af biomasse'!$A$2:$A$425,'Resultat-Produktion &amp; forbrug'!M$3,'Forbrug af biomasse'!$B$2:$B$425,$F281),G281)</f>
        <v>69114.43723327505</v>
      </c>
      <c r="N281" s="94">
        <f>SUMIFS('Forbrug af biomasse'!E:E,'Forbrug af biomasse'!C:C,'Resultat-Produktion &amp; forbrug'!$A281,'Forbrug af biomasse'!D:D,'Resultat-Produktion &amp; forbrug'!$E281,'Forbrug af biomasse'!G:G,1,'Forbrug af biomasse'!B:B,$F281)</f>
        <v>0</v>
      </c>
      <c r="O281" s="179">
        <f t="shared" si="45"/>
        <v>0</v>
      </c>
      <c r="P281" s="94">
        <f t="shared" si="58"/>
        <v>0</v>
      </c>
      <c r="Q281" s="180">
        <f t="shared" si="46"/>
        <v>69114.43723327505</v>
      </c>
      <c r="R281">
        <f>IFERROR(VLOOKUP(A281,[1]Energiindhold!$A$2:$C$11,3,FALSE),IFERROR(VLOOKUP(A281,[1]Biogasudbytte!$A$2:$B$18,2,FALSE)*[1]Energiindhold!$C$10,0))*P281</f>
        <v>0</v>
      </c>
      <c r="S281">
        <f>IF(A281&lt;&gt;"Biogas",IFERROR(VLOOKUP(A281,[1]Biogasudbytte!$A$2:$B$18,2,FALSE)*[1]Energiindhold!$C$10,0)*K281*IFERROR(VLOOKUP(A281,Biogasanlæg!$F$3:$G$8,2,FALSE),1)+IFERROR(VLOOKUP(A281,[1]Energiindhold!$A$2:$C$11,3,FALSE),0)*M281+IF(E281&lt;&gt;År1,R281,0),0)</f>
        <v>2.4190053031646266</v>
      </c>
      <c r="T281">
        <f>IFERROR(VLOOKUP(A281,[1]Biogasudbytte!$A$2:$B$18,2,FALSE)*[1]Energiindhold!$C$10,0)*K281*IFERROR(VLOOKUP(A281,Biogasanlæg!$F$3:$G$8,2,FALSE),1)</f>
        <v>0</v>
      </c>
      <c r="U281" s="170">
        <f t="shared" si="47"/>
        <v>2.4190053031646266</v>
      </c>
      <c r="V281" s="169">
        <f>P281*IFERROR(VLOOKUP(A281,[1]Tørstofindhold!A$2:B$24,2,FALSE),0)</f>
        <v>0</v>
      </c>
      <c r="W281">
        <f>IF(E281=År1,Q281,SUM(P281,Q281))*IFERROR(VLOOKUP(A281,[1]Tørstofindhold!A$2:B$24,2,FALSE),0)</f>
        <v>0</v>
      </c>
      <c r="X281">
        <f>K281*IFERROR(VLOOKUP(A281,[1]Tørstofindhold!A$2:B$24,2,FALSE),0)</f>
        <v>0</v>
      </c>
      <c r="Y281" s="170">
        <f t="shared" si="48"/>
        <v>0</v>
      </c>
      <c r="Z281">
        <f t="shared" si="59"/>
        <v>0</v>
      </c>
      <c r="AA281">
        <f t="shared" si="60"/>
        <v>0</v>
      </c>
    </row>
    <row r="282" spans="1:27" x14ac:dyDescent="0.25">
      <c r="A282" s="171" t="str">
        <f t="shared" si="56"/>
        <v>Roer</v>
      </c>
      <c r="B282" s="171" t="str">
        <f t="shared" si="57"/>
        <v>Græs og urter</v>
      </c>
      <c r="C282" s="171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1</v>
      </c>
      <c r="D282" s="171">
        <f t="shared" si="52"/>
        <v>1</v>
      </c>
      <c r="E282" s="171">
        <f t="shared" si="51"/>
        <v>2050</v>
      </c>
      <c r="F282" t="s">
        <v>24</v>
      </c>
      <c r="G282" s="94">
        <f>IF(F282="Vestdanmark",SUMIFS(IF(E282=År1,'Resultater - Vestdanmark'!H$3:H$504,IF(E282=År2,'Resultater - Vestdanmark'!I$3:I$504,'Resultater - Vestdanmark'!J$3:J$504)),'Resultater - Vestdanmark'!$F$3:$F$504,$A282,IF(E282=År1,'Resultater - Vestdanmark'!H$3:H$504,IF(E282=År2,'Resultater - Vestdanmark'!I$3:I$504,'Resultater - Vestdanmark'!J$3:J$504)),"&gt;0"),SUMIFS(IF(E282=År1,'Resultater - Østdanmark'!H$3:H$504,IF(E282=År2,'Resultater - Østdanmark'!I$3:I$504,'Resultater - Østdanmark'!J$3:J$504)),'Resultater - Østdanmark'!$F$3:$F$504,$A282,IF(E282=År1,'Resultater - Østdanmark'!H$3:H$504,IF(E282=År2,'Resultater - Østdanmark'!I$3:I$504,'Resultater - Østdanmark'!J$3:J$504)),"&gt;0"))</f>
        <v>914724.5674164847</v>
      </c>
      <c r="H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forbrug'!H$3,'Forbrug af biomasse'!$B$2:$B$425,$F282)</f>
        <v>69980.277195824005</v>
      </c>
      <c r="I282">
        <f>IF(F282="Vestdanmark",-IF(A282="Halm",SUMIFS(IF(E282=År1,'Resultater - Vestdanmark'!H$3:H$504,IF(E282=År2,'Resultater - Vestdanmark'!I$3:I$504,'Resultater - Vestdanmark'!J$3:J$504)),'Resultater - Vestdanmark'!$F$3:$F$504,$A282,'Resultater - Vestdanmark'!H$3:H$504,"&lt;0"),0),-IF(A282="Halm",SUMIFS(IF(E282=År1,'Resultater - Østdanmark'!H$3:H$504,IF(E282=År2,'Resultater - Østdanmark'!I$3:I$504,'Resultater - Østdanmark'!J$3:J$504)),'Resultater - Østdanmark'!$F$3:$F$504,$A282,'Resultater - Østdanmark'!H$3:H$504,"&lt;0"),0))</f>
        <v>0</v>
      </c>
      <c r="J282" s="94"/>
      <c r="K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forbrug'!K$3,'Forbrug af biomasse'!$B$2:$B$425,$F282)</f>
        <v>0</v>
      </c>
      <c r="L282" s="94">
        <f>SUMIFS('Forbrug af biomasse'!$E$2:$E$425,'Forbrug af biomasse'!$C$2:$C$425,'Resultat-Produktion &amp; forbrug'!$A282,'Forbrug af biomasse'!$D$2:$D$425,'Resultat-Produktion &amp; forbrug'!$E282,'Forbrug af biomasse'!$A$2:$A$425,'Resultat-Produktion &amp; forbrug'!L$3,'Forbrug af biomasse'!$B$2:$B$425,$F282)</f>
        <v>0</v>
      </c>
      <c r="M282" s="94">
        <f>IF(A282&lt;&gt;"Biogas",SUMIFS('Forbrug af biomasse'!$E$2:$E$425,'Forbrug af biomasse'!$C$2:$C$425,'Resultat-Produktion &amp; forbrug'!$A282,'Forbrug af biomasse'!$D$2:$D$425,'Resultat-Produktion &amp; forbrug'!$E282,'Forbrug af biomasse'!$A$2:$A$425,'Resultat-Produktion &amp; forbrug'!M$3,'Forbrug af biomasse'!$B$2:$B$425,$F282),G282)</f>
        <v>0</v>
      </c>
      <c r="N282" s="94">
        <f>SUMIFS('Forbrug af biomasse'!E:E,'Forbrug af biomasse'!C:C,'Resultat-Produktion &amp; forbrug'!$A282,'Forbrug af biomasse'!D:D,'Resultat-Produktion &amp; forbrug'!$E282,'Forbrug af biomasse'!G:G,1,'Forbrug af biomasse'!B:B,$F282)</f>
        <v>0</v>
      </c>
      <c r="O282" s="179">
        <f t="shared" si="45"/>
        <v>844744.29022066074</v>
      </c>
      <c r="P282" s="94">
        <f t="shared" si="58"/>
        <v>844744.29022066074</v>
      </c>
      <c r="Q282" s="180">
        <f t="shared" si="46"/>
        <v>0</v>
      </c>
      <c r="R282">
        <f>IFERROR(VLOOKUP(A282,[1]Energiindhold!$A$2:$C$11,3,FALSE),IFERROR(VLOOKUP(A282,[1]Biogasudbytte!$A$2:$B$18,2,FALSE)*[1]Energiindhold!$C$10,0))*P282</f>
        <v>2.2926697934304823</v>
      </c>
      <c r="S282">
        <f>IF(A282&lt;&gt;"Biogas",IFERROR(VLOOKUP(A282,[1]Biogasudbytte!$A$2:$B$18,2,FALSE)*[1]Energiindhold!$C$10,0)*K282*IFERROR(VLOOKUP(A282,Biogasanlæg!$F$3:$G$8,2,FALSE),1)+IFERROR(VLOOKUP(A282,[1]Energiindhold!$A$2:$C$11,3,FALSE),0)*M282+IF(E282&lt;&gt;År1,R282,0),0)</f>
        <v>2.2926697934304823</v>
      </c>
      <c r="T282">
        <f>IFERROR(VLOOKUP(A282,[1]Biogasudbytte!$A$2:$B$18,2,FALSE)*[1]Energiindhold!$C$10,0)*K282*IFERROR(VLOOKUP(A282,Biogasanlæg!$F$3:$G$8,2,FALSE),1)</f>
        <v>0</v>
      </c>
      <c r="U282" s="170">
        <f t="shared" si="47"/>
        <v>2.2926697934304823</v>
      </c>
      <c r="V282" s="169">
        <f>P282*IFERROR(VLOOKUP(A282,[1]Tørstofindhold!A$2:B$24,2,FALSE),0)</f>
        <v>168948.85804413215</v>
      </c>
      <c r="W282">
        <f>IF(E282=År1,Q282,SUM(P282,Q282))*IFERROR(VLOOKUP(A282,[1]Tørstofindhold!A$2:B$24,2,FALSE),0)</f>
        <v>168948.85804413215</v>
      </c>
      <c r="X282">
        <f>K282*IFERROR(VLOOKUP(A282,[1]Tørstofindhold!A$2:B$24,2,FALSE),0)</f>
        <v>0</v>
      </c>
      <c r="Y282" s="170">
        <f t="shared" si="48"/>
        <v>168948.85804413215</v>
      </c>
      <c r="Z282">
        <f t="shared" si="59"/>
        <v>0</v>
      </c>
      <c r="AA282">
        <f t="shared" si="60"/>
        <v>1</v>
      </c>
    </row>
    <row r="283" spans="1:27" x14ac:dyDescent="0.25">
      <c r="A283" s="171" t="str">
        <f t="shared" si="56"/>
        <v>Slagteriaffald til andet</v>
      </c>
      <c r="B283" s="171" t="str">
        <f t="shared" si="57"/>
        <v/>
      </c>
      <c r="C283" s="171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71">
        <f t="shared" si="52"/>
        <v>0</v>
      </c>
      <c r="E283" s="171">
        <f t="shared" ref="E283:E291" si="61">År3</f>
        <v>2050</v>
      </c>
      <c r="F283" t="s">
        <v>24</v>
      </c>
      <c r="G283" s="94">
        <f>IF(F283="Vestdanmark",SUMIFS(IF(E283=År1,'Resultater - Vestdanmark'!H$3:H$504,IF(E283=År2,'Resultater - Vestdanmark'!I$3:I$504,'Resultater - Vestdanmark'!J$3:J$504)),'Resultater - Vestdanmark'!$F$3:$F$504,$A283,IF(E283=År1,'Resultater - Vestdanmark'!H$3:H$504,IF(E283=År2,'Resultater - Vestdanmark'!I$3:I$504,'Resultater - Vestdanmark'!J$3:J$504)),"&gt;0"),SUMIFS(IF(E283=År1,'Resultater - Østdanmark'!H$3:H$504,IF(E283=År2,'Resultater - Østdanmark'!I$3:I$504,'Resultater - Østdanmark'!J$3:J$504)),'Resultater - Østdanmark'!$F$3:$F$504,$A283,IF(E283=År1,'Resultater - Østdanmark'!H$3:H$504,IF(E283=År2,'Resultater - Østdanmark'!I$3:I$504,'Resultater - Østdanmark'!J$3:J$504)),"&gt;0"))</f>
        <v>5178.4802809055018</v>
      </c>
      <c r="H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forbrug'!H$3,'Forbrug af biomasse'!$B$2:$B$425,$F283)</f>
        <v>0</v>
      </c>
      <c r="I283">
        <f>IF(F283="Vestdanmark",-IF(A283="Halm",SUMIFS(IF(E283=År1,'Resultater - Vestdanmark'!H$3:H$504,IF(E283=År2,'Resultater - Vestdanmark'!I$3:I$504,'Resultater - Vestdanmark'!J$3:J$504)),'Resultater - Vestdanmark'!$F$3:$F$504,$A283,'Resultater - Vestdanmark'!H$3:H$504,"&lt;0"),0),-IF(A283="Halm",SUMIFS(IF(E283=År1,'Resultater - Østdanmark'!H$3:H$504,IF(E283=År2,'Resultater - Østdanmark'!I$3:I$504,'Resultater - Østdanmark'!J$3:J$504)),'Resultater - Østdanmark'!$F$3:$F$504,$A283,'Resultater - Østdanmark'!H$3:H$504,"&lt;0"),0))</f>
        <v>0</v>
      </c>
      <c r="J283" s="94"/>
      <c r="K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forbrug'!K$3,'Forbrug af biomasse'!$B$2:$B$425,$F283)</f>
        <v>0</v>
      </c>
      <c r="L283" s="94">
        <f>SUMIFS('Forbrug af biomasse'!$E$2:$E$425,'Forbrug af biomasse'!$C$2:$C$425,'Resultat-Produktion &amp; forbrug'!$A283,'Forbrug af biomasse'!$D$2:$D$425,'Resultat-Produktion &amp; forbrug'!$E283,'Forbrug af biomasse'!$A$2:$A$425,'Resultat-Produktion &amp; forbrug'!L$3,'Forbrug af biomasse'!$B$2:$B$425,$F283)</f>
        <v>0</v>
      </c>
      <c r="M283" s="94">
        <f>IF(A283&lt;&gt;"Biogas",SUMIFS('Forbrug af biomasse'!$E$2:$E$425,'Forbrug af biomasse'!$C$2:$C$425,'Resultat-Produktion &amp; forbrug'!$A283,'Forbrug af biomasse'!$D$2:$D$425,'Resultat-Produktion &amp; forbrug'!$E283,'Forbrug af biomasse'!$A$2:$A$425,'Resultat-Produktion &amp; forbrug'!M$3,'Forbrug af biomasse'!$B$2:$B$425,$F283),G283)</f>
        <v>0</v>
      </c>
      <c r="N283" s="94">
        <f>SUMIFS('Forbrug af biomasse'!E:E,'Forbrug af biomasse'!C:C,'Resultat-Produktion &amp; forbrug'!$A283,'Forbrug af biomasse'!D:D,'Resultat-Produktion &amp; forbrug'!$E283,'Forbrug af biomasse'!G:G,1,'Forbrug af biomasse'!B:B,$F283)</f>
        <v>0</v>
      </c>
      <c r="O283" s="179">
        <f t="shared" ref="O283:O291" si="62">G283-SUM(H283:N283)</f>
        <v>5178.4802809055018</v>
      </c>
      <c r="P283" s="94">
        <f t="shared" si="58"/>
        <v>0</v>
      </c>
      <c r="Q283" s="180">
        <f t="shared" ref="Q283:Q291" si="63">SUM(K283,M283)</f>
        <v>0</v>
      </c>
      <c r="R283">
        <f>IFERROR(VLOOKUP(A283,[1]Energiindhold!$A$2:$C$11,3,FALSE),IFERROR(VLOOKUP(A283,[1]Biogasudbytte!$A$2:$B$18,2,FALSE)*[1]Energiindhold!$C$10,0))*P283</f>
        <v>0</v>
      </c>
      <c r="S283">
        <f>IF(A283&lt;&gt;"Biogas",IFERROR(VLOOKUP(A283,[1]Biogasudbytte!$A$2:$B$18,2,FALSE)*[1]Energiindhold!$C$10,0)*K283*IFERROR(VLOOKUP(A283,Biogasanlæg!$F$3:$G$8,2,FALSE),1)+IFERROR(VLOOKUP(A283,[1]Energiindhold!$A$2:$C$11,3,FALSE),0)*M283+IF(E283&lt;&gt;År1,R283,0),0)</f>
        <v>0</v>
      </c>
      <c r="T283">
        <f>IFERROR(VLOOKUP(A283,[1]Biogasudbytte!$A$2:$B$18,2,FALSE)*[1]Energiindhold!$C$10,0)*K283*IFERROR(VLOOKUP(A283,Biogasanlæg!$F$3:$G$8,2,FALSE),1)</f>
        <v>0</v>
      </c>
      <c r="U283" s="170">
        <f t="shared" ref="U283:U291" si="64">S283-T283</f>
        <v>0</v>
      </c>
      <c r="V283" s="169">
        <f>P283*IFERROR(VLOOKUP(A283,[1]Tørstofindhold!A$2:B$24,2,FALSE),0)</f>
        <v>0</v>
      </c>
      <c r="W283">
        <f>IF(E283=År1,Q283,SUM(P283,Q283))*IFERROR(VLOOKUP(A283,[1]Tørstofindhold!A$2:B$24,2,FALSE),0)</f>
        <v>0</v>
      </c>
      <c r="X283">
        <f>K283*IFERROR(VLOOKUP(A283,[1]Tørstofindhold!A$2:B$24,2,FALSE),0)</f>
        <v>0</v>
      </c>
      <c r="Y283" s="170">
        <f t="shared" ref="Y283:Y291" si="65">W283-X283</f>
        <v>0</v>
      </c>
      <c r="Z283">
        <f t="shared" si="59"/>
        <v>0</v>
      </c>
      <c r="AA283">
        <f t="shared" si="60"/>
        <v>1</v>
      </c>
    </row>
    <row r="284" spans="1:27" x14ac:dyDescent="0.25">
      <c r="A284" s="171" t="str">
        <f t="shared" si="56"/>
        <v>Slagteriaffald til foder</v>
      </c>
      <c r="B284" s="171" t="str">
        <f t="shared" si="57"/>
        <v/>
      </c>
      <c r="C284" s="171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0</v>
      </c>
      <c r="D284" s="171">
        <f t="shared" si="52"/>
        <v>0</v>
      </c>
      <c r="E284" s="171">
        <f t="shared" si="61"/>
        <v>2050</v>
      </c>
      <c r="F284" t="s">
        <v>24</v>
      </c>
      <c r="G284" s="94">
        <f>IF(F284="Vestdanmark",SUMIFS(IF(E284=År1,'Resultater - Vestdanmark'!H$3:H$504,IF(E284=År2,'Resultater - Vestdanmark'!I$3:I$504,'Resultater - Vestdanmark'!J$3:J$504)),'Resultater - Vestdanmark'!$F$3:$F$504,$A284,IF(E284=År1,'Resultater - Vestdanmark'!H$3:H$504,IF(E284=År2,'Resultater - Vestdanmark'!I$3:I$504,'Resultater - Vestdanmark'!J$3:J$504)),"&gt;0"),SUMIFS(IF(E284=År1,'Resultater - Østdanmark'!H$3:H$504,IF(E284=År2,'Resultater - Østdanmark'!I$3:I$504,'Resultater - Østdanmark'!J$3:J$504)),'Resultater - Østdanmark'!$F$3:$F$504,$A284,IF(E284=År1,'Resultater - Østdanmark'!H$3:H$504,IF(E284=År2,'Resultater - Østdanmark'!I$3:I$504,'Resultater - Østdanmark'!J$3:J$504)),"&gt;0"))</f>
        <v>5080.5235511874698</v>
      </c>
      <c r="H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forbrug'!H$3,'Forbrug af biomasse'!$B$2:$B$425,$F284)</f>
        <v>5602.7040553433098</v>
      </c>
      <c r="I284">
        <f>IF(F284="Vestdanmark",-IF(A284="Halm",SUMIFS(IF(E284=År1,'Resultater - Vestdanmark'!H$3:H$504,IF(E284=År2,'Resultater - Vestdanmark'!I$3:I$504,'Resultater - Vestdanmark'!J$3:J$504)),'Resultater - Vestdanmark'!$F$3:$F$504,$A284,'Resultater - Vestdanmark'!H$3:H$504,"&lt;0"),0),-IF(A284="Halm",SUMIFS(IF(E284=År1,'Resultater - Østdanmark'!H$3:H$504,IF(E284=År2,'Resultater - Østdanmark'!I$3:I$504,'Resultater - Østdanmark'!J$3:J$504)),'Resultater - Østdanmark'!$F$3:$F$504,$A284,'Resultater - Østdanmark'!H$3:H$504,"&lt;0"),0))</f>
        <v>0</v>
      </c>
      <c r="J284" s="94"/>
      <c r="K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forbrug'!K$3,'Forbrug af biomasse'!$B$2:$B$425,$F284)</f>
        <v>0</v>
      </c>
      <c r="L284" s="94">
        <f>SUMIFS('Forbrug af biomasse'!$E$2:$E$425,'Forbrug af biomasse'!$C$2:$C$425,'Resultat-Produktion &amp; forbrug'!$A284,'Forbrug af biomasse'!$D$2:$D$425,'Resultat-Produktion &amp; forbrug'!$E284,'Forbrug af biomasse'!$A$2:$A$425,'Resultat-Produktion &amp; forbrug'!L$3,'Forbrug af biomasse'!$B$2:$B$425,$F284)</f>
        <v>0</v>
      </c>
      <c r="M284" s="94">
        <f>IF(A284&lt;&gt;"Biogas",SUMIFS('Forbrug af biomasse'!$E$2:$E$425,'Forbrug af biomasse'!$C$2:$C$425,'Resultat-Produktion &amp; forbrug'!$A284,'Forbrug af biomasse'!$D$2:$D$425,'Resultat-Produktion &amp; forbrug'!$E284,'Forbrug af biomasse'!$A$2:$A$425,'Resultat-Produktion &amp; forbrug'!M$3,'Forbrug af biomasse'!$B$2:$B$425,$F284),G284)</f>
        <v>0</v>
      </c>
      <c r="N284" s="94">
        <f>SUMIFS('Forbrug af biomasse'!E:E,'Forbrug af biomasse'!C:C,'Resultat-Produktion &amp; forbrug'!$A284,'Forbrug af biomasse'!D:D,'Resultat-Produktion &amp; forbrug'!$E284,'Forbrug af biomasse'!G:G,1,'Forbrug af biomasse'!B:B,$F284)</f>
        <v>0</v>
      </c>
      <c r="O284" s="179">
        <f t="shared" si="62"/>
        <v>-522.18050415584003</v>
      </c>
      <c r="P284" s="94">
        <f t="shared" si="58"/>
        <v>0</v>
      </c>
      <c r="Q284" s="180">
        <f t="shared" si="63"/>
        <v>0</v>
      </c>
      <c r="R284">
        <f>IFERROR(VLOOKUP(A284,[1]Energiindhold!$A$2:$C$11,3,FALSE),IFERROR(VLOOKUP(A284,[1]Biogasudbytte!$A$2:$B$18,2,FALSE)*[1]Energiindhold!$C$10,0))*P284</f>
        <v>0</v>
      </c>
      <c r="S284">
        <f>IF(A284&lt;&gt;"Biogas",IFERROR(VLOOKUP(A284,[1]Biogasudbytte!$A$2:$B$18,2,FALSE)*[1]Energiindhold!$C$10,0)*K284*IFERROR(VLOOKUP(A284,Biogasanlæg!$F$3:$G$8,2,FALSE),1)+IFERROR(VLOOKUP(A284,[1]Energiindhold!$A$2:$C$11,3,FALSE),0)*M284+IF(E284&lt;&gt;År1,R284,0),0)</f>
        <v>0</v>
      </c>
      <c r="T284">
        <f>IFERROR(VLOOKUP(A284,[1]Biogasudbytte!$A$2:$B$18,2,FALSE)*[1]Energiindhold!$C$10,0)*K284*IFERROR(VLOOKUP(A284,Biogasanlæg!$F$3:$G$8,2,FALSE),1)</f>
        <v>0</v>
      </c>
      <c r="U284" s="170">
        <f t="shared" si="64"/>
        <v>0</v>
      </c>
      <c r="V284" s="169">
        <f>P284*IFERROR(VLOOKUP(A284,[1]Tørstofindhold!A$2:B$24,2,FALSE),0)</f>
        <v>0</v>
      </c>
      <c r="W284">
        <f>IF(E284=År1,Q284,SUM(P284,Q284))*IFERROR(VLOOKUP(A284,[1]Tørstofindhold!A$2:B$24,2,FALSE),0)</f>
        <v>0</v>
      </c>
      <c r="X284">
        <f>K284*IFERROR(VLOOKUP(A284,[1]Tørstofindhold!A$2:B$24,2,FALSE),0)</f>
        <v>0</v>
      </c>
      <c r="Y284" s="170">
        <f t="shared" si="65"/>
        <v>0</v>
      </c>
      <c r="Z284">
        <f t="shared" si="59"/>
        <v>1</v>
      </c>
      <c r="AA284">
        <f t="shared" si="60"/>
        <v>0</v>
      </c>
    </row>
    <row r="285" spans="1:27" x14ac:dyDescent="0.25">
      <c r="A285" s="171" t="str">
        <f t="shared" si="56"/>
        <v>Spildevandsslam</v>
      </c>
      <c r="B285" s="171" t="str">
        <f t="shared" si="57"/>
        <v>Bionedbrydeligt affald</v>
      </c>
      <c r="C285" s="171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71">
        <f t="shared" si="52"/>
        <v>0</v>
      </c>
      <c r="E285" s="171">
        <f t="shared" si="61"/>
        <v>2050</v>
      </c>
      <c r="F285" t="s">
        <v>24</v>
      </c>
      <c r="G285" s="94">
        <f>IF(F285="Vestdanmark",SUMIFS(IF(E285=År1,'Resultater - Vestdanmark'!H$3:H$504,IF(E285=År2,'Resultater - Vestdanmark'!I$3:I$504,'Resultater - Vestdanmark'!J$3:J$504)),'Resultater - Vestdanmark'!$F$3:$F$504,$A285,IF(E285=År1,'Resultater - Vestdanmark'!H$3:H$504,IF(E285=År2,'Resultater - Vestdanmark'!I$3:I$504,'Resultater - Vestdanmark'!J$3:J$504)),"&gt;0"),SUMIFS(IF(E285=År1,'Resultater - Østdanmark'!H$3:H$504,IF(E285=År2,'Resultater - Østdanmark'!I$3:I$504,'Resultater - Østdanmark'!J$3:J$504)),'Resultater - Østdanmark'!$F$3:$F$504,$A285,IF(E285=År1,'Resultater - Østdanmark'!H$3:H$504,IF(E285=År2,'Resultater - Østdanmark'!I$3:I$504,'Resultater - Østdanmark'!J$3:J$504)),"&gt;0"))</f>
        <v>3491788.2152479719</v>
      </c>
      <c r="H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forbrug'!H$3,'Forbrug af biomasse'!$B$2:$B$425,$F285)</f>
        <v>0</v>
      </c>
      <c r="I285">
        <f>IF(F285="Vestdanmark",-IF(A285="Halm",SUMIFS(IF(E285=År1,'Resultater - Vestdanmark'!H$3:H$504,IF(E285=År2,'Resultater - Vestdanmark'!I$3:I$504,'Resultater - Vestdanmark'!J$3:J$504)),'Resultater - Vestdanmark'!$F$3:$F$504,$A285,'Resultater - Vestdanmark'!H$3:H$504,"&lt;0"),0),-IF(A285="Halm",SUMIFS(IF(E285=År1,'Resultater - Østdanmark'!H$3:H$504,IF(E285=År2,'Resultater - Østdanmark'!I$3:I$504,'Resultater - Østdanmark'!J$3:J$504)),'Resultater - Østdanmark'!$F$3:$F$504,$A285,'Resultater - Østdanmark'!H$3:H$504,"&lt;0"),0))</f>
        <v>0</v>
      </c>
      <c r="J285" s="94"/>
      <c r="K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forbrug'!K$3,'Forbrug af biomasse'!$B$2:$B$425,$F285)</f>
        <v>1324256.6444942397</v>
      </c>
      <c r="L285" s="94">
        <f>SUMIFS('Forbrug af biomasse'!$E$2:$E$425,'Forbrug af biomasse'!$C$2:$C$425,'Resultat-Produktion &amp; forbrug'!$A285,'Forbrug af biomasse'!$D$2:$D$425,'Resultat-Produktion &amp; forbrug'!$E285,'Forbrug af biomasse'!$A$2:$A$425,'Resultat-Produktion &amp; forbrug'!L$3,'Forbrug af biomasse'!$B$2:$B$425,$F285)</f>
        <v>0</v>
      </c>
      <c r="M285" s="94">
        <f>IF(A285&lt;&gt;"Biogas",SUMIFS('Forbrug af biomasse'!$E$2:$E$425,'Forbrug af biomasse'!$C$2:$C$425,'Resultat-Produktion &amp; forbrug'!$A285,'Forbrug af biomasse'!$D$2:$D$425,'Resultat-Produktion &amp; forbrug'!$E285,'Forbrug af biomasse'!$A$2:$A$425,'Resultat-Produktion &amp; forbrug'!M$3,'Forbrug af biomasse'!$B$2:$B$425,$F285),G285)</f>
        <v>0</v>
      </c>
      <c r="N285" s="94">
        <f>SUMIFS('Forbrug af biomasse'!E:E,'Forbrug af biomasse'!C:C,'Resultat-Produktion &amp; forbrug'!$A285,'Forbrug af biomasse'!D:D,'Resultat-Produktion &amp; forbrug'!$E285,'Forbrug af biomasse'!G:G,1,'Forbrug af biomasse'!B:B,$F285)</f>
        <v>0</v>
      </c>
      <c r="O285" s="179">
        <f t="shared" si="62"/>
        <v>2167531.5707537322</v>
      </c>
      <c r="P285" s="94">
        <f t="shared" si="58"/>
        <v>2167531.5707537322</v>
      </c>
      <c r="Q285" s="180">
        <f t="shared" si="63"/>
        <v>1324256.6444942397</v>
      </c>
      <c r="R285">
        <f>IFERROR(VLOOKUP(A285,[1]Energiindhold!$A$2:$C$11,3,FALSE),IFERROR(VLOOKUP(A285,[1]Biogasudbytte!$A$2:$B$18,2,FALSE)*[1]Energiindhold!$C$10,0))*P285</f>
        <v>1.08161992912182</v>
      </c>
      <c r="S285">
        <f>IF(A285&lt;&gt;"Biogas",IFERROR(VLOOKUP(A285,[1]Biogasudbytte!$A$2:$B$18,2,FALSE)*[1]Energiindhold!$C$10,0)*K285*IFERROR(VLOOKUP(A285,Biogasanlæg!$F$3:$G$8,2,FALSE),1)+IFERROR(VLOOKUP(A285,[1]Energiindhold!$A$2:$C$11,3,FALSE),0)*M285+IF(E285&lt;&gt;År1,R285,0),0)</f>
        <v>1.7424372372908907</v>
      </c>
      <c r="T285">
        <f>IFERROR(VLOOKUP(A285,[1]Biogasudbytte!$A$2:$B$18,2,FALSE)*[1]Energiindhold!$C$10,0)*K285*IFERROR(VLOOKUP(A285,Biogasanlæg!$F$3:$G$8,2,FALSE),1)</f>
        <v>0.66081730816907069</v>
      </c>
      <c r="U285" s="170">
        <f t="shared" si="64"/>
        <v>1.08161992912182</v>
      </c>
      <c r="V285" s="169">
        <f>P285*IFERROR(VLOOKUP(A285,[1]Tørstofindhold!A$2:B$24,2,FALSE),0)</f>
        <v>130051.89424522393</v>
      </c>
      <c r="W285">
        <f>IF(E285=År1,Q285,SUM(P285,Q285))*IFERROR(VLOOKUP(A285,[1]Tørstofindhold!A$2:B$24,2,FALSE),0)</f>
        <v>209507.29291487832</v>
      </c>
      <c r="X285">
        <f>K285*IFERROR(VLOOKUP(A285,[1]Tørstofindhold!A$2:B$24,2,FALSE),0)</f>
        <v>79455.398669654372</v>
      </c>
      <c r="Y285" s="170">
        <f t="shared" si="65"/>
        <v>130051.89424522394</v>
      </c>
      <c r="Z285">
        <f t="shared" si="59"/>
        <v>0</v>
      </c>
      <c r="AA285">
        <f t="shared" si="60"/>
        <v>1</v>
      </c>
    </row>
    <row r="286" spans="1:27" x14ac:dyDescent="0.25">
      <c r="A286" s="171" t="str">
        <f t="shared" si="56"/>
        <v>Svinegylle</v>
      </c>
      <c r="B286" s="171" t="str">
        <f t="shared" si="57"/>
        <v>Husdyrgødning</v>
      </c>
      <c r="C286" s="171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1</v>
      </c>
      <c r="D286" s="171">
        <f t="shared" si="52"/>
        <v>0</v>
      </c>
      <c r="E286" s="171">
        <f t="shared" si="61"/>
        <v>2050</v>
      </c>
      <c r="F286" t="s">
        <v>24</v>
      </c>
      <c r="G286" s="94">
        <f>IF(F286="Vestdanmark",SUMIFS(IF(E286=År1,'Resultater - Vestdanmark'!H$3:H$504,IF(E286=År2,'Resultater - Vestdanmark'!I$3:I$504,'Resultater - Vestdanmark'!J$3:J$504)),'Resultater - Vestdanmark'!$F$3:$F$504,$A286,IF(E286=År1,'Resultater - Vestdanmark'!H$3:H$504,IF(E286=År2,'Resultater - Vestdanmark'!I$3:I$504,'Resultater - Vestdanmark'!J$3:J$504)),"&gt;0"),SUMIFS(IF(E286=År1,'Resultater - Østdanmark'!H$3:H$504,IF(E286=År2,'Resultater - Østdanmark'!I$3:I$504,'Resultater - Østdanmark'!J$3:J$504)),'Resultater - Østdanmark'!$F$3:$F$504,$A286,IF(E286=År1,'Resultater - Østdanmark'!H$3:H$504,IF(E286=År2,'Resultater - Østdanmark'!I$3:I$504,'Resultater - Østdanmark'!J$3:J$504)),"&gt;0"))</f>
        <v>0</v>
      </c>
      <c r="H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forbrug'!H$3,'Forbrug af biomasse'!$B$2:$B$425,$F286)</f>
        <v>0</v>
      </c>
      <c r="I286">
        <f>IF(F286="Vestdanmark",-IF(A286="Halm",SUMIFS(IF(E286=År1,'Resultater - Vestdanmark'!H$3:H$504,IF(E286=År2,'Resultater - Vestdanmark'!I$3:I$504,'Resultater - Vestdanmark'!J$3:J$504)),'Resultater - Vestdanmark'!$F$3:$F$504,$A286,'Resultater - Vestdanmark'!H$3:H$504,"&lt;0"),0),-IF(A286="Halm",SUMIFS(IF(E286=År1,'Resultater - Østdanmark'!H$3:H$504,IF(E286=År2,'Resultater - Østdanmark'!I$3:I$504,'Resultater - Østdanmark'!J$3:J$504)),'Resultater - Østdanmark'!$F$3:$F$504,$A286,'Resultater - Østdanmark'!H$3:H$504,"&lt;0"),0))</f>
        <v>0</v>
      </c>
      <c r="J286" s="94"/>
      <c r="K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forbrug'!K$3,'Forbrug af biomasse'!$B$2:$B$425,$F286)</f>
        <v>0</v>
      </c>
      <c r="L286" s="94">
        <f>SUMIFS('Forbrug af biomasse'!$E$2:$E$425,'Forbrug af biomasse'!$C$2:$C$425,'Resultat-Produktion &amp; forbrug'!$A286,'Forbrug af biomasse'!$D$2:$D$425,'Resultat-Produktion &amp; forbrug'!$E286,'Forbrug af biomasse'!$A$2:$A$425,'Resultat-Produktion &amp; forbrug'!L$3,'Forbrug af biomasse'!$B$2:$B$425,$F286)</f>
        <v>0</v>
      </c>
      <c r="M286" s="94">
        <f>IF(A286&lt;&gt;"Biogas",SUMIFS('Forbrug af biomasse'!$E$2:$E$425,'Forbrug af biomasse'!$C$2:$C$425,'Resultat-Produktion &amp; forbrug'!$A286,'Forbrug af biomasse'!$D$2:$D$425,'Resultat-Produktion &amp; forbrug'!$E286,'Forbrug af biomasse'!$A$2:$A$425,'Resultat-Produktion &amp; forbrug'!M$3,'Forbrug af biomasse'!$B$2:$B$425,$F286),G286)</f>
        <v>0</v>
      </c>
      <c r="N286" s="94">
        <f>SUMIFS('Forbrug af biomasse'!E:E,'Forbrug af biomasse'!C:C,'Resultat-Produktion &amp; forbrug'!$A286,'Forbrug af biomasse'!D:D,'Resultat-Produktion &amp; forbrug'!$E286,'Forbrug af biomasse'!G:G,1,'Forbrug af biomasse'!B:B,$F286)</f>
        <v>0</v>
      </c>
      <c r="O286" s="179">
        <f t="shared" si="62"/>
        <v>0</v>
      </c>
      <c r="P286" s="94">
        <f t="shared" si="58"/>
        <v>0</v>
      </c>
      <c r="Q286" s="180">
        <f t="shared" si="63"/>
        <v>0</v>
      </c>
      <c r="R286">
        <f>IFERROR(VLOOKUP(A286,[1]Energiindhold!$A$2:$C$11,3,FALSE),IFERROR(VLOOKUP(A286,[1]Biogasudbytte!$A$2:$B$18,2,FALSE)*[1]Energiindhold!$C$10,0))*P286</f>
        <v>0</v>
      </c>
      <c r="S286">
        <f>IF(A286&lt;&gt;"Biogas",IFERROR(VLOOKUP(A286,[1]Biogasudbytte!$A$2:$B$18,2,FALSE)*[1]Energiindhold!$C$10,0)*K286*IFERROR(VLOOKUP(A286,Biogasanlæg!$F$3:$G$8,2,FALSE),1)+IFERROR(VLOOKUP(A286,[1]Energiindhold!$A$2:$C$11,3,FALSE),0)*M286+IF(E286&lt;&gt;År1,R286,0),0)</f>
        <v>0</v>
      </c>
      <c r="T286">
        <f>IFERROR(VLOOKUP(A286,[1]Biogasudbytte!$A$2:$B$18,2,FALSE)*[1]Energiindhold!$C$10,0)*K286*IFERROR(VLOOKUP(A286,Biogasanlæg!$F$3:$G$8,2,FALSE),1)</f>
        <v>0</v>
      </c>
      <c r="U286" s="170">
        <f t="shared" si="64"/>
        <v>0</v>
      </c>
      <c r="V286" s="169">
        <f>P286*IFERROR(VLOOKUP(A286,[1]Tørstofindhold!A$2:B$24,2,FALSE),0)</f>
        <v>0</v>
      </c>
      <c r="W286">
        <f>IF(E286=År1,Q286,SUM(P286,Q286))*IFERROR(VLOOKUP(A286,[1]Tørstofindhold!A$2:B$24,2,FALSE),0)</f>
        <v>0</v>
      </c>
      <c r="X286">
        <f>K286*IFERROR(VLOOKUP(A286,[1]Tørstofindhold!A$2:B$24,2,FALSE),0)</f>
        <v>0</v>
      </c>
      <c r="Y286" s="170">
        <f t="shared" si="65"/>
        <v>0</v>
      </c>
      <c r="Z286">
        <f t="shared" si="59"/>
        <v>0</v>
      </c>
      <c r="AA286">
        <f t="shared" si="60"/>
        <v>0</v>
      </c>
    </row>
    <row r="287" spans="1:27" x14ac:dyDescent="0.25">
      <c r="A287" s="171" t="str">
        <f t="shared" si="56"/>
        <v>Svinekød</v>
      </c>
      <c r="B287" s="171" t="str">
        <f t="shared" si="57"/>
        <v/>
      </c>
      <c r="C287" s="171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0</v>
      </c>
      <c r="D287" s="171">
        <f t="shared" si="52"/>
        <v>1</v>
      </c>
      <c r="E287" s="171">
        <f t="shared" si="61"/>
        <v>2050</v>
      </c>
      <c r="F287" t="s">
        <v>24</v>
      </c>
      <c r="G287" s="94">
        <f>IF(F287="Vestdanmark",SUMIFS(IF(E287=År1,'Resultater - Vestdanmark'!H$3:H$504,IF(E287=År2,'Resultater - Vestdanmark'!I$3:I$504,'Resultater - Vestdanmark'!J$3:J$504)),'Resultater - Vestdanmark'!$F$3:$F$504,$A287,IF(E287=År1,'Resultater - Vestdanmark'!H$3:H$504,IF(E287=År2,'Resultater - Vestdanmark'!I$3:I$504,'Resultater - Vestdanmark'!J$3:J$504)),"&gt;0"),SUMIFS(IF(E287=År1,'Resultater - Østdanmark'!H$3:H$504,IF(E287=År2,'Resultater - Østdanmark'!I$3:I$504,'Resultater - Østdanmark'!J$3:J$504)),'Resultater - Østdanmark'!$F$3:$F$504,$A287,IF(E287=År1,'Resultater - Østdanmark'!H$3:H$504,IF(E287=År2,'Resultater - Østdanmark'!I$3:I$504,'Resultater - Østdanmark'!J$3:J$504)),"&gt;0"))</f>
        <v>56767.111740145512</v>
      </c>
      <c r="H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forbrug'!H$3,'Forbrug af biomasse'!$B$2:$B$425,$F287)</f>
        <v>0</v>
      </c>
      <c r="I287">
        <f>IF(F287="Vestdanmark",-IF(A287="Halm",SUMIFS(IF(E287=År1,'Resultater - Vestdanmark'!H$3:H$504,IF(E287=År2,'Resultater - Vestdanmark'!I$3:I$504,'Resultater - Vestdanmark'!J$3:J$504)),'Resultater - Vestdanmark'!$F$3:$F$504,$A287,'Resultater - Vestdanmark'!H$3:H$504,"&lt;0"),0),-IF(A287="Halm",SUMIFS(IF(E287=År1,'Resultater - Østdanmark'!H$3:H$504,IF(E287=År2,'Resultater - Østdanmark'!I$3:I$504,'Resultater - Østdanmark'!J$3:J$504)),'Resultater - Østdanmark'!$F$3:$F$504,$A287,'Resultater - Østdanmark'!H$3:H$504,"&lt;0"),0))</f>
        <v>0</v>
      </c>
      <c r="J287" s="94"/>
      <c r="K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forbrug'!K$3,'Forbrug af biomasse'!$B$2:$B$425,$F287)</f>
        <v>0</v>
      </c>
      <c r="L287" s="94">
        <f>SUMIFS('Forbrug af biomasse'!$E$2:$E$425,'Forbrug af biomasse'!$C$2:$C$425,'Resultat-Produktion &amp; forbrug'!$A287,'Forbrug af biomasse'!$D$2:$D$425,'Resultat-Produktion &amp; forbrug'!$E287,'Forbrug af biomasse'!$A$2:$A$425,'Resultat-Produktion &amp; forbrug'!L$3,'Forbrug af biomasse'!$B$2:$B$425,$F287)</f>
        <v>0</v>
      </c>
      <c r="M287" s="94">
        <f>IF(A287&lt;&gt;"Biogas",SUMIFS('Forbrug af biomasse'!$E$2:$E$425,'Forbrug af biomasse'!$C$2:$C$425,'Resultat-Produktion &amp; forbrug'!$A287,'Forbrug af biomasse'!$D$2:$D$425,'Resultat-Produktion &amp; forbrug'!$E287,'Forbrug af biomasse'!$A$2:$A$425,'Resultat-Produktion &amp; forbrug'!M$3,'Forbrug af biomasse'!$B$2:$B$425,$F287),G287)</f>
        <v>0</v>
      </c>
      <c r="N287" s="94">
        <f>SUMIFS('Forbrug af biomasse'!E:E,'Forbrug af biomasse'!C:C,'Resultat-Produktion &amp; forbrug'!$A287,'Forbrug af biomasse'!D:D,'Resultat-Produktion &amp; forbrug'!$E287,'Forbrug af biomasse'!G:G,1,'Forbrug af biomasse'!B:B,$F287)</f>
        <v>0</v>
      </c>
      <c r="O287" s="179">
        <f t="shared" si="62"/>
        <v>56767.111740145512</v>
      </c>
      <c r="P287" s="94">
        <f t="shared" si="58"/>
        <v>0</v>
      </c>
      <c r="Q287" s="180">
        <f t="shared" si="63"/>
        <v>0</v>
      </c>
      <c r="R287">
        <f>IFERROR(VLOOKUP(A287,[1]Energiindhold!$A$2:$C$11,3,FALSE),IFERROR(VLOOKUP(A287,[1]Biogasudbytte!$A$2:$B$18,2,FALSE)*[1]Energiindhold!$C$10,0))*P287</f>
        <v>0</v>
      </c>
      <c r="S287">
        <f>IF(A287&lt;&gt;"Biogas",IFERROR(VLOOKUP(A287,[1]Biogasudbytte!$A$2:$B$18,2,FALSE)*[1]Energiindhold!$C$10,0)*K287*IFERROR(VLOOKUP(A287,Biogasanlæg!$F$3:$G$8,2,FALSE),1)+IFERROR(VLOOKUP(A287,[1]Energiindhold!$A$2:$C$11,3,FALSE),0)*M287+IF(E287&lt;&gt;År1,R287,0),0)</f>
        <v>0</v>
      </c>
      <c r="T287">
        <f>IFERROR(VLOOKUP(A287,[1]Biogasudbytte!$A$2:$B$18,2,FALSE)*[1]Energiindhold!$C$10,0)*K287*IFERROR(VLOOKUP(A287,Biogasanlæg!$F$3:$G$8,2,FALSE),1)</f>
        <v>0</v>
      </c>
      <c r="U287" s="170">
        <f t="shared" si="64"/>
        <v>0</v>
      </c>
      <c r="V287" s="169">
        <f>P287*IFERROR(VLOOKUP(A287,[1]Tørstofindhold!A$2:B$24,2,FALSE),0)</f>
        <v>0</v>
      </c>
      <c r="W287">
        <f>IF(E287=År1,Q287,SUM(P287,Q287))*IFERROR(VLOOKUP(A287,[1]Tørstofindhold!A$2:B$24,2,FALSE),0)</f>
        <v>0</v>
      </c>
      <c r="X287">
        <f>K287*IFERROR(VLOOKUP(A287,[1]Tørstofindhold!A$2:B$24,2,FALSE),0)</f>
        <v>0</v>
      </c>
      <c r="Y287" s="170">
        <f t="shared" si="65"/>
        <v>0</v>
      </c>
      <c r="Z287">
        <f t="shared" si="59"/>
        <v>0</v>
      </c>
      <c r="AA287">
        <f t="shared" si="60"/>
        <v>1</v>
      </c>
    </row>
    <row r="288" spans="1:27" x14ac:dyDescent="0.25">
      <c r="A288" s="171" t="str">
        <f t="shared" si="56"/>
        <v>Tang</v>
      </c>
      <c r="B288" s="171" t="str">
        <f t="shared" si="57"/>
        <v>Havbiomasse</v>
      </c>
      <c r="C288" s="171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71">
        <f t="shared" si="52"/>
        <v>1</v>
      </c>
      <c r="E288" s="171">
        <f t="shared" si="61"/>
        <v>2050</v>
      </c>
      <c r="F288" t="s">
        <v>24</v>
      </c>
      <c r="G288" s="94">
        <f>IF(F288="Vestdanmark",SUMIFS(IF(E288=År1,'Resultater - Vestdanmark'!H$3:H$504,IF(E288=År2,'Resultater - Vestdanmark'!I$3:I$504,'Resultater - Vestdanmark'!J$3:J$504)),'Resultater - Vestdanmark'!$F$3:$F$504,$A288,IF(E288=År1,'Resultater - Vestdanmark'!H$3:H$504,IF(E288=År2,'Resultater - Vestdanmark'!I$3:I$504,'Resultater - Vestdanmark'!J$3:J$504)),"&gt;0"),SUMIFS(IF(E288=År1,'Resultater - Østdanmark'!H$3:H$504,IF(E288=År2,'Resultater - Østdanmark'!I$3:I$504,'Resultater - Østdanmark'!J$3:J$504)),'Resultater - Østdanmark'!$F$3:$F$504,$A288,IF(E288=År1,'Resultater - Østdanmark'!H$3:H$504,IF(E288=År2,'Resultater - Østdanmark'!I$3:I$504,'Resultater - Østdanmark'!J$3:J$504)),"&gt;0"))</f>
        <v>0</v>
      </c>
      <c r="H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forbrug'!H$3,'Forbrug af biomasse'!$B$2:$B$425,$F288)</f>
        <v>0</v>
      </c>
      <c r="I288">
        <f>IF(F288="Vestdanmark",-IF(A288="Halm",SUMIFS(IF(E288=År1,'Resultater - Vestdanmark'!H$3:H$504,IF(E288=År2,'Resultater - Vestdanmark'!I$3:I$504,'Resultater - Vestdanmark'!J$3:J$504)),'Resultater - Vestdanmark'!$F$3:$F$504,$A288,'Resultater - Vestdanmark'!H$3:H$504,"&lt;0"),0),-IF(A288="Halm",SUMIFS(IF(E288=År1,'Resultater - Østdanmark'!H$3:H$504,IF(E288=År2,'Resultater - Østdanmark'!I$3:I$504,'Resultater - Østdanmark'!J$3:J$504)),'Resultater - Østdanmark'!$F$3:$F$504,$A288,'Resultater - Østdanmark'!H$3:H$504,"&lt;0"),0))</f>
        <v>0</v>
      </c>
      <c r="J288" s="94"/>
      <c r="K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forbrug'!K$3,'Forbrug af biomasse'!$B$2:$B$425,$F288)</f>
        <v>0</v>
      </c>
      <c r="L288" s="94">
        <f>SUMIFS('Forbrug af biomasse'!$E$2:$E$425,'Forbrug af biomasse'!$C$2:$C$425,'Resultat-Produktion &amp; forbrug'!$A288,'Forbrug af biomasse'!$D$2:$D$425,'Resultat-Produktion &amp; forbrug'!$E288,'Forbrug af biomasse'!$A$2:$A$425,'Resultat-Produktion &amp; forbrug'!L$3,'Forbrug af biomasse'!$B$2:$B$425,$F288)</f>
        <v>0</v>
      </c>
      <c r="M288" s="94">
        <f>IF(A288&lt;&gt;"Biogas",SUMIFS('Forbrug af biomasse'!$E$2:$E$425,'Forbrug af biomasse'!$C$2:$C$425,'Resultat-Produktion &amp; forbrug'!$A288,'Forbrug af biomasse'!$D$2:$D$425,'Resultat-Produktion &amp; forbrug'!$E288,'Forbrug af biomasse'!$A$2:$A$425,'Resultat-Produktion &amp; forbrug'!M$3,'Forbrug af biomasse'!$B$2:$B$425,$F288),G288)</f>
        <v>0</v>
      </c>
      <c r="N288" s="94">
        <f>SUMIFS('Forbrug af biomasse'!E:E,'Forbrug af biomasse'!C:C,'Resultat-Produktion &amp; forbrug'!$A288,'Forbrug af biomasse'!D:D,'Resultat-Produktion &amp; forbrug'!$E288,'Forbrug af biomasse'!G:G,1,'Forbrug af biomasse'!B:B,$F288)</f>
        <v>0</v>
      </c>
      <c r="O288" s="179">
        <f t="shared" si="62"/>
        <v>0</v>
      </c>
      <c r="P288" s="94">
        <f t="shared" si="58"/>
        <v>0</v>
      </c>
      <c r="Q288" s="180">
        <f t="shared" si="63"/>
        <v>0</v>
      </c>
      <c r="R288">
        <f>IFERROR(VLOOKUP(A288,[1]Energiindhold!$A$2:$C$11,3,FALSE),IFERROR(VLOOKUP(A288,[1]Biogasudbytte!$A$2:$B$18,2,FALSE)*[1]Energiindhold!$C$10,0))*P288</f>
        <v>0</v>
      </c>
      <c r="S288">
        <f>IF(A288&lt;&gt;"Biogas",IFERROR(VLOOKUP(A288,[1]Biogasudbytte!$A$2:$B$18,2,FALSE)*[1]Energiindhold!$C$10,0)*K288*IFERROR(VLOOKUP(A288,Biogasanlæg!$F$3:$G$8,2,FALSE),1)+IFERROR(VLOOKUP(A288,[1]Energiindhold!$A$2:$C$11,3,FALSE),0)*M288+IF(E288&lt;&gt;År1,R288,0),0)</f>
        <v>0</v>
      </c>
      <c r="T288">
        <f>IFERROR(VLOOKUP(A288,[1]Biogasudbytte!$A$2:$B$18,2,FALSE)*[1]Energiindhold!$C$10,0)*K288*IFERROR(VLOOKUP(A288,Biogasanlæg!$F$3:$G$8,2,FALSE),1)</f>
        <v>0</v>
      </c>
      <c r="U288" s="170">
        <f t="shared" si="64"/>
        <v>0</v>
      </c>
      <c r="V288" s="169">
        <f>P288*IFERROR(VLOOKUP(A288,[1]Tørstofindhold!A$2:B$24,2,FALSE),0)</f>
        <v>0</v>
      </c>
      <c r="W288">
        <f>IF(E288=År1,Q288,SUM(P288,Q288))*IFERROR(VLOOKUP(A288,[1]Tørstofindhold!A$2:B$24,2,FALSE),0)</f>
        <v>0</v>
      </c>
      <c r="X288">
        <f>K288*IFERROR(VLOOKUP(A288,[1]Tørstofindhold!A$2:B$24,2,FALSE),0)</f>
        <v>0</v>
      </c>
      <c r="Y288" s="170">
        <f t="shared" si="65"/>
        <v>0</v>
      </c>
      <c r="Z288">
        <f t="shared" si="59"/>
        <v>0</v>
      </c>
      <c r="AA288">
        <f t="shared" si="60"/>
        <v>1</v>
      </c>
    </row>
    <row r="289" spans="1:27" x14ac:dyDescent="0.25">
      <c r="A289" s="171" t="str">
        <f t="shared" si="56"/>
        <v>Total til biogas</v>
      </c>
      <c r="B289" s="171" t="str">
        <f t="shared" si="57"/>
        <v/>
      </c>
      <c r="C289" s="171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71">
        <f t="shared" si="52"/>
        <v>0</v>
      </c>
      <c r="E289" s="171">
        <f t="shared" si="61"/>
        <v>2050</v>
      </c>
      <c r="F289" t="s">
        <v>24</v>
      </c>
      <c r="G289" s="94">
        <f>IF(F289="Vestdanmark",SUMIFS(IF(E289=År1,'Resultater - Vestdanmark'!H$3:H$504,IF(E289=År2,'Resultater - Vestdanmark'!I$3:I$504,'Resultater - Vestdanmark'!J$3:J$504)),'Resultater - Vestdanmark'!$F$3:$F$504,$A289,IF(E289=År1,'Resultater - Vestdanmark'!H$3:H$504,IF(E289=År2,'Resultater - Vestdanmark'!I$3:I$504,'Resultater - Vestdanmark'!J$3:J$504)),"&gt;0"),SUMIFS(IF(E289=År1,'Resultater - Østdanmark'!H$3:H$504,IF(E289=År2,'Resultater - Østdanmark'!I$3:I$504,'Resultater - Østdanmark'!J$3:J$504)),'Resultater - Østdanmark'!$F$3:$F$504,$A289,IF(E289=År1,'Resultater - Østdanmark'!H$3:H$504,IF(E289=År2,'Resultater - Østdanmark'!I$3:I$504,'Resultater - Østdanmark'!J$3:J$504)),"&gt;0"))</f>
        <v>0</v>
      </c>
      <c r="H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forbrug'!H$3,'Forbrug af biomasse'!$B$2:$B$425,$F289)</f>
        <v>0</v>
      </c>
      <c r="I289">
        <f>IF(F289="Vestdanmark",-IF(A289="Halm",SUMIFS(IF(E289=År1,'Resultater - Vestdanmark'!H$3:H$504,IF(E289=År2,'Resultater - Vestdanmark'!I$3:I$504,'Resultater - Vestdanmark'!J$3:J$504)),'Resultater - Vestdanmark'!$F$3:$F$504,$A289,'Resultater - Vestdanmark'!H$3:H$504,"&lt;0"),0),-IF(A289="Halm",SUMIFS(IF(E289=År1,'Resultater - Østdanmark'!H$3:H$504,IF(E289=År2,'Resultater - Østdanmark'!I$3:I$504,'Resultater - Østdanmark'!J$3:J$504)),'Resultater - Østdanmark'!$F$3:$F$504,$A289,'Resultater - Østdanmark'!H$3:H$504,"&lt;0"),0))</f>
        <v>0</v>
      </c>
      <c r="J289" s="94"/>
      <c r="K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forbrug'!K$3,'Forbrug af biomasse'!$B$2:$B$425,$F289)</f>
        <v>0</v>
      </c>
      <c r="L289" s="94">
        <f>SUMIFS('Forbrug af biomasse'!$E$2:$E$425,'Forbrug af biomasse'!$C$2:$C$425,'Resultat-Produktion &amp; forbrug'!$A289,'Forbrug af biomasse'!$D$2:$D$425,'Resultat-Produktion &amp; forbrug'!$E289,'Forbrug af biomasse'!$A$2:$A$425,'Resultat-Produktion &amp; forbrug'!L$3,'Forbrug af biomasse'!$B$2:$B$425,$F289)</f>
        <v>0</v>
      </c>
      <c r="M289" s="94">
        <f>IF(A289&lt;&gt;"Biogas",SUMIFS('Forbrug af biomasse'!$E$2:$E$425,'Forbrug af biomasse'!$C$2:$C$425,'Resultat-Produktion &amp; forbrug'!$A289,'Forbrug af biomasse'!$D$2:$D$425,'Resultat-Produktion &amp; forbrug'!$E289,'Forbrug af biomasse'!$A$2:$A$425,'Resultat-Produktion &amp; forbrug'!M$3,'Forbrug af biomasse'!$B$2:$B$425,$F289),G289)</f>
        <v>0</v>
      </c>
      <c r="N289" s="94">
        <f>SUMIFS('Forbrug af biomasse'!E:E,'Forbrug af biomasse'!C:C,'Resultat-Produktion &amp; forbrug'!$A289,'Forbrug af biomasse'!D:D,'Resultat-Produktion &amp; forbrug'!$E289,'Forbrug af biomasse'!G:G,1,'Forbrug af biomasse'!B:B,$F289)</f>
        <v>0</v>
      </c>
      <c r="O289" s="179">
        <f t="shared" si="62"/>
        <v>0</v>
      </c>
      <c r="P289" s="94">
        <f t="shared" si="58"/>
        <v>0</v>
      </c>
      <c r="Q289" s="180">
        <f t="shared" si="63"/>
        <v>0</v>
      </c>
      <c r="R289">
        <f>IFERROR(VLOOKUP(A289,[1]Energiindhold!$A$2:$C$11,3,FALSE),IFERROR(VLOOKUP(A289,[1]Biogasudbytte!$A$2:$B$18,2,FALSE)*[1]Energiindhold!$C$10,0))*P289</f>
        <v>0</v>
      </c>
      <c r="S289">
        <f>IF(A289&lt;&gt;"Biogas",IFERROR(VLOOKUP(A289,[1]Biogasudbytte!$A$2:$B$18,2,FALSE)*[1]Energiindhold!$C$10,0)*K289*IFERROR(VLOOKUP(A289,Biogasanlæg!$F$3:$G$8,2,FALSE),1)+IFERROR(VLOOKUP(A289,[1]Energiindhold!$A$2:$C$11,3,FALSE),0)*M289+IF(E289&lt;&gt;År1,R289,0),0)</f>
        <v>0</v>
      </c>
      <c r="T289">
        <f>IFERROR(VLOOKUP(A289,[1]Biogasudbytte!$A$2:$B$18,2,FALSE)*[1]Energiindhold!$C$10,0)*K289*IFERROR(VLOOKUP(A289,Biogasanlæg!$F$3:$G$8,2,FALSE),1)</f>
        <v>0</v>
      </c>
      <c r="U289" s="170">
        <f t="shared" si="64"/>
        <v>0</v>
      </c>
      <c r="V289" s="169">
        <f>P289*IFERROR(VLOOKUP(A289,[1]Tørstofindhold!A$2:B$24,2,FALSE),0)</f>
        <v>0</v>
      </c>
      <c r="W289">
        <f>IF(E289=År1,Q289,SUM(P289,Q289))*IFERROR(VLOOKUP(A289,[1]Tørstofindhold!A$2:B$24,2,FALSE),0)</f>
        <v>0</v>
      </c>
      <c r="X289">
        <f>K289*IFERROR(VLOOKUP(A289,[1]Tørstofindhold!A$2:B$24,2,FALSE),0)</f>
        <v>0</v>
      </c>
      <c r="Y289" s="170">
        <f t="shared" si="65"/>
        <v>0</v>
      </c>
      <c r="Z289">
        <f t="shared" si="59"/>
        <v>0</v>
      </c>
      <c r="AA289">
        <f t="shared" si="60"/>
        <v>0</v>
      </c>
    </row>
    <row r="290" spans="1:27" x14ac:dyDescent="0.25">
      <c r="A290" s="171" t="str">
        <f t="shared" si="56"/>
        <v>Træ til energi</v>
      </c>
      <c r="B290" s="171" t="str">
        <f t="shared" si="57"/>
        <v>Vedmasse</v>
      </c>
      <c r="C290" s="171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1</v>
      </c>
      <c r="D290" s="171">
        <f t="shared" si="52"/>
        <v>0</v>
      </c>
      <c r="E290" s="171">
        <f t="shared" si="61"/>
        <v>2050</v>
      </c>
      <c r="F290" t="s">
        <v>24</v>
      </c>
      <c r="G290" s="94">
        <f ca="1">IF(F290="Vestdanmark",SUMIFS(IF(E290=År1,'Resultater - Vestdanmark'!H$3:H$504,IF(E290=År2,'Resultater - Vestdanmark'!I$3:I$504,'Resultater - Vestdanmark'!J$3:J$504)),'Resultater - Vestdanmark'!$F$3:$F$504,$A290,IF(E290=År1,'Resultater - Vestdanmark'!H$3:H$504,IF(E290=År2,'Resultater - Vestdanmark'!I$3:I$504,'Resultater - Vestdanmark'!J$3:J$504)),"&gt;0"),SUMIFS(IF(E290=År1,'Resultater - Østdanmark'!H$3:H$504,IF(E290=År2,'Resultater - Østdanmark'!I$3:I$504,'Resultater - Østdanmark'!J$3:J$504)),'Resultater - Østdanmark'!$F$3:$F$504,$A290,IF(E290=År1,'Resultater - Østdanmark'!H$3:H$504,IF(E290=År2,'Resultater - Østdanmark'!I$3:I$504,'Resultater - Østdanmark'!J$3:J$504)),"&gt;0"))</f>
        <v>611742.92957675515</v>
      </c>
      <c r="H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forbrug'!H$3,'Forbrug af biomasse'!$B$2:$B$425,$F290)</f>
        <v>0</v>
      </c>
      <c r="I290">
        <f>IF(F290="Vestdanmark",-IF(A290="Halm",SUMIFS(IF(E290=År1,'Resultater - Vestdanmark'!H$3:H$504,IF(E290=År2,'Resultater - Vestdanmark'!I$3:I$504,'Resultater - Vestdanmark'!J$3:J$504)),'Resultater - Vestdanmark'!$F$3:$F$504,$A290,'Resultater - Vestdanmark'!H$3:H$504,"&lt;0"),0),-IF(A290="Halm",SUMIFS(IF(E290=År1,'Resultater - Østdanmark'!H$3:H$504,IF(E290=År2,'Resultater - Østdanmark'!I$3:I$504,'Resultater - Østdanmark'!J$3:J$504)),'Resultater - Østdanmark'!$F$3:$F$504,$A290,'Resultater - Østdanmark'!H$3:H$504,"&lt;0"),0))</f>
        <v>0</v>
      </c>
      <c r="J290" s="94"/>
      <c r="K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forbrug'!K$3,'Forbrug af biomasse'!$B$2:$B$425,$F290)</f>
        <v>0</v>
      </c>
      <c r="L290" s="94">
        <f>SUMIFS('Forbrug af biomasse'!$E$2:$E$425,'Forbrug af biomasse'!$C$2:$C$425,'Resultat-Produktion &amp; forbrug'!$A290,'Forbrug af biomasse'!$D$2:$D$425,'Resultat-Produktion &amp; forbrug'!$E290,'Forbrug af biomasse'!$A$2:$A$425,'Resultat-Produktion &amp; forbrug'!L$3,'Forbrug af biomasse'!$B$2:$B$425,$F290)</f>
        <v>0</v>
      </c>
      <c r="M290" s="94">
        <f ca="1">IF(A290&lt;&gt;"Biogas",SUMIFS('Forbrug af biomasse'!$E$2:$E$425,'Forbrug af biomasse'!$C$2:$C$425,'Resultat-Produktion &amp; forbrug'!$A290,'Forbrug af biomasse'!$D$2:$D$425,'Resultat-Produktion &amp; forbrug'!$E290,'Forbrug af biomasse'!$A$2:$A$425,'Resultat-Produktion &amp; forbrug'!M$3,'Forbrug af biomasse'!$B$2:$B$425,$F290),G290)</f>
        <v>611742.92957675515</v>
      </c>
      <c r="N290" s="94">
        <f>SUMIFS('Forbrug af biomasse'!E:E,'Forbrug af biomasse'!C:C,'Resultat-Produktion &amp; forbrug'!$A290,'Forbrug af biomasse'!D:D,'Resultat-Produktion &amp; forbrug'!$E290,'Forbrug af biomasse'!G:G,1,'Forbrug af biomasse'!B:B,$F290)</f>
        <v>0</v>
      </c>
      <c r="O290" s="179">
        <f t="shared" ca="1" si="62"/>
        <v>0</v>
      </c>
      <c r="P290" s="94">
        <f t="shared" ca="1" si="58"/>
        <v>0</v>
      </c>
      <c r="Q290" s="180">
        <f t="shared" ca="1" si="63"/>
        <v>611742.92957675515</v>
      </c>
      <c r="R290">
        <f ca="1">IFERROR(VLOOKUP(A290,[1]Energiindhold!$A$2:$C$11,3,FALSE),IFERROR(VLOOKUP(A290,[1]Biogasudbytte!$A$2:$B$18,2,FALSE)*[1]Energiindhold!$C$10,0))*P290</f>
        <v>0</v>
      </c>
      <c r="S290">
        <f ca="1">IF(A290&lt;&gt;"Biogas",IFERROR(VLOOKUP(A290,[1]Biogasudbytte!$A$2:$B$18,2,FALSE)*[1]Energiindhold!$C$10,0)*K290*IFERROR(VLOOKUP(A290,Biogasanlæg!$F$3:$G$8,2,FALSE),1)+IFERROR(VLOOKUP(A290,[1]Energiindhold!$A$2:$C$11,3,FALSE),0)*M290+IF(E290&lt;&gt;År1,R290,0),0)</f>
        <v>8.8663382993828446</v>
      </c>
      <c r="T290">
        <f>IFERROR(VLOOKUP(A290,[1]Biogasudbytte!$A$2:$B$18,2,FALSE)*[1]Energiindhold!$C$10,0)*K290*IFERROR(VLOOKUP(A290,Biogasanlæg!$F$3:$G$8,2,FALSE),1)</f>
        <v>0</v>
      </c>
      <c r="U290" s="170">
        <f t="shared" ca="1" si="64"/>
        <v>8.8663382993828446</v>
      </c>
      <c r="V290" s="169">
        <f ca="1">P290*IFERROR(VLOOKUP(A290,[1]Tørstofindhold!A$2:B$24,2,FALSE),0)</f>
        <v>0</v>
      </c>
      <c r="W290">
        <f ca="1">IF(E290=År1,Q290,SUM(P290,Q290))*IFERROR(VLOOKUP(A290,[1]Tørstofindhold!A$2:B$24,2,FALSE),0)</f>
        <v>302557.85725317016</v>
      </c>
      <c r="X290">
        <f>K290*IFERROR(VLOOKUP(A290,[1]Tørstofindhold!A$2:B$24,2,FALSE),0)</f>
        <v>0</v>
      </c>
      <c r="Y290" s="170">
        <f t="shared" ca="1" si="65"/>
        <v>302557.85725317016</v>
      </c>
      <c r="Z290">
        <f t="shared" ca="1" si="59"/>
        <v>0</v>
      </c>
      <c r="AA290">
        <f t="shared" ca="1" si="60"/>
        <v>0</v>
      </c>
    </row>
    <row r="291" spans="1:27" ht="15.75" thickBot="1" x14ac:dyDescent="0.3">
      <c r="A291" s="171" t="str">
        <f t="shared" si="56"/>
        <v>Træmaterialer</v>
      </c>
      <c r="B291" s="171" t="str">
        <f t="shared" si="57"/>
        <v/>
      </c>
      <c r="C291" s="171">
        <f>IF(COUNTIFS('Resultater - Danmark'!$D$3:$D$504,'Resultat-Produktion &amp; forbrug'!A291,'Resultater - Danmark'!$A$3:$A$504,"Til energi")+COUNTIFS('Resultater - Danmark'!$D$3:$D$504,'Resultat-Produktion &amp; forbrug'!A291,'Resultater - Danmark'!$A$3:$A$504,"Biogasanlæg")&gt;0,1,0)</f>
        <v>0</v>
      </c>
      <c r="D291" s="171">
        <f t="shared" si="52"/>
        <v>0</v>
      </c>
      <c r="E291" s="171">
        <f t="shared" si="61"/>
        <v>2050</v>
      </c>
      <c r="F291" t="s">
        <v>24</v>
      </c>
      <c r="G291" s="94">
        <f ca="1">IF(F291="Vestdanmark",SUMIFS(IF(E291=År1,'Resultater - Vestdanmark'!H$3:H$504,IF(E291=År2,'Resultater - Vestdanmark'!I$3:I$504,'Resultater - Vestdanmark'!J$3:J$504)),'Resultater - Vestdanmark'!$F$3:$F$504,$A291,IF(E291=År1,'Resultater - Vestdanmark'!H$3:H$504,IF(E291=År2,'Resultater - Vestdanmark'!I$3:I$504,'Resultater - Vestdanmark'!J$3:J$504)),"&gt;0"),SUMIFS(IF(E291=År1,'Resultater - Østdanmark'!H$3:H$504,IF(E291=År2,'Resultater - Østdanmark'!I$3:I$504,'Resultater - Østdanmark'!J$3:J$504)),'Resultater - Østdanmark'!$F$3:$F$504,$A291,IF(E291=År1,'Resultater - Østdanmark'!H$3:H$504,IF(E291=År2,'Resultater - Østdanmark'!I$3:I$504,'Resultater - Østdanmark'!J$3:J$504)),"&gt;0"))</f>
        <v>176699.18645513742</v>
      </c>
      <c r="H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forbrug'!H$3,'Forbrug af biomasse'!$B$2:$B$425,$F291)</f>
        <v>0</v>
      </c>
      <c r="I291">
        <f>IF(F291="Vestdanmark",-IF(A291="Halm",SUMIFS(IF(E291=År1,'Resultater - Vestdanmark'!H$3:H$504,IF(E291=År2,'Resultater - Vestdanmark'!I$3:I$504,'Resultater - Vestdanmark'!J$3:J$504)),'Resultater - Vestdanmark'!$F$3:$F$504,$A291,'Resultater - Vestdanmark'!H$3:H$504,"&lt;0"),0),-IF(A291="Halm",SUMIFS(IF(E291=År1,'Resultater - Østdanmark'!H$3:H$504,IF(E291=År2,'Resultater - Østdanmark'!I$3:I$504,'Resultater - Østdanmark'!J$3:J$504)),'Resultater - Østdanmark'!$F$3:$F$504,$A291,'Resultater - Østdanmark'!H$3:H$504,"&lt;0"),0))</f>
        <v>0</v>
      </c>
      <c r="J291" s="94"/>
      <c r="K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forbrug'!K$3,'Forbrug af biomasse'!$B$2:$B$425,$F291)</f>
        <v>0</v>
      </c>
      <c r="L291" s="94">
        <f>SUMIFS('Forbrug af biomasse'!$E$2:$E$425,'Forbrug af biomasse'!$C$2:$C$425,'Resultat-Produktion &amp; forbrug'!$A291,'Forbrug af biomasse'!$D$2:$D$425,'Resultat-Produktion &amp; forbrug'!$E291,'Forbrug af biomasse'!$A$2:$A$425,'Resultat-Produktion &amp; forbrug'!L$3,'Forbrug af biomasse'!$B$2:$B$425,$F291)</f>
        <v>0</v>
      </c>
      <c r="M291" s="94">
        <f>IF(A291&lt;&gt;"Biogas",SUMIFS('Forbrug af biomasse'!$E$2:$E$425,'Forbrug af biomasse'!$C$2:$C$425,'Resultat-Produktion &amp; forbrug'!$A291,'Forbrug af biomasse'!$D$2:$D$425,'Resultat-Produktion &amp; forbrug'!$E291,'Forbrug af biomasse'!$A$2:$A$425,'Resultat-Produktion &amp; forbrug'!M$3,'Forbrug af biomasse'!$B$2:$B$425,$F291),G291)</f>
        <v>0</v>
      </c>
      <c r="N291" s="94">
        <f ca="1">SUMIFS('Forbrug af biomasse'!E:E,'Forbrug af biomasse'!C:C,'Resultat-Produktion &amp; forbrug'!$A291,'Forbrug af biomasse'!D:D,'Resultat-Produktion &amp; forbrug'!$E291,'Forbrug af biomasse'!G:G,1,'Forbrug af biomasse'!B:B,$F291)</f>
        <v>176699.18645513742</v>
      </c>
      <c r="O291" s="181">
        <f t="shared" ca="1" si="62"/>
        <v>0</v>
      </c>
      <c r="P291" s="182">
        <f t="shared" si="58"/>
        <v>0</v>
      </c>
      <c r="Q291" s="183">
        <f t="shared" si="63"/>
        <v>0</v>
      </c>
      <c r="R291" s="173">
        <f>IFERROR(VLOOKUP(A291,[1]Energiindhold!$A$2:$C$11,3,FALSE),IFERROR(VLOOKUP(A291,[1]Biogasudbytte!$A$2:$B$18,2,FALSE)*[1]Energiindhold!$C$10,0))*P291</f>
        <v>0</v>
      </c>
      <c r="S291" s="173">
        <f>IF(A291&lt;&gt;"Biogas",IFERROR(VLOOKUP(A291,[1]Biogasudbytte!$A$2:$B$18,2,FALSE)*[1]Energiindhold!$C$10,0)*K291*IFERROR(VLOOKUP(A291,Biogasanlæg!$F$3:$G$8,2,FALSE),1)+IFERROR(VLOOKUP(A291,[1]Energiindhold!$A$2:$C$11,3,FALSE),0)*M291+IF(E291&lt;&gt;År1,R291,0),0)</f>
        <v>0</v>
      </c>
      <c r="T291" s="173">
        <f>IFERROR(VLOOKUP(A291,[1]Biogasudbytte!$A$2:$B$18,2,FALSE)*[1]Energiindhold!$C$10,0)*K291*IFERROR(VLOOKUP(A291,Biogasanlæg!$F$3:$G$8,2,FALSE),1)</f>
        <v>0</v>
      </c>
      <c r="U291" s="174">
        <f t="shared" si="64"/>
        <v>0</v>
      </c>
      <c r="V291" s="172">
        <f>P291*IFERROR(VLOOKUP(A291,[1]Tørstofindhold!A$2:B$24,2,FALSE),0)</f>
        <v>0</v>
      </c>
      <c r="W291" s="173">
        <f>IF(E291=År1,Q291,SUM(P291,Q291))*IFERROR(VLOOKUP(A291,[1]Tørstofindhold!A$2:B$24,2,FALSE),0)</f>
        <v>0</v>
      </c>
      <c r="X291" s="173">
        <f>K291*IFERROR(VLOOKUP(A291,[1]Tørstofindhold!A$2:B$24,2,FALSE),0)</f>
        <v>0</v>
      </c>
      <c r="Y291" s="174">
        <f t="shared" si="65"/>
        <v>0</v>
      </c>
      <c r="Z291">
        <f t="shared" ca="1" si="59"/>
        <v>0</v>
      </c>
      <c r="AA291">
        <f t="shared" ca="1" si="60"/>
        <v>0</v>
      </c>
    </row>
  </sheetData>
  <autoFilter ref="A3:AA291" xr:uid="{E8FEB0F6-BC35-420D-A381-2F9B028DCC93}"/>
  <mergeCells count="5">
    <mergeCell ref="R1:U1"/>
    <mergeCell ref="V1:Y1"/>
    <mergeCell ref="A1:C1"/>
    <mergeCell ref="G1:N1"/>
    <mergeCell ref="O1:Q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FCE3-890A-4384-B45F-B3CAB4E5864E}">
  <sheetPr codeName="Sheet37">
    <tabColor rgb="FFFF0000"/>
  </sheetPr>
  <dimension ref="A1:AH147"/>
  <sheetViews>
    <sheetView zoomScale="106" workbookViewId="0">
      <pane xSplit="6" ySplit="3" topLeftCell="G116" activePane="bottomRight" state="frozen"/>
      <selection pane="topRight" activeCell="F1" sqref="F1"/>
      <selection pane="bottomLeft" activeCell="A3" sqref="A3"/>
      <selection pane="bottomRight" activeCell="H122" sqref="H122"/>
    </sheetView>
  </sheetViews>
  <sheetFormatPr defaultColWidth="18" defaultRowHeight="15" x14ac:dyDescent="0.25"/>
  <cols>
    <col min="1" max="2" width="18.140625" bestFit="1" customWidth="1"/>
    <col min="3" max="3" width="18.140625" customWidth="1"/>
    <col min="4" max="4" width="8.140625" bestFit="1" customWidth="1"/>
    <col min="5" max="5" width="8.140625" customWidth="1"/>
    <col min="6" max="6" width="7.85546875" customWidth="1"/>
    <col min="7" max="7" width="14.28515625" bestFit="1" customWidth="1"/>
    <col min="8" max="9" width="12" bestFit="1" customWidth="1"/>
    <col min="10" max="10" width="9.140625" bestFit="1" customWidth="1"/>
    <col min="11" max="11" width="10.7109375" bestFit="1" customWidth="1"/>
    <col min="12" max="12" width="9.7109375" bestFit="1" customWidth="1"/>
    <col min="13" max="13" width="12" bestFit="1" customWidth="1"/>
    <col min="14" max="14" width="20.140625" bestFit="1" customWidth="1"/>
    <col min="15" max="15" width="26.42578125" bestFit="1" customWidth="1"/>
    <col min="16" max="16" width="21.42578125" bestFit="1" customWidth="1"/>
    <col min="17" max="17" width="20.5703125" bestFit="1" customWidth="1"/>
    <col min="18" max="18" width="20.28515625" bestFit="1" customWidth="1"/>
    <col min="19" max="19" width="19.85546875" bestFit="1" customWidth="1"/>
    <col min="20" max="20" width="18.5703125" bestFit="1" customWidth="1"/>
    <col min="21" max="21" width="23.7109375" bestFit="1" customWidth="1"/>
    <col min="22" max="22" width="24" bestFit="1" customWidth="1"/>
    <col min="23" max="23" width="23.42578125" bestFit="1" customWidth="1"/>
    <col min="24" max="24" width="22.28515625" bestFit="1" customWidth="1"/>
    <col min="25" max="25" width="27.42578125" bestFit="1" customWidth="1"/>
    <col min="27" max="27" width="23.28515625" bestFit="1" customWidth="1"/>
    <col min="28" max="28" width="4.28515625" style="341" customWidth="1"/>
  </cols>
  <sheetData>
    <row r="1" spans="1:32" ht="15.75" thickTop="1" x14ac:dyDescent="0.25">
      <c r="A1" s="447" t="s">
        <v>247</v>
      </c>
      <c r="B1" s="447"/>
      <c r="C1" s="447"/>
      <c r="D1" s="447"/>
      <c r="E1" s="393"/>
      <c r="G1" s="448" t="s">
        <v>249</v>
      </c>
      <c r="H1" s="448"/>
      <c r="I1" s="448"/>
      <c r="J1" s="448"/>
      <c r="K1" s="448"/>
      <c r="L1" s="448"/>
      <c r="M1" s="448"/>
      <c r="N1" s="449"/>
      <c r="O1" s="450" t="s">
        <v>250</v>
      </c>
      <c r="P1" s="451"/>
      <c r="Q1" s="452"/>
      <c r="R1" s="444" t="s">
        <v>122</v>
      </c>
      <c r="S1" s="444"/>
      <c r="T1" s="444"/>
      <c r="U1" s="445"/>
      <c r="V1" s="446" t="s">
        <v>228</v>
      </c>
      <c r="W1" s="444"/>
      <c r="X1" s="444"/>
      <c r="Y1" s="445"/>
      <c r="AC1" s="453" t="s">
        <v>336</v>
      </c>
      <c r="AD1" s="453"/>
    </row>
    <row r="2" spans="1:32" x14ac:dyDescent="0.25">
      <c r="A2" s="393"/>
      <c r="B2" s="393"/>
      <c r="C2" s="393"/>
      <c r="D2" s="393"/>
      <c r="E2" s="393"/>
      <c r="G2" s="394"/>
      <c r="H2" s="394">
        <v>1</v>
      </c>
      <c r="I2" s="394">
        <v>1</v>
      </c>
      <c r="J2" s="394">
        <v>0</v>
      </c>
      <c r="K2" s="394">
        <v>1</v>
      </c>
      <c r="L2" s="394">
        <v>1</v>
      </c>
      <c r="M2" s="394">
        <v>0</v>
      </c>
      <c r="N2" s="394">
        <v>1</v>
      </c>
      <c r="O2" s="395"/>
      <c r="P2" s="396"/>
      <c r="Q2" s="397"/>
      <c r="R2" s="396"/>
      <c r="S2" s="396"/>
      <c r="T2" s="396"/>
      <c r="U2" s="398"/>
      <c r="V2" s="399"/>
      <c r="W2" s="396"/>
      <c r="X2" s="396"/>
      <c r="Y2" s="398"/>
    </row>
    <row r="3" spans="1:32" x14ac:dyDescent="0.25">
      <c r="A3" s="91" t="s">
        <v>128</v>
      </c>
      <c r="B3" s="91" t="s">
        <v>310</v>
      </c>
      <c r="C3" s="91" t="s">
        <v>341</v>
      </c>
      <c r="D3" s="91" t="s">
        <v>129</v>
      </c>
      <c r="E3" s="91" t="s">
        <v>338</v>
      </c>
      <c r="F3" s="91" t="s">
        <v>58</v>
      </c>
      <c r="G3" s="91" t="s">
        <v>132</v>
      </c>
      <c r="H3" s="91" t="s">
        <v>112</v>
      </c>
      <c r="I3" s="91" t="s">
        <v>124</v>
      </c>
      <c r="J3" s="91" t="s">
        <v>127</v>
      </c>
      <c r="K3" s="91" t="s">
        <v>109</v>
      </c>
      <c r="L3" s="91" t="s">
        <v>114</v>
      </c>
      <c r="M3" s="91" t="s">
        <v>120</v>
      </c>
      <c r="N3" s="91" t="s">
        <v>222</v>
      </c>
      <c r="O3" s="177" t="s">
        <v>248</v>
      </c>
      <c r="P3" s="91" t="s">
        <v>130</v>
      </c>
      <c r="Q3" s="178" t="s">
        <v>189</v>
      </c>
      <c r="R3" s="91" t="s">
        <v>131</v>
      </c>
      <c r="S3" s="91" t="s">
        <v>231</v>
      </c>
      <c r="T3" s="91" t="s">
        <v>232</v>
      </c>
      <c r="U3" s="176" t="s">
        <v>283</v>
      </c>
      <c r="V3" s="175" t="s">
        <v>234</v>
      </c>
      <c r="W3" s="91" t="s">
        <v>233</v>
      </c>
      <c r="X3" s="91" t="s">
        <v>235</v>
      </c>
      <c r="Y3" s="176" t="s">
        <v>282</v>
      </c>
      <c r="Z3" s="91" t="s">
        <v>277</v>
      </c>
      <c r="AA3" s="91" t="s">
        <v>299</v>
      </c>
      <c r="AB3" s="400" t="str">
        <f>""</f>
        <v/>
      </c>
      <c r="AC3" s="91" t="s">
        <v>337</v>
      </c>
      <c r="AD3" s="91" t="s">
        <v>339</v>
      </c>
      <c r="AE3" s="91" t="s">
        <v>383</v>
      </c>
      <c r="AF3" s="91" t="s">
        <v>386</v>
      </c>
    </row>
    <row r="4" spans="1:32" x14ac:dyDescent="0.25">
      <c r="A4" s="171" t="s">
        <v>15</v>
      </c>
      <c r="B4" s="171"/>
      <c r="C4" s="171" t="str">
        <f>IFERROR(VLOOKUP(A4,'Kategorisering af kcal'!$A$2:$B$18,2,FALSE),"")</f>
        <v>Æg</v>
      </c>
      <c r="D4" s="171">
        <f>IF(COUNTIFS('Resultater - Danmark'!$D$3:$D$504,'Produktion &amp; forbrug'!A4,'Resultater - Danmark'!$A$3:$A$504,"Til energi")+COUNTIFS('Resultater - Danmark'!$D$3:$D$504,'Produktion &amp; forbrug'!A4,'Resultater - Danmark'!$A$3:$A$504,"Biogasanlæg")&gt;0,1,0)</f>
        <v>0</v>
      </c>
      <c r="E4" s="171">
        <v>1</v>
      </c>
      <c r="F4" s="171">
        <f>År1</f>
        <v>2019</v>
      </c>
      <c r="G4" s="94">
        <f>SUMIFS('Resultat-Produktion &amp; forbrug'!G$4:G$291,'Resultat-Produktion &amp; forbrug'!$A$4:$A$291,'Produktion &amp; forbrug'!$A4,'Resultat-Produktion &amp; forbrug'!$E$4:$E$291,'Produktion &amp; forbrug'!$F4)</f>
        <v>235000</v>
      </c>
      <c r="H4" s="94">
        <f>SUMIFS('Resultat-Produktion &amp; forbrug'!H$4:H$291,'Resultat-Produktion &amp; forbrug'!$A$4:$A$291,'Produktion &amp; forbrug'!$A4,'Resultat-Produktion &amp; forbrug'!$E$4:$E$291,'Produktion &amp; forbrug'!$F4)</f>
        <v>0</v>
      </c>
      <c r="I4" s="94">
        <f>SUMIFS('Resultat-Produktion &amp; forbrug'!I$4:I$291,'Resultat-Produktion &amp; forbrug'!$A$4:$A$291,'Produktion &amp; forbrug'!$A4,'Resultat-Produktion &amp; forbrug'!$E$4:$E$291,'Produktion &amp; forbrug'!$F4)</f>
        <v>0</v>
      </c>
      <c r="J4" s="94">
        <f>SUMIFS('Resultat-Produktion &amp; forbrug'!J$4:J$291,'Resultat-Produktion &amp; forbrug'!$A$4:$A$291,'Produktion &amp; forbrug'!$A4,'Resultat-Produktion &amp; forbrug'!$E$4:$E$291,'Produktion &amp; forbrug'!$F4)</f>
        <v>31522.55833067331</v>
      </c>
      <c r="K4" s="94">
        <f>SUMIFS('Resultat-Produktion &amp; forbrug'!K$4:K$291,'Resultat-Produktion &amp; forbrug'!$A$4:$A$291,'Produktion &amp; forbrug'!$A4,'Resultat-Produktion &amp; forbrug'!$E$4:$E$291,'Produktion &amp; forbrug'!$F4)</f>
        <v>0</v>
      </c>
      <c r="L4" s="94">
        <f>SUMIFS('Resultat-Produktion &amp; forbrug'!L$4:L$291,'Resultat-Produktion &amp; forbrug'!$A$4:$A$291,'Produktion &amp; forbrug'!$A4,'Resultat-Produktion &amp; forbrug'!$E$4:$E$291,'Produktion &amp; forbrug'!$F4)</f>
        <v>0</v>
      </c>
      <c r="M4" s="94">
        <f>SUMIFS('Resultat-Produktion &amp; forbrug'!M$4:M$291,'Resultat-Produktion &amp; forbrug'!$A$4:$A$291,'Produktion &amp; forbrug'!$A4,'Resultat-Produktion &amp; forbrug'!$E$4:$E$291,'Produktion &amp; forbrug'!$F4)</f>
        <v>0</v>
      </c>
      <c r="N4" s="94">
        <f>SUMIFS('Resultat-Produktion &amp; forbrug'!N$4:N$291,'Resultat-Produktion &amp; forbrug'!$A$4:$A$291,'Produktion &amp; forbrug'!$A4,'Resultat-Produktion &amp; forbrug'!$E$4:$E$291,'Produktion &amp; forbrug'!$F4)</f>
        <v>0</v>
      </c>
      <c r="O4" s="179">
        <f>G4-SUM(H4:N4)</f>
        <v>203477.44166932668</v>
      </c>
      <c r="P4" s="94">
        <f>IF(D4=1,MAX(O4,0),0)</f>
        <v>0</v>
      </c>
      <c r="Q4" s="180">
        <f>SUM(K4,M4)</f>
        <v>0</v>
      </c>
      <c r="R4">
        <f>IFERROR(VLOOKUP(A4,[1]Energiindhold!$A$2:$C$11,3,FALSE),IFERROR(VLOOKUP(A4,[1]Biogasudbytte!$A$2:$B$18,2,FALSE)*[1]Energiindhold!$C$10,0))*P4</f>
        <v>0</v>
      </c>
      <c r="S4">
        <f>IF(A4&lt;&gt;"Biogas",IFERROR(VLOOKUP(A4,[1]Biogasudbytte!$A$2:$B$18,2,FALSE)*[1]Energiindhold!$C$10,0)*K4*IFERROR(VLOOKUP(A4,Biogasanlæg!$F$3:$G$8,2,FALSE),1)+IFERROR(VLOOKUP(A4,[1]Energiindhold!$A$2:$C$11,3,FALSE),0)*M4+IF(F4&lt;&gt;År1,R4,0),0)</f>
        <v>0</v>
      </c>
      <c r="T4">
        <f>IFERROR(VLOOKUP(A4,[1]Biogasudbytte!$A$2:$B$18,2,FALSE)*[1]Energiindhold!$C$10,0)*K4*IFERROR(VLOOKUP(A4,Biogasanlæg!$F$3:$G$8,2,FALSE),1)</f>
        <v>0</v>
      </c>
      <c r="U4" s="170">
        <f>S4-T4</f>
        <v>0</v>
      </c>
      <c r="V4" s="169">
        <f>P4*IFERROR(VLOOKUP(A4,[1]Tørstofindhold!A$2:B$24,2,FALSE),0)</f>
        <v>0</v>
      </c>
      <c r="W4">
        <f>IF(F4=År1,Q4,SUM(P4,Q4))*IFERROR(VLOOKUP(A4,[1]Tørstofindhold!A$2:B$24,2,FALSE),0)</f>
        <v>0</v>
      </c>
      <c r="X4">
        <f>K4*IFERROR(VLOOKUP(A4,[1]Tørstofindhold!A$2:B$24,2,FALSE),0)</f>
        <v>0</v>
      </c>
      <c r="Y4" s="170">
        <f>W4-X4</f>
        <v>0</v>
      </c>
      <c r="Z4">
        <f t="shared" ref="Z4:Z35" si="0">IF(SUMIFS($O$4:$O$147,$A$4:$A$147,A4,$F$4:$F$147,F4)&lt;0,1,0)</f>
        <v>0</v>
      </c>
      <c r="AA4">
        <f t="shared" ref="AA4:AA35" si="1">IF(SUMIFS($O$4:$O$147,$A$4:$A$147,A4,$F$4:$F$147,F4)&gt;0,1,0)</f>
        <v>1</v>
      </c>
      <c r="AC4" s="94">
        <f>G4-SUMPRODUCT($H$2:$N$2,H4:N4)</f>
        <v>235000</v>
      </c>
      <c r="AD4">
        <f>AC4*E4*10000*VLOOKUP(A4,[1]kcal!$A$2:$C$49,3,FALSE)/1000000000000*IFERROR(VLOOKUP(A4,'Kategorisering af kcal'!$A$2:$E$18,MATCH('Produktion &amp; forbrug'!F4,'Kategorisering af kcal'!$A$1:$E$1,0),FALSE),0)</f>
        <v>0.32429999999999998</v>
      </c>
      <c r="AE4">
        <f>IF(C4&lt;&gt;"",AC4*(1-VLOOKUP(A4,'Kategorisering af kcal'!$A$2:$E$18,MATCH('Produktion &amp; forbrug'!F4,'Kategorisering af kcal'!$A$1:$E$1,0),FALSE)),'Produktion &amp; forbrug'!AC4)</f>
        <v>0</v>
      </c>
      <c r="AF4" s="94">
        <f>AC4-AE4</f>
        <v>235000</v>
      </c>
    </row>
    <row r="5" spans="1:32" x14ac:dyDescent="0.25">
      <c r="A5" s="171" t="s">
        <v>49</v>
      </c>
      <c r="B5" s="171"/>
      <c r="C5" s="171" t="str">
        <f>IFERROR(VLOOKUP(A5,'Kategorisering af kcal'!$A$2:$B$18,2,FALSE),"")</f>
        <v>Bælgsæd</v>
      </c>
      <c r="D5" s="171">
        <f>IF(COUNTIFS('Resultater - Danmark'!$D$3:$D$504,'Produktion &amp; forbrug'!A5,'Resultater - Danmark'!$A$3:$A$504,"Til energi")+COUNTIFS('Resultater - Danmark'!$D$3:$D$504,'Produktion &amp; forbrug'!A5,'Resultater - Danmark'!$A$3:$A$504,"Biogasanlæg")&gt;0,1,0)</f>
        <v>0</v>
      </c>
      <c r="E5" s="171">
        <v>1</v>
      </c>
      <c r="F5" s="171">
        <f t="shared" ref="F5:F51" si="2">År1</f>
        <v>2019</v>
      </c>
      <c r="G5" s="94">
        <f>SUMIFS('Resultat-Produktion &amp; forbrug'!G$4:G$291,'Resultat-Produktion &amp; forbrug'!$A$4:$A$291,'Produktion &amp; forbrug'!$A5,'Resultat-Produktion &amp; forbrug'!$E$4:$E$291,'Produktion &amp; forbrug'!$F5)</f>
        <v>285369.85676311865</v>
      </c>
      <c r="H5" s="94">
        <f>SUMIFS('Resultat-Produktion &amp; forbrug'!H$4:H$291,'Resultat-Produktion &amp; forbrug'!$A$4:$A$291,'Produktion &amp; forbrug'!$A5,'Resultat-Produktion &amp; forbrug'!$E$4:$E$291,'Produktion &amp; forbrug'!$F5)</f>
        <v>72415.092228932088</v>
      </c>
      <c r="I5" s="94">
        <f>SUMIFS('Resultat-Produktion &amp; forbrug'!I$4:I$291,'Resultat-Produktion &amp; forbrug'!$A$4:$A$291,'Produktion &amp; forbrug'!$A5,'Resultat-Produktion &amp; forbrug'!$E$4:$E$291,'Produktion &amp; forbrug'!$F5)</f>
        <v>0</v>
      </c>
      <c r="J5" s="94">
        <f>SUMIFS('Resultat-Produktion &amp; forbrug'!J$4:J$291,'Resultat-Produktion &amp; forbrug'!$A$4:$A$291,'Produktion &amp; forbrug'!$A5,'Resultat-Produktion &amp; forbrug'!$E$4:$E$291,'Produktion &amp; forbrug'!$F5)</f>
        <v>0</v>
      </c>
      <c r="K5" s="94">
        <f>SUMIFS('Resultat-Produktion &amp; forbrug'!K$4:K$291,'Resultat-Produktion &amp; forbrug'!$A$4:$A$291,'Produktion &amp; forbrug'!$A5,'Resultat-Produktion &amp; forbrug'!$E$4:$E$291,'Produktion &amp; forbrug'!$F5)</f>
        <v>0</v>
      </c>
      <c r="L5" s="94">
        <f>SUMIFS('Resultat-Produktion &amp; forbrug'!L$4:L$291,'Resultat-Produktion &amp; forbrug'!$A$4:$A$291,'Produktion &amp; forbrug'!$A5,'Resultat-Produktion &amp; forbrug'!$E$4:$E$291,'Produktion &amp; forbrug'!$F5)</f>
        <v>0</v>
      </c>
      <c r="M5" s="94">
        <f>SUMIFS('Resultat-Produktion &amp; forbrug'!M$4:M$291,'Resultat-Produktion &amp; forbrug'!$A$4:$A$291,'Produktion &amp; forbrug'!$A5,'Resultat-Produktion &amp; forbrug'!$E$4:$E$291,'Produktion &amp; forbrug'!$F5)</f>
        <v>0</v>
      </c>
      <c r="N5" s="94">
        <f>SUMIFS('Resultat-Produktion &amp; forbrug'!N$4:N$291,'Resultat-Produktion &amp; forbrug'!$A$4:$A$291,'Produktion &amp; forbrug'!$A5,'Resultat-Produktion &amp; forbrug'!$E$4:$E$291,'Produktion &amp; forbrug'!$F5)</f>
        <v>0</v>
      </c>
      <c r="O5" s="179">
        <f t="shared" ref="O5:O68" si="3">G5-SUM(H5:N5)</f>
        <v>212954.76453418657</v>
      </c>
      <c r="P5" s="94">
        <f t="shared" ref="P5:P68" si="4">IF(D5=1,MAX(O5,0),0)</f>
        <v>0</v>
      </c>
      <c r="Q5" s="180">
        <f t="shared" ref="Q5:Q68" si="5">SUM(K5,M5)</f>
        <v>0</v>
      </c>
      <c r="R5">
        <f>IFERROR(VLOOKUP(A5,[1]Energiindhold!$A$2:$C$11,3,FALSE),IFERROR(VLOOKUP(A5,[1]Biogasudbytte!$A$2:$B$18,2,FALSE)*[1]Energiindhold!$C$10,0))*P5</f>
        <v>0</v>
      </c>
      <c r="S5">
        <f>IF(A5&lt;&gt;"Biogas",IFERROR(VLOOKUP(A5,[1]Biogasudbytte!$A$2:$B$18,2,FALSE)*[1]Energiindhold!$C$10,0)*K5*IFERROR(VLOOKUP(A5,Biogasanlæg!$F$3:$G$8,2,FALSE),1)+IFERROR(VLOOKUP(A5,[1]Energiindhold!$A$2:$C$11,3,FALSE),0)*M5+IF(F5&lt;&gt;År1,R5,0),0)</f>
        <v>0</v>
      </c>
      <c r="T5">
        <f>IFERROR(VLOOKUP(A5,[1]Biogasudbytte!$A$2:$B$18,2,FALSE)*[1]Energiindhold!$C$10,0)*K5*IFERROR(VLOOKUP(A5,Biogasanlæg!$F$3:$G$8,2,FALSE),1)</f>
        <v>0</v>
      </c>
      <c r="U5" s="170">
        <f t="shared" ref="U5:U68" si="6">S5-T5</f>
        <v>0</v>
      </c>
      <c r="V5" s="169">
        <f>P5*IFERROR(VLOOKUP(A5,[1]Tørstofindhold!A$2:B$24,2,FALSE),0)</f>
        <v>0</v>
      </c>
      <c r="W5">
        <f>IF(F5=År1,Q5,SUM(P5,Q5))*IFERROR(VLOOKUP(A5,[1]Tørstofindhold!A$2:B$24,2,FALSE),0)</f>
        <v>0</v>
      </c>
      <c r="X5">
        <f>K5*IFERROR(VLOOKUP(A5,[1]Tørstofindhold!A$2:B$24,2,FALSE),0)</f>
        <v>0</v>
      </c>
      <c r="Y5" s="170">
        <f t="shared" ref="Y5:Y68" si="7">W5-X5</f>
        <v>0</v>
      </c>
      <c r="Z5">
        <f t="shared" si="0"/>
        <v>0</v>
      </c>
      <c r="AA5">
        <f t="shared" si="1"/>
        <v>1</v>
      </c>
      <c r="AC5" s="94">
        <f t="shared" ref="AC5:AC68" si="8">G5-SUMPRODUCT($H$2:$N$2,H5:N5)</f>
        <v>212954.76453418657</v>
      </c>
      <c r="AD5">
        <f>AC5*E5*10000*VLOOKUP(A5,[1]kcal!$A$2:$C$49,3,FALSE)/1000000000000*IFERROR(VLOOKUP(A5,'Kategorisering af kcal'!$A$2:$E$18,MATCH('Produktion &amp; forbrug'!F5,'Kategorisering af kcal'!$A$1:$E$1,0),FALSE),0)</f>
        <v>1.4789708396899257</v>
      </c>
      <c r="AE5">
        <f>IF(C5&lt;&gt;"",AC5*(1-VLOOKUP(A5,'Kategorisering af kcal'!$A$2:$E$18,MATCH('Produktion &amp; forbrug'!F5,'Kategorisering af kcal'!$A$1:$E$1,0),FALSE)),'Produktion &amp; forbrug'!AC5)</f>
        <v>0</v>
      </c>
      <c r="AF5" s="94">
        <f t="shared" ref="AF5:AF68" si="9">AC5-AE5</f>
        <v>212954.76453418657</v>
      </c>
    </row>
    <row r="6" spans="1:32" x14ac:dyDescent="0.25">
      <c r="A6" s="171" t="s">
        <v>102</v>
      </c>
      <c r="B6" s="171" t="s">
        <v>229</v>
      </c>
      <c r="C6" s="171" t="str">
        <f>IFERROR(VLOOKUP(A6,'Kategorisering af kcal'!$A$2:$B$18,2,FALSE),"")</f>
        <v/>
      </c>
      <c r="D6" s="171">
        <f>IF(COUNTIFS('Resultater - Danmark'!$D$3:$D$504,'Produktion &amp; forbrug'!A6,'Resultater - Danmark'!$A$3:$A$504,"Til energi")+COUNTIFS('Resultater - Danmark'!$D$3:$D$504,'Produktion &amp; forbrug'!A6,'Resultater - Danmark'!$A$3:$A$504,"Biogasanlæg")&gt;0,1,0)</f>
        <v>1</v>
      </c>
      <c r="E6" s="171">
        <v>0</v>
      </c>
      <c r="F6" s="171">
        <f t="shared" si="2"/>
        <v>2019</v>
      </c>
      <c r="G6" s="94">
        <f ca="1">SUMIFS('Resultat-Produktion &amp; forbrug'!G$4:G$291,'Resultat-Produktion &amp; forbrug'!$A$4:$A$291,'Produktion &amp; forbrug'!$A6,'Resultat-Produktion &amp; forbrug'!$E$4:$E$291,'Produktion &amp; forbrug'!$F6)</f>
        <v>358674.32551850227</v>
      </c>
      <c r="H6" s="94">
        <f>SUMIFS('Resultat-Produktion &amp; forbrug'!H$4:H$291,'Resultat-Produktion &amp; forbrug'!$A$4:$A$291,'Produktion &amp; forbrug'!$A6,'Resultat-Produktion &amp; forbrug'!$E$4:$E$291,'Produktion &amp; forbrug'!$F6)</f>
        <v>0</v>
      </c>
      <c r="I6" s="94">
        <f>SUMIFS('Resultat-Produktion &amp; forbrug'!I$4:I$291,'Resultat-Produktion &amp; forbrug'!$A$4:$A$291,'Produktion &amp; forbrug'!$A6,'Resultat-Produktion &amp; forbrug'!$E$4:$E$291,'Produktion &amp; forbrug'!$F6)</f>
        <v>0</v>
      </c>
      <c r="J6" s="94">
        <f>SUMIFS('Resultat-Produktion &amp; forbrug'!J$4:J$291,'Resultat-Produktion &amp; forbrug'!$A$4:$A$291,'Produktion &amp; forbrug'!$A6,'Resultat-Produktion &amp; forbrug'!$E$4:$E$291,'Produktion &amp; forbrug'!$F6)</f>
        <v>0</v>
      </c>
      <c r="K6" s="94">
        <f ca="1">SUMIFS('Resultat-Produktion &amp; forbrug'!K$4:K$291,'Resultat-Produktion &amp; forbrug'!$A$4:$A$291,'Produktion &amp; forbrug'!$A6,'Resultat-Produktion &amp; forbrug'!$E$4:$E$291,'Produktion &amp; forbrug'!$F6)</f>
        <v>729134</v>
      </c>
      <c r="L6" s="94">
        <f>SUMIFS('Resultat-Produktion &amp; forbrug'!L$4:L$291,'Resultat-Produktion &amp; forbrug'!$A$4:$A$291,'Produktion &amp; forbrug'!$A6,'Resultat-Produktion &amp; forbrug'!$E$4:$E$291,'Produktion &amp; forbrug'!$F6)</f>
        <v>0</v>
      </c>
      <c r="M6" s="94">
        <f ca="1">SUMIFS('Resultat-Produktion &amp; forbrug'!M$4:M$291,'Resultat-Produktion &amp; forbrug'!$A$4:$A$291,'Produktion &amp; forbrug'!$A6,'Resultat-Produktion &amp; forbrug'!$E$4:$E$291,'Produktion &amp; forbrug'!$F6)</f>
        <v>0</v>
      </c>
      <c r="N6" s="94">
        <f ca="1">SUMIFS('Resultat-Produktion &amp; forbrug'!N$4:N$291,'Resultat-Produktion &amp; forbrug'!$A$4:$A$291,'Produktion &amp; forbrug'!$A6,'Resultat-Produktion &amp; forbrug'!$E$4:$E$291,'Produktion &amp; forbrug'!$F6)</f>
        <v>0</v>
      </c>
      <c r="O6" s="179">
        <f t="shared" ca="1" si="3"/>
        <v>-370459.67448149773</v>
      </c>
      <c r="P6" s="94">
        <f t="shared" ca="1" si="4"/>
        <v>0</v>
      </c>
      <c r="Q6" s="180">
        <f t="shared" ca="1" si="5"/>
        <v>729134</v>
      </c>
      <c r="R6">
        <f ca="1">IFERROR(VLOOKUP(A6,[1]Energiindhold!$A$2:$C$11,3,FALSE),IFERROR(VLOOKUP(A6,[1]Biogasudbytte!$A$2:$B$18,2,FALSE)*[1]Energiindhold!$C$10,0))*P6</f>
        <v>0</v>
      </c>
      <c r="S6">
        <f ca="1">IF(A6&lt;&gt;"Biogas",IFERROR(VLOOKUP(A6,[1]Biogasudbytte!$A$2:$B$18,2,FALSE)*[1]Energiindhold!$C$10,0)*K6*IFERROR(VLOOKUP(A6,Biogasanlæg!$F$3:$G$8,2,FALSE),1)+IFERROR(VLOOKUP(A6,[1]Energiindhold!$A$2:$C$11,3,FALSE),0)*M6+IF(F6&lt;&gt;År1,R6,0),0)</f>
        <v>2.4840939159400004</v>
      </c>
      <c r="T6">
        <f ca="1">IFERROR(VLOOKUP(A6,[1]Biogasudbytte!$A$2:$B$18,2,FALSE)*[1]Energiindhold!$C$10,0)*K6*IFERROR(VLOOKUP(A6,Biogasanlæg!$F$3:$G$8,2,FALSE),1)</f>
        <v>2.4840939159400004</v>
      </c>
      <c r="U6" s="170">
        <f t="shared" ca="1" si="6"/>
        <v>0</v>
      </c>
      <c r="V6" s="169">
        <f ca="1">P6*IFERROR(VLOOKUP(A6,[1]Tørstofindhold!A$2:B$24,2,FALSE),0)</f>
        <v>0</v>
      </c>
      <c r="W6">
        <f ca="1">IF(F6=År1,Q6,SUM(P6,Q6))*IFERROR(VLOOKUP(A6,[1]Tørstofindhold!A$2:B$24,2,FALSE),0)</f>
        <v>204157.52000000002</v>
      </c>
      <c r="X6">
        <f ca="1">K6*IFERROR(VLOOKUP(A6,[1]Tørstofindhold!A$2:B$24,2,FALSE),0)</f>
        <v>204157.52000000002</v>
      </c>
      <c r="Y6" s="170">
        <f t="shared" ca="1" si="7"/>
        <v>0</v>
      </c>
      <c r="Z6">
        <f t="shared" ca="1" si="0"/>
        <v>1</v>
      </c>
      <c r="AA6">
        <f t="shared" ca="1" si="1"/>
        <v>0</v>
      </c>
      <c r="AC6" s="94">
        <f t="shared" ca="1" si="8"/>
        <v>-370459.67448149773</v>
      </c>
      <c r="AD6">
        <f ca="1">AC6*E6*10000*VLOOKUP(A6,[1]kcal!$A$2:$C$49,3,FALSE)/1000000000000*IFERROR(VLOOKUP(A6,'Kategorisering af kcal'!$A$2:$E$18,MATCH('Produktion &amp; forbrug'!F6,'Kategorisering af kcal'!$A$1:$E$1,0),FALSE),0)</f>
        <v>0</v>
      </c>
      <c r="AE6">
        <f ca="1">IF(C6&lt;&gt;"",AC6*(1-VLOOKUP(A6,'Kategorisering af kcal'!$A$2:$E$18,MATCH('Produktion &amp; forbrug'!F6,'Kategorisering af kcal'!$A$1:$E$1,0),FALSE)),'Produktion &amp; forbrug'!AC6)</f>
        <v>-370459.67448149773</v>
      </c>
      <c r="AF6" s="94">
        <f t="shared" ca="1" si="9"/>
        <v>0</v>
      </c>
    </row>
    <row r="7" spans="1:32" x14ac:dyDescent="0.25">
      <c r="A7" s="171" t="s">
        <v>109</v>
      </c>
      <c r="B7" s="171"/>
      <c r="C7" s="171" t="str">
        <f>IFERROR(VLOOKUP(A7,'Kategorisering af kcal'!$A$2:$B$18,2,FALSE),"")</f>
        <v/>
      </c>
      <c r="D7" s="171">
        <f>IF(COUNTIFS('Resultater - Danmark'!$D$3:$D$504,'Produktion &amp; forbrug'!A7,'Resultater - Danmark'!$A$3:$A$504,"Til energi")+COUNTIFS('Resultater - Danmark'!$D$3:$D$504,'Produktion &amp; forbrug'!A7,'Resultater - Danmark'!$A$3:$A$504,"Biogasanlæg")&gt;0,1,0)</f>
        <v>1</v>
      </c>
      <c r="E7" s="171">
        <v>0</v>
      </c>
      <c r="F7" s="171">
        <f t="shared" si="2"/>
        <v>2019</v>
      </c>
      <c r="G7" s="94">
        <f ca="1">SUMIFS('Resultat-Produktion &amp; forbrug'!G$4:G$291,'Resultat-Produktion &amp; forbrug'!$A$4:$A$291,'Produktion &amp; forbrug'!$A7,'Resultat-Produktion &amp; forbrug'!$E$4:$E$291,'Produktion &amp; forbrug'!$F7)</f>
        <v>462837288.84999996</v>
      </c>
      <c r="H7" s="94">
        <f>SUMIFS('Resultat-Produktion &amp; forbrug'!H$4:H$291,'Resultat-Produktion &amp; forbrug'!$A$4:$A$291,'Produktion &amp; forbrug'!$A7,'Resultat-Produktion &amp; forbrug'!$E$4:$E$291,'Produktion &amp; forbrug'!$F7)</f>
        <v>0</v>
      </c>
      <c r="I7" s="94">
        <f>SUMIFS('Resultat-Produktion &amp; forbrug'!I$4:I$291,'Resultat-Produktion &amp; forbrug'!$A$4:$A$291,'Produktion &amp; forbrug'!$A7,'Resultat-Produktion &amp; forbrug'!$E$4:$E$291,'Produktion &amp; forbrug'!$F7)</f>
        <v>0</v>
      </c>
      <c r="J7" s="94">
        <f>SUMIFS('Resultat-Produktion &amp; forbrug'!J$4:J$291,'Resultat-Produktion &amp; forbrug'!$A$4:$A$291,'Produktion &amp; forbrug'!$A7,'Resultat-Produktion &amp; forbrug'!$E$4:$E$291,'Produktion &amp; forbrug'!$F7)</f>
        <v>0</v>
      </c>
      <c r="K7" s="94">
        <f>SUMIFS('Resultat-Produktion &amp; forbrug'!K$4:K$291,'Resultat-Produktion &amp; forbrug'!$A$4:$A$291,'Produktion &amp; forbrug'!$A7,'Resultat-Produktion &amp; forbrug'!$E$4:$E$291,'Produktion &amp; forbrug'!$F7)</f>
        <v>0</v>
      </c>
      <c r="L7" s="94">
        <f>SUMIFS('Resultat-Produktion &amp; forbrug'!L$4:L$291,'Resultat-Produktion &amp; forbrug'!$A$4:$A$291,'Produktion &amp; forbrug'!$A7,'Resultat-Produktion &amp; forbrug'!$E$4:$E$291,'Produktion &amp; forbrug'!$F7)</f>
        <v>0</v>
      </c>
      <c r="M7" s="94">
        <f ca="1">SUMIFS('Resultat-Produktion &amp; forbrug'!M$4:M$291,'Resultat-Produktion &amp; forbrug'!$A$4:$A$291,'Produktion &amp; forbrug'!$A7,'Resultat-Produktion &amp; forbrug'!$E$4:$E$291,'Produktion &amp; forbrug'!$F7)</f>
        <v>462837288.84999996</v>
      </c>
      <c r="N7" s="94">
        <f>SUMIFS('Resultat-Produktion &amp; forbrug'!N$4:N$291,'Resultat-Produktion &amp; forbrug'!$A$4:$A$291,'Produktion &amp; forbrug'!$A7,'Resultat-Produktion &amp; forbrug'!$E$4:$E$291,'Produktion &amp; forbrug'!$F7)</f>
        <v>0</v>
      </c>
      <c r="O7" s="179">
        <f t="shared" ca="1" si="3"/>
        <v>0</v>
      </c>
      <c r="P7" s="94">
        <f t="shared" ca="1" si="4"/>
        <v>0</v>
      </c>
      <c r="Q7" s="180">
        <f t="shared" ca="1" si="5"/>
        <v>462837288.84999996</v>
      </c>
      <c r="R7">
        <f ca="1">IFERROR(VLOOKUP(A7,[1]Energiindhold!$A$2:$C$11,3,FALSE),IFERROR(VLOOKUP(A7,[1]Biogasudbytte!$A$2:$B$18,2,FALSE)*[1]Energiindhold!$C$10,0))*P7</f>
        <v>0</v>
      </c>
      <c r="S7">
        <f>IF(A7&lt;&gt;"Biogas",IFERROR(VLOOKUP(A7,[1]Biogasudbytte!$A$2:$B$18,2,FALSE)*[1]Energiindhold!$C$10,0)*K7*IFERROR(VLOOKUP(A7,Biogasanlæg!$F$3:$G$8,2,FALSE),1)+IFERROR(VLOOKUP(A7,[1]Energiindhold!$A$2:$C$11,3,FALSE),0)*M7+IF(F7&lt;&gt;År1,R7,0),0)</f>
        <v>0</v>
      </c>
      <c r="T7">
        <f>IFERROR(VLOOKUP(A7,[1]Biogasudbytte!$A$2:$B$18,2,FALSE)*[1]Energiindhold!$C$10,0)*K7*IFERROR(VLOOKUP(A7,Biogasanlæg!$F$3:$G$8,2,FALSE),1)</f>
        <v>0</v>
      </c>
      <c r="U7" s="170">
        <f t="shared" si="6"/>
        <v>0</v>
      </c>
      <c r="V7" s="169">
        <f ca="1">P7*IFERROR(VLOOKUP(A7,[1]Tørstofindhold!A$2:B$24,2,FALSE),0)</f>
        <v>0</v>
      </c>
      <c r="W7">
        <f ca="1">IF(F7=År1,Q7,SUM(P7,Q7))*IFERROR(VLOOKUP(A7,[1]Tørstofindhold!A$2:B$24,2,FALSE),0)</f>
        <v>0</v>
      </c>
      <c r="X7">
        <f>K7*IFERROR(VLOOKUP(A7,[1]Tørstofindhold!A$2:B$24,2,FALSE),0)</f>
        <v>0</v>
      </c>
      <c r="Y7" s="170">
        <f t="shared" ca="1" si="7"/>
        <v>0</v>
      </c>
      <c r="Z7">
        <f t="shared" ca="1" si="0"/>
        <v>0</v>
      </c>
      <c r="AA7">
        <f t="shared" ca="1" si="1"/>
        <v>0</v>
      </c>
      <c r="AC7" s="94">
        <f t="shared" ca="1" si="8"/>
        <v>462837288.84999996</v>
      </c>
      <c r="AD7">
        <f ca="1">AC7*E7*10000*VLOOKUP(A7,[1]kcal!$A$2:$C$49,3,FALSE)/1000000000000*IFERROR(VLOOKUP(A7,'Kategorisering af kcal'!$A$2:$E$18,MATCH('Produktion &amp; forbrug'!F7,'Kategorisering af kcal'!$A$1:$E$1,0),FALSE),0)</f>
        <v>0</v>
      </c>
      <c r="AE7">
        <f ca="1">IF(C7&lt;&gt;"",AC7*(1-VLOOKUP(A7,'Kategorisering af kcal'!$A$2:$E$18,MATCH('Produktion &amp; forbrug'!F7,'Kategorisering af kcal'!$A$1:$E$1,0),FALSE)),'Produktion &amp; forbrug'!AC7)</f>
        <v>462837288.84999996</v>
      </c>
      <c r="AF7" s="94">
        <f t="shared" ca="1" si="9"/>
        <v>0</v>
      </c>
    </row>
    <row r="8" spans="1:32" x14ac:dyDescent="0.25">
      <c r="A8" s="171" t="s">
        <v>110</v>
      </c>
      <c r="B8" s="171"/>
      <c r="C8" s="171" t="str">
        <f>IFERROR(VLOOKUP(A8,'Kategorisering af kcal'!$A$2:$B$18,2,FALSE),"")</f>
        <v/>
      </c>
      <c r="D8" s="171">
        <f>IF(COUNTIFS('Resultater - Danmark'!$D$3:$D$504,'Produktion &amp; forbrug'!A8,'Resultater - Danmark'!$A$3:$A$504,"Til energi")+COUNTIFS('Resultater - Danmark'!$D$3:$D$504,'Produktion &amp; forbrug'!A8,'Resultater - Danmark'!$A$3:$A$504,"Biogasanlæg")&gt;0,1,0)</f>
        <v>0</v>
      </c>
      <c r="E8" s="171">
        <v>0</v>
      </c>
      <c r="F8" s="171">
        <f t="shared" si="2"/>
        <v>2019</v>
      </c>
      <c r="G8" s="94">
        <f ca="1">SUMIFS('Resultat-Produktion &amp; forbrug'!G$4:G$291,'Resultat-Produktion &amp; forbrug'!$A$4:$A$291,'Produktion &amp; forbrug'!$A8,'Resultat-Produktion &amp; forbrug'!$E$4:$E$291,'Produktion &amp; forbrug'!$F8)</f>
        <v>12034020.807749998</v>
      </c>
      <c r="H8" s="94">
        <f>SUMIFS('Resultat-Produktion &amp; forbrug'!H$4:H$291,'Resultat-Produktion &amp; forbrug'!$A$4:$A$291,'Produktion &amp; forbrug'!$A8,'Resultat-Produktion &amp; forbrug'!$E$4:$E$291,'Produktion &amp; forbrug'!$F8)</f>
        <v>0</v>
      </c>
      <c r="I8" s="94">
        <f>SUMIFS('Resultat-Produktion &amp; forbrug'!I$4:I$291,'Resultat-Produktion &amp; forbrug'!$A$4:$A$291,'Produktion &amp; forbrug'!$A8,'Resultat-Produktion &amp; forbrug'!$E$4:$E$291,'Produktion &amp; forbrug'!$F8)</f>
        <v>0</v>
      </c>
      <c r="J8" s="94">
        <f>SUMIFS('Resultat-Produktion &amp; forbrug'!J$4:J$291,'Resultat-Produktion &amp; forbrug'!$A$4:$A$291,'Produktion &amp; forbrug'!$A8,'Resultat-Produktion &amp; forbrug'!$E$4:$E$291,'Produktion &amp; forbrug'!$F8)</f>
        <v>0</v>
      </c>
      <c r="K8" s="94">
        <f>SUMIFS('Resultat-Produktion &amp; forbrug'!K$4:K$291,'Resultat-Produktion &amp; forbrug'!$A$4:$A$291,'Produktion &amp; forbrug'!$A8,'Resultat-Produktion &amp; forbrug'!$E$4:$E$291,'Produktion &amp; forbrug'!$F8)</f>
        <v>0</v>
      </c>
      <c r="L8" s="94">
        <f ca="1">SUMIFS('Resultat-Produktion &amp; forbrug'!L$4:L$291,'Resultat-Produktion &amp; forbrug'!$A$4:$A$291,'Produktion &amp; forbrug'!$A8,'Resultat-Produktion &amp; forbrug'!$E$4:$E$291,'Produktion &amp; forbrug'!$F8)</f>
        <v>8803491.7355084848</v>
      </c>
      <c r="M8" s="94">
        <f>SUMIFS('Resultat-Produktion &amp; forbrug'!M$4:M$291,'Resultat-Produktion &amp; forbrug'!$A$4:$A$291,'Produktion &amp; forbrug'!$A8,'Resultat-Produktion &amp; forbrug'!$E$4:$E$291,'Produktion &amp; forbrug'!$F8)</f>
        <v>0</v>
      </c>
      <c r="N8" s="94">
        <f>SUMIFS('Resultat-Produktion &amp; forbrug'!N$4:N$291,'Resultat-Produktion &amp; forbrug'!$A$4:$A$291,'Produktion &amp; forbrug'!$A8,'Resultat-Produktion &amp; forbrug'!$E$4:$E$291,'Produktion &amp; forbrug'!$F8)</f>
        <v>0</v>
      </c>
      <c r="O8" s="179">
        <f t="shared" ca="1" si="3"/>
        <v>3230529.0722415131</v>
      </c>
      <c r="P8" s="94">
        <f t="shared" si="4"/>
        <v>0</v>
      </c>
      <c r="Q8" s="180">
        <f t="shared" si="5"/>
        <v>0</v>
      </c>
      <c r="R8">
        <f>IFERROR(VLOOKUP(A8,[1]Energiindhold!$A$2:$C$11,3,FALSE),IFERROR(VLOOKUP(A8,[1]Biogasudbytte!$A$2:$B$18,2,FALSE)*[1]Energiindhold!$C$10,0))*P8</f>
        <v>0</v>
      </c>
      <c r="S8">
        <f>IF(A8&lt;&gt;"Biogas",IFERROR(VLOOKUP(A8,[1]Biogasudbytte!$A$2:$B$18,2,FALSE)*[1]Energiindhold!$C$10,0)*K8*IFERROR(VLOOKUP(A8,Biogasanlæg!$F$3:$G$8,2,FALSE),1)+IFERROR(VLOOKUP(A8,[1]Energiindhold!$A$2:$C$11,3,FALSE),0)*M8+IF(F8&lt;&gt;År1,R8,0),0)</f>
        <v>0</v>
      </c>
      <c r="T8">
        <f>IFERROR(VLOOKUP(A8,[1]Biogasudbytte!$A$2:$B$18,2,FALSE)*[1]Energiindhold!$C$10,0)*K8*IFERROR(VLOOKUP(A8,Biogasanlæg!$F$3:$G$8,2,FALSE),1)</f>
        <v>0</v>
      </c>
      <c r="U8" s="170">
        <f t="shared" si="6"/>
        <v>0</v>
      </c>
      <c r="V8" s="169">
        <f>P8*IFERROR(VLOOKUP(A8,[1]Tørstofindhold!A$2:B$24,2,FALSE),0)</f>
        <v>0</v>
      </c>
      <c r="W8">
        <f>IF(F8=År1,Q8,SUM(P8,Q8))*IFERROR(VLOOKUP(A8,[1]Tørstofindhold!A$2:B$24,2,FALSE),0)</f>
        <v>0</v>
      </c>
      <c r="X8">
        <f>K8*IFERROR(VLOOKUP(A8,[1]Tørstofindhold!A$2:B$24,2,FALSE),0)</f>
        <v>0</v>
      </c>
      <c r="Y8" s="170">
        <f t="shared" si="7"/>
        <v>0</v>
      </c>
      <c r="Z8">
        <f t="shared" ca="1" si="0"/>
        <v>0</v>
      </c>
      <c r="AA8">
        <f t="shared" ca="1" si="1"/>
        <v>1</v>
      </c>
      <c r="AC8" s="94">
        <f ca="1">G8-SUMPRODUCT($H$2:$N$2,H8:N8)</f>
        <v>3230529.0722415131</v>
      </c>
      <c r="AD8">
        <f ca="1">AC8*E8*10000*VLOOKUP(A8,[1]kcal!$A$2:$C$49,3,FALSE)/1000000000000*IFERROR(VLOOKUP(A8,'Kategorisering af kcal'!$A$2:$E$18,MATCH('Produktion &amp; forbrug'!F8,'Kategorisering af kcal'!$A$1:$E$1,0),FALSE),0)</f>
        <v>0</v>
      </c>
      <c r="AE8">
        <f ca="1">IF(C8&lt;&gt;"",AC8*(1-VLOOKUP(A8,'Kategorisering af kcal'!$A$2:$E$18,MATCH('Produktion &amp; forbrug'!F8,'Kategorisering af kcal'!$A$1:$E$1,0),FALSE)),'Produktion &amp; forbrug'!AC8)</f>
        <v>3230529.0722415131</v>
      </c>
      <c r="AF8" s="94">
        <f t="shared" ca="1" si="9"/>
        <v>0</v>
      </c>
    </row>
    <row r="9" spans="1:32" x14ac:dyDescent="0.25">
      <c r="A9" s="171" t="s">
        <v>207</v>
      </c>
      <c r="B9" s="171" t="s">
        <v>229</v>
      </c>
      <c r="C9" s="171" t="str">
        <f>IFERROR(VLOOKUP(A9,'Kategorisering af kcal'!$A$2:$B$18,2,FALSE),"")</f>
        <v/>
      </c>
      <c r="D9" s="171">
        <f>IF(COUNTIFS('Resultater - Danmark'!$D$3:$D$504,'Produktion &amp; forbrug'!A9,'Resultater - Danmark'!$A$3:$A$504,"Til energi")+COUNTIFS('Resultater - Danmark'!$D$3:$D$504,'Produktion &amp; forbrug'!A9,'Resultater - Danmark'!$A$3:$A$504,"Biogasanlæg")&gt;0,1,0)</f>
        <v>1</v>
      </c>
      <c r="E9" s="171">
        <v>0</v>
      </c>
      <c r="F9" s="171">
        <f t="shared" si="2"/>
        <v>2019</v>
      </c>
      <c r="G9" s="94">
        <f>SUMIFS('Resultat-Produktion &amp; forbrug'!G$4:G$291,'Resultat-Produktion &amp; forbrug'!$A$4:$A$291,'Produktion &amp; forbrug'!$A9,'Resultat-Produktion &amp; forbrug'!$E$4:$E$291,'Produktion &amp; forbrug'!$F9)</f>
        <v>0</v>
      </c>
      <c r="H9" s="94">
        <f>SUMIFS('Resultat-Produktion &amp; forbrug'!H$4:H$291,'Resultat-Produktion &amp; forbrug'!$A$4:$A$291,'Produktion &amp; forbrug'!$A9,'Resultat-Produktion &amp; forbrug'!$E$4:$E$291,'Produktion &amp; forbrug'!$F9)</f>
        <v>0</v>
      </c>
      <c r="I9" s="94">
        <f>SUMIFS('Resultat-Produktion &amp; forbrug'!I$4:I$291,'Resultat-Produktion &amp; forbrug'!$A$4:$A$291,'Produktion &amp; forbrug'!$A9,'Resultat-Produktion &amp; forbrug'!$E$4:$E$291,'Produktion &amp; forbrug'!$F9)</f>
        <v>0</v>
      </c>
      <c r="J9" s="94">
        <f>SUMIFS('Resultat-Produktion &amp; forbrug'!J$4:J$291,'Resultat-Produktion &amp; forbrug'!$A$4:$A$291,'Produktion &amp; forbrug'!$A9,'Resultat-Produktion &amp; forbrug'!$E$4:$E$291,'Produktion &amp; forbrug'!$F9)</f>
        <v>0</v>
      </c>
      <c r="K9" s="94">
        <f>SUMIFS('Resultat-Produktion &amp; forbrug'!K$4:K$291,'Resultat-Produktion &amp; forbrug'!$A$4:$A$291,'Produktion &amp; forbrug'!$A9,'Resultat-Produktion &amp; forbrug'!$E$4:$E$291,'Produktion &amp; forbrug'!$F9)</f>
        <v>0</v>
      </c>
      <c r="L9" s="94">
        <f>SUMIFS('Resultat-Produktion &amp; forbrug'!L$4:L$291,'Resultat-Produktion &amp; forbrug'!$A$4:$A$291,'Produktion &amp; forbrug'!$A9,'Resultat-Produktion &amp; forbrug'!$E$4:$E$291,'Produktion &amp; forbrug'!$F9)</f>
        <v>0</v>
      </c>
      <c r="M9" s="94">
        <f>SUMIFS('Resultat-Produktion &amp; forbrug'!M$4:M$291,'Resultat-Produktion &amp; forbrug'!$A$4:$A$291,'Produktion &amp; forbrug'!$A9,'Resultat-Produktion &amp; forbrug'!$E$4:$E$291,'Produktion &amp; forbrug'!$F9)</f>
        <v>0</v>
      </c>
      <c r="N9" s="94">
        <f>SUMIFS('Resultat-Produktion &amp; forbrug'!N$4:N$291,'Resultat-Produktion &amp; forbrug'!$A$4:$A$291,'Produktion &amp; forbrug'!$A9,'Resultat-Produktion &amp; forbrug'!$E$4:$E$291,'Produktion &amp; forbrug'!$F9)</f>
        <v>0</v>
      </c>
      <c r="O9" s="179">
        <f t="shared" si="3"/>
        <v>0</v>
      </c>
      <c r="P9" s="94">
        <f t="shared" si="4"/>
        <v>0</v>
      </c>
      <c r="Q9" s="180">
        <f t="shared" si="5"/>
        <v>0</v>
      </c>
      <c r="R9">
        <f>IFERROR(VLOOKUP(A9,[1]Energiindhold!$A$2:$C$11,3,FALSE),IFERROR(VLOOKUP(A9,[1]Biogasudbytte!$A$2:$B$18,2,FALSE)*[1]Energiindhold!$C$10,0))*P9</f>
        <v>0</v>
      </c>
      <c r="S9">
        <f>IF(A9&lt;&gt;"Biogas",IFERROR(VLOOKUP(A9,[1]Biogasudbytte!$A$2:$B$18,2,FALSE)*[1]Energiindhold!$C$10,0)*K9*IFERROR(VLOOKUP(A9,Biogasanlæg!$F$3:$G$8,2,FALSE),1)+IFERROR(VLOOKUP(A9,[1]Energiindhold!$A$2:$C$11,3,FALSE),0)*M9+IF(F9&lt;&gt;År1,R9,0),0)</f>
        <v>0</v>
      </c>
      <c r="T9">
        <f>IFERROR(VLOOKUP(A9,[1]Biogasudbytte!$A$2:$B$18,2,FALSE)*[1]Energiindhold!$C$10,0)*K9*IFERROR(VLOOKUP(A9,Biogasanlæg!$F$3:$G$8,2,FALSE),1)</f>
        <v>0</v>
      </c>
      <c r="U9" s="170">
        <f t="shared" si="6"/>
        <v>0</v>
      </c>
      <c r="V9" s="169">
        <f>P9*IFERROR(VLOOKUP(A9,[1]Tørstofindhold!A$2:B$24,2,FALSE),0)</f>
        <v>0</v>
      </c>
      <c r="W9">
        <f>IF(F9=År1,Q9,SUM(P9,Q9))*IFERROR(VLOOKUP(A9,[1]Tørstofindhold!A$2:B$24,2,FALSE),0)</f>
        <v>0</v>
      </c>
      <c r="X9">
        <f>K9*IFERROR(VLOOKUP(A9,[1]Tørstofindhold!A$2:B$24,2,FALSE),0)</f>
        <v>0</v>
      </c>
      <c r="Y9" s="170">
        <f t="shared" si="7"/>
        <v>0</v>
      </c>
      <c r="Z9">
        <f t="shared" si="0"/>
        <v>0</v>
      </c>
      <c r="AA9">
        <f t="shared" si="1"/>
        <v>0</v>
      </c>
      <c r="AC9" s="94">
        <f t="shared" si="8"/>
        <v>0</v>
      </c>
      <c r="AD9">
        <f>AC9*E9*10000*VLOOKUP(A9,[1]kcal!$A$2:$C$49,3,FALSE)/1000000000000*IFERROR(VLOOKUP(A9,'Kategorisering af kcal'!$A$2:$E$18,MATCH('Produktion &amp; forbrug'!F9,'Kategorisering af kcal'!$A$1:$E$1,0),FALSE),0)</f>
        <v>0</v>
      </c>
      <c r="AE9">
        <f>IF(C9&lt;&gt;"",AC9*(1-VLOOKUP(A9,'Kategorisering af kcal'!$A$2:$E$18,MATCH('Produktion &amp; forbrug'!F9,'Kategorisering af kcal'!$A$1:$E$1,0),FALSE)),'Produktion &amp; forbrug'!AC9)</f>
        <v>0</v>
      </c>
      <c r="AF9" s="94">
        <f t="shared" si="9"/>
        <v>0</v>
      </c>
    </row>
    <row r="10" spans="1:32" x14ac:dyDescent="0.25">
      <c r="A10" t="s">
        <v>101</v>
      </c>
      <c r="B10" s="171" t="s">
        <v>221</v>
      </c>
      <c r="C10" s="171" t="str">
        <f>IFERROR(VLOOKUP(A10,'Kategorisering af kcal'!$A$2:$B$18,2,FALSE),"")</f>
        <v/>
      </c>
      <c r="D10" s="171">
        <f>IF(COUNTIFS('Resultater - Danmark'!$D$3:$D$504,'Produktion &amp; forbrug'!A10,'Resultater - Danmark'!$A$3:$A$504,"Til energi")+COUNTIFS('Resultater - Danmark'!$D$3:$D$504,'Produktion &amp; forbrug'!A10,'Resultater - Danmark'!$A$3:$A$504,"Biogasanlæg")&gt;0,1,0)</f>
        <v>1</v>
      </c>
      <c r="E10" s="171">
        <v>0</v>
      </c>
      <c r="F10" s="171">
        <f t="shared" si="2"/>
        <v>2019</v>
      </c>
      <c r="G10" s="94">
        <f>SUMIFS('Resultat-Produktion &amp; forbrug'!G$4:G$291,'Resultat-Produktion &amp; forbrug'!$A$4:$A$291,'Produktion &amp; forbrug'!$A10,'Resultat-Produktion &amp; forbrug'!$E$4:$E$291,'Produktion &amp; forbrug'!$F10)</f>
        <v>2933070.0000000005</v>
      </c>
      <c r="H10" s="94">
        <f>SUMIFS('Resultat-Produktion &amp; forbrug'!H$4:H$291,'Resultat-Produktion &amp; forbrug'!$A$4:$A$291,'Produktion &amp; forbrug'!$A10,'Resultat-Produktion &amp; forbrug'!$E$4:$E$291,'Produktion &amp; forbrug'!$F10)</f>
        <v>0</v>
      </c>
      <c r="I10" s="94">
        <f>SUMIFS('Resultat-Produktion &amp; forbrug'!I$4:I$291,'Resultat-Produktion &amp; forbrug'!$A$4:$A$291,'Produktion &amp; forbrug'!$A10,'Resultat-Produktion &amp; forbrug'!$E$4:$E$291,'Produktion &amp; forbrug'!$F10)</f>
        <v>0</v>
      </c>
      <c r="J10" s="94">
        <f>SUMIFS('Resultat-Produktion &amp; forbrug'!J$4:J$291,'Resultat-Produktion &amp; forbrug'!$A$4:$A$291,'Produktion &amp; forbrug'!$A10,'Resultat-Produktion &amp; forbrug'!$E$4:$E$291,'Produktion &amp; forbrug'!$F10)</f>
        <v>0</v>
      </c>
      <c r="K10" s="94">
        <f>SUMIFS('Resultat-Produktion &amp; forbrug'!K$4:K$291,'Resultat-Produktion &amp; forbrug'!$A$4:$A$291,'Produktion &amp; forbrug'!$A10,'Resultat-Produktion &amp; forbrug'!$E$4:$E$291,'Produktion &amp; forbrug'!$F10)</f>
        <v>757087.00000000012</v>
      </c>
      <c r="L10" s="94">
        <f>SUMIFS('Resultat-Produktion &amp; forbrug'!L$4:L$291,'Resultat-Produktion &amp; forbrug'!$A$4:$A$291,'Produktion &amp; forbrug'!$A10,'Resultat-Produktion &amp; forbrug'!$E$4:$E$291,'Produktion &amp; forbrug'!$F10)</f>
        <v>823764.99285714305</v>
      </c>
      <c r="M10" s="94">
        <f>SUMIFS('Resultat-Produktion &amp; forbrug'!M$4:M$291,'Resultat-Produktion &amp; forbrug'!$A$4:$A$291,'Produktion &amp; forbrug'!$A10,'Resultat-Produktion &amp; forbrug'!$E$4:$E$291,'Produktion &amp; forbrug'!$F10)</f>
        <v>0</v>
      </c>
      <c r="N10" s="94">
        <f>SUMIFS('Resultat-Produktion &amp; forbrug'!N$4:N$291,'Resultat-Produktion &amp; forbrug'!$A$4:$A$291,'Produktion &amp; forbrug'!$A10,'Resultat-Produktion &amp; forbrug'!$E$4:$E$291,'Produktion &amp; forbrug'!$F10)</f>
        <v>0</v>
      </c>
      <c r="O10" s="179">
        <f t="shared" si="3"/>
        <v>1352218.0071428572</v>
      </c>
      <c r="P10" s="94">
        <f t="shared" si="4"/>
        <v>1352218.0071428572</v>
      </c>
      <c r="Q10" s="180">
        <f>SUM(K10,M10)</f>
        <v>757087.00000000012</v>
      </c>
      <c r="R10">
        <f>IFERROR(VLOOKUP(A10,[1]Energiindhold!$A$2:$C$11,3,FALSE),IFERROR(VLOOKUP(A10,[1]Biogasudbytte!$A$2:$B$18,2,FALSE)*[1]Energiindhold!$C$10,0))*P10</f>
        <v>2.9126775873857143</v>
      </c>
      <c r="S10">
        <f>IF(A10&lt;&gt;"Biogas",IFERROR(VLOOKUP(A10,[1]Biogasudbytte!$A$2:$B$18,2,FALSE)*[1]Energiindhold!$C$10,0)*K10*IFERROR(VLOOKUP(A10,Biogasanlæg!$F$3:$G$8,2,FALSE),1)+IFERROR(VLOOKUP(A10,[1]Energiindhold!$A$2:$C$11,3,FALSE),0)*M10+IF(F10&lt;&gt;År1,R10,0),0)</f>
        <v>1.6307653980000003</v>
      </c>
      <c r="T10">
        <f>IFERROR(VLOOKUP(A10,[1]Biogasudbytte!$A$2:$B$18,2,FALSE)*[1]Energiindhold!$C$10,0)*K10*IFERROR(VLOOKUP(A10,Biogasanlæg!$F$3:$G$8,2,FALSE),1)</f>
        <v>1.6307653980000003</v>
      </c>
      <c r="U10" s="170">
        <f t="shared" si="6"/>
        <v>0</v>
      </c>
      <c r="V10" s="169">
        <f>P10*IFERROR(VLOOKUP(A10,[1]Tørstofindhold!A$2:B$24,2,FALSE),0)</f>
        <v>405665.40214285714</v>
      </c>
      <c r="W10">
        <f>IF(F10=År1,Q10,SUM(P10,Q10))*IFERROR(VLOOKUP(A10,[1]Tørstofindhold!A$2:B$24,2,FALSE),0)</f>
        <v>227126.10000000003</v>
      </c>
      <c r="X10">
        <f>K10*IFERROR(VLOOKUP(A10,[1]Tørstofindhold!A$2:B$24,2,FALSE),0)</f>
        <v>227126.10000000003</v>
      </c>
      <c r="Y10" s="170">
        <f t="shared" si="7"/>
        <v>0</v>
      </c>
      <c r="Z10">
        <f t="shared" si="0"/>
        <v>0</v>
      </c>
      <c r="AA10">
        <f t="shared" si="1"/>
        <v>1</v>
      </c>
      <c r="AC10" s="94">
        <f t="shared" si="8"/>
        <v>1352218.0071428572</v>
      </c>
      <c r="AD10">
        <f>AC10*E10*10000*VLOOKUP(A10,[1]kcal!$A$2:$C$49,3,FALSE)/1000000000000*IFERROR(VLOOKUP(A10,'Kategorisering af kcal'!$A$2:$E$18,MATCH('Produktion &amp; forbrug'!F10,'Kategorisering af kcal'!$A$1:$E$1,0),FALSE),0)</f>
        <v>0</v>
      </c>
      <c r="AE10">
        <f>IF(C10&lt;&gt;"",AC10*(1-VLOOKUP(A10,'Kategorisering af kcal'!$A$2:$E$18,MATCH('Produktion &amp; forbrug'!F10,'Kategorisering af kcal'!$A$1:$E$1,0),FALSE)),'Produktion &amp; forbrug'!AC10)</f>
        <v>1352218.0071428572</v>
      </c>
      <c r="AF10" s="94">
        <f t="shared" si="9"/>
        <v>0</v>
      </c>
    </row>
    <row r="11" spans="1:32" x14ac:dyDescent="0.25">
      <c r="A11" t="s">
        <v>203</v>
      </c>
      <c r="B11" s="171"/>
      <c r="C11" s="171" t="str">
        <f>IFERROR(VLOOKUP(A11,'Kategorisering af kcal'!$A$2:$B$18,2,FALSE),"")</f>
        <v/>
      </c>
      <c r="D11" s="171">
        <f>IF(COUNTIFS('Resultater - Danmark'!$D$3:$D$504,'Produktion &amp; forbrug'!A11,'Resultater - Danmark'!$A$3:$A$504,"Til energi")+COUNTIFS('Resultater - Danmark'!$D$3:$D$504,'Produktion &amp; forbrug'!A11,'Resultater - Danmark'!$A$3:$A$504,"Biogasanlæg")&gt;0,1,0)</f>
        <v>0</v>
      </c>
      <c r="E11" s="171">
        <v>0</v>
      </c>
      <c r="F11" s="171">
        <f t="shared" si="2"/>
        <v>2019</v>
      </c>
      <c r="G11" s="94">
        <f>SUMIFS('Resultat-Produktion &amp; forbrug'!G$4:G$291,'Resultat-Produktion &amp; forbrug'!$A$4:$A$291,'Produktion &amp; forbrug'!$A11,'Resultat-Produktion &amp; forbrug'!$E$4:$E$291,'Produktion &amp; forbrug'!$F11)</f>
        <v>0</v>
      </c>
      <c r="H11" s="94">
        <f>SUMIFS('Resultat-Produktion &amp; forbrug'!H$4:H$291,'Resultat-Produktion &amp; forbrug'!$A$4:$A$291,'Produktion &amp; forbrug'!$A11,'Resultat-Produktion &amp; forbrug'!$E$4:$E$291,'Produktion &amp; forbrug'!$F11)</f>
        <v>0</v>
      </c>
      <c r="I11" s="94">
        <f>SUMIFS('Resultat-Produktion &amp; forbrug'!I$4:I$291,'Resultat-Produktion &amp; forbrug'!$A$4:$A$291,'Produktion &amp; forbrug'!$A11,'Resultat-Produktion &amp; forbrug'!$E$4:$E$291,'Produktion &amp; forbrug'!$F11)</f>
        <v>0</v>
      </c>
      <c r="J11" s="94">
        <f>SUMIFS('Resultat-Produktion &amp; forbrug'!J$4:J$291,'Resultat-Produktion &amp; forbrug'!$A$4:$A$291,'Produktion &amp; forbrug'!$A11,'Resultat-Produktion &amp; forbrug'!$E$4:$E$291,'Produktion &amp; forbrug'!$F11)</f>
        <v>0</v>
      </c>
      <c r="K11" s="94">
        <f>SUMIFS('Resultat-Produktion &amp; forbrug'!K$4:K$291,'Resultat-Produktion &amp; forbrug'!$A$4:$A$291,'Produktion &amp; forbrug'!$A11,'Resultat-Produktion &amp; forbrug'!$E$4:$E$291,'Produktion &amp; forbrug'!$F11)</f>
        <v>0</v>
      </c>
      <c r="L11" s="94">
        <f>SUMIFS('Resultat-Produktion &amp; forbrug'!L$4:L$291,'Resultat-Produktion &amp; forbrug'!$A$4:$A$291,'Produktion &amp; forbrug'!$A11,'Resultat-Produktion &amp; forbrug'!$E$4:$E$291,'Produktion &amp; forbrug'!$F11)</f>
        <v>0</v>
      </c>
      <c r="M11" s="94">
        <f>SUMIFS('Resultat-Produktion &amp; forbrug'!M$4:M$291,'Resultat-Produktion &amp; forbrug'!$A$4:$A$291,'Produktion &amp; forbrug'!$A11,'Resultat-Produktion &amp; forbrug'!$E$4:$E$291,'Produktion &amp; forbrug'!$F11)</f>
        <v>0</v>
      </c>
      <c r="N11" s="94">
        <f>SUMIFS('Resultat-Produktion &amp; forbrug'!N$4:N$291,'Resultat-Produktion &amp; forbrug'!$A$4:$A$291,'Produktion &amp; forbrug'!$A11,'Resultat-Produktion &amp; forbrug'!$E$4:$E$291,'Produktion &amp; forbrug'!$F11)</f>
        <v>0</v>
      </c>
      <c r="O11" s="179">
        <f t="shared" si="3"/>
        <v>0</v>
      </c>
      <c r="P11" s="94">
        <f t="shared" si="4"/>
        <v>0</v>
      </c>
      <c r="Q11" s="180">
        <f t="shared" si="5"/>
        <v>0</v>
      </c>
      <c r="R11">
        <f>IFERROR(VLOOKUP(A11,[1]Energiindhold!$A$2:$C$11,3,FALSE),IFERROR(VLOOKUP(A11,[1]Biogasudbytte!$A$2:$B$18,2,FALSE)*[1]Energiindhold!$C$10,0))*P11</f>
        <v>0</v>
      </c>
      <c r="S11">
        <f>IF(A11&lt;&gt;"Biogas",IFERROR(VLOOKUP(A11,[1]Biogasudbytte!$A$2:$B$18,2,FALSE)*[1]Energiindhold!$C$10,0)*K11*IFERROR(VLOOKUP(A11,Biogasanlæg!$F$3:$G$8,2,FALSE),1)+IFERROR(VLOOKUP(A11,[1]Energiindhold!$A$2:$C$11,3,FALSE),0)*M11+IF(F11&lt;&gt;År1,R11,0),0)</f>
        <v>0</v>
      </c>
      <c r="T11">
        <f>IFERROR(VLOOKUP(A11,[1]Biogasudbytte!$A$2:$B$18,2,FALSE)*[1]Energiindhold!$C$10,0)*K11*IFERROR(VLOOKUP(A11,Biogasanlæg!$F$3:$G$8,2,FALSE),1)</f>
        <v>0</v>
      </c>
      <c r="U11" s="170">
        <f t="shared" si="6"/>
        <v>0</v>
      </c>
      <c r="V11" s="169">
        <f>P11*IFERROR(VLOOKUP(A11,[1]Tørstofindhold!A$2:B$24,2,FALSE),0)</f>
        <v>0</v>
      </c>
      <c r="W11">
        <f>IF(F11=År1,Q11,SUM(P11,Q11))*IFERROR(VLOOKUP(A11,[1]Tørstofindhold!A$2:B$24,2,FALSE),0)</f>
        <v>0</v>
      </c>
      <c r="X11">
        <f>K11*IFERROR(VLOOKUP(A11,[1]Tørstofindhold!A$2:B$24,2,FALSE),0)</f>
        <v>0</v>
      </c>
      <c r="Y11" s="170">
        <f t="shared" si="7"/>
        <v>0</v>
      </c>
      <c r="Z11">
        <f t="shared" si="0"/>
        <v>0</v>
      </c>
      <c r="AA11">
        <f t="shared" si="1"/>
        <v>0</v>
      </c>
      <c r="AC11" s="94">
        <f t="shared" si="8"/>
        <v>0</v>
      </c>
      <c r="AD11">
        <f>AC11*E11*10000*VLOOKUP(A11,[1]kcal!$A$2:$C$49,3,FALSE)/1000000000000*IFERROR(VLOOKUP(A11,'Kategorisering af kcal'!$A$2:$E$18,MATCH('Produktion &amp; forbrug'!F11,'Kategorisering af kcal'!$A$1:$E$1,0),FALSE),0)</f>
        <v>0</v>
      </c>
      <c r="AE11">
        <f>IF(C11&lt;&gt;"",AC11*(1-VLOOKUP(A11,'Kategorisering af kcal'!$A$2:$E$18,MATCH('Produktion &amp; forbrug'!F11,'Kategorisering af kcal'!$A$1:$E$1,0),FALSE)),'Produktion &amp; forbrug'!AC11)</f>
        <v>0</v>
      </c>
      <c r="AF11" s="94">
        <f t="shared" si="9"/>
        <v>0</v>
      </c>
    </row>
    <row r="12" spans="1:32" x14ac:dyDescent="0.25">
      <c r="A12" t="s">
        <v>137</v>
      </c>
      <c r="B12" s="171" t="s">
        <v>221</v>
      </c>
      <c r="C12" s="171" t="str">
        <f>IFERROR(VLOOKUP(A12,'Kategorisering af kcal'!$A$2:$B$18,2,FALSE),"")</f>
        <v/>
      </c>
      <c r="D12" s="171">
        <f>IF(COUNTIFS('Resultater - Danmark'!$D$3:$D$504,'Produktion &amp; forbrug'!A12,'Resultater - Danmark'!$A$3:$A$504,"Til energi")+COUNTIFS('Resultater - Danmark'!$D$3:$D$504,'Produktion &amp; forbrug'!A12,'Resultater - Danmark'!$A$3:$A$504,"Biogasanlæg")&gt;0,1,0)</f>
        <v>1</v>
      </c>
      <c r="E12" s="171">
        <v>0</v>
      </c>
      <c r="F12" s="171">
        <f t="shared" si="2"/>
        <v>2019</v>
      </c>
      <c r="G12" s="94">
        <f>SUMIFS('Resultat-Produktion &amp; forbrug'!G$4:G$291,'Resultat-Produktion &amp; forbrug'!$A$4:$A$291,'Produktion &amp; forbrug'!$A12,'Resultat-Produktion &amp; forbrug'!$E$4:$E$291,'Produktion &amp; forbrug'!$F12)</f>
        <v>8883</v>
      </c>
      <c r="H12" s="94">
        <f>SUMIFS('Resultat-Produktion &amp; forbrug'!H$4:H$291,'Resultat-Produktion &amp; forbrug'!$A$4:$A$291,'Produktion &amp; forbrug'!$A12,'Resultat-Produktion &amp; forbrug'!$E$4:$E$291,'Produktion &amp; forbrug'!$F12)</f>
        <v>0</v>
      </c>
      <c r="I12" s="94">
        <f>SUMIFS('Resultat-Produktion &amp; forbrug'!I$4:I$291,'Resultat-Produktion &amp; forbrug'!$A$4:$A$291,'Produktion &amp; forbrug'!$A12,'Resultat-Produktion &amp; forbrug'!$E$4:$E$291,'Produktion &amp; forbrug'!$F12)</f>
        <v>0</v>
      </c>
      <c r="J12" s="94">
        <f>SUMIFS('Resultat-Produktion &amp; forbrug'!J$4:J$291,'Resultat-Produktion &amp; forbrug'!$A$4:$A$291,'Produktion &amp; forbrug'!$A12,'Resultat-Produktion &amp; forbrug'!$E$4:$E$291,'Produktion &amp; forbrug'!$F12)</f>
        <v>0</v>
      </c>
      <c r="K12" s="94">
        <f>SUMIFS('Resultat-Produktion &amp; forbrug'!K$4:K$291,'Resultat-Produktion &amp; forbrug'!$A$4:$A$291,'Produktion &amp; forbrug'!$A12,'Resultat-Produktion &amp; forbrug'!$E$4:$E$291,'Produktion &amp; forbrug'!$F12)</f>
        <v>4441.5</v>
      </c>
      <c r="L12" s="94">
        <f>SUMIFS('Resultat-Produktion &amp; forbrug'!L$4:L$291,'Resultat-Produktion &amp; forbrug'!$A$4:$A$291,'Produktion &amp; forbrug'!$A12,'Resultat-Produktion &amp; forbrug'!$E$4:$E$291,'Produktion &amp; forbrug'!$F12)</f>
        <v>4441.5</v>
      </c>
      <c r="M12" s="94">
        <f>SUMIFS('Resultat-Produktion &amp; forbrug'!M$4:M$291,'Resultat-Produktion &amp; forbrug'!$A$4:$A$291,'Produktion &amp; forbrug'!$A12,'Resultat-Produktion &amp; forbrug'!$E$4:$E$291,'Produktion &amp; forbrug'!$F12)</f>
        <v>0</v>
      </c>
      <c r="N12" s="94">
        <f>SUMIFS('Resultat-Produktion &amp; forbrug'!N$4:N$291,'Resultat-Produktion &amp; forbrug'!$A$4:$A$291,'Produktion &amp; forbrug'!$A12,'Resultat-Produktion &amp; forbrug'!$E$4:$E$291,'Produktion &amp; forbrug'!$F12)</f>
        <v>0</v>
      </c>
      <c r="O12" s="179">
        <f t="shared" si="3"/>
        <v>0</v>
      </c>
      <c r="P12" s="94">
        <f t="shared" si="4"/>
        <v>0</v>
      </c>
      <c r="Q12" s="180">
        <f t="shared" si="5"/>
        <v>4441.5</v>
      </c>
      <c r="R12">
        <f>IFERROR(VLOOKUP(A12,[1]Energiindhold!$A$2:$C$11,3,FALSE),IFERROR(VLOOKUP(A12,[1]Biogasudbytte!$A$2:$B$18,2,FALSE)*[1]Energiindhold!$C$10,0))*P12</f>
        <v>0</v>
      </c>
      <c r="S12">
        <f>IF(A12&lt;&gt;"Biogas",IFERROR(VLOOKUP(A12,[1]Biogasudbytte!$A$2:$B$18,2,FALSE)*[1]Energiindhold!$C$10,0)*K12*IFERROR(VLOOKUP(A12,Biogasanlæg!$F$3:$G$8,2,FALSE),1)+IFERROR(VLOOKUP(A12,[1]Energiindhold!$A$2:$C$11,3,FALSE),0)*M12+IF(F12&lt;&gt;År1,R12,0),0)</f>
        <v>2.0887930350000001E-3</v>
      </c>
      <c r="T12">
        <f>IFERROR(VLOOKUP(A12,[1]Biogasudbytte!$A$2:$B$18,2,FALSE)*[1]Energiindhold!$C$10,0)*K12*IFERROR(VLOOKUP(A12,Biogasanlæg!$F$3:$G$8,2,FALSE),1)</f>
        <v>2.0887930350000001E-3</v>
      </c>
      <c r="U12" s="170">
        <f t="shared" si="6"/>
        <v>0</v>
      </c>
      <c r="V12" s="169">
        <f>P12*IFERROR(VLOOKUP(A12,[1]Tørstofindhold!A$2:B$24,2,FALSE),0)</f>
        <v>0</v>
      </c>
      <c r="W12">
        <f>IF(F12=År1,Q12,SUM(P12,Q12))*IFERROR(VLOOKUP(A12,[1]Tørstofindhold!A$2:B$24,2,FALSE),0)</f>
        <v>279.81450000000001</v>
      </c>
      <c r="X12">
        <f>K12*IFERROR(VLOOKUP(A12,[1]Tørstofindhold!A$2:B$24,2,FALSE),0)</f>
        <v>279.81450000000001</v>
      </c>
      <c r="Y12" s="170">
        <f t="shared" si="7"/>
        <v>0</v>
      </c>
      <c r="Z12">
        <f t="shared" si="0"/>
        <v>0</v>
      </c>
      <c r="AA12">
        <f t="shared" si="1"/>
        <v>0</v>
      </c>
      <c r="AC12" s="94">
        <f t="shared" si="8"/>
        <v>0</v>
      </c>
      <c r="AD12">
        <f>AC12*E12*10000*VLOOKUP(A12,[1]kcal!$A$2:$C$49,3,FALSE)/1000000000000*IFERROR(VLOOKUP(A12,'Kategorisering af kcal'!$A$2:$E$18,MATCH('Produktion &amp; forbrug'!F12,'Kategorisering af kcal'!$A$1:$E$1,0),FALSE),0)</f>
        <v>0</v>
      </c>
      <c r="AE12">
        <f>IF(C12&lt;&gt;"",AC12*(1-VLOOKUP(A12,'Kategorisering af kcal'!$A$2:$E$18,MATCH('Produktion &amp; forbrug'!F12,'Kategorisering af kcal'!$A$1:$E$1,0),FALSE)),'Produktion &amp; forbrug'!AC12)</f>
        <v>0</v>
      </c>
      <c r="AF12" s="94">
        <f t="shared" si="9"/>
        <v>0</v>
      </c>
    </row>
    <row r="13" spans="1:32" x14ac:dyDescent="0.25">
      <c r="A13" t="s">
        <v>96</v>
      </c>
      <c r="B13" s="171"/>
      <c r="C13" s="171" t="str">
        <f>IFERROR(VLOOKUP(A13,'Kategorisering af kcal'!$A$2:$B$18,2,FALSE),"")</f>
        <v>Kød</v>
      </c>
      <c r="D13" s="171">
        <f>IF(COUNTIFS('Resultater - Danmark'!$D$3:$D$504,'Produktion &amp; forbrug'!A13,'Resultater - Danmark'!$A$3:$A$504,"Til energi")+COUNTIFS('Resultater - Danmark'!$D$3:$D$504,'Produktion &amp; forbrug'!A13,'Resultater - Danmark'!$A$3:$A$504,"Biogasanlæg")&gt;0,1,0)</f>
        <v>0</v>
      </c>
      <c r="E13" s="171">
        <v>1</v>
      </c>
      <c r="F13" s="171">
        <f t="shared" si="2"/>
        <v>2019</v>
      </c>
      <c r="G13" s="94">
        <f>SUMIFS('Resultat-Produktion &amp; forbrug'!G$4:G$291,'Resultat-Produktion &amp; forbrug'!$A$4:$A$291,'Produktion &amp; forbrug'!$A13,'Resultat-Produktion &amp; forbrug'!$E$4:$E$291,'Produktion &amp; forbrug'!$F13)</f>
        <v>201545.30567673693</v>
      </c>
      <c r="H13" s="94">
        <f>SUMIFS('Resultat-Produktion &amp; forbrug'!H$4:H$291,'Resultat-Produktion &amp; forbrug'!$A$4:$A$291,'Produktion &amp; forbrug'!$A13,'Resultat-Produktion &amp; forbrug'!$E$4:$E$291,'Produktion &amp; forbrug'!$F13)</f>
        <v>0</v>
      </c>
      <c r="I13" s="94">
        <f>SUMIFS('Resultat-Produktion &amp; forbrug'!I$4:I$291,'Resultat-Produktion &amp; forbrug'!$A$4:$A$291,'Produktion &amp; forbrug'!$A13,'Resultat-Produktion &amp; forbrug'!$E$4:$E$291,'Produktion &amp; forbrug'!$F13)</f>
        <v>0</v>
      </c>
      <c r="J13" s="94">
        <f>SUMIFS('Resultat-Produktion &amp; forbrug'!J$4:J$291,'Resultat-Produktion &amp; forbrug'!$A$4:$A$291,'Produktion &amp; forbrug'!$A13,'Resultat-Produktion &amp; forbrug'!$E$4:$E$291,'Produktion &amp; forbrug'!$F13)</f>
        <v>34149.438191562753</v>
      </c>
      <c r="K13" s="94">
        <f>SUMIFS('Resultat-Produktion &amp; forbrug'!K$4:K$291,'Resultat-Produktion &amp; forbrug'!$A$4:$A$291,'Produktion &amp; forbrug'!$A13,'Resultat-Produktion &amp; forbrug'!$E$4:$E$291,'Produktion &amp; forbrug'!$F13)</f>
        <v>0</v>
      </c>
      <c r="L13" s="94">
        <f>SUMIFS('Resultat-Produktion &amp; forbrug'!L$4:L$291,'Resultat-Produktion &amp; forbrug'!$A$4:$A$291,'Produktion &amp; forbrug'!$A13,'Resultat-Produktion &amp; forbrug'!$E$4:$E$291,'Produktion &amp; forbrug'!$F13)</f>
        <v>0</v>
      </c>
      <c r="M13" s="94">
        <f>SUMIFS('Resultat-Produktion &amp; forbrug'!M$4:M$291,'Resultat-Produktion &amp; forbrug'!$A$4:$A$291,'Produktion &amp; forbrug'!$A13,'Resultat-Produktion &amp; forbrug'!$E$4:$E$291,'Produktion &amp; forbrug'!$F13)</f>
        <v>0</v>
      </c>
      <c r="N13" s="94">
        <f>SUMIFS('Resultat-Produktion &amp; forbrug'!N$4:N$291,'Resultat-Produktion &amp; forbrug'!$A$4:$A$291,'Produktion &amp; forbrug'!$A13,'Resultat-Produktion &amp; forbrug'!$E$4:$E$291,'Produktion &amp; forbrug'!$F13)</f>
        <v>0</v>
      </c>
      <c r="O13" s="179">
        <f t="shared" si="3"/>
        <v>167395.86748517418</v>
      </c>
      <c r="P13" s="94">
        <f t="shared" si="4"/>
        <v>0</v>
      </c>
      <c r="Q13" s="180">
        <f t="shared" si="5"/>
        <v>0</v>
      </c>
      <c r="R13">
        <f>IFERROR(VLOOKUP(A13,[1]Energiindhold!$A$2:$C$11,3,FALSE),IFERROR(VLOOKUP(A13,[1]Biogasudbytte!$A$2:$B$18,2,FALSE)*[1]Energiindhold!$C$10,0))*P13</f>
        <v>0</v>
      </c>
      <c r="S13">
        <f>IF(A13&lt;&gt;"Biogas",IFERROR(VLOOKUP(A13,[1]Biogasudbytte!$A$2:$B$18,2,FALSE)*[1]Energiindhold!$C$10,0)*K13*IFERROR(VLOOKUP(A13,Biogasanlæg!$F$3:$G$8,2,FALSE),1)+IFERROR(VLOOKUP(A13,[1]Energiindhold!$A$2:$C$11,3,FALSE),0)*M13+IF(F13&lt;&gt;År1,R13,0),0)</f>
        <v>0</v>
      </c>
      <c r="T13">
        <f>IFERROR(VLOOKUP(A13,[1]Biogasudbytte!$A$2:$B$18,2,FALSE)*[1]Energiindhold!$C$10,0)*K13*IFERROR(VLOOKUP(A13,Biogasanlæg!$F$3:$G$8,2,FALSE),1)</f>
        <v>0</v>
      </c>
      <c r="U13" s="170">
        <f t="shared" si="6"/>
        <v>0</v>
      </c>
      <c r="V13" s="169">
        <f>P13*IFERROR(VLOOKUP(A13,[1]Tørstofindhold!A$2:B$24,2,FALSE),0)</f>
        <v>0</v>
      </c>
      <c r="W13">
        <f>IF(F13=År1,Q13,SUM(P13,Q13))*IFERROR(VLOOKUP(A13,[1]Tørstofindhold!A$2:B$24,2,FALSE),0)</f>
        <v>0</v>
      </c>
      <c r="X13">
        <f>K13*IFERROR(VLOOKUP(A13,[1]Tørstofindhold!A$2:B$24,2,FALSE),0)</f>
        <v>0</v>
      </c>
      <c r="Y13" s="170">
        <f t="shared" si="7"/>
        <v>0</v>
      </c>
      <c r="Z13">
        <f t="shared" si="0"/>
        <v>0</v>
      </c>
      <c r="AA13">
        <f t="shared" si="1"/>
        <v>1</v>
      </c>
      <c r="AC13" s="94">
        <f t="shared" si="8"/>
        <v>201545.30567673693</v>
      </c>
      <c r="AD13">
        <f>AC13*E13*10000*VLOOKUP(A13,[1]kcal!$A$2:$C$49,3,FALSE)/1000000000000*IFERROR(VLOOKUP(A13,'Kategorisering af kcal'!$A$2:$E$18,MATCH('Produktion &amp; forbrug'!F13,'Kategorisering af kcal'!$A$1:$E$1,0),FALSE),0)</f>
        <v>0.30634886462864014</v>
      </c>
      <c r="AE13">
        <f>IF(C13&lt;&gt;"",AC13*(1-VLOOKUP(A13,'Kategorisering af kcal'!$A$2:$E$18,MATCH('Produktion &amp; forbrug'!F13,'Kategorisering af kcal'!$A$1:$E$1,0),FALSE)),'Produktion &amp; forbrug'!AC13)</f>
        <v>0</v>
      </c>
      <c r="AF13" s="94">
        <f t="shared" si="9"/>
        <v>201545.30567673693</v>
      </c>
    </row>
    <row r="14" spans="1:32" x14ac:dyDescent="0.25">
      <c r="A14" t="s">
        <v>113</v>
      </c>
      <c r="B14" s="171"/>
      <c r="C14" s="171" t="str">
        <f>IFERROR(VLOOKUP(A14,'Kategorisering af kcal'!$A$2:$B$18,2,FALSE),"")</f>
        <v/>
      </c>
      <c r="D14" s="171">
        <f>IF(COUNTIFS('Resultater - Danmark'!$D$3:$D$504,'Produktion &amp; forbrug'!A14,'Resultater - Danmark'!$A$3:$A$504,"Til energi")+COUNTIFS('Resultater - Danmark'!$D$3:$D$504,'Produktion &amp; forbrug'!A14,'Resultater - Danmark'!$A$3:$A$504,"Biogasanlæg")&gt;0,1,0)</f>
        <v>0</v>
      </c>
      <c r="E14" s="171">
        <v>0</v>
      </c>
      <c r="F14" s="171">
        <f t="shared" si="2"/>
        <v>2019</v>
      </c>
      <c r="G14" s="94">
        <f>SUMIFS('Resultat-Produktion &amp; forbrug'!G$4:G$291,'Resultat-Produktion &amp; forbrug'!$A$4:$A$291,'Produktion &amp; forbrug'!$A14,'Resultat-Produktion &amp; forbrug'!$E$4:$E$291,'Produktion &amp; forbrug'!$F14)</f>
        <v>1508282.669250763</v>
      </c>
      <c r="H14" s="94">
        <f>SUMIFS('Resultat-Produktion &amp; forbrug'!H$4:H$291,'Resultat-Produktion &amp; forbrug'!$A$4:$A$291,'Produktion &amp; forbrug'!$A14,'Resultat-Produktion &amp; forbrug'!$E$4:$E$291,'Produktion &amp; forbrug'!$F14)</f>
        <v>0</v>
      </c>
      <c r="I14" s="94">
        <f>SUMIFS('Resultat-Produktion &amp; forbrug'!I$4:I$291,'Resultat-Produktion &amp; forbrug'!$A$4:$A$291,'Produktion &amp; forbrug'!$A14,'Resultat-Produktion &amp; forbrug'!$E$4:$E$291,'Produktion &amp; forbrug'!$F14)</f>
        <v>0</v>
      </c>
      <c r="J14" s="94">
        <f>SUMIFS('Resultat-Produktion &amp; forbrug'!J$4:J$291,'Resultat-Produktion &amp; forbrug'!$A$4:$A$291,'Produktion &amp; forbrug'!$A14,'Resultat-Produktion &amp; forbrug'!$E$4:$E$291,'Produktion &amp; forbrug'!$F14)</f>
        <v>0</v>
      </c>
      <c r="K14" s="94">
        <f>SUMIFS('Resultat-Produktion &amp; forbrug'!K$4:K$291,'Resultat-Produktion &amp; forbrug'!$A$4:$A$291,'Produktion &amp; forbrug'!$A14,'Resultat-Produktion &amp; forbrug'!$E$4:$E$291,'Produktion &amp; forbrug'!$F14)</f>
        <v>0</v>
      </c>
      <c r="L14" s="94">
        <f>SUMIFS('Resultat-Produktion &amp; forbrug'!L$4:L$291,'Resultat-Produktion &amp; forbrug'!$A$4:$A$291,'Produktion &amp; forbrug'!$A14,'Resultat-Produktion &amp; forbrug'!$E$4:$E$291,'Produktion &amp; forbrug'!$F14)</f>
        <v>0</v>
      </c>
      <c r="M14" s="94">
        <f>SUMIFS('Resultat-Produktion &amp; forbrug'!M$4:M$291,'Resultat-Produktion &amp; forbrug'!$A$4:$A$291,'Produktion &amp; forbrug'!$A14,'Resultat-Produktion &amp; forbrug'!$E$4:$E$291,'Produktion &amp; forbrug'!$F14)</f>
        <v>0</v>
      </c>
      <c r="N14" s="94">
        <f>SUMIFS('Resultat-Produktion &amp; forbrug'!N$4:N$291,'Resultat-Produktion &amp; forbrug'!$A$4:$A$291,'Produktion &amp; forbrug'!$A14,'Resultat-Produktion &amp; forbrug'!$E$4:$E$291,'Produktion &amp; forbrug'!$F14)</f>
        <v>0</v>
      </c>
      <c r="O14" s="179">
        <f t="shared" si="3"/>
        <v>1508282.669250763</v>
      </c>
      <c r="P14" s="94">
        <f t="shared" si="4"/>
        <v>0</v>
      </c>
      <c r="Q14" s="180">
        <f t="shared" si="5"/>
        <v>0</v>
      </c>
      <c r="R14">
        <f>IFERROR(VLOOKUP(A14,[1]Energiindhold!$A$2:$C$11,3,FALSE),IFERROR(VLOOKUP(A14,[1]Biogasudbytte!$A$2:$B$18,2,FALSE)*[1]Energiindhold!$C$10,0))*P14</f>
        <v>0</v>
      </c>
      <c r="S14">
        <f>IF(A14&lt;&gt;"Biogas",IFERROR(VLOOKUP(A14,[1]Biogasudbytte!$A$2:$B$18,2,FALSE)*[1]Energiindhold!$C$10,0)*K14*IFERROR(VLOOKUP(A14,Biogasanlæg!$F$3:$G$8,2,FALSE),1)+IFERROR(VLOOKUP(A14,[1]Energiindhold!$A$2:$C$11,3,FALSE),0)*M14+IF(F14&lt;&gt;År1,R14,0),0)</f>
        <v>0</v>
      </c>
      <c r="T14">
        <f>IFERROR(VLOOKUP(A14,[1]Biogasudbytte!$A$2:$B$18,2,FALSE)*[1]Energiindhold!$C$10,0)*K14*IFERROR(VLOOKUP(A14,Biogasanlæg!$F$3:$G$8,2,FALSE),1)</f>
        <v>0</v>
      </c>
      <c r="U14" s="170">
        <f t="shared" si="6"/>
        <v>0</v>
      </c>
      <c r="V14" s="169">
        <f>P14*IFERROR(VLOOKUP(A14,[1]Tørstofindhold!A$2:B$24,2,FALSE),0)</f>
        <v>0</v>
      </c>
      <c r="W14">
        <f>IF(F14=År1,Q14,SUM(P14,Q14))*IFERROR(VLOOKUP(A14,[1]Tørstofindhold!A$2:B$24,2,FALSE),0)</f>
        <v>0</v>
      </c>
      <c r="X14">
        <f>K14*IFERROR(VLOOKUP(A14,[1]Tørstofindhold!A$2:B$24,2,FALSE),0)</f>
        <v>0</v>
      </c>
      <c r="Y14" s="170">
        <f t="shared" si="7"/>
        <v>0</v>
      </c>
      <c r="Z14">
        <f t="shared" si="0"/>
        <v>0</v>
      </c>
      <c r="AA14">
        <f t="shared" si="1"/>
        <v>1</v>
      </c>
      <c r="AC14" s="94">
        <f t="shared" si="8"/>
        <v>1508282.669250763</v>
      </c>
      <c r="AD14">
        <f>AC14*E14*10000*VLOOKUP(A14,[1]kcal!$A$2:$C$49,3,FALSE)/1000000000000*IFERROR(VLOOKUP(A14,'Kategorisering af kcal'!$A$2:$E$18,MATCH('Produktion &amp; forbrug'!F14,'Kategorisering af kcal'!$A$1:$E$1,0),FALSE),0)</f>
        <v>0</v>
      </c>
      <c r="AE14">
        <f>IF(C14&lt;&gt;"",AC14*(1-VLOOKUP(A14,'Kategorisering af kcal'!$A$2:$E$18,MATCH('Produktion &amp; forbrug'!F14,'Kategorisering af kcal'!$A$1:$E$1,0),FALSE)),'Produktion &amp; forbrug'!AC14)</f>
        <v>1508282.669250763</v>
      </c>
      <c r="AF14" s="94">
        <f t="shared" si="9"/>
        <v>0</v>
      </c>
    </row>
    <row r="15" spans="1:32" x14ac:dyDescent="0.25">
      <c r="A15" t="s">
        <v>54</v>
      </c>
      <c r="B15" s="171"/>
      <c r="C15" s="171" t="str">
        <f>IFERROR(VLOOKUP(A15,'Kategorisering af kcal'!$A$2:$B$18,2,FALSE),"")</f>
        <v>Frugt</v>
      </c>
      <c r="D15" s="171">
        <f>IF(COUNTIFS('Resultater - Danmark'!$D$3:$D$504,'Produktion &amp; forbrug'!A15,'Resultater - Danmark'!$A$3:$A$504,"Til energi")+COUNTIFS('Resultater - Danmark'!$D$3:$D$504,'Produktion &amp; forbrug'!A15,'Resultater - Danmark'!$A$3:$A$504,"Biogasanlæg")&gt;0,1,0)</f>
        <v>0</v>
      </c>
      <c r="E15" s="171">
        <v>1</v>
      </c>
      <c r="F15" s="171">
        <f t="shared" si="2"/>
        <v>2019</v>
      </c>
      <c r="G15" s="94">
        <f>SUMIFS('Resultat-Produktion &amp; forbrug'!G$4:G$291,'Resultat-Produktion &amp; forbrug'!$A$4:$A$291,'Produktion &amp; forbrug'!$A15,'Resultat-Produktion &amp; forbrug'!$E$4:$E$291,'Produktion &amp; forbrug'!$F15)</f>
        <v>41728.949017214291</v>
      </c>
      <c r="H15" s="94">
        <f>SUMIFS('Resultat-Produktion &amp; forbrug'!H$4:H$291,'Resultat-Produktion &amp; forbrug'!$A$4:$A$291,'Produktion &amp; forbrug'!$A15,'Resultat-Produktion &amp; forbrug'!$E$4:$E$291,'Produktion &amp; forbrug'!$F15)</f>
        <v>0</v>
      </c>
      <c r="I15" s="94">
        <f>SUMIFS('Resultat-Produktion &amp; forbrug'!I$4:I$291,'Resultat-Produktion &amp; forbrug'!$A$4:$A$291,'Produktion &amp; forbrug'!$A15,'Resultat-Produktion &amp; forbrug'!$E$4:$E$291,'Produktion &amp; forbrug'!$F15)</f>
        <v>0</v>
      </c>
      <c r="J15" s="94">
        <f>SUMIFS('Resultat-Produktion &amp; forbrug'!J$4:J$291,'Resultat-Produktion &amp; forbrug'!$A$4:$A$291,'Produktion &amp; forbrug'!$A15,'Resultat-Produktion &amp; forbrug'!$E$4:$E$291,'Produktion &amp; forbrug'!$F15)</f>
        <v>249553.58678449702</v>
      </c>
      <c r="K15" s="94">
        <f>SUMIFS('Resultat-Produktion &amp; forbrug'!K$4:K$291,'Resultat-Produktion &amp; forbrug'!$A$4:$A$291,'Produktion &amp; forbrug'!$A15,'Resultat-Produktion &amp; forbrug'!$E$4:$E$291,'Produktion &amp; forbrug'!$F15)</f>
        <v>0</v>
      </c>
      <c r="L15" s="94">
        <f>SUMIFS('Resultat-Produktion &amp; forbrug'!L$4:L$291,'Resultat-Produktion &amp; forbrug'!$A$4:$A$291,'Produktion &amp; forbrug'!$A15,'Resultat-Produktion &amp; forbrug'!$E$4:$E$291,'Produktion &amp; forbrug'!$F15)</f>
        <v>0</v>
      </c>
      <c r="M15" s="94">
        <f>SUMIFS('Resultat-Produktion &amp; forbrug'!M$4:M$291,'Resultat-Produktion &amp; forbrug'!$A$4:$A$291,'Produktion &amp; forbrug'!$A15,'Resultat-Produktion &amp; forbrug'!$E$4:$E$291,'Produktion &amp; forbrug'!$F15)</f>
        <v>0</v>
      </c>
      <c r="N15" s="94">
        <f>SUMIFS('Resultat-Produktion &amp; forbrug'!N$4:N$291,'Resultat-Produktion &amp; forbrug'!$A$4:$A$291,'Produktion &amp; forbrug'!$A15,'Resultat-Produktion &amp; forbrug'!$E$4:$E$291,'Produktion &amp; forbrug'!$F15)</f>
        <v>0</v>
      </c>
      <c r="O15" s="179">
        <f t="shared" si="3"/>
        <v>-207824.63776728272</v>
      </c>
      <c r="P15" s="94">
        <f t="shared" si="4"/>
        <v>0</v>
      </c>
      <c r="Q15" s="180">
        <f t="shared" si="5"/>
        <v>0</v>
      </c>
      <c r="R15">
        <f>IFERROR(VLOOKUP(A15,[1]Energiindhold!$A$2:$C$11,3,FALSE),IFERROR(VLOOKUP(A15,[1]Biogasudbytte!$A$2:$B$18,2,FALSE)*[1]Energiindhold!$C$10,0))*P15</f>
        <v>0</v>
      </c>
      <c r="S15">
        <f>IF(A15&lt;&gt;"Biogas",IFERROR(VLOOKUP(A15,[1]Biogasudbytte!$A$2:$B$18,2,FALSE)*[1]Energiindhold!$C$10,0)*K15*IFERROR(VLOOKUP(A15,Biogasanlæg!$F$3:$G$8,2,FALSE),1)+IFERROR(VLOOKUP(A15,[1]Energiindhold!$A$2:$C$11,3,FALSE),0)*M15+IF(F15&lt;&gt;År1,R15,0),0)</f>
        <v>0</v>
      </c>
      <c r="T15">
        <f>IFERROR(VLOOKUP(A15,[1]Biogasudbytte!$A$2:$B$18,2,FALSE)*[1]Energiindhold!$C$10,0)*K15*IFERROR(VLOOKUP(A15,Biogasanlæg!$F$3:$G$8,2,FALSE),1)</f>
        <v>0</v>
      </c>
      <c r="U15" s="170">
        <f t="shared" si="6"/>
        <v>0</v>
      </c>
      <c r="V15" s="169">
        <f>P15*IFERROR(VLOOKUP(A15,[1]Tørstofindhold!A$2:B$24,2,FALSE),0)</f>
        <v>0</v>
      </c>
      <c r="W15">
        <f>IF(F15=År1,Q15,SUM(P15,Q15))*IFERROR(VLOOKUP(A15,[1]Tørstofindhold!A$2:B$24,2,FALSE),0)</f>
        <v>0</v>
      </c>
      <c r="X15">
        <f>K15*IFERROR(VLOOKUP(A15,[1]Tørstofindhold!A$2:B$24,2,FALSE),0)</f>
        <v>0</v>
      </c>
      <c r="Y15" s="170">
        <f t="shared" si="7"/>
        <v>0</v>
      </c>
      <c r="Z15">
        <f t="shared" si="0"/>
        <v>1</v>
      </c>
      <c r="AA15">
        <f t="shared" si="1"/>
        <v>0</v>
      </c>
      <c r="AC15" s="94">
        <f t="shared" si="8"/>
        <v>41728.949017214291</v>
      </c>
      <c r="AD15">
        <f>AC15*E15*10000*VLOOKUP(A15,[1]kcal!$A$2:$C$49,3,FALSE)/1000000000000*IFERROR(VLOOKUP(A15,'Kategorisering af kcal'!$A$2:$E$18,MATCH('Produktion &amp; forbrug'!F15,'Kategorisering af kcal'!$A$1:$E$1,0),FALSE),0)</f>
        <v>2.1699053488951431E-2</v>
      </c>
      <c r="AE15">
        <f>IF(C15&lt;&gt;"",AC15*(1-VLOOKUP(A15,'Kategorisering af kcal'!$A$2:$E$18,MATCH('Produktion &amp; forbrug'!F15,'Kategorisering af kcal'!$A$1:$E$1,0),FALSE)),'Produktion &amp; forbrug'!AC15)</f>
        <v>0</v>
      </c>
      <c r="AF15" s="94">
        <f t="shared" si="9"/>
        <v>41728.949017214291</v>
      </c>
    </row>
    <row r="16" spans="1:32" x14ac:dyDescent="0.25">
      <c r="A16" s="171" t="s">
        <v>158</v>
      </c>
      <c r="B16" s="171" t="s">
        <v>158</v>
      </c>
      <c r="C16" s="171" t="str">
        <f>IFERROR(VLOOKUP(A16,'Kategorisering af kcal'!$A$2:$B$18,2,FALSE),"")</f>
        <v/>
      </c>
      <c r="D16" s="171">
        <f>IF(COUNTIFS('Resultater - Danmark'!$D$3:$D$504,'Produktion &amp; forbrug'!A16,'Resultater - Danmark'!$A$3:$A$504,"Til energi")+COUNTIFS('Resultater - Danmark'!$D$3:$D$504,'Produktion &amp; forbrug'!A16,'Resultater - Danmark'!$A$3:$A$504,"Biogasanlæg")&gt;0,1,0)</f>
        <v>1</v>
      </c>
      <c r="E16" s="171">
        <v>0</v>
      </c>
      <c r="F16" s="171">
        <f t="shared" si="2"/>
        <v>2019</v>
      </c>
      <c r="G16" s="94">
        <f>SUMIFS('Resultat-Produktion &amp; forbrug'!G$4:G$291,'Resultat-Produktion &amp; forbrug'!$A$4:$A$291,'Produktion &amp; forbrug'!$A16,'Resultat-Produktion &amp; forbrug'!$E$4:$E$291,'Produktion &amp; forbrug'!$F16)</f>
        <v>0</v>
      </c>
      <c r="H16" s="94">
        <f>SUMIFS('Resultat-Produktion &amp; forbrug'!H$4:H$291,'Resultat-Produktion &amp; forbrug'!$A$4:$A$291,'Produktion &amp; forbrug'!$A16,'Resultat-Produktion &amp; forbrug'!$E$4:$E$291,'Produktion &amp; forbrug'!$F16)</f>
        <v>0</v>
      </c>
      <c r="I16" s="94">
        <f>SUMIFS('Resultat-Produktion &amp; forbrug'!I$4:I$291,'Resultat-Produktion &amp; forbrug'!$A$4:$A$291,'Produktion &amp; forbrug'!$A16,'Resultat-Produktion &amp; forbrug'!$E$4:$E$291,'Produktion &amp; forbrug'!$F16)</f>
        <v>0</v>
      </c>
      <c r="J16" s="94">
        <f>SUMIFS('Resultat-Produktion &amp; forbrug'!J$4:J$291,'Resultat-Produktion &amp; forbrug'!$A$4:$A$291,'Produktion &amp; forbrug'!$A16,'Resultat-Produktion &amp; forbrug'!$E$4:$E$291,'Produktion &amp; forbrug'!$F16)</f>
        <v>0</v>
      </c>
      <c r="K16" s="94">
        <f>SUMIFS('Resultat-Produktion &amp; forbrug'!K$4:K$291,'Resultat-Produktion &amp; forbrug'!$A$4:$A$291,'Produktion &amp; forbrug'!$A16,'Resultat-Produktion &amp; forbrug'!$E$4:$E$291,'Produktion &amp; forbrug'!$F16)</f>
        <v>142742</v>
      </c>
      <c r="L16" s="94">
        <f>SUMIFS('Resultat-Produktion &amp; forbrug'!L$4:L$291,'Resultat-Produktion &amp; forbrug'!$A$4:$A$291,'Produktion &amp; forbrug'!$A16,'Resultat-Produktion &amp; forbrug'!$E$4:$E$291,'Produktion &amp; forbrug'!$F16)</f>
        <v>0</v>
      </c>
      <c r="M16" s="94">
        <f>SUMIFS('Resultat-Produktion &amp; forbrug'!M$4:M$291,'Resultat-Produktion &amp; forbrug'!$A$4:$A$291,'Produktion &amp; forbrug'!$A16,'Resultat-Produktion &amp; forbrug'!$E$4:$E$291,'Produktion &amp; forbrug'!$F16)</f>
        <v>0</v>
      </c>
      <c r="N16" s="94">
        <f>SUMIFS('Resultat-Produktion &amp; forbrug'!N$4:N$291,'Resultat-Produktion &amp; forbrug'!$A$4:$A$291,'Produktion &amp; forbrug'!$A16,'Resultat-Produktion &amp; forbrug'!$E$4:$E$291,'Produktion &amp; forbrug'!$F16)</f>
        <v>0</v>
      </c>
      <c r="O16" s="179">
        <f t="shared" si="3"/>
        <v>-142742</v>
      </c>
      <c r="P16" s="94">
        <f t="shared" si="4"/>
        <v>0</v>
      </c>
      <c r="Q16" s="180">
        <f t="shared" si="5"/>
        <v>142742</v>
      </c>
      <c r="R16">
        <f>IFERROR(VLOOKUP(A16,[1]Energiindhold!$A$2:$C$11,3,FALSE),IFERROR(VLOOKUP(A16,[1]Biogasudbytte!$A$2:$B$18,2,FALSE)*[1]Energiindhold!$C$10,0))*P16</f>
        <v>0</v>
      </c>
      <c r="S16">
        <f>IF(A16&lt;&gt;"Biogas",IFERROR(VLOOKUP(A16,[1]Biogasudbytte!$A$2:$B$18,2,FALSE)*[1]Energiindhold!$C$10,0)*K16*IFERROR(VLOOKUP(A16,Biogasanlæg!$F$3:$G$8,2,FALSE),1)+IFERROR(VLOOKUP(A16,[1]Energiindhold!$A$2:$C$11,3,FALSE),0)*M16+IF(F16&lt;&gt;År1,R16,0),0)</f>
        <v>2.1694819870080004</v>
      </c>
      <c r="T16">
        <f>IFERROR(VLOOKUP(A16,[1]Biogasudbytte!$A$2:$B$18,2,FALSE)*[1]Energiindhold!$C$10,0)*K16*IFERROR(VLOOKUP(A16,Biogasanlæg!$F$3:$G$8,2,FALSE),1)</f>
        <v>2.1694819870080004</v>
      </c>
      <c r="U16" s="170">
        <f t="shared" si="6"/>
        <v>0</v>
      </c>
      <c r="V16" s="169">
        <f>P16*IFERROR(VLOOKUP(A16,[1]Tørstofindhold!A$2:B$24,2,FALSE),0)</f>
        <v>0</v>
      </c>
      <c r="W16">
        <f>IF(F16=År1,Q16,SUM(P16,Q16))*IFERROR(VLOOKUP(A16,[1]Tørstofindhold!A$2:B$24,2,FALSE),0)</f>
        <v>128467.8</v>
      </c>
      <c r="X16">
        <f>K16*IFERROR(VLOOKUP(A16,[1]Tørstofindhold!A$2:B$24,2,FALSE),0)</f>
        <v>128467.8</v>
      </c>
      <c r="Y16" s="170">
        <f t="shared" si="7"/>
        <v>0</v>
      </c>
      <c r="Z16">
        <f t="shared" si="0"/>
        <v>1</v>
      </c>
      <c r="AA16">
        <f t="shared" si="1"/>
        <v>0</v>
      </c>
      <c r="AC16" s="94">
        <f t="shared" si="8"/>
        <v>-142742</v>
      </c>
      <c r="AD16">
        <f>AC16*E16*10000*VLOOKUP(A16,[1]kcal!$A$2:$C$49,3,FALSE)/1000000000000*IFERROR(VLOOKUP(A16,'Kategorisering af kcal'!$A$2:$E$18,MATCH('Produktion &amp; forbrug'!F16,'Kategorisering af kcal'!$A$1:$E$1,0),FALSE),0)</f>
        <v>0</v>
      </c>
      <c r="AE16">
        <f>IF(C16&lt;&gt;"",AC16*(1-VLOOKUP(A16,'Kategorisering af kcal'!$A$2:$E$18,MATCH('Produktion &amp; forbrug'!F16,'Kategorisering af kcal'!$A$1:$E$1,0),FALSE)),'Produktion &amp; forbrug'!AC16)</f>
        <v>-142742</v>
      </c>
      <c r="AF16" s="94">
        <f t="shared" si="9"/>
        <v>0</v>
      </c>
    </row>
    <row r="17" spans="1:32" x14ac:dyDescent="0.25">
      <c r="A17" s="171" t="s">
        <v>51</v>
      </c>
      <c r="B17" s="171" t="s">
        <v>223</v>
      </c>
      <c r="C17" s="171" t="str">
        <f>IFERROR(VLOOKUP(A17,'Kategorisering af kcal'!$A$2:$B$18,2,FALSE),"")</f>
        <v>Græs</v>
      </c>
      <c r="D17" s="171">
        <f>IF(COUNTIFS('Resultater - Danmark'!$D$3:$D$504,'Produktion &amp; forbrug'!A17,'Resultater - Danmark'!$A$3:$A$504,"Til energi")+COUNTIFS('Resultater - Danmark'!$D$3:$D$504,'Produktion &amp; forbrug'!A17,'Resultater - Danmark'!$A$3:$A$504,"Biogasanlæg")&gt;0,1,0)</f>
        <v>1</v>
      </c>
      <c r="E17" s="171">
        <v>1</v>
      </c>
      <c r="F17" s="171">
        <f t="shared" si="2"/>
        <v>2019</v>
      </c>
      <c r="G17" s="94">
        <f>SUMIFS('Resultat-Produktion &amp; forbrug'!G$4:G$291,'Resultat-Produktion &amp; forbrug'!$A$4:$A$291,'Produktion &amp; forbrug'!$A17,'Resultat-Produktion &amp; forbrug'!$E$4:$E$291,'Produktion &amp; forbrug'!$F17)</f>
        <v>17913006.538833313</v>
      </c>
      <c r="H17" s="94">
        <f>SUMIFS('Resultat-Produktion &amp; forbrug'!H$4:H$291,'Resultat-Produktion &amp; forbrug'!$A$4:$A$291,'Produktion &amp; forbrug'!$A17,'Resultat-Produktion &amp; forbrug'!$E$4:$E$291,'Produktion &amp; forbrug'!$F17)</f>
        <v>13739757.985270014</v>
      </c>
      <c r="I17" s="94">
        <f>SUMIFS('Resultat-Produktion &amp; forbrug'!I$4:I$291,'Resultat-Produktion &amp; forbrug'!$A$4:$A$291,'Produktion &amp; forbrug'!$A17,'Resultat-Produktion &amp; forbrug'!$E$4:$E$291,'Produktion &amp; forbrug'!$F17)</f>
        <v>0</v>
      </c>
      <c r="J17" s="94">
        <f>SUMIFS('Resultat-Produktion &amp; forbrug'!J$4:J$291,'Resultat-Produktion &amp; forbrug'!$A$4:$A$291,'Produktion &amp; forbrug'!$A17,'Resultat-Produktion &amp; forbrug'!$E$4:$E$291,'Produktion &amp; forbrug'!$F17)</f>
        <v>0</v>
      </c>
      <c r="K17" s="94">
        <f>SUMIFS('Resultat-Produktion &amp; forbrug'!K$4:K$291,'Resultat-Produktion &amp; forbrug'!$A$4:$A$291,'Produktion &amp; forbrug'!$A17,'Resultat-Produktion &amp; forbrug'!$E$4:$E$291,'Produktion &amp; forbrug'!$F17)</f>
        <v>85676.999999999956</v>
      </c>
      <c r="L17" s="94">
        <f>SUMIFS('Resultat-Produktion &amp; forbrug'!L$4:L$291,'Resultat-Produktion &amp; forbrug'!$A$4:$A$291,'Produktion &amp; forbrug'!$A17,'Resultat-Produktion &amp; forbrug'!$E$4:$E$291,'Produktion &amp; forbrug'!$F17)</f>
        <v>0</v>
      </c>
      <c r="M17" s="94">
        <f>SUMIFS('Resultat-Produktion &amp; forbrug'!M$4:M$291,'Resultat-Produktion &amp; forbrug'!$A$4:$A$291,'Produktion &amp; forbrug'!$A17,'Resultat-Produktion &amp; forbrug'!$E$4:$E$291,'Produktion &amp; forbrug'!$F17)</f>
        <v>0</v>
      </c>
      <c r="N17" s="94">
        <f>SUMIFS('Resultat-Produktion &amp; forbrug'!N$4:N$291,'Resultat-Produktion &amp; forbrug'!$A$4:$A$291,'Produktion &amp; forbrug'!$A17,'Resultat-Produktion &amp; forbrug'!$E$4:$E$291,'Produktion &amp; forbrug'!$F17)</f>
        <v>0</v>
      </c>
      <c r="O17" s="179">
        <f t="shared" si="3"/>
        <v>4087571.5535632987</v>
      </c>
      <c r="P17" s="94">
        <f t="shared" si="4"/>
        <v>4087571.5535632987</v>
      </c>
      <c r="Q17" s="180">
        <f t="shared" si="5"/>
        <v>85676.999999999956</v>
      </c>
      <c r="R17">
        <f>IFERROR(VLOOKUP(A17,[1]Energiindhold!$A$2:$C$11,3,FALSE),IFERROR(VLOOKUP(A17,[1]Biogasudbytte!$A$2:$B$18,2,FALSE)*[1]Energiindhold!$C$10,0))*P17</f>
        <v>7.5206207121122741</v>
      </c>
      <c r="S17">
        <f>IF(A17&lt;&gt;"Biogas",IFERROR(VLOOKUP(A17,[1]Biogasudbytte!$A$2:$B$18,2,FALSE)*[1]Energiindhold!$C$10,0)*K17*IFERROR(VLOOKUP(A17,Biogasanlæg!$F$3:$G$8,2,FALSE),1)+IFERROR(VLOOKUP(A17,[1]Energiindhold!$A$2:$C$11,3,FALSE),0)*M17+IF(F17&lt;&gt;År1,R17,0),0)</f>
        <v>0.15763497037499993</v>
      </c>
      <c r="T17">
        <f>IFERROR(VLOOKUP(A17,[1]Biogasudbytte!$A$2:$B$18,2,FALSE)*[1]Energiindhold!$C$10,0)*K17*IFERROR(VLOOKUP(A17,Biogasanlæg!$F$3:$G$8,2,FALSE),1)</f>
        <v>0.15763497037499993</v>
      </c>
      <c r="U17" s="170">
        <f t="shared" si="6"/>
        <v>0</v>
      </c>
      <c r="V17" s="169">
        <f>P17*IFERROR(VLOOKUP(A17,[1]Tørstofindhold!A$2:B$24,2,FALSE),0)</f>
        <v>1144520.0349977238</v>
      </c>
      <c r="W17">
        <f>IF(F17=År1,Q17,SUM(P17,Q17))*IFERROR(VLOOKUP(A17,[1]Tørstofindhold!A$2:B$24,2,FALSE),0)</f>
        <v>23989.55999999999</v>
      </c>
      <c r="X17">
        <f>K17*IFERROR(VLOOKUP(A17,[1]Tørstofindhold!A$2:B$24,2,FALSE),0)</f>
        <v>23989.55999999999</v>
      </c>
      <c r="Y17" s="170">
        <f t="shared" si="7"/>
        <v>0</v>
      </c>
      <c r="Z17">
        <f t="shared" si="0"/>
        <v>0</v>
      </c>
      <c r="AA17">
        <f t="shared" si="1"/>
        <v>1</v>
      </c>
      <c r="AC17" s="94">
        <f t="shared" si="8"/>
        <v>4087571.5535632987</v>
      </c>
      <c r="AD17">
        <f>AC17*E17*10000*VLOOKUP(A17,[1]kcal!$A$2:$C$49,3,FALSE)/1000000000000*IFERROR(VLOOKUP(A17,'Kategorisering af kcal'!$A$2:$E$18,MATCH('Produktion &amp; forbrug'!F17,'Kategorisering af kcal'!$A$1:$E$1,0),FALSE),0)</f>
        <v>0</v>
      </c>
      <c r="AE17">
        <f>IF(C17&lt;&gt;"",AC17*(1-VLOOKUP(A17,'Kategorisering af kcal'!$A$2:$E$18,MATCH('Produktion &amp; forbrug'!F17,'Kategorisering af kcal'!$A$1:$E$1,0),FALSE)),'Produktion &amp; forbrug'!AC17)</f>
        <v>4087571.5535632987</v>
      </c>
      <c r="AF17" s="94">
        <f t="shared" si="9"/>
        <v>0</v>
      </c>
    </row>
    <row r="18" spans="1:32" x14ac:dyDescent="0.25">
      <c r="A18" s="171" t="s">
        <v>202</v>
      </c>
      <c r="B18" s="171"/>
      <c r="C18" s="171" t="str">
        <f>IFERROR(VLOOKUP(A18,'Kategorisering af kcal'!$A$2:$B$18,2,FALSE),"")</f>
        <v/>
      </c>
      <c r="D18" s="171">
        <f>IF(COUNTIFS('Resultater - Danmark'!$D$3:$D$504,'Produktion &amp; forbrug'!A18,'Resultater - Danmark'!$A$3:$A$504,"Til energi")+COUNTIFS('Resultater - Danmark'!$D$3:$D$504,'Produktion &amp; forbrug'!A18,'Resultater - Danmark'!$A$3:$A$504,"Biogasanlæg")&gt;0,1,0)</f>
        <v>0</v>
      </c>
      <c r="E18" s="171">
        <v>0</v>
      </c>
      <c r="F18" s="171">
        <f t="shared" si="2"/>
        <v>2019</v>
      </c>
      <c r="G18" s="94">
        <f>SUMIFS('Resultat-Produktion &amp; forbrug'!G$4:G$291,'Resultat-Produktion &amp; forbrug'!$A$4:$A$291,'Produktion &amp; forbrug'!$A18,'Resultat-Produktion &amp; forbrug'!$E$4:$E$291,'Produktion &amp; forbrug'!$F18)</f>
        <v>0</v>
      </c>
      <c r="H18" s="94">
        <f>SUMIFS('Resultat-Produktion &amp; forbrug'!H$4:H$291,'Resultat-Produktion &amp; forbrug'!$A$4:$A$291,'Produktion &amp; forbrug'!$A18,'Resultat-Produktion &amp; forbrug'!$E$4:$E$291,'Produktion &amp; forbrug'!$F18)</f>
        <v>0</v>
      </c>
      <c r="I18" s="94">
        <f>SUMIFS('Resultat-Produktion &amp; forbrug'!I$4:I$291,'Resultat-Produktion &amp; forbrug'!$A$4:$A$291,'Produktion &amp; forbrug'!$A18,'Resultat-Produktion &amp; forbrug'!$E$4:$E$291,'Produktion &amp; forbrug'!$F18)</f>
        <v>0</v>
      </c>
      <c r="J18" s="94">
        <f>SUMIFS('Resultat-Produktion &amp; forbrug'!J$4:J$291,'Resultat-Produktion &amp; forbrug'!$A$4:$A$291,'Produktion &amp; forbrug'!$A18,'Resultat-Produktion &amp; forbrug'!$E$4:$E$291,'Produktion &amp; forbrug'!$F18)</f>
        <v>0</v>
      </c>
      <c r="K18" s="94">
        <f>SUMIFS('Resultat-Produktion &amp; forbrug'!K$4:K$291,'Resultat-Produktion &amp; forbrug'!$A$4:$A$291,'Produktion &amp; forbrug'!$A18,'Resultat-Produktion &amp; forbrug'!$E$4:$E$291,'Produktion &amp; forbrug'!$F18)</f>
        <v>0</v>
      </c>
      <c r="L18" s="94">
        <f>SUMIFS('Resultat-Produktion &amp; forbrug'!L$4:L$291,'Resultat-Produktion &amp; forbrug'!$A$4:$A$291,'Produktion &amp; forbrug'!$A18,'Resultat-Produktion &amp; forbrug'!$E$4:$E$291,'Produktion &amp; forbrug'!$F18)</f>
        <v>0</v>
      </c>
      <c r="M18" s="94">
        <f>SUMIFS('Resultat-Produktion &amp; forbrug'!M$4:M$291,'Resultat-Produktion &amp; forbrug'!$A$4:$A$291,'Produktion &amp; forbrug'!$A18,'Resultat-Produktion &amp; forbrug'!$E$4:$E$291,'Produktion &amp; forbrug'!$F18)</f>
        <v>0</v>
      </c>
      <c r="N18" s="94">
        <f>SUMIFS('Resultat-Produktion &amp; forbrug'!N$4:N$291,'Resultat-Produktion &amp; forbrug'!$A$4:$A$291,'Produktion &amp; forbrug'!$A18,'Resultat-Produktion &amp; forbrug'!$E$4:$E$291,'Produktion &amp; forbrug'!$F18)</f>
        <v>0</v>
      </c>
      <c r="O18" s="179">
        <f t="shared" si="3"/>
        <v>0</v>
      </c>
      <c r="P18" s="94">
        <f t="shared" si="4"/>
        <v>0</v>
      </c>
      <c r="Q18" s="180">
        <f t="shared" si="5"/>
        <v>0</v>
      </c>
      <c r="R18">
        <f>IFERROR(VLOOKUP(A18,[1]Energiindhold!$A$2:$C$11,3,FALSE),IFERROR(VLOOKUP(A18,[1]Biogasudbytte!$A$2:$B$18,2,FALSE)*[1]Energiindhold!$C$10,0))*P18</f>
        <v>0</v>
      </c>
      <c r="S18">
        <f>IF(A18&lt;&gt;"Biogas",IFERROR(VLOOKUP(A18,[1]Biogasudbytte!$A$2:$B$18,2,FALSE)*[1]Energiindhold!$C$10,0)*K18*IFERROR(VLOOKUP(A18,Biogasanlæg!$F$3:$G$8,2,FALSE),1)+IFERROR(VLOOKUP(A18,[1]Energiindhold!$A$2:$C$11,3,FALSE),0)*M18+IF(F18&lt;&gt;År1,R18,0),0)</f>
        <v>0</v>
      </c>
      <c r="T18">
        <f>IFERROR(VLOOKUP(A18,[1]Biogasudbytte!$A$2:$B$18,2,FALSE)*[1]Energiindhold!$C$10,0)*K18*IFERROR(VLOOKUP(A18,Biogasanlæg!$F$3:$G$8,2,FALSE),1)</f>
        <v>0</v>
      </c>
      <c r="U18" s="170">
        <f t="shared" si="6"/>
        <v>0</v>
      </c>
      <c r="V18" s="169">
        <f>P18*IFERROR(VLOOKUP(A18,[1]Tørstofindhold!A$2:B$24,2,FALSE),0)</f>
        <v>0</v>
      </c>
      <c r="W18">
        <f>IF(F18=År1,Q18,SUM(P18,Q18))*IFERROR(VLOOKUP(A18,[1]Tørstofindhold!A$2:B$24,2,FALSE),0)</f>
        <v>0</v>
      </c>
      <c r="X18">
        <f>K18*IFERROR(VLOOKUP(A18,[1]Tørstofindhold!A$2:B$24,2,FALSE),0)</f>
        <v>0</v>
      </c>
      <c r="Y18" s="170">
        <f t="shared" si="7"/>
        <v>0</v>
      </c>
      <c r="Z18">
        <f t="shared" si="0"/>
        <v>0</v>
      </c>
      <c r="AA18">
        <f t="shared" si="1"/>
        <v>0</v>
      </c>
      <c r="AC18" s="94">
        <f t="shared" si="8"/>
        <v>0</v>
      </c>
      <c r="AD18">
        <f>AC18*E18*10000*VLOOKUP(A18,[1]kcal!$A$2:$C$49,3,FALSE)/1000000000000*IFERROR(VLOOKUP(A18,'Kategorisering af kcal'!$A$2:$E$18,MATCH('Produktion &amp; forbrug'!F18,'Kategorisering af kcal'!$A$1:$E$1,0),FALSE),0)</f>
        <v>0</v>
      </c>
      <c r="AE18">
        <f>IF(C18&lt;&gt;"",AC18*(1-VLOOKUP(A18,'Kategorisering af kcal'!$A$2:$E$18,MATCH('Produktion &amp; forbrug'!F18,'Kategorisering af kcal'!$A$1:$E$1,0),FALSE)),'Produktion &amp; forbrug'!AC18)</f>
        <v>0</v>
      </c>
      <c r="AF18" s="94">
        <f t="shared" si="9"/>
        <v>0</v>
      </c>
    </row>
    <row r="19" spans="1:32" x14ac:dyDescent="0.25">
      <c r="A19" s="171" t="s">
        <v>6</v>
      </c>
      <c r="B19" s="171"/>
      <c r="C19" s="171" t="str">
        <f>IFERROR(VLOOKUP(A19,'Kategorisering af kcal'!$A$2:$B$18,2,FALSE),"")</f>
        <v>Grøntsager</v>
      </c>
      <c r="D19" s="171">
        <f>IF(COUNTIFS('Resultater - Danmark'!$D$3:$D$504,'Produktion &amp; forbrug'!A19,'Resultater - Danmark'!$A$3:$A$504,"Til energi")+COUNTIFS('Resultater - Danmark'!$D$3:$D$504,'Produktion &amp; forbrug'!A19,'Resultater - Danmark'!$A$3:$A$504,"Biogasanlæg")&gt;0,1,0)</f>
        <v>0</v>
      </c>
      <c r="E19" s="171">
        <v>1</v>
      </c>
      <c r="F19" s="171">
        <f t="shared" si="2"/>
        <v>2019</v>
      </c>
      <c r="G19" s="94">
        <f>SUMIFS('Resultat-Produktion &amp; forbrug'!G$4:G$291,'Resultat-Produktion &amp; forbrug'!$A$4:$A$291,'Produktion &amp; forbrug'!$A19,'Resultat-Produktion &amp; forbrug'!$E$4:$E$291,'Produktion &amp; forbrug'!$F19)</f>
        <v>280322.43675931642</v>
      </c>
      <c r="H19" s="94">
        <f>SUMIFS('Resultat-Produktion &amp; forbrug'!H$4:H$291,'Resultat-Produktion &amp; forbrug'!$A$4:$A$291,'Produktion &amp; forbrug'!$A19,'Resultat-Produktion &amp; forbrug'!$E$4:$E$291,'Produktion &amp; forbrug'!$F19)</f>
        <v>0</v>
      </c>
      <c r="I19" s="94">
        <f>SUMIFS('Resultat-Produktion &amp; forbrug'!I$4:I$291,'Resultat-Produktion &amp; forbrug'!$A$4:$A$291,'Produktion &amp; forbrug'!$A19,'Resultat-Produktion &amp; forbrug'!$E$4:$E$291,'Produktion &amp; forbrug'!$F19)</f>
        <v>0</v>
      </c>
      <c r="J19" s="94">
        <f>SUMIFS('Resultat-Produktion &amp; forbrug'!J$4:J$291,'Resultat-Produktion &amp; forbrug'!$A$4:$A$291,'Produktion &amp; forbrug'!$A19,'Resultat-Produktion &amp; forbrug'!$E$4:$E$291,'Produktion &amp; forbrug'!$F19)</f>
        <v>261374.54615849949</v>
      </c>
      <c r="K19" s="94">
        <f>SUMIFS('Resultat-Produktion &amp; forbrug'!K$4:K$291,'Resultat-Produktion &amp; forbrug'!$A$4:$A$291,'Produktion &amp; forbrug'!$A19,'Resultat-Produktion &amp; forbrug'!$E$4:$E$291,'Produktion &amp; forbrug'!$F19)</f>
        <v>0</v>
      </c>
      <c r="L19" s="94">
        <f>SUMIFS('Resultat-Produktion &amp; forbrug'!L$4:L$291,'Resultat-Produktion &amp; forbrug'!$A$4:$A$291,'Produktion &amp; forbrug'!$A19,'Resultat-Produktion &amp; forbrug'!$E$4:$E$291,'Produktion &amp; forbrug'!$F19)</f>
        <v>0</v>
      </c>
      <c r="M19" s="94">
        <f>SUMIFS('Resultat-Produktion &amp; forbrug'!M$4:M$291,'Resultat-Produktion &amp; forbrug'!$A$4:$A$291,'Produktion &amp; forbrug'!$A19,'Resultat-Produktion &amp; forbrug'!$E$4:$E$291,'Produktion &amp; forbrug'!$F19)</f>
        <v>0</v>
      </c>
      <c r="N19" s="94">
        <f>SUMIFS('Resultat-Produktion &amp; forbrug'!N$4:N$291,'Resultat-Produktion &amp; forbrug'!$A$4:$A$291,'Produktion &amp; forbrug'!$A19,'Resultat-Produktion &amp; forbrug'!$E$4:$E$291,'Produktion &amp; forbrug'!$F19)</f>
        <v>0</v>
      </c>
      <c r="O19" s="179">
        <f t="shared" si="3"/>
        <v>18947.890600816929</v>
      </c>
      <c r="P19" s="94">
        <f t="shared" si="4"/>
        <v>0</v>
      </c>
      <c r="Q19" s="180">
        <f t="shared" si="5"/>
        <v>0</v>
      </c>
      <c r="R19">
        <f>IFERROR(VLOOKUP(A19,[1]Energiindhold!$A$2:$C$11,3,FALSE),IFERROR(VLOOKUP(A19,[1]Biogasudbytte!$A$2:$B$18,2,FALSE)*[1]Energiindhold!$C$10,0))*P19</f>
        <v>0</v>
      </c>
      <c r="S19">
        <f>IF(A19&lt;&gt;"Biogas",IFERROR(VLOOKUP(A19,[1]Biogasudbytte!$A$2:$B$18,2,FALSE)*[1]Energiindhold!$C$10,0)*K19*IFERROR(VLOOKUP(A19,Biogasanlæg!$F$3:$G$8,2,FALSE),1)+IFERROR(VLOOKUP(A19,[1]Energiindhold!$A$2:$C$11,3,FALSE),0)*M19+IF(F19&lt;&gt;År1,R19,0),0)</f>
        <v>0</v>
      </c>
      <c r="T19">
        <f>IFERROR(VLOOKUP(A19,[1]Biogasudbytte!$A$2:$B$18,2,FALSE)*[1]Energiindhold!$C$10,0)*K19*IFERROR(VLOOKUP(A19,Biogasanlæg!$F$3:$G$8,2,FALSE),1)</f>
        <v>0</v>
      </c>
      <c r="U19" s="170">
        <f t="shared" si="6"/>
        <v>0</v>
      </c>
      <c r="V19" s="169">
        <f>P19*IFERROR(VLOOKUP(A19,[1]Tørstofindhold!A$2:B$24,2,FALSE),0)</f>
        <v>0</v>
      </c>
      <c r="W19">
        <f>IF(F19=År1,Q19,SUM(P19,Q19))*IFERROR(VLOOKUP(A19,[1]Tørstofindhold!A$2:B$24,2,FALSE),0)</f>
        <v>0</v>
      </c>
      <c r="X19">
        <f>K19*IFERROR(VLOOKUP(A19,[1]Tørstofindhold!A$2:B$24,2,FALSE),0)</f>
        <v>0</v>
      </c>
      <c r="Y19" s="170">
        <f t="shared" si="7"/>
        <v>0</v>
      </c>
      <c r="Z19">
        <f t="shared" si="0"/>
        <v>0</v>
      </c>
      <c r="AA19">
        <f t="shared" si="1"/>
        <v>1</v>
      </c>
      <c r="AC19" s="94">
        <f t="shared" si="8"/>
        <v>280322.43675931642</v>
      </c>
      <c r="AD19">
        <f>AC19*E19*10000*VLOOKUP(A19,[1]kcal!$A$2:$C$49,3,FALSE)/1000000000000*IFERROR(VLOOKUP(A19,'Kategorisering af kcal'!$A$2:$E$18,MATCH('Produktion &amp; forbrug'!F19,'Kategorisering af kcal'!$A$1:$E$1,0),FALSE),0)</f>
        <v>0.10932575033613341</v>
      </c>
      <c r="AE19">
        <f>IF(C19&lt;&gt;"",AC19*(1-VLOOKUP(A19,'Kategorisering af kcal'!$A$2:$E$18,MATCH('Produktion &amp; forbrug'!F19,'Kategorisering af kcal'!$A$1:$E$1,0),FALSE)),'Produktion &amp; forbrug'!AC19)</f>
        <v>0</v>
      </c>
      <c r="AF19" s="94">
        <f t="shared" si="9"/>
        <v>280322.43675931642</v>
      </c>
    </row>
    <row r="20" spans="1:32" x14ac:dyDescent="0.25">
      <c r="A20" s="171" t="s">
        <v>67</v>
      </c>
      <c r="B20" s="171" t="s">
        <v>226</v>
      </c>
      <c r="C20" s="171" t="str">
        <f>IFERROR(VLOOKUP(A20,'Kategorisering af kcal'!$A$2:$B$18,2,FALSE),"")</f>
        <v/>
      </c>
      <c r="D20" s="171">
        <f>IF(COUNTIFS('Resultater - Danmark'!$D$3:$D$504,'Produktion &amp; forbrug'!A20,'Resultater - Danmark'!$A$3:$A$504,"Til energi")+COUNTIFS('Resultater - Danmark'!$D$3:$D$504,'Produktion &amp; forbrug'!A20,'Resultater - Danmark'!$A$3:$A$504,"Biogasanlæg")&gt;0,1,0)</f>
        <v>1</v>
      </c>
      <c r="E20" s="171">
        <v>0</v>
      </c>
      <c r="F20" s="171">
        <f t="shared" si="2"/>
        <v>2019</v>
      </c>
      <c r="G20" s="94">
        <f>SUMIFS('Resultat-Produktion &amp; forbrug'!G$4:G$291,'Resultat-Produktion &amp; forbrug'!$A$4:$A$291,'Produktion &amp; forbrug'!$A20,'Resultat-Produktion &amp; forbrug'!$E$4:$E$291,'Produktion &amp; forbrug'!$F20)</f>
        <v>3671749.2907991703</v>
      </c>
      <c r="H20" s="94">
        <f>SUMIFS('Resultat-Produktion &amp; forbrug'!H$4:H$291,'Resultat-Produktion &amp; forbrug'!$A$4:$A$291,'Produktion &amp; forbrug'!$A20,'Resultat-Produktion &amp; forbrug'!$E$4:$E$291,'Produktion &amp; forbrug'!$F20)</f>
        <v>867975.34157733875</v>
      </c>
      <c r="I20" s="94">
        <f>SUMIFS('Resultat-Produktion &amp; forbrug'!I$4:I$291,'Resultat-Produktion &amp; forbrug'!$A$4:$A$291,'Produktion &amp; forbrug'!$A20,'Resultat-Produktion &amp; forbrug'!$E$4:$E$291,'Produktion &amp; forbrug'!$F20)</f>
        <v>832345.429947</v>
      </c>
      <c r="J20" s="94">
        <f>SUMIFS('Resultat-Produktion &amp; forbrug'!J$4:J$291,'Resultat-Produktion &amp; forbrug'!$A$4:$A$291,'Produktion &amp; forbrug'!$A20,'Resultat-Produktion &amp; forbrug'!$E$4:$E$291,'Produktion &amp; forbrug'!$F20)</f>
        <v>0</v>
      </c>
      <c r="K20" s="94">
        <f>SUMIFS('Resultat-Produktion &amp; forbrug'!K$4:K$291,'Resultat-Produktion &amp; forbrug'!$A$4:$A$291,'Produktion &amp; forbrug'!$A20,'Resultat-Produktion &amp; forbrug'!$E$4:$E$291,'Produktion &amp; forbrug'!$F20)</f>
        <v>75933.999999999971</v>
      </c>
      <c r="L20" s="94">
        <f>SUMIFS('Resultat-Produktion &amp; forbrug'!L$4:L$291,'Resultat-Produktion &amp; forbrug'!$A$4:$A$291,'Produktion &amp; forbrug'!$A20,'Resultat-Produktion &amp; forbrug'!$E$4:$E$291,'Produktion &amp; forbrug'!$F20)</f>
        <v>0</v>
      </c>
      <c r="M20" s="94">
        <f>SUMIFS('Resultat-Produktion &amp; forbrug'!M$4:M$291,'Resultat-Produktion &amp; forbrug'!$A$4:$A$291,'Produktion &amp; forbrug'!$A20,'Resultat-Produktion &amp; forbrug'!$E$4:$E$291,'Produktion &amp; forbrug'!$F20)</f>
        <v>1895494.5192748301</v>
      </c>
      <c r="N20" s="94">
        <f>SUMIFS('Resultat-Produktion &amp; forbrug'!N$4:N$291,'Resultat-Produktion &amp; forbrug'!$A$4:$A$291,'Produktion &amp; forbrug'!$A20,'Resultat-Produktion &amp; forbrug'!$E$4:$E$291,'Produktion &amp; forbrug'!$F20)</f>
        <v>0</v>
      </c>
      <c r="O20" s="179">
        <f t="shared" si="3"/>
        <v>0</v>
      </c>
      <c r="P20" s="94">
        <f t="shared" si="4"/>
        <v>0</v>
      </c>
      <c r="Q20" s="180">
        <f t="shared" si="5"/>
        <v>1971428.5192748301</v>
      </c>
      <c r="R20">
        <f>IFERROR(VLOOKUP(A20,[1]Energiindhold!$A$2:$C$11,3,FALSE),IFERROR(VLOOKUP(A20,[1]Biogasudbytte!$A$2:$B$18,2,FALSE)*[1]Energiindhold!$C$10,0))*P20</f>
        <v>0</v>
      </c>
      <c r="S20">
        <f>IF(A20&lt;&gt;"Biogas",IFERROR(VLOOKUP(A20,[1]Biogasudbytte!$A$2:$B$18,2,FALSE)*[1]Energiindhold!$C$10,0)*K20*IFERROR(VLOOKUP(A20,Biogasanlæg!$F$3:$G$8,2,FALSE),1)+IFERROR(VLOOKUP(A20,[1]Energiindhold!$A$2:$C$11,3,FALSE),0)*M20+IF(F20&lt;&gt;År1,R20,0),0)</f>
        <v>20.029264782475234</v>
      </c>
      <c r="T20">
        <f>IFERROR(VLOOKUP(A20,[1]Biogasudbytte!$A$2:$B$18,2,FALSE)*[1]Energiindhold!$C$10,0)*K20*IFERROR(VLOOKUP(A20,Biogasanlæg!$F$3:$G$8,2,FALSE),1)</f>
        <v>0.43780051435999984</v>
      </c>
      <c r="U20" s="170">
        <f t="shared" si="6"/>
        <v>19.591464268115235</v>
      </c>
      <c r="V20" s="169">
        <f>P20*IFERROR(VLOOKUP(A20,[1]Tørstofindhold!A$2:B$24,2,FALSE),0)</f>
        <v>0</v>
      </c>
      <c r="W20">
        <f>IF(F20=År1,Q20,SUM(P20,Q20))*IFERROR(VLOOKUP(A20,[1]Tørstofindhold!A$2:B$24,2,FALSE),0)</f>
        <v>1675714.2413836056</v>
      </c>
      <c r="X20">
        <f>K20*IFERROR(VLOOKUP(A20,[1]Tørstofindhold!A$2:B$24,2,FALSE),0)</f>
        <v>64543.899999999972</v>
      </c>
      <c r="Y20" s="170">
        <f t="shared" si="7"/>
        <v>1611170.3413836057</v>
      </c>
      <c r="Z20">
        <f t="shared" si="0"/>
        <v>0</v>
      </c>
      <c r="AA20">
        <f t="shared" si="1"/>
        <v>0</v>
      </c>
      <c r="AC20" s="94">
        <f t="shared" si="8"/>
        <v>1895494.5192748315</v>
      </c>
      <c r="AD20">
        <f>AC20*E20*10000*VLOOKUP(A20,[1]kcal!$A$2:$C$49,3,FALSE)/1000000000000*IFERROR(VLOOKUP(A20,'Kategorisering af kcal'!$A$2:$E$18,MATCH('Produktion &amp; forbrug'!F20,'Kategorisering af kcal'!$A$1:$E$1,0),FALSE),0)</f>
        <v>0</v>
      </c>
      <c r="AE20">
        <f>IF(C20&lt;&gt;"",AC20*(1-VLOOKUP(A20,'Kategorisering af kcal'!$A$2:$E$18,MATCH('Produktion &amp; forbrug'!F20,'Kategorisering af kcal'!$A$1:$E$1,0),FALSE)),'Produktion &amp; forbrug'!AC20)</f>
        <v>1895494.5192748315</v>
      </c>
      <c r="AF20" s="94">
        <f t="shared" si="9"/>
        <v>0</v>
      </c>
    </row>
    <row r="21" spans="1:32" x14ac:dyDescent="0.25">
      <c r="A21" s="171" t="s">
        <v>162</v>
      </c>
      <c r="B21" s="171" t="s">
        <v>229</v>
      </c>
      <c r="C21" s="171" t="str">
        <f>IFERROR(VLOOKUP(A21,'Kategorisering af kcal'!$A$2:$B$18,2,FALSE),"")</f>
        <v/>
      </c>
      <c r="D21" s="171">
        <f>IF(COUNTIFS('Resultater - Danmark'!$D$3:$D$504,'Produktion &amp; forbrug'!A21,'Resultater - Danmark'!$A$3:$A$504,"Til energi")+COUNTIFS('Resultater - Danmark'!$D$3:$D$504,'Produktion &amp; forbrug'!A21,'Resultater - Danmark'!$A$3:$A$504,"Biogasanlæg")&gt;0,1,0)</f>
        <v>1</v>
      </c>
      <c r="E21" s="171">
        <v>0</v>
      </c>
      <c r="F21" s="171">
        <f t="shared" si="2"/>
        <v>2019</v>
      </c>
      <c r="G21" s="94">
        <f>SUMIFS('Resultat-Produktion &amp; forbrug'!G$4:G$291,'Resultat-Produktion &amp; forbrug'!$A$4:$A$291,'Produktion &amp; forbrug'!$A21,'Resultat-Produktion &amp; forbrug'!$E$4:$E$291,'Produktion &amp; forbrug'!$F21)</f>
        <v>982809</v>
      </c>
      <c r="H21" s="94">
        <f>SUMIFS('Resultat-Produktion &amp; forbrug'!H$4:H$291,'Resultat-Produktion &amp; forbrug'!$A$4:$A$291,'Produktion &amp; forbrug'!$A21,'Resultat-Produktion &amp; forbrug'!$E$4:$E$291,'Produktion &amp; forbrug'!$F21)</f>
        <v>0</v>
      </c>
      <c r="I21" s="94">
        <f>SUMIFS('Resultat-Produktion &amp; forbrug'!I$4:I$291,'Resultat-Produktion &amp; forbrug'!$A$4:$A$291,'Produktion &amp; forbrug'!$A21,'Resultat-Produktion &amp; forbrug'!$E$4:$E$291,'Produktion &amp; forbrug'!$F21)</f>
        <v>0</v>
      </c>
      <c r="J21" s="94">
        <f>SUMIFS('Resultat-Produktion &amp; forbrug'!J$4:J$291,'Resultat-Produktion &amp; forbrug'!$A$4:$A$291,'Produktion &amp; forbrug'!$A21,'Resultat-Produktion &amp; forbrug'!$E$4:$E$291,'Produktion &amp; forbrug'!$F21)</f>
        <v>0</v>
      </c>
      <c r="K21" s="94">
        <f>SUMIFS('Resultat-Produktion &amp; forbrug'!K$4:K$291,'Resultat-Produktion &amp; forbrug'!$A$4:$A$291,'Produktion &amp; forbrug'!$A21,'Resultat-Produktion &amp; forbrug'!$E$4:$E$291,'Produktion &amp; forbrug'!$F21)</f>
        <v>78</v>
      </c>
      <c r="L21" s="94">
        <f>SUMIFS('Resultat-Produktion &amp; forbrug'!L$4:L$291,'Resultat-Produktion &amp; forbrug'!$A$4:$A$291,'Produktion &amp; forbrug'!$A21,'Resultat-Produktion &amp; forbrug'!$E$4:$E$291,'Produktion &amp; forbrug'!$F21)</f>
        <v>0</v>
      </c>
      <c r="M21" s="94">
        <f>SUMIFS('Resultat-Produktion &amp; forbrug'!M$4:M$291,'Resultat-Produktion &amp; forbrug'!$A$4:$A$291,'Produktion &amp; forbrug'!$A21,'Resultat-Produktion &amp; forbrug'!$E$4:$E$291,'Produktion &amp; forbrug'!$F21)</f>
        <v>982731</v>
      </c>
      <c r="N21" s="94">
        <f>SUMIFS('Resultat-Produktion &amp; forbrug'!N$4:N$291,'Resultat-Produktion &amp; forbrug'!$A$4:$A$291,'Produktion &amp; forbrug'!$A21,'Resultat-Produktion &amp; forbrug'!$E$4:$E$291,'Produktion &amp; forbrug'!$F21)</f>
        <v>0</v>
      </c>
      <c r="O21" s="179">
        <f t="shared" si="3"/>
        <v>0</v>
      </c>
      <c r="P21" s="94">
        <f t="shared" si="4"/>
        <v>0</v>
      </c>
      <c r="Q21" s="180">
        <f t="shared" si="5"/>
        <v>982809</v>
      </c>
      <c r="R21">
        <f>IFERROR(VLOOKUP(A21,[1]Energiindhold!$A$2:$C$11,3,FALSE),IFERROR(VLOOKUP(A21,[1]Biogasudbytte!$A$2:$B$18,2,FALSE)*[1]Energiindhold!$C$10,0))*P21</f>
        <v>0</v>
      </c>
      <c r="S21">
        <f>IF(A21&lt;&gt;"Biogas",IFERROR(VLOOKUP(A21,[1]Biogasudbytte!$A$2:$B$18,2,FALSE)*[1]Energiindhold!$C$10,0)*K21*IFERROR(VLOOKUP(A21,Biogasanlæg!$F$3:$G$8,2,FALSE),1)+IFERROR(VLOOKUP(A21,[1]Energiindhold!$A$2:$C$11,3,FALSE),0)*M21+IF(F21&lt;&gt;År1,R21,0),0)</f>
        <v>17.544062973962301</v>
      </c>
      <c r="T21">
        <f>IFERROR(VLOOKUP(A21,[1]Biogasudbytte!$A$2:$B$18,2,FALSE)*[1]Energiindhold!$C$10,0)*K21*IFERROR(VLOOKUP(A21,Biogasanlæg!$F$3:$G$8,2,FALSE),1)</f>
        <v>1.3244946000000001E-4</v>
      </c>
      <c r="U21" s="170">
        <f t="shared" si="6"/>
        <v>17.543930524502301</v>
      </c>
      <c r="V21" s="169">
        <f>P21*IFERROR(VLOOKUP(A21,[1]Tørstofindhold!A$2:B$24,2,FALSE),0)</f>
        <v>0</v>
      </c>
      <c r="W21">
        <f>IF(F21=År1,Q21,SUM(P21,Q21))*IFERROR(VLOOKUP(A21,[1]Tørstofindhold!A$2:B$24,2,FALSE),0)</f>
        <v>294842.7</v>
      </c>
      <c r="X21">
        <f>K21*IFERROR(VLOOKUP(A21,[1]Tørstofindhold!A$2:B$24,2,FALSE),0)</f>
        <v>23.4</v>
      </c>
      <c r="Y21" s="170">
        <f t="shared" si="7"/>
        <v>294819.3</v>
      </c>
      <c r="Z21">
        <f t="shared" si="0"/>
        <v>0</v>
      </c>
      <c r="AA21">
        <f t="shared" si="1"/>
        <v>0</v>
      </c>
      <c r="AC21" s="94">
        <f t="shared" si="8"/>
        <v>982731</v>
      </c>
      <c r="AD21">
        <f>AC21*E21*10000*VLOOKUP(A21,[1]kcal!$A$2:$C$49,3,FALSE)/1000000000000*IFERROR(VLOOKUP(A21,'Kategorisering af kcal'!$A$2:$E$18,MATCH('Produktion &amp; forbrug'!F21,'Kategorisering af kcal'!$A$1:$E$1,0),FALSE),0)</f>
        <v>0</v>
      </c>
      <c r="AE21">
        <f>IF(C21&lt;&gt;"",AC21*(1-VLOOKUP(A21,'Kategorisering af kcal'!$A$2:$E$18,MATCH('Produktion &amp; forbrug'!F21,'Kategorisering af kcal'!$A$1:$E$1,0),FALSE)),'Produktion &amp; forbrug'!AC21)</f>
        <v>982731</v>
      </c>
      <c r="AF21" s="94">
        <f t="shared" si="9"/>
        <v>0</v>
      </c>
    </row>
    <row r="22" spans="1:32" x14ac:dyDescent="0.25">
      <c r="A22" t="s">
        <v>159</v>
      </c>
      <c r="B22" s="171"/>
      <c r="C22" s="171" t="str">
        <f>IFERROR(VLOOKUP(A22,'Kategorisering af kcal'!$A$2:$B$18,2,FALSE),"")</f>
        <v>Olieafgrøder</v>
      </c>
      <c r="D22" s="171">
        <f>IF(COUNTIFS('Resultater - Danmark'!$D$3:$D$504,'Produktion &amp; forbrug'!A22,'Resultater - Danmark'!$A$3:$A$504,"Til energi")+COUNTIFS('Resultater - Danmark'!$D$3:$D$504,'Produktion &amp; forbrug'!A22,'Resultater - Danmark'!$A$3:$A$504,"Biogasanlæg")&gt;0,1,0)</f>
        <v>0</v>
      </c>
      <c r="E22" s="171">
        <v>1</v>
      </c>
      <c r="F22" s="171">
        <f t="shared" si="2"/>
        <v>2019</v>
      </c>
      <c r="G22" s="94">
        <f>SUMIFS('Resultat-Produktion &amp; forbrug'!G$4:G$291,'Resultat-Produktion &amp; forbrug'!$A$4:$A$291,'Produktion &amp; forbrug'!$A22,'Resultat-Produktion &amp; forbrug'!$E$4:$E$291,'Produktion &amp; forbrug'!$F22)</f>
        <v>0</v>
      </c>
      <c r="H22" s="94">
        <f>SUMIFS('Resultat-Produktion &amp; forbrug'!H$4:H$291,'Resultat-Produktion &amp; forbrug'!$A$4:$A$291,'Produktion &amp; forbrug'!$A22,'Resultat-Produktion &amp; forbrug'!$E$4:$E$291,'Produktion &amp; forbrug'!$F22)</f>
        <v>5421074.2654714445</v>
      </c>
      <c r="I22" s="94">
        <f>SUMIFS('Resultat-Produktion &amp; forbrug'!I$4:I$291,'Resultat-Produktion &amp; forbrug'!$A$4:$A$291,'Produktion &amp; forbrug'!$A22,'Resultat-Produktion &amp; forbrug'!$E$4:$E$291,'Produktion &amp; forbrug'!$F22)</f>
        <v>0</v>
      </c>
      <c r="J22" s="94">
        <f>SUMIFS('Resultat-Produktion &amp; forbrug'!J$4:J$291,'Resultat-Produktion &amp; forbrug'!$A$4:$A$291,'Produktion &amp; forbrug'!$A22,'Resultat-Produktion &amp; forbrug'!$E$4:$E$291,'Produktion &amp; forbrug'!$F22)</f>
        <v>0</v>
      </c>
      <c r="K22" s="94">
        <f>SUMIFS('Resultat-Produktion &amp; forbrug'!K$4:K$291,'Resultat-Produktion &amp; forbrug'!$A$4:$A$291,'Produktion &amp; forbrug'!$A22,'Resultat-Produktion &amp; forbrug'!$E$4:$E$291,'Produktion &amp; forbrug'!$F22)</f>
        <v>0</v>
      </c>
      <c r="L22" s="94">
        <f>SUMIFS('Resultat-Produktion &amp; forbrug'!L$4:L$291,'Resultat-Produktion &amp; forbrug'!$A$4:$A$291,'Produktion &amp; forbrug'!$A22,'Resultat-Produktion &amp; forbrug'!$E$4:$E$291,'Produktion &amp; forbrug'!$F22)</f>
        <v>0</v>
      </c>
      <c r="M22" s="94">
        <f>SUMIFS('Resultat-Produktion &amp; forbrug'!M$4:M$291,'Resultat-Produktion &amp; forbrug'!$A$4:$A$291,'Produktion &amp; forbrug'!$A22,'Resultat-Produktion &amp; forbrug'!$E$4:$E$291,'Produktion &amp; forbrug'!$F22)</f>
        <v>0</v>
      </c>
      <c r="N22" s="94">
        <f>SUMIFS('Resultat-Produktion &amp; forbrug'!N$4:N$291,'Resultat-Produktion &amp; forbrug'!$A$4:$A$291,'Produktion &amp; forbrug'!$A22,'Resultat-Produktion &amp; forbrug'!$E$4:$E$291,'Produktion &amp; forbrug'!$F22)</f>
        <v>0</v>
      </c>
      <c r="O22" s="179">
        <f t="shared" si="3"/>
        <v>-5421074.2654714445</v>
      </c>
      <c r="P22" s="94">
        <f t="shared" si="4"/>
        <v>0</v>
      </c>
      <c r="Q22" s="180">
        <f t="shared" si="5"/>
        <v>0</v>
      </c>
      <c r="R22">
        <f>IFERROR(VLOOKUP(A22,[1]Energiindhold!$A$2:$C$11,3,FALSE),IFERROR(VLOOKUP(A22,[1]Biogasudbytte!$A$2:$B$18,2,FALSE)*[1]Energiindhold!$C$10,0))*P22</f>
        <v>0</v>
      </c>
      <c r="S22">
        <f>IF(A22&lt;&gt;"Biogas",IFERROR(VLOOKUP(A22,[1]Biogasudbytte!$A$2:$B$18,2,FALSE)*[1]Energiindhold!$C$10,0)*K22*IFERROR(VLOOKUP(A22,Biogasanlæg!$F$3:$G$8,2,FALSE),1)+IFERROR(VLOOKUP(A22,[1]Energiindhold!$A$2:$C$11,3,FALSE),0)*M22+IF(F22&lt;&gt;År1,R22,0),0)</f>
        <v>0</v>
      </c>
      <c r="T22">
        <f>IFERROR(VLOOKUP(A22,[1]Biogasudbytte!$A$2:$B$18,2,FALSE)*[1]Energiindhold!$C$10,0)*K22*IFERROR(VLOOKUP(A22,Biogasanlæg!$F$3:$G$8,2,FALSE),1)</f>
        <v>0</v>
      </c>
      <c r="U22" s="170">
        <f t="shared" si="6"/>
        <v>0</v>
      </c>
      <c r="V22" s="169">
        <f>P22*IFERROR(VLOOKUP(A22,[1]Tørstofindhold!A$2:B$24,2,FALSE),0)</f>
        <v>0</v>
      </c>
      <c r="W22">
        <f>IF(F22=År1,Q22,SUM(P22,Q22))*IFERROR(VLOOKUP(A22,[1]Tørstofindhold!A$2:B$24,2,FALSE),0)</f>
        <v>0</v>
      </c>
      <c r="X22">
        <f>K22*IFERROR(VLOOKUP(A22,[1]Tørstofindhold!A$2:B$24,2,FALSE),0)</f>
        <v>0</v>
      </c>
      <c r="Y22" s="170">
        <f t="shared" si="7"/>
        <v>0</v>
      </c>
      <c r="Z22">
        <f t="shared" si="0"/>
        <v>1</v>
      </c>
      <c r="AA22">
        <f t="shared" si="1"/>
        <v>0</v>
      </c>
      <c r="AC22" s="94">
        <f t="shared" si="8"/>
        <v>-5421074.2654714445</v>
      </c>
      <c r="AD22">
        <f>AC22*E22*10000*VLOOKUP(A22,[1]kcal!$A$2:$C$49,3,FALSE)/1000000000000*IFERROR(VLOOKUP(A22,'Kategorisering af kcal'!$A$2:$E$18,MATCH('Produktion &amp; forbrug'!F22,'Kategorisering af kcal'!$A$1:$E$1,0),FALSE),0)</f>
        <v>-3.0900123313187238</v>
      </c>
      <c r="AE22">
        <f>IF(C22&lt;&gt;"",AC22*(1-VLOOKUP(A22,'Kategorisering af kcal'!$A$2:$E$18,MATCH('Produktion &amp; forbrug'!F22,'Kategorisering af kcal'!$A$1:$E$1,0),FALSE)),'Produktion &amp; forbrug'!AC22)</f>
        <v>0</v>
      </c>
      <c r="AF22" s="94">
        <f t="shared" si="9"/>
        <v>-5421074.2654714445</v>
      </c>
    </row>
    <row r="23" spans="1:32" x14ac:dyDescent="0.25">
      <c r="A23" s="171" t="s">
        <v>103</v>
      </c>
      <c r="B23" s="171" t="s">
        <v>229</v>
      </c>
      <c r="C23" s="171" t="str">
        <f>IFERROR(VLOOKUP(A23,'Kategorisering af kcal'!$A$2:$B$18,2,FALSE),"")</f>
        <v/>
      </c>
      <c r="D23" s="171">
        <f>IF(COUNTIFS('Resultater - Danmark'!$D$3:$D$504,'Produktion &amp; forbrug'!A23,'Resultater - Danmark'!$A$3:$A$504,"Til energi")+COUNTIFS('Resultater - Danmark'!$D$3:$D$504,'Produktion &amp; forbrug'!A23,'Resultater - Danmark'!$A$3:$A$504,"Biogasanlæg")&gt;0,1,0)</f>
        <v>1</v>
      </c>
      <c r="E23" s="171">
        <v>0</v>
      </c>
      <c r="F23" s="171">
        <f t="shared" si="2"/>
        <v>2019</v>
      </c>
      <c r="G23" s="94">
        <f>SUMIFS('Resultat-Produktion &amp; forbrug'!G$4:G$291,'Resultat-Produktion &amp; forbrug'!$A$4:$A$291,'Produktion &amp; forbrug'!$A23,'Resultat-Produktion &amp; forbrug'!$E$4:$E$291,'Produktion &amp; forbrug'!$F23)</f>
        <v>713321.96965889772</v>
      </c>
      <c r="H23" s="94">
        <f>SUMIFS('Resultat-Produktion &amp; forbrug'!H$4:H$291,'Resultat-Produktion &amp; forbrug'!$A$4:$A$291,'Produktion &amp; forbrug'!$A23,'Resultat-Produktion &amp; forbrug'!$E$4:$E$291,'Produktion &amp; forbrug'!$F23)</f>
        <v>0</v>
      </c>
      <c r="I23" s="94">
        <f>SUMIFS('Resultat-Produktion &amp; forbrug'!I$4:I$291,'Resultat-Produktion &amp; forbrug'!$A$4:$A$291,'Produktion &amp; forbrug'!$A23,'Resultat-Produktion &amp; forbrug'!$E$4:$E$291,'Produktion &amp; forbrug'!$F23)</f>
        <v>0</v>
      </c>
      <c r="J23" s="94">
        <f>SUMIFS('Resultat-Produktion &amp; forbrug'!J$4:J$291,'Resultat-Produktion &amp; forbrug'!$A$4:$A$291,'Produktion &amp; forbrug'!$A23,'Resultat-Produktion &amp; forbrug'!$E$4:$E$291,'Produktion &amp; forbrug'!$F23)</f>
        <v>0</v>
      </c>
      <c r="K23" s="94">
        <f>SUMIFS('Resultat-Produktion &amp; forbrug'!K$4:K$291,'Resultat-Produktion &amp; forbrug'!$A$4:$A$291,'Produktion &amp; forbrug'!$A23,'Resultat-Produktion &amp; forbrug'!$E$4:$E$291,'Produktion &amp; forbrug'!$F23)</f>
        <v>995654</v>
      </c>
      <c r="L23" s="94">
        <f>SUMIFS('Resultat-Produktion &amp; forbrug'!L$4:L$291,'Resultat-Produktion &amp; forbrug'!$A$4:$A$291,'Produktion &amp; forbrug'!$A23,'Resultat-Produktion &amp; forbrug'!$E$4:$E$291,'Produktion &amp; forbrug'!$F23)</f>
        <v>0</v>
      </c>
      <c r="M23" s="94">
        <f>SUMIFS('Resultat-Produktion &amp; forbrug'!M$4:M$291,'Resultat-Produktion &amp; forbrug'!$A$4:$A$291,'Produktion &amp; forbrug'!$A23,'Resultat-Produktion &amp; forbrug'!$E$4:$E$291,'Produktion &amp; forbrug'!$F23)</f>
        <v>0</v>
      </c>
      <c r="N23" s="94">
        <f>SUMIFS('Resultat-Produktion &amp; forbrug'!N$4:N$291,'Resultat-Produktion &amp; forbrug'!$A$4:$A$291,'Produktion &amp; forbrug'!$A23,'Resultat-Produktion &amp; forbrug'!$E$4:$E$291,'Produktion &amp; forbrug'!$F23)</f>
        <v>0</v>
      </c>
      <c r="O23" s="179">
        <f t="shared" si="3"/>
        <v>-282332.03034110228</v>
      </c>
      <c r="P23" s="94">
        <f t="shared" si="4"/>
        <v>0</v>
      </c>
      <c r="Q23" s="180">
        <f t="shared" si="5"/>
        <v>995654</v>
      </c>
      <c r="R23">
        <f>IFERROR(VLOOKUP(A23,[1]Energiindhold!$A$2:$C$11,3,FALSE),IFERROR(VLOOKUP(A23,[1]Biogasudbytte!$A$2:$B$18,2,FALSE)*[1]Energiindhold!$C$10,0))*P23</f>
        <v>0</v>
      </c>
      <c r="S23">
        <f>IF(A23&lt;&gt;"Biogas",IFERROR(VLOOKUP(A23,[1]Biogasudbytte!$A$2:$B$18,2,FALSE)*[1]Energiindhold!$C$10,0)*K23*IFERROR(VLOOKUP(A23,Biogasanlæg!$F$3:$G$8,2,FALSE),1)+IFERROR(VLOOKUP(A23,[1]Energiindhold!$A$2:$C$11,3,FALSE),0)*M23+IF(F23&lt;&gt;År1,R23,0),0)</f>
        <v>3.6671534844670002</v>
      </c>
      <c r="T23">
        <f>IFERROR(VLOOKUP(A23,[1]Biogasudbytte!$A$2:$B$18,2,FALSE)*[1]Energiindhold!$C$10,0)*K23*IFERROR(VLOOKUP(A23,Biogasanlæg!$F$3:$G$8,2,FALSE),1)</f>
        <v>3.6671534844670002</v>
      </c>
      <c r="U23" s="170">
        <f t="shared" si="6"/>
        <v>0</v>
      </c>
      <c r="V23" s="169">
        <f>P23*IFERROR(VLOOKUP(A23,[1]Tørstofindhold!A$2:B$24,2,FALSE),0)</f>
        <v>0</v>
      </c>
      <c r="W23">
        <f>IF(F23=År1,Q23,SUM(P23,Q23))*IFERROR(VLOOKUP(A23,[1]Tørstofindhold!A$2:B$24,2,FALSE),0)</f>
        <v>418174.68</v>
      </c>
      <c r="X23">
        <f>K23*IFERROR(VLOOKUP(A23,[1]Tørstofindhold!A$2:B$24,2,FALSE),0)</f>
        <v>418174.68</v>
      </c>
      <c r="Y23" s="170">
        <f t="shared" si="7"/>
        <v>0</v>
      </c>
      <c r="Z23">
        <f t="shared" si="0"/>
        <v>1</v>
      </c>
      <c r="AA23">
        <f t="shared" si="1"/>
        <v>0</v>
      </c>
      <c r="AC23" s="94">
        <f t="shared" si="8"/>
        <v>-282332.03034110228</v>
      </c>
      <c r="AD23">
        <f>AC23*E23*10000*VLOOKUP(A23,[1]kcal!$A$2:$C$49,3,FALSE)/1000000000000*IFERROR(VLOOKUP(A23,'Kategorisering af kcal'!$A$2:$E$18,MATCH('Produktion &amp; forbrug'!F23,'Kategorisering af kcal'!$A$1:$E$1,0),FALSE),0)</f>
        <v>0</v>
      </c>
      <c r="AE23">
        <f>IF(C23&lt;&gt;"",AC23*(1-VLOOKUP(A23,'Kategorisering af kcal'!$A$2:$E$18,MATCH('Produktion &amp; forbrug'!F23,'Kategorisering af kcal'!$A$1:$E$1,0),FALSE)),'Produktion &amp; forbrug'!AC23)</f>
        <v>-282332.03034110228</v>
      </c>
      <c r="AF23" s="94">
        <f t="shared" si="9"/>
        <v>0</v>
      </c>
    </row>
    <row r="24" spans="1:32" x14ac:dyDescent="0.25">
      <c r="A24" s="171" t="s">
        <v>56</v>
      </c>
      <c r="B24" s="171"/>
      <c r="C24" s="171" t="str">
        <f>IFERROR(VLOOKUP(A24,'Kategorisering af kcal'!$A$2:$B$18,2,FALSE),"")</f>
        <v/>
      </c>
      <c r="D24" s="171">
        <f>IF(COUNTIFS('Resultater - Danmark'!$D$3:$D$504,'Produktion &amp; forbrug'!A24,'Resultater - Danmark'!$A$3:$A$504,"Til energi")+COUNTIFS('Resultater - Danmark'!$D$3:$D$504,'Produktion &amp; forbrug'!A24,'Resultater - Danmark'!$A$3:$A$504,"Biogasanlæg")&gt;0,1,0)</f>
        <v>0</v>
      </c>
      <c r="E24" s="171">
        <v>0</v>
      </c>
      <c r="F24" s="171">
        <f t="shared" si="2"/>
        <v>2019</v>
      </c>
      <c r="G24" s="94">
        <f>SUMIFS('Resultat-Produktion &amp; forbrug'!G$4:G$291,'Resultat-Produktion &amp; forbrug'!$A$4:$A$291,'Produktion &amp; forbrug'!$A24,'Resultat-Produktion &amp; forbrug'!$E$4:$E$291,'Produktion &amp; forbrug'!$F24)</f>
        <v>912099.45136908058</v>
      </c>
      <c r="H24" s="94">
        <f>SUMIFS('Resultat-Produktion &amp; forbrug'!H$4:H$291,'Resultat-Produktion &amp; forbrug'!$A$4:$A$291,'Produktion &amp; forbrug'!$A24,'Resultat-Produktion &amp; forbrug'!$E$4:$E$291,'Produktion &amp; forbrug'!$F24)</f>
        <v>0</v>
      </c>
      <c r="I24" s="94">
        <f>SUMIFS('Resultat-Produktion &amp; forbrug'!I$4:I$291,'Resultat-Produktion &amp; forbrug'!$A$4:$A$291,'Produktion &amp; forbrug'!$A24,'Resultat-Produktion &amp; forbrug'!$E$4:$E$291,'Produktion &amp; forbrug'!$F24)</f>
        <v>0</v>
      </c>
      <c r="J24" s="94">
        <f>SUMIFS('Resultat-Produktion &amp; forbrug'!J$4:J$291,'Resultat-Produktion &amp; forbrug'!$A$4:$A$291,'Produktion &amp; forbrug'!$A24,'Resultat-Produktion &amp; forbrug'!$E$4:$E$291,'Produktion &amp; forbrug'!$F24)</f>
        <v>0</v>
      </c>
      <c r="K24" s="94">
        <f>SUMIFS('Resultat-Produktion &amp; forbrug'!K$4:K$291,'Resultat-Produktion &amp; forbrug'!$A$4:$A$291,'Produktion &amp; forbrug'!$A24,'Resultat-Produktion &amp; forbrug'!$E$4:$E$291,'Produktion &amp; forbrug'!$F24)</f>
        <v>0</v>
      </c>
      <c r="L24" s="94">
        <f>SUMIFS('Resultat-Produktion &amp; forbrug'!L$4:L$291,'Resultat-Produktion &amp; forbrug'!$A$4:$A$291,'Produktion &amp; forbrug'!$A24,'Resultat-Produktion &amp; forbrug'!$E$4:$E$291,'Produktion &amp; forbrug'!$F24)</f>
        <v>0</v>
      </c>
      <c r="M24" s="94">
        <f>SUMIFS('Resultat-Produktion &amp; forbrug'!M$4:M$291,'Resultat-Produktion &amp; forbrug'!$A$4:$A$291,'Produktion &amp; forbrug'!$A24,'Resultat-Produktion &amp; forbrug'!$E$4:$E$291,'Produktion &amp; forbrug'!$F24)</f>
        <v>0</v>
      </c>
      <c r="N24" s="94">
        <f>SUMIFS('Resultat-Produktion &amp; forbrug'!N$4:N$291,'Resultat-Produktion &amp; forbrug'!$A$4:$A$291,'Produktion &amp; forbrug'!$A24,'Resultat-Produktion &amp; forbrug'!$E$4:$E$291,'Produktion &amp; forbrug'!$F24)</f>
        <v>0</v>
      </c>
      <c r="O24" s="179">
        <f t="shared" si="3"/>
        <v>912099.45136908058</v>
      </c>
      <c r="P24" s="94">
        <f t="shared" si="4"/>
        <v>0</v>
      </c>
      <c r="Q24" s="180">
        <f t="shared" si="5"/>
        <v>0</v>
      </c>
      <c r="R24">
        <f>IFERROR(VLOOKUP(A24,[1]Energiindhold!$A$2:$C$11,3,FALSE),IFERROR(VLOOKUP(A24,[1]Biogasudbytte!$A$2:$B$18,2,FALSE)*[1]Energiindhold!$C$10,0))*P24</f>
        <v>0</v>
      </c>
      <c r="S24">
        <f>IF(A24&lt;&gt;"Biogas",IFERROR(VLOOKUP(A24,[1]Biogasudbytte!$A$2:$B$18,2,FALSE)*[1]Energiindhold!$C$10,0)*K24*IFERROR(VLOOKUP(A24,Biogasanlæg!$F$3:$G$8,2,FALSE),1)+IFERROR(VLOOKUP(A24,[1]Energiindhold!$A$2:$C$11,3,FALSE),0)*M24+IF(F24&lt;&gt;År1,R24,0),0)</f>
        <v>0</v>
      </c>
      <c r="T24">
        <f>IFERROR(VLOOKUP(A24,[1]Biogasudbytte!$A$2:$B$18,2,FALSE)*[1]Energiindhold!$C$10,0)*K24*IFERROR(VLOOKUP(A24,Biogasanlæg!$F$3:$G$8,2,FALSE),1)</f>
        <v>0</v>
      </c>
      <c r="U24" s="170">
        <f t="shared" si="6"/>
        <v>0</v>
      </c>
      <c r="V24" s="169">
        <f>P24*IFERROR(VLOOKUP(A24,[1]Tørstofindhold!A$2:B$24,2,FALSE),0)</f>
        <v>0</v>
      </c>
      <c r="W24">
        <f>IF(F24=År1,Q24,SUM(P24,Q24))*IFERROR(VLOOKUP(A24,[1]Tørstofindhold!A$2:B$24,2,FALSE),0)</f>
        <v>0</v>
      </c>
      <c r="X24">
        <f>K24*IFERROR(VLOOKUP(A24,[1]Tørstofindhold!A$2:B$24,2,FALSE),0)</f>
        <v>0</v>
      </c>
      <c r="Y24" s="170">
        <f t="shared" si="7"/>
        <v>0</v>
      </c>
      <c r="Z24">
        <f t="shared" si="0"/>
        <v>0</v>
      </c>
      <c r="AA24">
        <f t="shared" si="1"/>
        <v>1</v>
      </c>
      <c r="AC24" s="94">
        <f t="shared" si="8"/>
        <v>912099.45136908058</v>
      </c>
      <c r="AD24">
        <f>AC24*E24*10000*VLOOKUP(A24,[1]kcal!$A$2:$C$49,3,FALSE)/1000000000000*IFERROR(VLOOKUP(A24,'Kategorisering af kcal'!$A$2:$E$18,MATCH('Produktion &amp; forbrug'!F24,'Kategorisering af kcal'!$A$1:$E$1,0),FALSE),0)</f>
        <v>0</v>
      </c>
      <c r="AE24">
        <f>IF(C24&lt;&gt;"",AC24*(1-VLOOKUP(A24,'Kategorisering af kcal'!$A$2:$E$18,MATCH('Produktion &amp; forbrug'!F24,'Kategorisering af kcal'!$A$1:$E$1,0),FALSE)),'Produktion &amp; forbrug'!AC24)</f>
        <v>912099.45136908058</v>
      </c>
      <c r="AF24" s="94">
        <f t="shared" si="9"/>
        <v>0</v>
      </c>
    </row>
    <row r="25" spans="1:32" x14ac:dyDescent="0.25">
      <c r="A25" s="171" t="s">
        <v>12</v>
      </c>
      <c r="B25" s="171"/>
      <c r="C25" s="171" t="str">
        <f>IFERROR(VLOOKUP(A25,'Kategorisering af kcal'!$A$2:$B$18,2,FALSE),"")</f>
        <v>Kartofler</v>
      </c>
      <c r="D25" s="171">
        <f>IF(COUNTIFS('Resultater - Danmark'!$D$3:$D$504,'Produktion &amp; forbrug'!A25,'Resultater - Danmark'!$A$3:$A$504,"Til energi")+COUNTIFS('Resultater - Danmark'!$D$3:$D$504,'Produktion &amp; forbrug'!A25,'Resultater - Danmark'!$A$3:$A$504,"Biogasanlæg")&gt;0,1,0)</f>
        <v>0</v>
      </c>
      <c r="E25" s="171">
        <v>1</v>
      </c>
      <c r="F25" s="171">
        <f t="shared" si="2"/>
        <v>2019</v>
      </c>
      <c r="G25" s="94">
        <f>SUMIFS('Resultat-Produktion &amp; forbrug'!G$4:G$291,'Resultat-Produktion &amp; forbrug'!$A$4:$A$291,'Produktion &amp; forbrug'!$A25,'Resultat-Produktion &amp; forbrug'!$E$4:$E$291,'Produktion &amp; forbrug'!$F25)</f>
        <v>2263176.157376945</v>
      </c>
      <c r="H25" s="94">
        <f>SUMIFS('Resultat-Produktion &amp; forbrug'!H$4:H$291,'Resultat-Produktion &amp; forbrug'!$A$4:$A$291,'Produktion &amp; forbrug'!$A25,'Resultat-Produktion &amp; forbrug'!$E$4:$E$291,'Produktion &amp; forbrug'!$F25)</f>
        <v>0</v>
      </c>
      <c r="I25" s="94">
        <f>SUMIFS('Resultat-Produktion &amp; forbrug'!I$4:I$291,'Resultat-Produktion &amp; forbrug'!$A$4:$A$291,'Produktion &amp; forbrug'!$A25,'Resultat-Produktion &amp; forbrug'!$E$4:$E$291,'Produktion &amp; forbrug'!$F25)</f>
        <v>0</v>
      </c>
      <c r="J25" s="94">
        <f>SUMIFS('Resultat-Produktion &amp; forbrug'!J$4:J$291,'Resultat-Produktion &amp; forbrug'!$A$4:$A$291,'Produktion &amp; forbrug'!$A25,'Resultat-Produktion &amp; forbrug'!$E$4:$E$291,'Produktion &amp; forbrug'!$F25)</f>
        <v>119523.03367046962</v>
      </c>
      <c r="K25" s="94">
        <f>SUMIFS('Resultat-Produktion &amp; forbrug'!K$4:K$291,'Resultat-Produktion &amp; forbrug'!$A$4:$A$291,'Produktion &amp; forbrug'!$A25,'Resultat-Produktion &amp; forbrug'!$E$4:$E$291,'Produktion &amp; forbrug'!$F25)</f>
        <v>0</v>
      </c>
      <c r="L25" s="94">
        <f>SUMIFS('Resultat-Produktion &amp; forbrug'!L$4:L$291,'Resultat-Produktion &amp; forbrug'!$A$4:$A$291,'Produktion &amp; forbrug'!$A25,'Resultat-Produktion &amp; forbrug'!$E$4:$E$291,'Produktion &amp; forbrug'!$F25)</f>
        <v>0</v>
      </c>
      <c r="M25" s="94">
        <f>SUMIFS('Resultat-Produktion &amp; forbrug'!M$4:M$291,'Resultat-Produktion &amp; forbrug'!$A$4:$A$291,'Produktion &amp; forbrug'!$A25,'Resultat-Produktion &amp; forbrug'!$E$4:$E$291,'Produktion &amp; forbrug'!$F25)</f>
        <v>0</v>
      </c>
      <c r="N25" s="94">
        <f>SUMIFS('Resultat-Produktion &amp; forbrug'!N$4:N$291,'Resultat-Produktion &amp; forbrug'!$A$4:$A$291,'Produktion &amp; forbrug'!$A25,'Resultat-Produktion &amp; forbrug'!$E$4:$E$291,'Produktion &amp; forbrug'!$F25)</f>
        <v>0</v>
      </c>
      <c r="O25" s="179">
        <f t="shared" si="3"/>
        <v>2143653.1237064754</v>
      </c>
      <c r="P25" s="94">
        <f t="shared" si="4"/>
        <v>0</v>
      </c>
      <c r="Q25" s="180">
        <f t="shared" si="5"/>
        <v>0</v>
      </c>
      <c r="R25">
        <f>IFERROR(VLOOKUP(A25,[1]Energiindhold!$A$2:$C$11,3,FALSE),IFERROR(VLOOKUP(A25,[1]Biogasudbytte!$A$2:$B$18,2,FALSE)*[1]Energiindhold!$C$10,0))*P25</f>
        <v>0</v>
      </c>
      <c r="S25">
        <f>IF(A25&lt;&gt;"Biogas",IFERROR(VLOOKUP(A25,[1]Biogasudbytte!$A$2:$B$18,2,FALSE)*[1]Energiindhold!$C$10,0)*K25*IFERROR(VLOOKUP(A25,Biogasanlæg!$F$3:$G$8,2,FALSE),1)+IFERROR(VLOOKUP(A25,[1]Energiindhold!$A$2:$C$11,3,FALSE),0)*M25+IF(F25&lt;&gt;År1,R25,0),0)</f>
        <v>0</v>
      </c>
      <c r="T25">
        <f>IFERROR(VLOOKUP(A25,[1]Biogasudbytte!$A$2:$B$18,2,FALSE)*[1]Energiindhold!$C$10,0)*K25*IFERROR(VLOOKUP(A25,Biogasanlæg!$F$3:$G$8,2,FALSE),1)</f>
        <v>0</v>
      </c>
      <c r="U25" s="170">
        <f t="shared" si="6"/>
        <v>0</v>
      </c>
      <c r="V25" s="169">
        <f>P25*IFERROR(VLOOKUP(A25,[1]Tørstofindhold!A$2:B$24,2,FALSE),0)</f>
        <v>0</v>
      </c>
      <c r="W25">
        <f>IF(F25=År1,Q25,SUM(P25,Q25))*IFERROR(VLOOKUP(A25,[1]Tørstofindhold!A$2:B$24,2,FALSE),0)</f>
        <v>0</v>
      </c>
      <c r="X25">
        <f>K25*IFERROR(VLOOKUP(A25,[1]Tørstofindhold!A$2:B$24,2,FALSE),0)</f>
        <v>0</v>
      </c>
      <c r="Y25" s="170">
        <f t="shared" si="7"/>
        <v>0</v>
      </c>
      <c r="Z25">
        <f t="shared" si="0"/>
        <v>0</v>
      </c>
      <c r="AA25">
        <f t="shared" si="1"/>
        <v>1</v>
      </c>
      <c r="AC25" s="94">
        <f t="shared" si="8"/>
        <v>2263176.157376945</v>
      </c>
      <c r="AD25">
        <f>AC25*E25*10000*VLOOKUP(A25,[1]kcal!$A$2:$C$49,3,FALSE)/1000000000000*IFERROR(VLOOKUP(A25,'Kategorisering af kcal'!$A$2:$E$18,MATCH('Produktion &amp; forbrug'!F25,'Kategorisering af kcal'!$A$1:$E$1,0),FALSE),0)</f>
        <v>1.765277402754017</v>
      </c>
      <c r="AE25">
        <f>IF(C25&lt;&gt;"",AC25*(1-VLOOKUP(A25,'Kategorisering af kcal'!$A$2:$E$18,MATCH('Produktion &amp; forbrug'!F25,'Kategorisering af kcal'!$A$1:$E$1,0),FALSE)),'Produktion &amp; forbrug'!AC25)</f>
        <v>0</v>
      </c>
      <c r="AF25" s="94">
        <f t="shared" si="9"/>
        <v>2263176.157376945</v>
      </c>
    </row>
    <row r="26" spans="1:32" x14ac:dyDescent="0.25">
      <c r="A26" s="171" t="s">
        <v>48</v>
      </c>
      <c r="B26" s="171" t="s">
        <v>226</v>
      </c>
      <c r="C26" s="171" t="str">
        <f>IFERROR(VLOOKUP(A26,'Kategorisering af kcal'!$A$2:$B$18,2,FALSE),"")</f>
        <v>Korn</v>
      </c>
      <c r="D26" s="171">
        <f>IF(COUNTIFS('Resultater - Danmark'!$D$3:$D$504,'Produktion &amp; forbrug'!A26,'Resultater - Danmark'!$A$3:$A$504,"Til energi")+COUNTIFS('Resultater - Danmark'!$D$3:$D$504,'Produktion &amp; forbrug'!A26,'Resultater - Danmark'!$A$3:$A$504,"Biogasanlæg")&gt;0,1,0)</f>
        <v>1</v>
      </c>
      <c r="E26" s="171">
        <v>1</v>
      </c>
      <c r="F26" s="171">
        <f t="shared" si="2"/>
        <v>2019</v>
      </c>
      <c r="G26" s="94">
        <f>SUMIFS('Resultat-Produktion &amp; forbrug'!G$4:G$291,'Resultat-Produktion &amp; forbrug'!$A$4:$A$291,'Produktion &amp; forbrug'!$A26,'Resultat-Produktion &amp; forbrug'!$E$4:$E$291,'Produktion &amp; forbrug'!$F26)</f>
        <v>9112085.8491583709</v>
      </c>
      <c r="H26" s="94">
        <f>SUMIFS('Resultat-Produktion &amp; forbrug'!H$4:H$291,'Resultat-Produktion &amp; forbrug'!$A$4:$A$291,'Produktion &amp; forbrug'!$A26,'Resultat-Produktion &amp; forbrug'!$E$4:$E$291,'Produktion &amp; forbrug'!$F26)</f>
        <v>6600836.8097011279</v>
      </c>
      <c r="I26" s="94">
        <f>SUMIFS('Resultat-Produktion &amp; forbrug'!I$4:I$291,'Resultat-Produktion &amp; forbrug'!$A$4:$A$291,'Produktion &amp; forbrug'!$A26,'Resultat-Produktion &amp; forbrug'!$E$4:$E$291,'Produktion &amp; forbrug'!$F26)</f>
        <v>0</v>
      </c>
      <c r="J26" s="94">
        <f>SUMIFS('Resultat-Produktion &amp; forbrug'!J$4:J$291,'Resultat-Produktion &amp; forbrug'!$A$4:$A$291,'Produktion &amp; forbrug'!$A26,'Resultat-Produktion &amp; forbrug'!$E$4:$E$291,'Produktion &amp; forbrug'!$F26)</f>
        <v>286329.90483694919</v>
      </c>
      <c r="K26" s="94">
        <f>SUMIFS('Resultat-Produktion &amp; forbrug'!K$4:K$291,'Resultat-Produktion &amp; forbrug'!$A$4:$A$291,'Produktion &amp; forbrug'!$A26,'Resultat-Produktion &amp; forbrug'!$E$4:$E$291,'Produktion &amp; forbrug'!$F26)</f>
        <v>3786</v>
      </c>
      <c r="L26" s="94">
        <f>SUMIFS('Resultat-Produktion &amp; forbrug'!L$4:L$291,'Resultat-Produktion &amp; forbrug'!$A$4:$A$291,'Produktion &amp; forbrug'!$A26,'Resultat-Produktion &amp; forbrug'!$E$4:$E$291,'Produktion &amp; forbrug'!$F26)</f>
        <v>0</v>
      </c>
      <c r="M26" s="94">
        <f>SUMIFS('Resultat-Produktion &amp; forbrug'!M$4:M$291,'Resultat-Produktion &amp; forbrug'!$A$4:$A$291,'Produktion &amp; forbrug'!$A26,'Resultat-Produktion &amp; forbrug'!$E$4:$E$291,'Produktion &amp; forbrug'!$F26)</f>
        <v>0</v>
      </c>
      <c r="N26" s="94">
        <f>SUMIFS('Resultat-Produktion &amp; forbrug'!N$4:N$291,'Resultat-Produktion &amp; forbrug'!$A$4:$A$291,'Produktion &amp; forbrug'!$A26,'Resultat-Produktion &amp; forbrug'!$E$4:$E$291,'Produktion &amp; forbrug'!$F26)</f>
        <v>0</v>
      </c>
      <c r="O26" s="179">
        <f t="shared" si="3"/>
        <v>2221133.134620294</v>
      </c>
      <c r="P26" s="94">
        <f t="shared" si="4"/>
        <v>2221133.134620294</v>
      </c>
      <c r="Q26" s="180">
        <f t="shared" si="5"/>
        <v>3786</v>
      </c>
      <c r="R26">
        <f>IFERROR(VLOOKUP(A26,[1]Energiindhold!$A$2:$C$11,3,FALSE),IFERROR(VLOOKUP(A26,[1]Biogasudbytte!$A$2:$B$18,2,FALSE)*[1]Energiindhold!$C$10,0))*P26</f>
        <v>7.6070700274356611</v>
      </c>
      <c r="S26">
        <f>IF(A26&lt;&gt;"Biogas",IFERROR(VLOOKUP(A26,[1]Biogasudbytte!$A$2:$B$18,2,FALSE)*[1]Energiindhold!$C$10,0)*K26*IFERROR(VLOOKUP(A26,Biogasanlæg!$F$3:$G$8,2,FALSE),1)+IFERROR(VLOOKUP(A26,[1]Energiindhold!$A$2:$C$11,3,FALSE),0)*M26+IF(F26&lt;&gt;År1,R26,0),0)</f>
        <v>1.2966519960000002E-2</v>
      </c>
      <c r="T26">
        <f>IFERROR(VLOOKUP(A26,[1]Biogasudbytte!$A$2:$B$18,2,FALSE)*[1]Energiindhold!$C$10,0)*K26*IFERROR(VLOOKUP(A26,Biogasanlæg!$F$3:$G$8,2,FALSE),1)</f>
        <v>1.2966519960000002E-2</v>
      </c>
      <c r="U26" s="170">
        <f t="shared" si="6"/>
        <v>0</v>
      </c>
      <c r="V26" s="169">
        <f>P26*IFERROR(VLOOKUP(A26,[1]Tørstofindhold!A$2:B$24,2,FALSE),0)</f>
        <v>688551.27173229109</v>
      </c>
      <c r="W26">
        <f>IF(F26=År1,Q26,SUM(P26,Q26))*IFERROR(VLOOKUP(A26,[1]Tørstofindhold!A$2:B$24,2,FALSE),0)</f>
        <v>1173.6600000000001</v>
      </c>
      <c r="X26">
        <f>K26*IFERROR(VLOOKUP(A26,[1]Tørstofindhold!A$2:B$24,2,FALSE),0)</f>
        <v>1173.6600000000001</v>
      </c>
      <c r="Y26" s="170">
        <f t="shared" si="7"/>
        <v>0</v>
      </c>
      <c r="Z26">
        <f t="shared" si="0"/>
        <v>0</v>
      </c>
      <c r="AA26">
        <f t="shared" si="1"/>
        <v>1</v>
      </c>
      <c r="AC26" s="94">
        <f t="shared" si="8"/>
        <v>2507463.0394572429</v>
      </c>
      <c r="AD26">
        <f>AC26*E26*10000*VLOOKUP(A26,[1]kcal!$A$2:$C$49,3,FALSE)/1000000000000*IFERROR(VLOOKUP(A26,'Kategorisering af kcal'!$A$2:$E$18,MATCH('Produktion &amp; forbrug'!F26,'Kategorisering af kcal'!$A$1:$E$1,0),FALSE),0)</f>
        <v>5.8276923337790398</v>
      </c>
      <c r="AE26">
        <f>IF(C26&lt;&gt;"",AC26*(1-VLOOKUP(A26,'Kategorisering af kcal'!$A$2:$E$18,MATCH('Produktion &amp; forbrug'!F26,'Kategorisering af kcal'!$A$1:$E$1,0),FALSE)),'Produktion &amp; forbrug'!AC26)</f>
        <v>0</v>
      </c>
      <c r="AF26" s="94">
        <f t="shared" si="9"/>
        <v>2507463.0394572429</v>
      </c>
    </row>
    <row r="27" spans="1:32" x14ac:dyDescent="0.25">
      <c r="A27" s="171" t="s">
        <v>115</v>
      </c>
      <c r="B27" s="171"/>
      <c r="C27" s="171" t="str">
        <f>IFERROR(VLOOKUP(A27,'Kategorisering af kcal'!$A$2:$B$18,2,FALSE),"")</f>
        <v/>
      </c>
      <c r="D27" s="171">
        <f>IF(COUNTIFS('Resultater - Danmark'!$D$3:$D$504,'Produktion &amp; forbrug'!A27,'Resultater - Danmark'!$A$3:$A$504,"Til energi")+COUNTIFS('Resultater - Danmark'!$D$3:$D$504,'Produktion &amp; forbrug'!A27,'Resultater - Danmark'!$A$3:$A$504,"Biogasanlæg")&gt;0,1,0)</f>
        <v>0</v>
      </c>
      <c r="E27" s="171">
        <v>0</v>
      </c>
      <c r="F27" s="171">
        <f t="shared" si="2"/>
        <v>2019</v>
      </c>
      <c r="G27" s="94">
        <f>SUMIFS('Resultat-Produktion &amp; forbrug'!G$4:G$291,'Resultat-Produktion &amp; forbrug'!$A$4:$A$291,'Produktion &amp; forbrug'!$A27,'Resultat-Produktion &amp; forbrug'!$E$4:$E$291,'Produktion &amp; forbrug'!$F27)</f>
        <v>0</v>
      </c>
      <c r="H27" s="94">
        <f>SUMIFS('Resultat-Produktion &amp; forbrug'!H$4:H$291,'Resultat-Produktion &amp; forbrug'!$A$4:$A$291,'Produktion &amp; forbrug'!$A27,'Resultat-Produktion &amp; forbrug'!$E$4:$E$291,'Produktion &amp; forbrug'!$F27)</f>
        <v>0</v>
      </c>
      <c r="I27" s="94">
        <f>SUMIFS('Resultat-Produktion &amp; forbrug'!I$4:I$291,'Resultat-Produktion &amp; forbrug'!$A$4:$A$291,'Produktion &amp; forbrug'!$A27,'Resultat-Produktion &amp; forbrug'!$E$4:$E$291,'Produktion &amp; forbrug'!$F27)</f>
        <v>0</v>
      </c>
      <c r="J27" s="94">
        <f>SUMIFS('Resultat-Produktion &amp; forbrug'!J$4:J$291,'Resultat-Produktion &amp; forbrug'!$A$4:$A$291,'Produktion &amp; forbrug'!$A27,'Resultat-Produktion &amp; forbrug'!$E$4:$E$291,'Produktion &amp; forbrug'!$F27)</f>
        <v>0</v>
      </c>
      <c r="K27" s="94">
        <f>SUMIFS('Resultat-Produktion &amp; forbrug'!K$4:K$291,'Resultat-Produktion &amp; forbrug'!$A$4:$A$291,'Produktion &amp; forbrug'!$A27,'Resultat-Produktion &amp; forbrug'!$E$4:$E$291,'Produktion &amp; forbrug'!$F27)</f>
        <v>0</v>
      </c>
      <c r="L27" s="94">
        <f ca="1">SUMIFS('Resultat-Produktion &amp; forbrug'!L$4:L$291,'Resultat-Produktion &amp; forbrug'!$A$4:$A$291,'Produktion &amp; forbrug'!$A27,'Resultat-Produktion &amp; forbrug'!$E$4:$E$291,'Produktion &amp; forbrug'!$F27)</f>
        <v>944817.29105430027</v>
      </c>
      <c r="M27" s="94">
        <f>SUMIFS('Resultat-Produktion &amp; forbrug'!M$4:M$291,'Resultat-Produktion &amp; forbrug'!$A$4:$A$291,'Produktion &amp; forbrug'!$A27,'Resultat-Produktion &amp; forbrug'!$E$4:$E$291,'Produktion &amp; forbrug'!$F27)</f>
        <v>0</v>
      </c>
      <c r="N27" s="94">
        <f>SUMIFS('Resultat-Produktion &amp; forbrug'!N$4:N$291,'Resultat-Produktion &amp; forbrug'!$A$4:$A$291,'Produktion &amp; forbrug'!$A27,'Resultat-Produktion &amp; forbrug'!$E$4:$E$291,'Produktion &amp; forbrug'!$F27)</f>
        <v>0</v>
      </c>
      <c r="O27" s="179">
        <f t="shared" ca="1" si="3"/>
        <v>-944817.29105430027</v>
      </c>
      <c r="P27" s="94">
        <f t="shared" si="4"/>
        <v>0</v>
      </c>
      <c r="Q27" s="180">
        <f t="shared" si="5"/>
        <v>0</v>
      </c>
      <c r="R27">
        <f>IFERROR(VLOOKUP(A27,[1]Energiindhold!$A$2:$C$11,3,FALSE),IFERROR(VLOOKUP(A27,[1]Biogasudbytte!$A$2:$B$18,2,FALSE)*[1]Energiindhold!$C$10,0))*P27</f>
        <v>0</v>
      </c>
      <c r="S27">
        <f>IF(A27&lt;&gt;"Biogas",IFERROR(VLOOKUP(A27,[1]Biogasudbytte!$A$2:$B$18,2,FALSE)*[1]Energiindhold!$C$10,0)*K27*IFERROR(VLOOKUP(A27,Biogasanlæg!$F$3:$G$8,2,FALSE),1)+IFERROR(VLOOKUP(A27,[1]Energiindhold!$A$2:$C$11,3,FALSE),0)*M27+IF(F27&lt;&gt;År1,R27,0),0)</f>
        <v>0</v>
      </c>
      <c r="T27">
        <f>IFERROR(VLOOKUP(A27,[1]Biogasudbytte!$A$2:$B$18,2,FALSE)*[1]Energiindhold!$C$10,0)*K27*IFERROR(VLOOKUP(A27,Biogasanlæg!$F$3:$G$8,2,FALSE),1)</f>
        <v>0</v>
      </c>
      <c r="U27" s="170">
        <f t="shared" si="6"/>
        <v>0</v>
      </c>
      <c r="V27" s="169">
        <f>P27*IFERROR(VLOOKUP(A27,[1]Tørstofindhold!A$2:B$24,2,FALSE),0)</f>
        <v>0</v>
      </c>
      <c r="W27">
        <f>IF(F27=År1,Q27,SUM(P27,Q27))*IFERROR(VLOOKUP(A27,[1]Tørstofindhold!A$2:B$24,2,FALSE),0)</f>
        <v>0</v>
      </c>
      <c r="X27">
        <f>K27*IFERROR(VLOOKUP(A27,[1]Tørstofindhold!A$2:B$24,2,FALSE),0)</f>
        <v>0</v>
      </c>
      <c r="Y27" s="170">
        <f t="shared" si="7"/>
        <v>0</v>
      </c>
      <c r="Z27">
        <f t="shared" ca="1" si="0"/>
        <v>1</v>
      </c>
      <c r="AA27">
        <f t="shared" ca="1" si="1"/>
        <v>0</v>
      </c>
      <c r="AC27" s="94">
        <f t="shared" ca="1" si="8"/>
        <v>-944817.29105430027</v>
      </c>
      <c r="AD27">
        <f ca="1">AC27*E27*10000*VLOOKUP(A27,[1]kcal!$A$2:$C$49,3,FALSE)/1000000000000*IFERROR(VLOOKUP(A27,'Kategorisering af kcal'!$A$2:$E$18,MATCH('Produktion &amp; forbrug'!F27,'Kategorisering af kcal'!$A$1:$E$1,0),FALSE),0)</f>
        <v>0</v>
      </c>
      <c r="AE27">
        <f ca="1">IF(C27&lt;&gt;"",AC27*(1-VLOOKUP(A27,'Kategorisering af kcal'!$A$2:$E$18,MATCH('Produktion &amp; forbrug'!F27,'Kategorisering af kcal'!$A$1:$E$1,0),FALSE)),'Produktion &amp; forbrug'!AC27)</f>
        <v>-944817.29105430027</v>
      </c>
      <c r="AF27" s="94">
        <f t="shared" ca="1" si="9"/>
        <v>0</v>
      </c>
    </row>
    <row r="28" spans="1:32" x14ac:dyDescent="0.25">
      <c r="A28" s="171" t="s">
        <v>136</v>
      </c>
      <c r="B28" s="171" t="s">
        <v>221</v>
      </c>
      <c r="C28" s="171" t="str">
        <f>IFERROR(VLOOKUP(A28,'Kategorisering af kcal'!$A$2:$B$18,2,FALSE),"")</f>
        <v/>
      </c>
      <c r="D28" s="171">
        <f>IF(COUNTIFS('Resultater - Danmark'!$D$3:$D$504,'Produktion &amp; forbrug'!A28,'Resultater - Danmark'!$A$3:$A$504,"Til energi")+COUNTIFS('Resultater - Danmark'!$D$3:$D$504,'Produktion &amp; forbrug'!A28,'Resultater - Danmark'!$A$3:$A$504,"Biogasanlæg")&gt;0,1,0)</f>
        <v>1</v>
      </c>
      <c r="E28" s="171">
        <v>0</v>
      </c>
      <c r="F28" s="171">
        <f t="shared" si="2"/>
        <v>2019</v>
      </c>
      <c r="G28" s="94">
        <f>SUMIFS('Resultat-Produktion &amp; forbrug'!G$4:G$291,'Resultat-Produktion &amp; forbrug'!$A$4:$A$291,'Produktion &amp; forbrug'!$A28,'Resultat-Produktion &amp; forbrug'!$E$4:$E$291,'Produktion &amp; forbrug'!$F28)</f>
        <v>14050000</v>
      </c>
      <c r="H28" s="94">
        <f>SUMIFS('Resultat-Produktion &amp; forbrug'!H$4:H$291,'Resultat-Produktion &amp; forbrug'!$A$4:$A$291,'Produktion &amp; forbrug'!$A28,'Resultat-Produktion &amp; forbrug'!$E$4:$E$291,'Produktion &amp; forbrug'!$F28)</f>
        <v>0</v>
      </c>
      <c r="I28" s="94">
        <f>SUMIFS('Resultat-Produktion &amp; forbrug'!I$4:I$291,'Resultat-Produktion &amp; forbrug'!$A$4:$A$291,'Produktion &amp; forbrug'!$A28,'Resultat-Produktion &amp; forbrug'!$E$4:$E$291,'Produktion &amp; forbrug'!$F28)</f>
        <v>0</v>
      </c>
      <c r="J28" s="94">
        <f>SUMIFS('Resultat-Produktion &amp; forbrug'!J$4:J$291,'Resultat-Produktion &amp; forbrug'!$A$4:$A$291,'Produktion &amp; forbrug'!$A28,'Resultat-Produktion &amp; forbrug'!$E$4:$E$291,'Produktion &amp; forbrug'!$F28)</f>
        <v>0</v>
      </c>
      <c r="K28" s="94">
        <f>SUMIFS('Resultat-Produktion &amp; forbrug'!K$4:K$291,'Resultat-Produktion &amp; forbrug'!$A$4:$A$291,'Produktion &amp; forbrug'!$A28,'Resultat-Produktion &amp; forbrug'!$E$4:$E$291,'Produktion &amp; forbrug'!$F28)</f>
        <v>4353509.666666667</v>
      </c>
      <c r="L28" s="94">
        <f>SUMIFS('Resultat-Produktion &amp; forbrug'!L$4:L$291,'Resultat-Produktion &amp; forbrug'!$A$4:$A$291,'Produktion &amp; forbrug'!$A28,'Resultat-Produktion &amp; forbrug'!$E$4:$E$291,'Produktion &amp; forbrug'!$F28)</f>
        <v>9696490.333333334</v>
      </c>
      <c r="M28" s="94">
        <f>SUMIFS('Resultat-Produktion &amp; forbrug'!M$4:M$291,'Resultat-Produktion &amp; forbrug'!$A$4:$A$291,'Produktion &amp; forbrug'!$A28,'Resultat-Produktion &amp; forbrug'!$E$4:$E$291,'Produktion &amp; forbrug'!$F28)</f>
        <v>0</v>
      </c>
      <c r="N28" s="94">
        <f>SUMIFS('Resultat-Produktion &amp; forbrug'!N$4:N$291,'Resultat-Produktion &amp; forbrug'!$A$4:$A$291,'Produktion &amp; forbrug'!$A28,'Resultat-Produktion &amp; forbrug'!$E$4:$E$291,'Produktion &amp; forbrug'!$F28)</f>
        <v>0</v>
      </c>
      <c r="O28" s="179">
        <f t="shared" si="3"/>
        <v>0</v>
      </c>
      <c r="P28" s="94">
        <f t="shared" si="4"/>
        <v>0</v>
      </c>
      <c r="Q28" s="180">
        <f t="shared" si="5"/>
        <v>4353509.666666667</v>
      </c>
      <c r="R28">
        <f>IFERROR(VLOOKUP(A28,[1]Energiindhold!$A$2:$C$11,3,FALSE),IFERROR(VLOOKUP(A28,[1]Biogasudbytte!$A$2:$B$18,2,FALSE)*[1]Energiindhold!$C$10,0))*P28</f>
        <v>0</v>
      </c>
      <c r="S28">
        <f>IF(A28&lt;&gt;"Biogas",IFERROR(VLOOKUP(A28,[1]Biogasudbytte!$A$2:$B$18,2,FALSE)*[1]Energiindhold!$C$10,0)*K28*IFERROR(VLOOKUP(A28,Biogasanlæg!$F$3:$G$8,2,FALSE),1)+IFERROR(VLOOKUP(A28,[1]Energiindhold!$A$2:$C$11,3,FALSE),0)*M28+IF(F28&lt;&gt;År1,R28,0),0)</f>
        <v>2.2037030581700003</v>
      </c>
      <c r="T28">
        <f>IFERROR(VLOOKUP(A28,[1]Biogasudbytte!$A$2:$B$18,2,FALSE)*[1]Energiindhold!$C$10,0)*K28*IFERROR(VLOOKUP(A28,Biogasanlæg!$F$3:$G$8,2,FALSE),1)</f>
        <v>2.2037030581700003</v>
      </c>
      <c r="U28" s="170">
        <f t="shared" si="6"/>
        <v>0</v>
      </c>
      <c r="V28" s="169">
        <f>P28*IFERROR(VLOOKUP(A28,[1]Tørstofindhold!A$2:B$24,2,FALSE),0)</f>
        <v>0</v>
      </c>
      <c r="W28">
        <f>IF(F28=År1,Q28,SUM(P28,Q28))*IFERROR(VLOOKUP(A28,[1]Tørstofindhold!A$2:B$24,2,FALSE),0)</f>
        <v>330866.73466666666</v>
      </c>
      <c r="X28">
        <f>K28*IFERROR(VLOOKUP(A28,[1]Tørstofindhold!A$2:B$24,2,FALSE),0)</f>
        <v>330866.73466666666</v>
      </c>
      <c r="Y28" s="170">
        <f t="shared" si="7"/>
        <v>0</v>
      </c>
      <c r="Z28">
        <f t="shared" si="0"/>
        <v>0</v>
      </c>
      <c r="AA28">
        <f t="shared" si="1"/>
        <v>0</v>
      </c>
      <c r="AC28" s="94">
        <f t="shared" si="8"/>
        <v>0</v>
      </c>
      <c r="AD28">
        <f>AC28*E28*10000*VLOOKUP(A28,[1]kcal!$A$2:$C$49,3,FALSE)/1000000000000*IFERROR(VLOOKUP(A28,'Kategorisering af kcal'!$A$2:$E$18,MATCH('Produktion &amp; forbrug'!F28,'Kategorisering af kcal'!$A$1:$E$1,0),FALSE),0)</f>
        <v>0</v>
      </c>
      <c r="AE28">
        <f>IF(C28&lt;&gt;"",AC28*(1-VLOOKUP(A28,'Kategorisering af kcal'!$A$2:$E$18,MATCH('Produktion &amp; forbrug'!F28,'Kategorisering af kcal'!$A$1:$E$1,0),FALSE)),'Produktion &amp; forbrug'!AC28)</f>
        <v>0</v>
      </c>
      <c r="AF28" s="94">
        <f t="shared" si="9"/>
        <v>0</v>
      </c>
    </row>
    <row r="29" spans="1:32" x14ac:dyDescent="0.25">
      <c r="A29" s="171" t="s">
        <v>108</v>
      </c>
      <c r="B29" s="171"/>
      <c r="C29" s="171" t="str">
        <f>IFERROR(VLOOKUP(A29,'Kategorisering af kcal'!$A$2:$B$18,2,FALSE),"")</f>
        <v/>
      </c>
      <c r="D29" s="171">
        <f>IF(COUNTIFS('Resultater - Danmark'!$D$3:$D$504,'Produktion &amp; forbrug'!A29,'Resultater - Danmark'!$A$3:$A$504,"Til energi")+COUNTIFS('Resultater - Danmark'!$D$3:$D$504,'Produktion &amp; forbrug'!A29,'Resultater - Danmark'!$A$3:$A$504,"Biogasanlæg")&gt;0,1,0)</f>
        <v>0</v>
      </c>
      <c r="E29" s="171">
        <v>0</v>
      </c>
      <c r="F29" s="171">
        <f t="shared" si="2"/>
        <v>2019</v>
      </c>
      <c r="G29" s="94">
        <f>SUMIFS('Resultat-Produktion &amp; forbrug'!G$4:G$291,'Resultat-Produktion &amp; forbrug'!$A$4:$A$291,'Produktion &amp; forbrug'!$A29,'Resultat-Produktion &amp; forbrug'!$E$4:$E$291,'Produktion &amp; forbrug'!$F29)</f>
        <v>1753646.8000000003</v>
      </c>
      <c r="H29" s="94">
        <f>SUMIFS('Resultat-Produktion &amp; forbrug'!H$4:H$291,'Resultat-Produktion &amp; forbrug'!$A$4:$A$291,'Produktion &amp; forbrug'!$A29,'Resultat-Produktion &amp; forbrug'!$E$4:$E$291,'Produktion &amp; forbrug'!$F29)</f>
        <v>1701754.6673799041</v>
      </c>
      <c r="I29" s="94">
        <f>SUMIFS('Resultat-Produktion &amp; forbrug'!I$4:I$291,'Resultat-Produktion &amp; forbrug'!$A$4:$A$291,'Produktion &amp; forbrug'!$A29,'Resultat-Produktion &amp; forbrug'!$E$4:$E$291,'Produktion &amp; forbrug'!$F29)</f>
        <v>0</v>
      </c>
      <c r="J29" s="94">
        <f>SUMIFS('Resultat-Produktion &amp; forbrug'!J$4:J$291,'Resultat-Produktion &amp; forbrug'!$A$4:$A$291,'Produktion &amp; forbrug'!$A29,'Resultat-Produktion &amp; forbrug'!$E$4:$E$291,'Produktion &amp; forbrug'!$F29)</f>
        <v>0</v>
      </c>
      <c r="K29" s="94">
        <f>SUMIFS('Resultat-Produktion &amp; forbrug'!K$4:K$291,'Resultat-Produktion &amp; forbrug'!$A$4:$A$291,'Produktion &amp; forbrug'!$A29,'Resultat-Produktion &amp; forbrug'!$E$4:$E$291,'Produktion &amp; forbrug'!$F29)</f>
        <v>0</v>
      </c>
      <c r="L29" s="94">
        <f>SUMIFS('Resultat-Produktion &amp; forbrug'!L$4:L$291,'Resultat-Produktion &amp; forbrug'!$A$4:$A$291,'Produktion &amp; forbrug'!$A29,'Resultat-Produktion &amp; forbrug'!$E$4:$E$291,'Produktion &amp; forbrug'!$F29)</f>
        <v>0</v>
      </c>
      <c r="M29" s="94">
        <f>SUMIFS('Resultat-Produktion &amp; forbrug'!M$4:M$291,'Resultat-Produktion &amp; forbrug'!$A$4:$A$291,'Produktion &amp; forbrug'!$A29,'Resultat-Produktion &amp; forbrug'!$E$4:$E$291,'Produktion &amp; forbrug'!$F29)</f>
        <v>0</v>
      </c>
      <c r="N29" s="94">
        <f>SUMIFS('Resultat-Produktion &amp; forbrug'!N$4:N$291,'Resultat-Produktion &amp; forbrug'!$A$4:$A$291,'Produktion &amp; forbrug'!$A29,'Resultat-Produktion &amp; forbrug'!$E$4:$E$291,'Produktion &amp; forbrug'!$F29)</f>
        <v>0</v>
      </c>
      <c r="O29" s="179">
        <f t="shared" si="3"/>
        <v>51892.132620096207</v>
      </c>
      <c r="P29" s="94">
        <f t="shared" si="4"/>
        <v>0</v>
      </c>
      <c r="Q29" s="180">
        <f t="shared" si="5"/>
        <v>0</v>
      </c>
      <c r="R29">
        <f>IFERROR(VLOOKUP(A29,[1]Energiindhold!$A$2:$C$11,3,FALSE),IFERROR(VLOOKUP(A29,[1]Biogasudbytte!$A$2:$B$18,2,FALSE)*[1]Energiindhold!$C$10,0))*P29</f>
        <v>0</v>
      </c>
      <c r="S29">
        <f>IF(A29&lt;&gt;"Biogas",IFERROR(VLOOKUP(A29,[1]Biogasudbytte!$A$2:$B$18,2,FALSE)*[1]Energiindhold!$C$10,0)*K29*IFERROR(VLOOKUP(A29,Biogasanlæg!$F$3:$G$8,2,FALSE),1)+IFERROR(VLOOKUP(A29,[1]Energiindhold!$A$2:$C$11,3,FALSE),0)*M29+IF(F29&lt;&gt;År1,R29,0),0)</f>
        <v>0</v>
      </c>
      <c r="T29">
        <f>IFERROR(VLOOKUP(A29,[1]Biogasudbytte!$A$2:$B$18,2,FALSE)*[1]Energiindhold!$C$10,0)*K29*IFERROR(VLOOKUP(A29,Biogasanlæg!$F$3:$G$8,2,FALSE),1)</f>
        <v>0</v>
      </c>
      <c r="U29" s="170">
        <f t="shared" si="6"/>
        <v>0</v>
      </c>
      <c r="V29" s="169">
        <f>P29*IFERROR(VLOOKUP(A29,[1]Tørstofindhold!A$2:B$24,2,FALSE),0)</f>
        <v>0</v>
      </c>
      <c r="W29">
        <f>IF(F29=År1,Q29,SUM(P29,Q29))*IFERROR(VLOOKUP(A29,[1]Tørstofindhold!A$2:B$24,2,FALSE),0)</f>
        <v>0</v>
      </c>
      <c r="X29">
        <f>K29*IFERROR(VLOOKUP(A29,[1]Tørstofindhold!A$2:B$24,2,FALSE),0)</f>
        <v>0</v>
      </c>
      <c r="Y29" s="170">
        <f t="shared" si="7"/>
        <v>0</v>
      </c>
      <c r="Z29">
        <f t="shared" si="0"/>
        <v>0</v>
      </c>
      <c r="AA29">
        <f t="shared" si="1"/>
        <v>1</v>
      </c>
      <c r="AC29" s="94">
        <f t="shared" si="8"/>
        <v>51892.132620096207</v>
      </c>
      <c r="AD29">
        <f>AC29*E29*10000*VLOOKUP(A29,[1]kcal!$A$2:$C$49,3,FALSE)/1000000000000*IFERROR(VLOOKUP(A29,'Kategorisering af kcal'!$A$2:$E$18,MATCH('Produktion &amp; forbrug'!F29,'Kategorisering af kcal'!$A$1:$E$1,0),FALSE),0)</f>
        <v>0</v>
      </c>
      <c r="AE29">
        <f>IF(C29&lt;&gt;"",AC29*(1-VLOOKUP(A29,'Kategorisering af kcal'!$A$2:$E$18,MATCH('Produktion &amp; forbrug'!F29,'Kategorisering af kcal'!$A$1:$E$1,0),FALSE)),'Produktion &amp; forbrug'!AC29)</f>
        <v>51892.132620096207</v>
      </c>
      <c r="AF29" s="94">
        <f t="shared" si="9"/>
        <v>0</v>
      </c>
    </row>
    <row r="30" spans="1:32" x14ac:dyDescent="0.25">
      <c r="A30" t="s">
        <v>53</v>
      </c>
      <c r="B30" s="171" t="s">
        <v>223</v>
      </c>
      <c r="C30" s="171" t="str">
        <f>IFERROR(VLOOKUP(A30,'Kategorisering af kcal'!$A$2:$B$18,2,FALSE),"")</f>
        <v>Korn</v>
      </c>
      <c r="D30" s="171">
        <f>IF(COUNTIFS('Resultater - Danmark'!$D$3:$D$504,'Produktion &amp; forbrug'!A30,'Resultater - Danmark'!$A$3:$A$504,"Til energi")+COUNTIFS('Resultater - Danmark'!$D$3:$D$504,'Produktion &amp; forbrug'!A30,'Resultater - Danmark'!$A$3:$A$504,"Biogasanlæg")&gt;0,1,0)</f>
        <v>1</v>
      </c>
      <c r="E30" s="171">
        <v>1</v>
      </c>
      <c r="F30" s="171">
        <f t="shared" si="2"/>
        <v>2019</v>
      </c>
      <c r="G30" s="94">
        <f>SUMIFS('Resultat-Produktion &amp; forbrug'!G$4:G$291,'Resultat-Produktion &amp; forbrug'!$A$4:$A$291,'Produktion &amp; forbrug'!$A30,'Resultat-Produktion &amp; forbrug'!$E$4:$E$291,'Produktion &amp; forbrug'!$F30)</f>
        <v>7955921.1296188012</v>
      </c>
      <c r="H30" s="94">
        <f>SUMIFS('Resultat-Produktion &amp; forbrug'!H$4:H$291,'Resultat-Produktion &amp; forbrug'!$A$4:$A$291,'Produktion &amp; forbrug'!$A30,'Resultat-Produktion &amp; forbrug'!$E$4:$E$291,'Produktion &amp; forbrug'!$F30)</f>
        <v>6351407.0475792512</v>
      </c>
      <c r="I30" s="94">
        <f>SUMIFS('Resultat-Produktion &amp; forbrug'!I$4:I$291,'Resultat-Produktion &amp; forbrug'!$A$4:$A$291,'Produktion &amp; forbrug'!$A30,'Resultat-Produktion &amp; forbrug'!$E$4:$E$291,'Produktion &amp; forbrug'!$F30)</f>
        <v>0</v>
      </c>
      <c r="J30" s="94">
        <f>SUMIFS('Resultat-Produktion &amp; forbrug'!J$4:J$291,'Resultat-Produktion &amp; forbrug'!$A$4:$A$291,'Produktion &amp; forbrug'!$A30,'Resultat-Produktion &amp; forbrug'!$E$4:$E$291,'Produktion &amp; forbrug'!$F30)</f>
        <v>0</v>
      </c>
      <c r="K30" s="94">
        <f>SUMIFS('Resultat-Produktion &amp; forbrug'!K$4:K$291,'Resultat-Produktion &amp; forbrug'!$A$4:$A$291,'Produktion &amp; forbrug'!$A30,'Resultat-Produktion &amp; forbrug'!$E$4:$E$291,'Produktion &amp; forbrug'!$F30)</f>
        <v>330026.00000000006</v>
      </c>
      <c r="L30" s="94">
        <f>SUMIFS('Resultat-Produktion &amp; forbrug'!L$4:L$291,'Resultat-Produktion &amp; forbrug'!$A$4:$A$291,'Produktion &amp; forbrug'!$A30,'Resultat-Produktion &amp; forbrug'!$E$4:$E$291,'Produktion &amp; forbrug'!$F30)</f>
        <v>0</v>
      </c>
      <c r="M30" s="94">
        <f>SUMIFS('Resultat-Produktion &amp; forbrug'!M$4:M$291,'Resultat-Produktion &amp; forbrug'!$A$4:$A$291,'Produktion &amp; forbrug'!$A30,'Resultat-Produktion &amp; forbrug'!$E$4:$E$291,'Produktion &amp; forbrug'!$F30)</f>
        <v>0</v>
      </c>
      <c r="N30" s="94">
        <f>SUMIFS('Resultat-Produktion &amp; forbrug'!N$4:N$291,'Resultat-Produktion &amp; forbrug'!$A$4:$A$291,'Produktion &amp; forbrug'!$A30,'Resultat-Produktion &amp; forbrug'!$E$4:$E$291,'Produktion &amp; forbrug'!$F30)</f>
        <v>0</v>
      </c>
      <c r="O30" s="179">
        <f t="shared" si="3"/>
        <v>1274488.0820395499</v>
      </c>
      <c r="P30" s="94">
        <f t="shared" si="4"/>
        <v>1274488.0820395499</v>
      </c>
      <c r="Q30" s="180">
        <f t="shared" si="5"/>
        <v>330026.00000000006</v>
      </c>
      <c r="R30">
        <f>IFERROR(VLOOKUP(A30,[1]Energiindhold!$A$2:$C$11,3,FALSE),IFERROR(VLOOKUP(A30,[1]Biogasudbytte!$A$2:$B$18,2,FALSE)*[1]Energiindhold!$C$10,0))*P30</f>
        <v>4.5754122145219851</v>
      </c>
      <c r="S30">
        <f>IF(A30&lt;&gt;"Biogas",IFERROR(VLOOKUP(A30,[1]Biogasudbytte!$A$2:$B$18,2,FALSE)*[1]Energiindhold!$C$10,0)*K30*IFERROR(VLOOKUP(A30,Biogasanlæg!$F$3:$G$8,2,FALSE),1)+IFERROR(VLOOKUP(A30,[1]Energiindhold!$A$2:$C$11,3,FALSE),0)*M30+IF(F30&lt;&gt;År1,R30,0),0)</f>
        <v>1.1847933400000004</v>
      </c>
      <c r="T30">
        <f>IFERROR(VLOOKUP(A30,[1]Biogasudbytte!$A$2:$B$18,2,FALSE)*[1]Energiindhold!$C$10,0)*K30*IFERROR(VLOOKUP(A30,Biogasanlæg!$F$3:$G$8,2,FALSE),1)</f>
        <v>1.1847933400000004</v>
      </c>
      <c r="U30" s="170">
        <f t="shared" si="6"/>
        <v>0</v>
      </c>
      <c r="V30" s="169">
        <f>P30*IFERROR(VLOOKUP(A30,[1]Tørstofindhold!A$2:B$24,2,FALSE),0)</f>
        <v>382346.42461186496</v>
      </c>
      <c r="W30">
        <f>IF(F30=År1,Q30,SUM(P30,Q30))*IFERROR(VLOOKUP(A30,[1]Tørstofindhold!A$2:B$24,2,FALSE),0)</f>
        <v>99007.800000000017</v>
      </c>
      <c r="X30">
        <f>K30*IFERROR(VLOOKUP(A30,[1]Tørstofindhold!A$2:B$24,2,FALSE),0)</f>
        <v>99007.800000000017</v>
      </c>
      <c r="Y30" s="170">
        <f t="shared" si="7"/>
        <v>0</v>
      </c>
      <c r="Z30">
        <f t="shared" si="0"/>
        <v>0</v>
      </c>
      <c r="AA30">
        <f t="shared" si="1"/>
        <v>1</v>
      </c>
      <c r="AC30" s="94">
        <f t="shared" si="8"/>
        <v>1274488.0820395499</v>
      </c>
      <c r="AD30">
        <f>AC30*E30*10000*VLOOKUP(A30,[1]kcal!$A$2:$C$49,3,FALSE)/1000000000000*IFERROR(VLOOKUP(A30,'Kategorisering af kcal'!$A$2:$E$18,MATCH('Produktion &amp; forbrug'!F30,'Kategorisering af kcal'!$A$1:$E$1,0),FALSE),0)</f>
        <v>1.1597841546559904</v>
      </c>
      <c r="AE30">
        <f>IF(C30&lt;&gt;"",AC30*(1-VLOOKUP(A30,'Kategorisering af kcal'!$A$2:$E$18,MATCH('Produktion &amp; forbrug'!F30,'Kategorisering af kcal'!$A$1:$E$1,0),FALSE)),'Produktion &amp; forbrug'!AC30)</f>
        <v>0</v>
      </c>
      <c r="AF30" s="94">
        <f t="shared" si="9"/>
        <v>1274488.0820395499</v>
      </c>
    </row>
    <row r="31" spans="1:32" x14ac:dyDescent="0.25">
      <c r="A31" s="171" t="s">
        <v>116</v>
      </c>
      <c r="B31" s="171"/>
      <c r="C31" s="171" t="str">
        <f>IFERROR(VLOOKUP(A31,'Kategorisering af kcal'!$A$2:$B$18,2,FALSE),"")</f>
        <v>Mejeriprodukter</v>
      </c>
      <c r="D31" s="171">
        <f>IF(COUNTIFS('Resultater - Danmark'!$D$3:$D$504,'Produktion &amp; forbrug'!A31,'Resultater - Danmark'!$A$3:$A$504,"Til energi")+COUNTIFS('Resultater - Danmark'!$D$3:$D$504,'Produktion &amp; forbrug'!A31,'Resultater - Danmark'!$A$3:$A$504,"Biogasanlæg")&gt;0,1,0)</f>
        <v>0</v>
      </c>
      <c r="E31" s="171">
        <v>1</v>
      </c>
      <c r="F31" s="171">
        <f t="shared" si="2"/>
        <v>2019</v>
      </c>
      <c r="G31" s="94">
        <f>SUMIFS('Resultat-Produktion &amp; forbrug'!G$4:G$291,'Resultat-Produktion &amp; forbrug'!$A$4:$A$291,'Produktion &amp; forbrug'!$A31,'Resultat-Produktion &amp; forbrug'!$E$4:$E$291,'Produktion &amp; forbrug'!$F31)</f>
        <v>3383628.2</v>
      </c>
      <c r="H31" s="94">
        <f>SUMIFS('Resultat-Produktion &amp; forbrug'!H$4:H$291,'Resultat-Produktion &amp; forbrug'!$A$4:$A$291,'Produktion &amp; forbrug'!$A31,'Resultat-Produktion &amp; forbrug'!$E$4:$E$291,'Produktion &amp; forbrug'!$F31)</f>
        <v>0</v>
      </c>
      <c r="I31" s="94">
        <f>SUMIFS('Resultat-Produktion &amp; forbrug'!I$4:I$291,'Resultat-Produktion &amp; forbrug'!$A$4:$A$291,'Produktion &amp; forbrug'!$A31,'Resultat-Produktion &amp; forbrug'!$E$4:$E$291,'Produktion &amp; forbrug'!$F31)</f>
        <v>0</v>
      </c>
      <c r="J31" s="94">
        <f>SUMIFS('Resultat-Produktion &amp; forbrug'!J$4:J$291,'Resultat-Produktion &amp; forbrug'!$A$4:$A$291,'Produktion &amp; forbrug'!$A31,'Resultat-Produktion &amp; forbrug'!$E$4:$E$291,'Produktion &amp; forbrug'!$F31)</f>
        <v>457077.09579476295</v>
      </c>
      <c r="K31" s="94">
        <f>SUMIFS('Resultat-Produktion &amp; forbrug'!K$4:K$291,'Resultat-Produktion &amp; forbrug'!$A$4:$A$291,'Produktion &amp; forbrug'!$A31,'Resultat-Produktion &amp; forbrug'!$E$4:$E$291,'Produktion &amp; forbrug'!$F31)</f>
        <v>0</v>
      </c>
      <c r="L31" s="94">
        <f>SUMIFS('Resultat-Produktion &amp; forbrug'!L$4:L$291,'Resultat-Produktion &amp; forbrug'!$A$4:$A$291,'Produktion &amp; forbrug'!$A31,'Resultat-Produktion &amp; forbrug'!$E$4:$E$291,'Produktion &amp; forbrug'!$F31)</f>
        <v>0</v>
      </c>
      <c r="M31" s="94">
        <f>SUMIFS('Resultat-Produktion &amp; forbrug'!M$4:M$291,'Resultat-Produktion &amp; forbrug'!$A$4:$A$291,'Produktion &amp; forbrug'!$A31,'Resultat-Produktion &amp; forbrug'!$E$4:$E$291,'Produktion &amp; forbrug'!$F31)</f>
        <v>0</v>
      </c>
      <c r="N31" s="94">
        <f>SUMIFS('Resultat-Produktion &amp; forbrug'!N$4:N$291,'Resultat-Produktion &amp; forbrug'!$A$4:$A$291,'Produktion &amp; forbrug'!$A31,'Resultat-Produktion &amp; forbrug'!$E$4:$E$291,'Produktion &amp; forbrug'!$F31)</f>
        <v>0</v>
      </c>
      <c r="O31" s="179">
        <f t="shared" si="3"/>
        <v>2926551.1042052372</v>
      </c>
      <c r="P31" s="94">
        <f t="shared" si="4"/>
        <v>0</v>
      </c>
      <c r="Q31" s="180">
        <f t="shared" si="5"/>
        <v>0</v>
      </c>
      <c r="R31">
        <f>IFERROR(VLOOKUP(A31,[1]Energiindhold!$A$2:$C$11,3,FALSE),IFERROR(VLOOKUP(A31,[1]Biogasudbytte!$A$2:$B$18,2,FALSE)*[1]Energiindhold!$C$10,0))*P31</f>
        <v>0</v>
      </c>
      <c r="S31">
        <f>IF(A31&lt;&gt;"Biogas",IFERROR(VLOOKUP(A31,[1]Biogasudbytte!$A$2:$B$18,2,FALSE)*[1]Energiindhold!$C$10,0)*K31*IFERROR(VLOOKUP(A31,Biogasanlæg!$F$3:$G$8,2,FALSE),1)+IFERROR(VLOOKUP(A31,[1]Energiindhold!$A$2:$C$11,3,FALSE),0)*M31+IF(F31&lt;&gt;År1,R31,0),0)</f>
        <v>0</v>
      </c>
      <c r="T31">
        <f>IFERROR(VLOOKUP(A31,[1]Biogasudbytte!$A$2:$B$18,2,FALSE)*[1]Energiindhold!$C$10,0)*K31*IFERROR(VLOOKUP(A31,Biogasanlæg!$F$3:$G$8,2,FALSE),1)</f>
        <v>0</v>
      </c>
      <c r="U31" s="170">
        <f t="shared" si="6"/>
        <v>0</v>
      </c>
      <c r="V31" s="169">
        <f>P31*IFERROR(VLOOKUP(A31,[1]Tørstofindhold!A$2:B$24,2,FALSE),0)</f>
        <v>0</v>
      </c>
      <c r="W31">
        <f>IF(F31=År1,Q31,SUM(P31,Q31))*IFERROR(VLOOKUP(A31,[1]Tørstofindhold!A$2:B$24,2,FALSE),0)</f>
        <v>0</v>
      </c>
      <c r="X31">
        <f>K31*IFERROR(VLOOKUP(A31,[1]Tørstofindhold!A$2:B$24,2,FALSE),0)</f>
        <v>0</v>
      </c>
      <c r="Y31" s="170">
        <f t="shared" si="7"/>
        <v>0</v>
      </c>
      <c r="Z31">
        <f t="shared" si="0"/>
        <v>0</v>
      </c>
      <c r="AA31">
        <f t="shared" si="1"/>
        <v>1</v>
      </c>
      <c r="AC31" s="94">
        <f t="shared" si="8"/>
        <v>3383628.2</v>
      </c>
      <c r="AD31">
        <f>AC31*E31*10000*VLOOKUP(A31,[1]kcal!$A$2:$C$49,3,FALSE)/1000000000000*IFERROR(VLOOKUP(A31,'Kategorisering af kcal'!$A$2:$E$18,MATCH('Produktion &amp; forbrug'!F31,'Kategorisering af kcal'!$A$1:$E$1,0),FALSE),0)</f>
        <v>2.1316857659999999</v>
      </c>
      <c r="AE31">
        <f>IF(C31&lt;&gt;"",AC31*(1-VLOOKUP(A31,'Kategorisering af kcal'!$A$2:$E$18,MATCH('Produktion &amp; forbrug'!F31,'Kategorisering af kcal'!$A$1:$E$1,0),FALSE)),'Produktion &amp; forbrug'!AC31)</f>
        <v>0</v>
      </c>
      <c r="AF31" s="94">
        <f t="shared" si="9"/>
        <v>3383628.2</v>
      </c>
    </row>
    <row r="32" spans="1:32" x14ac:dyDescent="0.25">
      <c r="A32" s="171" t="s">
        <v>106</v>
      </c>
      <c r="B32" s="171" t="s">
        <v>225</v>
      </c>
      <c r="C32" s="171" t="str">
        <f>IFERROR(VLOOKUP(A32,'Kategorisering af kcal'!$A$2:$B$18,2,FALSE),"")</f>
        <v>Fisk mm</v>
      </c>
      <c r="D32" s="171">
        <f>IF(COUNTIFS('Resultater - Danmark'!$D$3:$D$504,'Produktion &amp; forbrug'!A32,'Resultater - Danmark'!$A$3:$A$504,"Til energi")+COUNTIFS('Resultater - Danmark'!$D$3:$D$504,'Produktion &amp; forbrug'!A32,'Resultater - Danmark'!$A$3:$A$504,"Biogasanlæg")&gt;0,1,0)</f>
        <v>1</v>
      </c>
      <c r="E32" s="171">
        <v>1</v>
      </c>
      <c r="F32" s="171">
        <f t="shared" si="2"/>
        <v>2019</v>
      </c>
      <c r="G32" s="94">
        <f>SUMIFS('Resultat-Produktion &amp; forbrug'!G$4:G$291,'Resultat-Produktion &amp; forbrug'!$A$4:$A$291,'Produktion &amp; forbrug'!$A32,'Resultat-Produktion &amp; forbrug'!$E$4:$E$291,'Produktion &amp; forbrug'!$F32)</f>
        <v>880.09999999999991</v>
      </c>
      <c r="H32" s="94">
        <f>SUMIFS('Resultat-Produktion &amp; forbrug'!H$4:H$291,'Resultat-Produktion &amp; forbrug'!$A$4:$A$291,'Produktion &amp; forbrug'!$A32,'Resultat-Produktion &amp; forbrug'!$E$4:$E$291,'Produktion &amp; forbrug'!$F32)</f>
        <v>0</v>
      </c>
      <c r="I32" s="94">
        <f>SUMIFS('Resultat-Produktion &amp; forbrug'!I$4:I$291,'Resultat-Produktion &amp; forbrug'!$A$4:$A$291,'Produktion &amp; forbrug'!$A32,'Resultat-Produktion &amp; forbrug'!$E$4:$E$291,'Produktion &amp; forbrug'!$F32)</f>
        <v>0</v>
      </c>
      <c r="J32" s="94">
        <f>SUMIFS('Resultat-Produktion &amp; forbrug'!J$4:J$291,'Resultat-Produktion &amp; forbrug'!$A$4:$A$291,'Produktion &amp; forbrug'!$A32,'Resultat-Produktion &amp; forbrug'!$E$4:$E$291,'Produktion &amp; forbrug'!$F32)</f>
        <v>0</v>
      </c>
      <c r="K32" s="94">
        <f>SUMIFS('Resultat-Produktion &amp; forbrug'!K$4:K$291,'Resultat-Produktion &amp; forbrug'!$A$4:$A$291,'Produktion &amp; forbrug'!$A32,'Resultat-Produktion &amp; forbrug'!$E$4:$E$291,'Produktion &amp; forbrug'!$F32)</f>
        <v>0</v>
      </c>
      <c r="L32" s="94">
        <f>SUMIFS('Resultat-Produktion &amp; forbrug'!L$4:L$291,'Resultat-Produktion &amp; forbrug'!$A$4:$A$291,'Produktion &amp; forbrug'!$A32,'Resultat-Produktion &amp; forbrug'!$E$4:$E$291,'Produktion &amp; forbrug'!$F32)</f>
        <v>0</v>
      </c>
      <c r="M32" s="94">
        <f>SUMIFS('Resultat-Produktion &amp; forbrug'!M$4:M$291,'Resultat-Produktion &amp; forbrug'!$A$4:$A$291,'Produktion &amp; forbrug'!$A32,'Resultat-Produktion &amp; forbrug'!$E$4:$E$291,'Produktion &amp; forbrug'!$F32)</f>
        <v>0</v>
      </c>
      <c r="N32" s="94">
        <f>SUMIFS('Resultat-Produktion &amp; forbrug'!N$4:N$291,'Resultat-Produktion &amp; forbrug'!$A$4:$A$291,'Produktion &amp; forbrug'!$A32,'Resultat-Produktion &amp; forbrug'!$E$4:$E$291,'Produktion &amp; forbrug'!$F32)</f>
        <v>0</v>
      </c>
      <c r="O32" s="179">
        <f t="shared" si="3"/>
        <v>880.09999999999991</v>
      </c>
      <c r="P32" s="94">
        <f t="shared" si="4"/>
        <v>880.09999999999991</v>
      </c>
      <c r="Q32" s="180">
        <f t="shared" si="5"/>
        <v>0</v>
      </c>
      <c r="R32">
        <f>IFERROR(VLOOKUP(A32,[1]Energiindhold!$A$2:$C$11,3,FALSE),IFERROR(VLOOKUP(A32,[1]Biogasudbytte!$A$2:$B$18,2,FALSE)*[1]Energiindhold!$C$10,0))*P32</f>
        <v>7.8988975000000004E-4</v>
      </c>
      <c r="S32">
        <f>IF(A32&lt;&gt;"Biogas",IFERROR(VLOOKUP(A32,[1]Biogasudbytte!$A$2:$B$18,2,FALSE)*[1]Energiindhold!$C$10,0)*K32*IFERROR(VLOOKUP(A32,Biogasanlæg!$F$3:$G$8,2,FALSE),1)+IFERROR(VLOOKUP(A32,[1]Energiindhold!$A$2:$C$11,3,FALSE),0)*M32+IF(F32&lt;&gt;År1,R32,0),0)</f>
        <v>0</v>
      </c>
      <c r="T32">
        <f>IFERROR(VLOOKUP(A32,[1]Biogasudbytte!$A$2:$B$18,2,FALSE)*[1]Energiindhold!$C$10,0)*K32*IFERROR(VLOOKUP(A32,Biogasanlæg!$F$3:$G$8,2,FALSE),1)</f>
        <v>0</v>
      </c>
      <c r="U32" s="170">
        <f t="shared" si="6"/>
        <v>0</v>
      </c>
      <c r="V32" s="169">
        <f>P32*IFERROR(VLOOKUP(A32,[1]Tørstofindhold!A$2:B$24,2,FALSE),0)</f>
        <v>132.01499999999999</v>
      </c>
      <c r="W32">
        <f>IF(F32=År1,Q32,SUM(P32,Q32))*IFERROR(VLOOKUP(A32,[1]Tørstofindhold!A$2:B$24,2,FALSE),0)</f>
        <v>0</v>
      </c>
      <c r="X32">
        <f>K32*IFERROR(VLOOKUP(A32,[1]Tørstofindhold!A$2:B$24,2,FALSE),0)</f>
        <v>0</v>
      </c>
      <c r="Y32" s="170">
        <f t="shared" si="7"/>
        <v>0</v>
      </c>
      <c r="Z32">
        <f t="shared" si="0"/>
        <v>0</v>
      </c>
      <c r="AA32">
        <f t="shared" si="1"/>
        <v>1</v>
      </c>
      <c r="AC32" s="94">
        <f t="shared" si="8"/>
        <v>880.09999999999991</v>
      </c>
      <c r="AD32">
        <f>AC32*E32*10000*VLOOKUP(A32,[1]kcal!$A$2:$C$49,3,FALSE)/1000000000000*IFERROR(VLOOKUP(A32,'Kategorisering af kcal'!$A$2:$E$18,MATCH('Produktion &amp; forbrug'!F32,'Kategorisering af kcal'!$A$1:$E$1,0),FALSE),0)</f>
        <v>7.3048299999999998E-4</v>
      </c>
      <c r="AE32">
        <f>IF(C32&lt;&gt;"",AC32*(1-VLOOKUP(A32,'Kategorisering af kcal'!$A$2:$E$18,MATCH('Produktion &amp; forbrug'!F32,'Kategorisering af kcal'!$A$1:$E$1,0),FALSE)),'Produktion &amp; forbrug'!AC32)</f>
        <v>0</v>
      </c>
      <c r="AF32" s="94">
        <f t="shared" si="9"/>
        <v>880.09999999999991</v>
      </c>
    </row>
    <row r="33" spans="1:34" x14ac:dyDescent="0.25">
      <c r="A33" s="171" t="s">
        <v>14</v>
      </c>
      <c r="B33" s="171"/>
      <c r="C33" s="171" t="str">
        <f>IFERROR(VLOOKUP(A33,'Kategorisering af kcal'!$A$2:$B$18,2,FALSE),"")</f>
        <v>Kød</v>
      </c>
      <c r="D33" s="171">
        <f>IF(COUNTIFS('Resultater - Danmark'!$D$3:$D$504,'Produktion &amp; forbrug'!A33,'Resultater - Danmark'!$A$3:$A$504,"Til energi")+COUNTIFS('Resultater - Danmark'!$D$3:$D$504,'Produktion &amp; forbrug'!A33,'Resultater - Danmark'!$A$3:$A$504,"Biogasanlæg")&gt;0,1,0)</f>
        <v>0</v>
      </c>
      <c r="E33" s="171">
        <v>1</v>
      </c>
      <c r="F33" s="171">
        <f t="shared" si="2"/>
        <v>2019</v>
      </c>
      <c r="G33" s="94">
        <f>SUMIFS('Resultat-Produktion &amp; forbrug'!G$4:G$291,'Resultat-Produktion &amp; forbrug'!$A$4:$A$291,'Produktion &amp; forbrug'!$A33,'Resultat-Produktion &amp; forbrug'!$E$4:$E$291,'Produktion &amp; forbrug'!$F33)</f>
        <v>115671.91919191919</v>
      </c>
      <c r="H33" s="94">
        <f>SUMIFS('Resultat-Produktion &amp; forbrug'!H$4:H$291,'Resultat-Produktion &amp; forbrug'!$A$4:$A$291,'Produktion &amp; forbrug'!$A33,'Resultat-Produktion &amp; forbrug'!$E$4:$E$291,'Produktion &amp; forbrug'!$F33)</f>
        <v>0</v>
      </c>
      <c r="I33" s="94">
        <f>SUMIFS('Resultat-Produktion &amp; forbrug'!I$4:I$291,'Resultat-Produktion &amp; forbrug'!$A$4:$A$291,'Produktion &amp; forbrug'!$A33,'Resultat-Produktion &amp; forbrug'!$E$4:$E$291,'Produktion &amp; forbrug'!$F33)</f>
        <v>0</v>
      </c>
      <c r="J33" s="94">
        <f>SUMIFS('Resultat-Produktion &amp; forbrug'!J$4:J$291,'Resultat-Produktion &amp; forbrug'!$A$4:$A$291,'Produktion &amp; forbrug'!$A33,'Resultat-Produktion &amp; forbrug'!$E$4:$E$291,'Produktion &amp; forbrug'!$F33)</f>
        <v>58080.313724265572</v>
      </c>
      <c r="K33" s="94">
        <f>SUMIFS('Resultat-Produktion &amp; forbrug'!K$4:K$291,'Resultat-Produktion &amp; forbrug'!$A$4:$A$291,'Produktion &amp; forbrug'!$A33,'Resultat-Produktion &amp; forbrug'!$E$4:$E$291,'Produktion &amp; forbrug'!$F33)</f>
        <v>0</v>
      </c>
      <c r="L33" s="94">
        <f>SUMIFS('Resultat-Produktion &amp; forbrug'!L$4:L$291,'Resultat-Produktion &amp; forbrug'!$A$4:$A$291,'Produktion &amp; forbrug'!$A33,'Resultat-Produktion &amp; forbrug'!$E$4:$E$291,'Produktion &amp; forbrug'!$F33)</f>
        <v>0</v>
      </c>
      <c r="M33" s="94">
        <f>SUMIFS('Resultat-Produktion &amp; forbrug'!M$4:M$291,'Resultat-Produktion &amp; forbrug'!$A$4:$A$291,'Produktion &amp; forbrug'!$A33,'Resultat-Produktion &amp; forbrug'!$E$4:$E$291,'Produktion &amp; forbrug'!$F33)</f>
        <v>0</v>
      </c>
      <c r="N33" s="94">
        <f>SUMIFS('Resultat-Produktion &amp; forbrug'!N$4:N$291,'Resultat-Produktion &amp; forbrug'!$A$4:$A$291,'Produktion &amp; forbrug'!$A33,'Resultat-Produktion &amp; forbrug'!$E$4:$E$291,'Produktion &amp; forbrug'!$F33)</f>
        <v>0</v>
      </c>
      <c r="O33" s="179">
        <f t="shared" si="3"/>
        <v>57591.605467653622</v>
      </c>
      <c r="P33" s="94">
        <f t="shared" si="4"/>
        <v>0</v>
      </c>
      <c r="Q33" s="180">
        <f t="shared" si="5"/>
        <v>0</v>
      </c>
      <c r="R33">
        <f>IFERROR(VLOOKUP(A33,[1]Energiindhold!$A$2:$C$11,3,FALSE),IFERROR(VLOOKUP(A33,[1]Biogasudbytte!$A$2:$B$18,2,FALSE)*[1]Energiindhold!$C$10,0))*P33</f>
        <v>0</v>
      </c>
      <c r="S33">
        <f>IF(A33&lt;&gt;"Biogas",IFERROR(VLOOKUP(A33,[1]Biogasudbytte!$A$2:$B$18,2,FALSE)*[1]Energiindhold!$C$10,0)*K33*IFERROR(VLOOKUP(A33,Biogasanlæg!$F$3:$G$8,2,FALSE),1)+IFERROR(VLOOKUP(A33,[1]Energiindhold!$A$2:$C$11,3,FALSE),0)*M33+IF(F33&lt;&gt;År1,R33,0),0)</f>
        <v>0</v>
      </c>
      <c r="T33">
        <f>IFERROR(VLOOKUP(A33,[1]Biogasudbytte!$A$2:$B$18,2,FALSE)*[1]Energiindhold!$C$10,0)*K33*IFERROR(VLOOKUP(A33,Biogasanlæg!$F$3:$G$8,2,FALSE),1)</f>
        <v>0</v>
      </c>
      <c r="U33" s="170">
        <f t="shared" si="6"/>
        <v>0</v>
      </c>
      <c r="V33" s="169">
        <f>P33*IFERROR(VLOOKUP(A33,[1]Tørstofindhold!A$2:B$24,2,FALSE),0)</f>
        <v>0</v>
      </c>
      <c r="W33">
        <f>IF(F33=År1,Q33,SUM(P33,Q33))*IFERROR(VLOOKUP(A33,[1]Tørstofindhold!A$2:B$24,2,FALSE),0)</f>
        <v>0</v>
      </c>
      <c r="X33">
        <f>K33*IFERROR(VLOOKUP(A33,[1]Tørstofindhold!A$2:B$24,2,FALSE),0)</f>
        <v>0</v>
      </c>
      <c r="Y33" s="170">
        <f t="shared" si="7"/>
        <v>0</v>
      </c>
      <c r="Z33">
        <f t="shared" si="0"/>
        <v>0</v>
      </c>
      <c r="AA33">
        <f t="shared" si="1"/>
        <v>1</v>
      </c>
      <c r="AC33" s="94">
        <f t="shared" si="8"/>
        <v>115671.91919191919</v>
      </c>
      <c r="AD33">
        <f>AC33*E33*10000*VLOOKUP(A33,[1]kcal!$A$2:$C$49,3,FALSE)/1000000000000*IFERROR(VLOOKUP(A33,'Kategorisering af kcal'!$A$2:$E$18,MATCH('Produktion &amp; forbrug'!F33,'Kategorisering af kcal'!$A$1:$E$1,0),FALSE),0)</f>
        <v>0.22556024242424241</v>
      </c>
      <c r="AE33">
        <f>IF(C33&lt;&gt;"",AC33*(1-VLOOKUP(A33,'Kategorisering af kcal'!$A$2:$E$18,MATCH('Produktion &amp; forbrug'!F33,'Kategorisering af kcal'!$A$1:$E$1,0),FALSE)),'Produktion &amp; forbrug'!AC33)</f>
        <v>0</v>
      </c>
      <c r="AF33" s="94">
        <f t="shared" si="9"/>
        <v>115671.91919191919</v>
      </c>
    </row>
    <row r="34" spans="1:34" x14ac:dyDescent="0.25">
      <c r="A34" s="171" t="s">
        <v>55</v>
      </c>
      <c r="B34" s="171"/>
      <c r="C34" s="171" t="str">
        <f>IFERROR(VLOOKUP(A34,'Kategorisering af kcal'!$A$2:$B$18,2,FALSE),"")</f>
        <v/>
      </c>
      <c r="D34" s="171">
        <f>IF(COUNTIFS('Resultater - Danmark'!$D$3:$D$504,'Produktion &amp; forbrug'!A34,'Resultater - Danmark'!$A$3:$A$504,"Til energi")+COUNTIFS('Resultater - Danmark'!$D$3:$D$504,'Produktion &amp; forbrug'!A34,'Resultater - Danmark'!$A$3:$A$504,"Biogasanlæg")&gt;0,1,0)</f>
        <v>0</v>
      </c>
      <c r="E34" s="171">
        <v>1</v>
      </c>
      <c r="F34" s="171">
        <f t="shared" si="2"/>
        <v>2019</v>
      </c>
      <c r="G34" s="94">
        <f>SUMIFS('Resultat-Produktion &amp; forbrug'!G$4:G$291,'Resultat-Produktion &amp; forbrug'!$A$4:$A$291,'Produktion &amp; forbrug'!$A34,'Resultat-Produktion &amp; forbrug'!$E$4:$E$291,'Produktion &amp; forbrug'!$F34)</f>
        <v>2006067.2488276002</v>
      </c>
      <c r="H34" s="94">
        <f>SUMIFS('Resultat-Produktion &amp; forbrug'!H$4:H$291,'Resultat-Produktion &amp; forbrug'!$A$4:$A$291,'Produktion &amp; forbrug'!$A34,'Resultat-Produktion &amp; forbrug'!$E$4:$E$291,'Produktion &amp; forbrug'!$F34)</f>
        <v>0</v>
      </c>
      <c r="I34" s="94">
        <f>SUMIFS('Resultat-Produktion &amp; forbrug'!I$4:I$291,'Resultat-Produktion &amp; forbrug'!$A$4:$A$291,'Produktion &amp; forbrug'!$A34,'Resultat-Produktion &amp; forbrug'!$E$4:$E$291,'Produktion &amp; forbrug'!$F34)</f>
        <v>0</v>
      </c>
      <c r="J34" s="94">
        <f>SUMIFS('Resultat-Produktion &amp; forbrug'!J$4:J$291,'Resultat-Produktion &amp; forbrug'!$A$4:$A$291,'Produktion &amp; forbrug'!$A34,'Resultat-Produktion &amp; forbrug'!$E$4:$E$291,'Produktion &amp; forbrug'!$F34)</f>
        <v>0</v>
      </c>
      <c r="K34" s="94">
        <f>SUMIFS('Resultat-Produktion &amp; forbrug'!K$4:K$291,'Resultat-Produktion &amp; forbrug'!$A$4:$A$291,'Produktion &amp; forbrug'!$A34,'Resultat-Produktion &amp; forbrug'!$E$4:$E$291,'Produktion &amp; forbrug'!$F34)</f>
        <v>0</v>
      </c>
      <c r="L34" s="94">
        <f>SUMIFS('Resultat-Produktion &amp; forbrug'!L$4:L$291,'Resultat-Produktion &amp; forbrug'!$A$4:$A$291,'Produktion &amp; forbrug'!$A34,'Resultat-Produktion &amp; forbrug'!$E$4:$E$291,'Produktion &amp; forbrug'!$F34)</f>
        <v>0</v>
      </c>
      <c r="M34" s="94">
        <f>SUMIFS('Resultat-Produktion &amp; forbrug'!M$4:M$291,'Resultat-Produktion &amp; forbrug'!$A$4:$A$291,'Produktion &amp; forbrug'!$A34,'Resultat-Produktion &amp; forbrug'!$E$4:$E$291,'Produktion &amp; forbrug'!$F34)</f>
        <v>0</v>
      </c>
      <c r="N34" s="94">
        <f>SUMIFS('Resultat-Produktion &amp; forbrug'!N$4:N$291,'Resultat-Produktion &amp; forbrug'!$A$4:$A$291,'Produktion &amp; forbrug'!$A34,'Resultat-Produktion &amp; forbrug'!$E$4:$E$291,'Produktion &amp; forbrug'!$F34)</f>
        <v>0</v>
      </c>
      <c r="O34" s="179">
        <f t="shared" si="3"/>
        <v>2006067.2488276002</v>
      </c>
      <c r="P34" s="94">
        <f t="shared" si="4"/>
        <v>0</v>
      </c>
      <c r="Q34" s="180">
        <f t="shared" si="5"/>
        <v>0</v>
      </c>
      <c r="R34">
        <f>IFERROR(VLOOKUP(A34,[1]Energiindhold!$A$2:$C$11,3,FALSE),IFERROR(VLOOKUP(A34,[1]Biogasudbytte!$A$2:$B$18,2,FALSE)*[1]Energiindhold!$C$10,0))*P34</f>
        <v>0</v>
      </c>
      <c r="S34">
        <f>IF(A34&lt;&gt;"Biogas",IFERROR(VLOOKUP(A34,[1]Biogasudbytte!$A$2:$B$18,2,FALSE)*[1]Energiindhold!$C$10,0)*K34*IFERROR(VLOOKUP(A34,Biogasanlæg!$F$3:$G$8,2,FALSE),1)+IFERROR(VLOOKUP(A34,[1]Energiindhold!$A$2:$C$11,3,FALSE),0)*M34+IF(F34&lt;&gt;År1,R34,0),0)</f>
        <v>0</v>
      </c>
      <c r="T34">
        <f>IFERROR(VLOOKUP(A34,[1]Biogasudbytte!$A$2:$B$18,2,FALSE)*[1]Energiindhold!$C$10,0)*K34*IFERROR(VLOOKUP(A34,Biogasanlæg!$F$3:$G$8,2,FALSE),1)</f>
        <v>0</v>
      </c>
      <c r="U34" s="170">
        <f t="shared" si="6"/>
        <v>0</v>
      </c>
      <c r="V34" s="169">
        <f>P34*IFERROR(VLOOKUP(A34,[1]Tørstofindhold!A$2:B$24,2,FALSE),0)</f>
        <v>0</v>
      </c>
      <c r="W34">
        <f>IF(F34=År1,Q34,SUM(P34,Q34))*IFERROR(VLOOKUP(A34,[1]Tørstofindhold!A$2:B$24,2,FALSE),0)</f>
        <v>0</v>
      </c>
      <c r="X34">
        <f>K34*IFERROR(VLOOKUP(A34,[1]Tørstofindhold!A$2:B$24,2,FALSE),0)</f>
        <v>0</v>
      </c>
      <c r="Y34" s="170">
        <f t="shared" si="7"/>
        <v>0</v>
      </c>
      <c r="Z34">
        <f t="shared" si="0"/>
        <v>0</v>
      </c>
      <c r="AA34">
        <f t="shared" si="1"/>
        <v>1</v>
      </c>
      <c r="AC34" s="94">
        <f t="shared" si="8"/>
        <v>2006067.2488276002</v>
      </c>
      <c r="AD34">
        <f>AC34*E34*10000*VLOOKUP(A34,[1]kcal!$A$2:$C$49,3,FALSE)/1000000000000*IFERROR(VLOOKUP(A34,'Kategorisering af kcal'!$A$2:$E$18,MATCH('Produktion &amp; forbrug'!F34,'Kategorisering af kcal'!$A$1:$E$1,0),FALSE),0)</f>
        <v>0</v>
      </c>
      <c r="AE34">
        <f>IF(C34&lt;&gt;"",AC34*(1-VLOOKUP(A34,'Kategorisering af kcal'!$A$2:$E$18,MATCH('Produktion &amp; forbrug'!F34,'Kategorisering af kcal'!$A$1:$E$1,0),FALSE)),'Produktion &amp; forbrug'!AC34)</f>
        <v>2006067.2488276002</v>
      </c>
      <c r="AF34" s="94">
        <f t="shared" si="9"/>
        <v>0</v>
      </c>
    </row>
    <row r="35" spans="1:34" x14ac:dyDescent="0.25">
      <c r="A35" s="171" t="s">
        <v>95</v>
      </c>
      <c r="B35" s="171" t="s">
        <v>224</v>
      </c>
      <c r="C35" s="171" t="str">
        <f>IFERROR(VLOOKUP(A35,'Kategorisering af kcal'!$A$2:$B$18,2,FALSE),"")</f>
        <v/>
      </c>
      <c r="D35" s="171">
        <f>IF(COUNTIFS('Resultater - Danmark'!$D$3:$D$504,'Produktion &amp; forbrug'!A35,'Resultater - Danmark'!$A$3:$A$504,"Til energi")+COUNTIFS('Resultater - Danmark'!$D$3:$D$504,'Produktion &amp; forbrug'!A35,'Resultater - Danmark'!$A$3:$A$504,"Biogasanlæg")&gt;0,1,0)</f>
        <v>1</v>
      </c>
      <c r="E35" s="171">
        <v>0</v>
      </c>
      <c r="F35" s="171">
        <f t="shared" si="2"/>
        <v>2019</v>
      </c>
      <c r="G35" s="94">
        <f>SUMIFS('Resultat-Produktion &amp; forbrug'!G$4:G$291,'Resultat-Produktion &amp; forbrug'!$A$4:$A$291,'Produktion &amp; forbrug'!$A35,'Resultat-Produktion &amp; forbrug'!$E$4:$E$291,'Produktion &amp; forbrug'!$F35)</f>
        <v>209867.13867694439</v>
      </c>
      <c r="H35" s="94">
        <f>SUMIFS('Resultat-Produktion &amp; forbrug'!H$4:H$291,'Resultat-Produktion &amp; forbrug'!$A$4:$A$291,'Produktion &amp; forbrug'!$A35,'Resultat-Produktion &amp; forbrug'!$E$4:$E$291,'Produktion &amp; forbrug'!$F35)</f>
        <v>0</v>
      </c>
      <c r="I35" s="94">
        <f>SUMIFS('Resultat-Produktion &amp; forbrug'!I$4:I$291,'Resultat-Produktion &amp; forbrug'!$A$4:$A$291,'Produktion &amp; forbrug'!$A35,'Resultat-Produktion &amp; forbrug'!$E$4:$E$291,'Produktion &amp; forbrug'!$F35)</f>
        <v>0</v>
      </c>
      <c r="J35" s="94">
        <f>SUMIFS('Resultat-Produktion &amp; forbrug'!J$4:J$291,'Resultat-Produktion &amp; forbrug'!$A$4:$A$291,'Produktion &amp; forbrug'!$A35,'Resultat-Produktion &amp; forbrug'!$E$4:$E$291,'Produktion &amp; forbrug'!$F35)</f>
        <v>0</v>
      </c>
      <c r="K35" s="94">
        <f>SUMIFS('Resultat-Produktion &amp; forbrug'!K$4:K$291,'Resultat-Produktion &amp; forbrug'!$A$4:$A$291,'Produktion &amp; forbrug'!$A35,'Resultat-Produktion &amp; forbrug'!$E$4:$E$291,'Produktion &amp; forbrug'!$F35)</f>
        <v>0</v>
      </c>
      <c r="L35" s="94">
        <f>SUMIFS('Resultat-Produktion &amp; forbrug'!L$4:L$291,'Resultat-Produktion &amp; forbrug'!$A$4:$A$291,'Produktion &amp; forbrug'!$A35,'Resultat-Produktion &amp; forbrug'!$E$4:$E$291,'Produktion &amp; forbrug'!$F35)</f>
        <v>0</v>
      </c>
      <c r="M35" s="94">
        <f>SUMIFS('Resultat-Produktion &amp; forbrug'!M$4:M$291,'Resultat-Produktion &amp; forbrug'!$A$4:$A$291,'Produktion &amp; forbrug'!$A35,'Resultat-Produktion &amp; forbrug'!$E$4:$E$291,'Produktion &amp; forbrug'!$F35)</f>
        <v>209867.13867694439</v>
      </c>
      <c r="N35" s="94">
        <f>SUMIFS('Resultat-Produktion &amp; forbrug'!N$4:N$291,'Resultat-Produktion &amp; forbrug'!$A$4:$A$291,'Produktion &amp; forbrug'!$A35,'Resultat-Produktion &amp; forbrug'!$E$4:$E$291,'Produktion &amp; forbrug'!$F35)</f>
        <v>0</v>
      </c>
      <c r="O35" s="179">
        <f t="shared" si="3"/>
        <v>0</v>
      </c>
      <c r="P35" s="94">
        <f t="shared" si="4"/>
        <v>0</v>
      </c>
      <c r="Q35" s="180">
        <f t="shared" si="5"/>
        <v>209867.13867694439</v>
      </c>
      <c r="R35">
        <f>IFERROR(VLOOKUP(A35,[1]Energiindhold!$A$2:$C$11,3,FALSE),IFERROR(VLOOKUP(A35,[1]Biogasudbytte!$A$2:$B$18,2,FALSE)*[1]Energiindhold!$C$10,0))*P35</f>
        <v>0</v>
      </c>
      <c r="S35">
        <f>IF(A35&lt;&gt;"Biogas",IFERROR(VLOOKUP(A35,[1]Biogasudbytte!$A$2:$B$18,2,FALSE)*[1]Energiindhold!$C$10,0)*K35*IFERROR(VLOOKUP(A35,Biogasanlæg!$F$3:$G$8,2,FALSE),1)+IFERROR(VLOOKUP(A35,[1]Energiindhold!$A$2:$C$11,3,FALSE),0)*M35+IF(F35&lt;&gt;År1,R35,0),0)</f>
        <v>3.8615553516557761</v>
      </c>
      <c r="T35">
        <f>IFERROR(VLOOKUP(A35,[1]Biogasudbytte!$A$2:$B$18,2,FALSE)*[1]Energiindhold!$C$10,0)*K35*IFERROR(VLOOKUP(A35,Biogasanlæg!$F$3:$G$8,2,FALSE),1)</f>
        <v>0</v>
      </c>
      <c r="U35" s="170">
        <f t="shared" si="6"/>
        <v>3.8615553516557761</v>
      </c>
      <c r="V35" s="169">
        <f>P35*IFERROR(VLOOKUP(A35,[1]Tørstofindhold!A$2:B$24,2,FALSE),0)</f>
        <v>0</v>
      </c>
      <c r="W35">
        <f>IF(F35=År1,Q35,SUM(P35,Q35))*IFERROR(VLOOKUP(A35,[1]Tørstofindhold!A$2:B$24,2,FALSE),0)</f>
        <v>87094.862550931924</v>
      </c>
      <c r="X35">
        <f>K35*IFERROR(VLOOKUP(A35,[1]Tørstofindhold!A$2:B$24,2,FALSE),0)</f>
        <v>0</v>
      </c>
      <c r="Y35" s="170">
        <f t="shared" si="7"/>
        <v>87094.862550931924</v>
      </c>
      <c r="Z35">
        <f t="shared" si="0"/>
        <v>0</v>
      </c>
      <c r="AA35">
        <f t="shared" si="1"/>
        <v>0</v>
      </c>
      <c r="AC35" s="94">
        <f t="shared" si="8"/>
        <v>209867.13867694439</v>
      </c>
      <c r="AD35">
        <f>AC35*E35*10000*VLOOKUP(A35,[1]kcal!$A$2:$C$49,3,FALSE)/1000000000000*IFERROR(VLOOKUP(A35,'Kategorisering af kcal'!$A$2:$E$18,MATCH('Produktion &amp; forbrug'!F35,'Kategorisering af kcal'!$A$1:$E$1,0),FALSE),0)</f>
        <v>0</v>
      </c>
      <c r="AE35">
        <f>IF(C35&lt;&gt;"",AC35*(1-VLOOKUP(A35,'Kategorisering af kcal'!$A$2:$E$18,MATCH('Produktion &amp; forbrug'!F35,'Kategorisering af kcal'!$A$1:$E$1,0),FALSE)),'Produktion &amp; forbrug'!AC35)</f>
        <v>209867.13867694439</v>
      </c>
      <c r="AF35" s="94">
        <f t="shared" si="9"/>
        <v>0</v>
      </c>
    </row>
    <row r="36" spans="1:34" x14ac:dyDescent="0.25">
      <c r="A36" s="171" t="s">
        <v>305</v>
      </c>
      <c r="B36" s="171" t="s">
        <v>311</v>
      </c>
      <c r="C36" s="171" t="str">
        <f>IFERROR(VLOOKUP(A36,'Kategorisering af kcal'!$A$2:$B$18,2,FALSE),"")</f>
        <v/>
      </c>
      <c r="D36" s="171">
        <f>IF(COUNTIFS('Resultater - Danmark'!$D$3:$D$504,'Produktion &amp; forbrug'!A36,'Resultater - Danmark'!$A$3:$A$504,"Til energi")+COUNTIFS('Resultater - Danmark'!$D$3:$D$504,'Produktion &amp; forbrug'!A36,'Resultater - Danmark'!$A$3:$A$504,"Biogasanlæg")&gt;0,1,0)</f>
        <v>1</v>
      </c>
      <c r="E36" s="171">
        <v>0</v>
      </c>
      <c r="F36" s="171">
        <f t="shared" si="2"/>
        <v>2019</v>
      </c>
      <c r="G36" s="94">
        <f>SUMIFS('Resultat-Produktion &amp; forbrug'!G$4:G$291,'Resultat-Produktion &amp; forbrug'!$A$4:$A$291,'Produktion &amp; forbrug'!$A36,'Resultat-Produktion &amp; forbrug'!$E$4:$E$291,'Produktion &amp; forbrug'!$F36)</f>
        <v>0</v>
      </c>
      <c r="H36" s="94">
        <f>SUMIFS('Resultat-Produktion &amp; forbrug'!H$4:H$291,'Resultat-Produktion &amp; forbrug'!$A$4:$A$291,'Produktion &amp; forbrug'!$A36,'Resultat-Produktion &amp; forbrug'!$E$4:$E$291,'Produktion &amp; forbrug'!$F36)</f>
        <v>0</v>
      </c>
      <c r="I36" s="94">
        <f>SUMIFS('Resultat-Produktion &amp; forbrug'!I$4:I$291,'Resultat-Produktion &amp; forbrug'!$A$4:$A$291,'Produktion &amp; forbrug'!$A36,'Resultat-Produktion &amp; forbrug'!$E$4:$E$291,'Produktion &amp; forbrug'!$F36)</f>
        <v>0</v>
      </c>
      <c r="J36" s="94">
        <f>SUMIFS('Resultat-Produktion &amp; forbrug'!J$4:J$291,'Resultat-Produktion &amp; forbrug'!$A$4:$A$291,'Produktion &amp; forbrug'!$A36,'Resultat-Produktion &amp; forbrug'!$E$4:$E$291,'Produktion &amp; forbrug'!$F36)</f>
        <v>0</v>
      </c>
      <c r="K36" s="94">
        <f>SUMIFS('Resultat-Produktion &amp; forbrug'!K$4:K$291,'Resultat-Produktion &amp; forbrug'!$A$4:$A$291,'Produktion &amp; forbrug'!$A36,'Resultat-Produktion &amp; forbrug'!$E$4:$E$291,'Produktion &amp; forbrug'!$F36)</f>
        <v>0</v>
      </c>
      <c r="L36" s="94">
        <f>SUMIFS('Resultat-Produktion &amp; forbrug'!L$4:L$291,'Resultat-Produktion &amp; forbrug'!$A$4:$A$291,'Produktion &amp; forbrug'!$A36,'Resultat-Produktion &amp; forbrug'!$E$4:$E$291,'Produktion &amp; forbrug'!$F36)</f>
        <v>0</v>
      </c>
      <c r="M36" s="94">
        <f>SUMIFS('Resultat-Produktion &amp; forbrug'!M$4:M$291,'Resultat-Produktion &amp; forbrug'!$A$4:$A$291,'Produktion &amp; forbrug'!$A36,'Resultat-Produktion &amp; forbrug'!$E$4:$E$291,'Produktion &amp; forbrug'!$F36)</f>
        <v>0</v>
      </c>
      <c r="N36" s="94">
        <f>SUMIFS('Resultat-Produktion &amp; forbrug'!N$4:N$291,'Resultat-Produktion &amp; forbrug'!$A$4:$A$291,'Produktion &amp; forbrug'!$A36,'Resultat-Produktion &amp; forbrug'!$E$4:$E$291,'Produktion &amp; forbrug'!$F36)</f>
        <v>0</v>
      </c>
      <c r="O36" s="179">
        <f t="shared" si="3"/>
        <v>0</v>
      </c>
      <c r="P36" s="94">
        <f t="shared" si="4"/>
        <v>0</v>
      </c>
      <c r="Q36" s="180">
        <f t="shared" si="5"/>
        <v>0</v>
      </c>
      <c r="R36">
        <f>IFERROR(VLOOKUP(A36,[1]Energiindhold!$A$2:$C$11,3,FALSE),IFERROR(VLOOKUP(A36,[1]Biogasudbytte!$A$2:$B$18,2,FALSE)*[1]Energiindhold!$C$10,0))*P36</f>
        <v>0</v>
      </c>
      <c r="S36">
        <f>IF(A36&lt;&gt;"Biogas",IFERROR(VLOOKUP(A36,[1]Biogasudbytte!$A$2:$B$18,2,FALSE)*[1]Energiindhold!$C$10,0)*K36*IFERROR(VLOOKUP(A36,Biogasanlæg!$F$3:$G$8,2,FALSE),1)+IFERROR(VLOOKUP(A36,[1]Energiindhold!$A$2:$C$11,3,FALSE),0)*M36+IF(F36&lt;&gt;År1,R36,0),0)</f>
        <v>0</v>
      </c>
      <c r="T36">
        <f>IFERROR(VLOOKUP(A36,[1]Biogasudbytte!$A$2:$B$18,2,FALSE)*[1]Energiindhold!$C$10,0)*K36*IFERROR(VLOOKUP(A36,Biogasanlæg!$F$3:$G$8,2,FALSE),1)</f>
        <v>0</v>
      </c>
      <c r="U36" s="170">
        <f t="shared" si="6"/>
        <v>0</v>
      </c>
      <c r="V36" s="169">
        <f>P36*IFERROR(VLOOKUP(A36,[1]Tørstofindhold!A$2:B$24,2,FALSE),0)</f>
        <v>0</v>
      </c>
      <c r="W36">
        <f>IF(F36=År1,Q36,SUM(P36,Q36))*IFERROR(VLOOKUP(A36,[1]Tørstofindhold!A$2:B$24,2,FALSE),0)</f>
        <v>0</v>
      </c>
      <c r="X36">
        <f>K36*IFERROR(VLOOKUP(A36,[1]Tørstofindhold!A$2:B$24,2,FALSE),0)</f>
        <v>0</v>
      </c>
      <c r="Y36" s="170">
        <f t="shared" si="7"/>
        <v>0</v>
      </c>
      <c r="Z36">
        <f t="shared" ref="Z36:Z67" si="10">IF(SUMIFS($O$4:$O$147,$A$4:$A$147,A36,$F$4:$F$147,F36)&lt;0,1,0)</f>
        <v>0</v>
      </c>
      <c r="AA36">
        <f t="shared" ref="AA36:AA67" si="11">IF(SUMIFS($O$4:$O$147,$A$4:$A$147,A36,$F$4:$F$147,F36)&gt;0,1,0)</f>
        <v>0</v>
      </c>
      <c r="AC36" s="94">
        <f t="shared" si="8"/>
        <v>0</v>
      </c>
      <c r="AD36">
        <f>AC36*E36*10000*VLOOKUP(A36,[1]kcal!$A$2:$C$49,3,FALSE)/1000000000000*IFERROR(VLOOKUP(A36,'Kategorisering af kcal'!$A$2:$E$18,MATCH('Produktion &amp; forbrug'!F36,'Kategorisering af kcal'!$A$1:$E$1,0),FALSE),0)</f>
        <v>0</v>
      </c>
      <c r="AE36">
        <f>IF(C36&lt;&gt;"",AC36*(1-VLOOKUP(A36,'Kategorisering af kcal'!$A$2:$E$18,MATCH('Produktion &amp; forbrug'!F36,'Kategorisering af kcal'!$A$1:$E$1,0),FALSE)),'Produktion &amp; forbrug'!AC36)</f>
        <v>0</v>
      </c>
      <c r="AF36" s="94">
        <f t="shared" si="9"/>
        <v>0</v>
      </c>
    </row>
    <row r="37" spans="1:34" x14ac:dyDescent="0.25">
      <c r="A37" s="171" t="s">
        <v>306</v>
      </c>
      <c r="B37" s="171" t="s">
        <v>311</v>
      </c>
      <c r="C37" s="171" t="str">
        <f>IFERROR(VLOOKUP(A37,'Kategorisering af kcal'!$A$2:$B$18,2,FALSE),"")</f>
        <v/>
      </c>
      <c r="D37" s="171">
        <f>IF(COUNTIFS('Resultater - Danmark'!$D$3:$D$504,'Produktion &amp; forbrug'!A37,'Resultater - Danmark'!$A$3:$A$504,"Til energi")+COUNTIFS('Resultater - Danmark'!$D$3:$D$504,'Produktion &amp; forbrug'!A37,'Resultater - Danmark'!$A$3:$A$504,"Biogasanlæg")&gt;0,1,0)</f>
        <v>1</v>
      </c>
      <c r="E37" s="171">
        <v>0</v>
      </c>
      <c r="F37" s="171">
        <f t="shared" si="2"/>
        <v>2019</v>
      </c>
      <c r="G37" s="94">
        <f>SUMIFS('Resultat-Produktion &amp; forbrug'!G$4:G$291,'Resultat-Produktion &amp; forbrug'!$A$4:$A$291,'Produktion &amp; forbrug'!$A37,'Resultat-Produktion &amp; forbrug'!$E$4:$E$291,'Produktion &amp; forbrug'!$F37)</f>
        <v>0</v>
      </c>
      <c r="H37" s="94">
        <f>SUMIFS('Resultat-Produktion &amp; forbrug'!H$4:H$291,'Resultat-Produktion &amp; forbrug'!$A$4:$A$291,'Produktion &amp; forbrug'!$A37,'Resultat-Produktion &amp; forbrug'!$E$4:$E$291,'Produktion &amp; forbrug'!$F37)</f>
        <v>0</v>
      </c>
      <c r="I37" s="94">
        <f>SUMIFS('Resultat-Produktion &amp; forbrug'!I$4:I$291,'Resultat-Produktion &amp; forbrug'!$A$4:$A$291,'Produktion &amp; forbrug'!$A37,'Resultat-Produktion &amp; forbrug'!$E$4:$E$291,'Produktion &amp; forbrug'!$F37)</f>
        <v>0</v>
      </c>
      <c r="J37" s="94">
        <f>SUMIFS('Resultat-Produktion &amp; forbrug'!J$4:J$291,'Resultat-Produktion &amp; forbrug'!$A$4:$A$291,'Produktion &amp; forbrug'!$A37,'Resultat-Produktion &amp; forbrug'!$E$4:$E$291,'Produktion &amp; forbrug'!$F37)</f>
        <v>0</v>
      </c>
      <c r="K37" s="94">
        <f>SUMIFS('Resultat-Produktion &amp; forbrug'!K$4:K$291,'Resultat-Produktion &amp; forbrug'!$A$4:$A$291,'Produktion &amp; forbrug'!$A37,'Resultat-Produktion &amp; forbrug'!$E$4:$E$291,'Produktion &amp; forbrug'!$F37)</f>
        <v>0</v>
      </c>
      <c r="L37" s="94">
        <f>SUMIFS('Resultat-Produktion &amp; forbrug'!L$4:L$291,'Resultat-Produktion &amp; forbrug'!$A$4:$A$291,'Produktion &amp; forbrug'!$A37,'Resultat-Produktion &amp; forbrug'!$E$4:$E$291,'Produktion &amp; forbrug'!$F37)</f>
        <v>0</v>
      </c>
      <c r="M37" s="94">
        <f>SUMIFS('Resultat-Produktion &amp; forbrug'!M$4:M$291,'Resultat-Produktion &amp; forbrug'!$A$4:$A$291,'Produktion &amp; forbrug'!$A37,'Resultat-Produktion &amp; forbrug'!$E$4:$E$291,'Produktion &amp; forbrug'!$F37)</f>
        <v>0</v>
      </c>
      <c r="N37" s="94">
        <f>SUMIFS('Resultat-Produktion &amp; forbrug'!N$4:N$291,'Resultat-Produktion &amp; forbrug'!$A$4:$A$291,'Produktion &amp; forbrug'!$A37,'Resultat-Produktion &amp; forbrug'!$E$4:$E$291,'Produktion &amp; forbrug'!$F37)</f>
        <v>0</v>
      </c>
      <c r="O37" s="179">
        <f t="shared" si="3"/>
        <v>0</v>
      </c>
      <c r="P37" s="94">
        <f t="shared" si="4"/>
        <v>0</v>
      </c>
      <c r="Q37" s="180">
        <f t="shared" si="5"/>
        <v>0</v>
      </c>
      <c r="R37">
        <f>IFERROR(VLOOKUP(A37,[1]Energiindhold!$A$2:$C$11,3,FALSE),IFERROR(VLOOKUP(A37,[1]Biogasudbytte!$A$2:$B$18,2,FALSE)*[1]Energiindhold!$C$10,0))*P37</f>
        <v>0</v>
      </c>
      <c r="S37">
        <f>IF(A37&lt;&gt;"Biogas",IFERROR(VLOOKUP(A37,[1]Biogasudbytte!$A$2:$B$18,2,FALSE)*[1]Energiindhold!$C$10,0)*K37*IFERROR(VLOOKUP(A37,Biogasanlæg!$F$3:$G$8,2,FALSE),1)+IFERROR(VLOOKUP(A37,[1]Energiindhold!$A$2:$C$11,3,FALSE),0)*M37+IF(F37&lt;&gt;År1,R37,0),0)</f>
        <v>0</v>
      </c>
      <c r="T37">
        <f>IFERROR(VLOOKUP(A37,[1]Biogasudbytte!$A$2:$B$18,2,FALSE)*[1]Energiindhold!$C$10,0)*K37*IFERROR(VLOOKUP(A37,Biogasanlæg!$F$3:$G$8,2,FALSE),1)</f>
        <v>0</v>
      </c>
      <c r="U37" s="170">
        <f t="shared" si="6"/>
        <v>0</v>
      </c>
      <c r="V37" s="169">
        <f>P37*IFERROR(VLOOKUP(A37,[1]Tørstofindhold!A$2:B$24,2,FALSE),0)</f>
        <v>0</v>
      </c>
      <c r="W37">
        <f>IF(F37=År1,Q37,SUM(P37,Q37))*IFERROR(VLOOKUP(A37,[1]Tørstofindhold!A$2:B$24,2,FALSE),0)</f>
        <v>0</v>
      </c>
      <c r="X37">
        <f>K37*IFERROR(VLOOKUP(A37,[1]Tørstofindhold!A$2:B$24,2,FALSE),0)</f>
        <v>0</v>
      </c>
      <c r="Y37" s="170">
        <f t="shared" si="7"/>
        <v>0</v>
      </c>
      <c r="Z37">
        <f t="shared" si="10"/>
        <v>0</v>
      </c>
      <c r="AA37">
        <f t="shared" si="11"/>
        <v>0</v>
      </c>
      <c r="AC37" s="94">
        <f t="shared" si="8"/>
        <v>0</v>
      </c>
      <c r="AD37">
        <f>AC37*E37*10000*VLOOKUP(A37,[1]kcal!$A$2:$C$49,3,FALSE)/1000000000000*IFERROR(VLOOKUP(A37,'Kategorisering af kcal'!$A$2:$E$18,MATCH('Produktion &amp; forbrug'!F37,'Kategorisering af kcal'!$A$1:$E$1,0),FALSE),0)</f>
        <v>0</v>
      </c>
      <c r="AE37">
        <f>IF(C37&lt;&gt;"",AC37*(1-VLOOKUP(A37,'Kategorisering af kcal'!$A$2:$E$18,MATCH('Produktion &amp; forbrug'!F37,'Kategorisering af kcal'!$A$1:$E$1,0),FALSE)),'Produktion &amp; forbrug'!AC37)</f>
        <v>0</v>
      </c>
      <c r="AF37" s="94">
        <f t="shared" si="9"/>
        <v>0</v>
      </c>
    </row>
    <row r="38" spans="1:34" x14ac:dyDescent="0.25">
      <c r="A38" s="171" t="s">
        <v>117</v>
      </c>
      <c r="B38" s="171"/>
      <c r="C38" s="171" t="str">
        <f>IFERROR(VLOOKUP(A38,'Kategorisering af kcal'!$A$2:$B$18,2,FALSE),"")</f>
        <v/>
      </c>
      <c r="D38" s="171">
        <f>IF(COUNTIFS('Resultater - Danmark'!$D$3:$D$504,'Produktion &amp; forbrug'!A38,'Resultater - Danmark'!$A$3:$A$504,"Til energi")+COUNTIFS('Resultater - Danmark'!$D$3:$D$504,'Produktion &amp; forbrug'!A38,'Resultater - Danmark'!$A$3:$A$504,"Biogasanlæg")&gt;0,1,0)</f>
        <v>0</v>
      </c>
      <c r="E38" s="171">
        <v>0</v>
      </c>
      <c r="F38" s="171">
        <f t="shared" si="2"/>
        <v>2019</v>
      </c>
      <c r="G38" s="94">
        <f>SUMIFS('Resultat-Produktion &amp; forbrug'!G$4:G$291,'Resultat-Produktion &amp; forbrug'!$A$4:$A$291,'Produktion &amp; forbrug'!$A38,'Resultat-Produktion &amp; forbrug'!$E$4:$E$291,'Produktion &amp; forbrug'!$F38)</f>
        <v>5269000</v>
      </c>
      <c r="H38" s="94">
        <f>SUMIFS('Resultat-Produktion &amp; forbrug'!H$4:H$291,'Resultat-Produktion &amp; forbrug'!$A$4:$A$291,'Produktion &amp; forbrug'!$A38,'Resultat-Produktion &amp; forbrug'!$E$4:$E$291,'Produktion &amp; forbrug'!$F38)</f>
        <v>0</v>
      </c>
      <c r="I38" s="94">
        <f>SUMIFS('Resultat-Produktion &amp; forbrug'!I$4:I$291,'Resultat-Produktion &amp; forbrug'!$A$4:$A$291,'Produktion &amp; forbrug'!$A38,'Resultat-Produktion &amp; forbrug'!$E$4:$E$291,'Produktion &amp; forbrug'!$F38)</f>
        <v>0</v>
      </c>
      <c r="J38" s="94">
        <f>SUMIFS('Resultat-Produktion &amp; forbrug'!J$4:J$291,'Resultat-Produktion &amp; forbrug'!$A$4:$A$291,'Produktion &amp; forbrug'!$A38,'Resultat-Produktion &amp; forbrug'!$E$4:$E$291,'Produktion &amp; forbrug'!$F38)</f>
        <v>0</v>
      </c>
      <c r="K38" s="94">
        <f>SUMIFS('Resultat-Produktion &amp; forbrug'!K$4:K$291,'Resultat-Produktion &amp; forbrug'!$A$4:$A$291,'Produktion &amp; forbrug'!$A38,'Resultat-Produktion &amp; forbrug'!$E$4:$E$291,'Produktion &amp; forbrug'!$F38)</f>
        <v>0</v>
      </c>
      <c r="L38" s="94">
        <f>SUMIFS('Resultat-Produktion &amp; forbrug'!L$4:L$291,'Resultat-Produktion &amp; forbrug'!$A$4:$A$291,'Produktion &amp; forbrug'!$A38,'Resultat-Produktion &amp; forbrug'!$E$4:$E$291,'Produktion &amp; forbrug'!$F38)</f>
        <v>0</v>
      </c>
      <c r="M38" s="94">
        <f>SUMIFS('Resultat-Produktion &amp; forbrug'!M$4:M$291,'Resultat-Produktion &amp; forbrug'!$A$4:$A$291,'Produktion &amp; forbrug'!$A38,'Resultat-Produktion &amp; forbrug'!$E$4:$E$291,'Produktion &amp; forbrug'!$F38)</f>
        <v>0</v>
      </c>
      <c r="N38" s="94">
        <f>SUMIFS('Resultat-Produktion &amp; forbrug'!N$4:N$291,'Resultat-Produktion &amp; forbrug'!$A$4:$A$291,'Produktion &amp; forbrug'!$A38,'Resultat-Produktion &amp; forbrug'!$E$4:$E$291,'Produktion &amp; forbrug'!$F38)</f>
        <v>0</v>
      </c>
      <c r="O38" s="179">
        <f t="shared" si="3"/>
        <v>5269000</v>
      </c>
      <c r="P38" s="94">
        <f t="shared" si="4"/>
        <v>0</v>
      </c>
      <c r="Q38" s="180">
        <f t="shared" si="5"/>
        <v>0</v>
      </c>
      <c r="R38">
        <f>IFERROR(VLOOKUP(A38,[1]Energiindhold!$A$2:$C$11,3,FALSE),IFERROR(VLOOKUP(A38,[1]Biogasudbytte!$A$2:$B$18,2,FALSE)*[1]Energiindhold!$C$10,0))*P38</f>
        <v>0</v>
      </c>
      <c r="S38">
        <f>IF(A38&lt;&gt;"Biogas",IFERROR(VLOOKUP(A38,[1]Biogasudbytte!$A$2:$B$18,2,FALSE)*[1]Energiindhold!$C$10,0)*K38*IFERROR(VLOOKUP(A38,Biogasanlæg!$F$3:$G$8,2,FALSE),1)+IFERROR(VLOOKUP(A38,[1]Energiindhold!$A$2:$C$11,3,FALSE),0)*M38+IF(F38&lt;&gt;År1,R38,0),0)</f>
        <v>0</v>
      </c>
      <c r="T38">
        <f>IFERROR(VLOOKUP(A38,[1]Biogasudbytte!$A$2:$B$18,2,FALSE)*[1]Energiindhold!$C$10,0)*K38*IFERROR(VLOOKUP(A38,Biogasanlæg!$F$3:$G$8,2,FALSE),1)</f>
        <v>0</v>
      </c>
      <c r="U38" s="170">
        <f t="shared" si="6"/>
        <v>0</v>
      </c>
      <c r="V38" s="169">
        <f>P38*IFERROR(VLOOKUP(A38,[1]Tørstofindhold!A$2:B$24,2,FALSE),0)</f>
        <v>0</v>
      </c>
      <c r="W38">
        <f>IF(F38=År1,Q38,SUM(P38,Q38))*IFERROR(VLOOKUP(A38,[1]Tørstofindhold!A$2:B$24,2,FALSE),0)</f>
        <v>0</v>
      </c>
      <c r="X38">
        <f>K38*IFERROR(VLOOKUP(A38,[1]Tørstofindhold!A$2:B$24,2,FALSE),0)</f>
        <v>0</v>
      </c>
      <c r="Y38" s="170">
        <f t="shared" si="7"/>
        <v>0</v>
      </c>
      <c r="Z38">
        <f t="shared" si="10"/>
        <v>0</v>
      </c>
      <c r="AA38">
        <f t="shared" si="11"/>
        <v>1</v>
      </c>
      <c r="AC38" s="94">
        <f t="shared" si="8"/>
        <v>5269000</v>
      </c>
      <c r="AD38">
        <f>AC38*E38*10000*VLOOKUP(A38,[1]kcal!$A$2:$C$49,3,FALSE)/1000000000000*IFERROR(VLOOKUP(A38,'Kategorisering af kcal'!$A$2:$E$18,MATCH('Produktion &amp; forbrug'!F38,'Kategorisering af kcal'!$A$1:$E$1,0),FALSE),0)</f>
        <v>0</v>
      </c>
      <c r="AE38">
        <f>IF(C38&lt;&gt;"",AC38*(1-VLOOKUP(A38,'Kategorisering af kcal'!$A$2:$E$18,MATCH('Produktion &amp; forbrug'!F38,'Kategorisering af kcal'!$A$1:$E$1,0),FALSE)),'Produktion &amp; forbrug'!AC38)</f>
        <v>5269000</v>
      </c>
      <c r="AF38" s="94">
        <f t="shared" si="9"/>
        <v>0</v>
      </c>
    </row>
    <row r="39" spans="1:34" x14ac:dyDescent="0.25">
      <c r="A39" t="s">
        <v>50</v>
      </c>
      <c r="B39" s="171"/>
      <c r="C39" s="171" t="str">
        <f>IFERROR(VLOOKUP(A39,'Kategorisering af kcal'!$A$2:$B$18,2,FALSE),"")</f>
        <v/>
      </c>
      <c r="D39" s="171">
        <f>IF(COUNTIFS('Resultater - Danmark'!$D$3:$D$504,'Produktion &amp; forbrug'!A39,'Resultater - Danmark'!$A$3:$A$504,"Til energi")+COUNTIFS('Resultater - Danmark'!$D$3:$D$504,'Produktion &amp; forbrug'!A39,'Resultater - Danmark'!$A$3:$A$504,"Biogasanlæg")&gt;0,1,0)</f>
        <v>0</v>
      </c>
      <c r="E39" s="171">
        <v>0</v>
      </c>
      <c r="F39" s="171">
        <f t="shared" si="2"/>
        <v>2019</v>
      </c>
      <c r="G39" s="94">
        <f>SUMIFS('Resultat-Produktion &amp; forbrug'!G$4:G$291,'Resultat-Produktion &amp; forbrug'!$A$4:$A$291,'Produktion &amp; forbrug'!$A39,'Resultat-Produktion &amp; forbrug'!$E$4:$E$291,'Produktion &amp; forbrug'!$F39)</f>
        <v>678325.22851124685</v>
      </c>
      <c r="H39" s="94">
        <f>SUMIFS('Resultat-Produktion &amp; forbrug'!H$4:H$291,'Resultat-Produktion &amp; forbrug'!$A$4:$A$291,'Produktion &amp; forbrug'!$A39,'Resultat-Produktion &amp; forbrug'!$E$4:$E$291,'Produktion &amp; forbrug'!$F39)</f>
        <v>0</v>
      </c>
      <c r="I39" s="94">
        <f>SUMIFS('Resultat-Produktion &amp; forbrug'!I$4:I$291,'Resultat-Produktion &amp; forbrug'!$A$4:$A$291,'Produktion &amp; forbrug'!$A39,'Resultat-Produktion &amp; forbrug'!$E$4:$E$291,'Produktion &amp; forbrug'!$F39)</f>
        <v>0</v>
      </c>
      <c r="J39" s="94">
        <f>SUMIFS('Resultat-Produktion &amp; forbrug'!J$4:J$291,'Resultat-Produktion &amp; forbrug'!$A$4:$A$291,'Produktion &amp; forbrug'!$A39,'Resultat-Produktion &amp; forbrug'!$E$4:$E$291,'Produktion &amp; forbrug'!$F39)</f>
        <v>0</v>
      </c>
      <c r="K39" s="94">
        <f>SUMIFS('Resultat-Produktion &amp; forbrug'!K$4:K$291,'Resultat-Produktion &amp; forbrug'!$A$4:$A$291,'Produktion &amp; forbrug'!$A39,'Resultat-Produktion &amp; forbrug'!$E$4:$E$291,'Produktion &amp; forbrug'!$F39)</f>
        <v>0</v>
      </c>
      <c r="L39" s="94">
        <f>SUMIFS('Resultat-Produktion &amp; forbrug'!L$4:L$291,'Resultat-Produktion &amp; forbrug'!$A$4:$A$291,'Produktion &amp; forbrug'!$A39,'Resultat-Produktion &amp; forbrug'!$E$4:$E$291,'Produktion &amp; forbrug'!$F39)</f>
        <v>0</v>
      </c>
      <c r="M39" s="94">
        <f>SUMIFS('Resultat-Produktion &amp; forbrug'!M$4:M$291,'Resultat-Produktion &amp; forbrug'!$A$4:$A$291,'Produktion &amp; forbrug'!$A39,'Resultat-Produktion &amp; forbrug'!$E$4:$E$291,'Produktion &amp; forbrug'!$F39)</f>
        <v>0</v>
      </c>
      <c r="N39" s="94">
        <f>SUMIFS('Resultat-Produktion &amp; forbrug'!N$4:N$291,'Resultat-Produktion &amp; forbrug'!$A$4:$A$291,'Produktion &amp; forbrug'!$A39,'Resultat-Produktion &amp; forbrug'!$E$4:$E$291,'Produktion &amp; forbrug'!$F39)</f>
        <v>678325.22851124685</v>
      </c>
      <c r="O39" s="179">
        <f t="shared" si="3"/>
        <v>0</v>
      </c>
      <c r="P39" s="94">
        <f t="shared" si="4"/>
        <v>0</v>
      </c>
      <c r="Q39" s="180">
        <f t="shared" si="5"/>
        <v>0</v>
      </c>
      <c r="R39">
        <f>IFERROR(VLOOKUP(A39,[1]Energiindhold!$A$2:$C$11,3,FALSE),IFERROR(VLOOKUP(A39,[1]Biogasudbytte!$A$2:$B$18,2,FALSE)*[1]Energiindhold!$C$10,0))*P39</f>
        <v>0</v>
      </c>
      <c r="S39">
        <f>IF(A39&lt;&gt;"Biogas",IFERROR(VLOOKUP(A39,[1]Biogasudbytte!$A$2:$B$18,2,FALSE)*[1]Energiindhold!$C$10,0)*K39*IFERROR(VLOOKUP(A39,Biogasanlæg!$F$3:$G$8,2,FALSE),1)+IFERROR(VLOOKUP(A39,[1]Energiindhold!$A$2:$C$11,3,FALSE),0)*M39+IF(F39&lt;&gt;År1,R39,0),0)</f>
        <v>0</v>
      </c>
      <c r="T39">
        <f>IFERROR(VLOOKUP(A39,[1]Biogasudbytte!$A$2:$B$18,2,FALSE)*[1]Energiindhold!$C$10,0)*K39*IFERROR(VLOOKUP(A39,Biogasanlæg!$F$3:$G$8,2,FALSE),1)</f>
        <v>0</v>
      </c>
      <c r="U39" s="170">
        <f t="shared" si="6"/>
        <v>0</v>
      </c>
      <c r="V39" s="169">
        <f>P39*IFERROR(VLOOKUP(A39,[1]Tørstofindhold!A$2:B$24,2,FALSE),0)</f>
        <v>0</v>
      </c>
      <c r="W39">
        <f>IF(F39=År1,Q39,SUM(P39,Q39))*IFERROR(VLOOKUP(A39,[1]Tørstofindhold!A$2:B$24,2,FALSE),0)</f>
        <v>0</v>
      </c>
      <c r="X39">
        <f>K39*IFERROR(VLOOKUP(A39,[1]Tørstofindhold!A$2:B$24,2,FALSE),0)</f>
        <v>0</v>
      </c>
      <c r="Y39" s="170">
        <f t="shared" si="7"/>
        <v>0</v>
      </c>
      <c r="Z39">
        <f t="shared" si="10"/>
        <v>0</v>
      </c>
      <c r="AA39">
        <f t="shared" si="11"/>
        <v>0</v>
      </c>
      <c r="AC39" s="94">
        <f t="shared" si="8"/>
        <v>0</v>
      </c>
      <c r="AD39">
        <f>AC39*E39*10000*VLOOKUP(A39,[1]kcal!$A$2:$C$49,3,FALSE)/1000000000000*IFERROR(VLOOKUP(A39,'Kategorisering af kcal'!$A$2:$E$18,MATCH('Produktion &amp; forbrug'!F39,'Kategorisering af kcal'!$A$1:$E$1,0),FALSE),0)</f>
        <v>0</v>
      </c>
      <c r="AE39">
        <f>IF(C39&lt;&gt;"",AC39*(1-VLOOKUP(A39,'Kategorisering af kcal'!$A$2:$E$18,MATCH('Produktion &amp; forbrug'!F39,'Kategorisering af kcal'!$A$1:$E$1,0),FALSE)),'Produktion &amp; forbrug'!AC39)</f>
        <v>0</v>
      </c>
      <c r="AF39" s="94">
        <f t="shared" si="9"/>
        <v>0</v>
      </c>
    </row>
    <row r="40" spans="1:34" x14ac:dyDescent="0.25">
      <c r="A40" t="s">
        <v>237</v>
      </c>
      <c r="B40" s="171"/>
      <c r="C40" s="171" t="str">
        <f>IFERROR(VLOOKUP(A40,'Kategorisering af kcal'!$A$2:$B$18,2,FALSE),"")</f>
        <v/>
      </c>
      <c r="D40" s="171">
        <f>IF(COUNTIFS('Resultater - Danmark'!$D$3:$D$504,'Produktion &amp; forbrug'!A40,'Resultater - Danmark'!$A$3:$A$504,"Til energi")+COUNTIFS('Resultater - Danmark'!$D$3:$D$504,'Produktion &amp; forbrug'!A40,'Resultater - Danmark'!$A$3:$A$504,"Biogasanlæg")&gt;0,1,0)</f>
        <v>0</v>
      </c>
      <c r="E40" s="171">
        <v>0</v>
      </c>
      <c r="F40" s="171">
        <f t="shared" si="2"/>
        <v>2019</v>
      </c>
      <c r="G40" s="94">
        <f>SUMIFS('Resultat-Produktion &amp; forbrug'!G$4:G$291,'Resultat-Produktion &amp; forbrug'!$A$4:$A$291,'Produktion &amp; forbrug'!$A40,'Resultat-Produktion &amp; forbrug'!$E$4:$E$291,'Produktion &amp; forbrug'!$F40)</f>
        <v>339162.61425562343</v>
      </c>
      <c r="H40" s="94">
        <f>SUMIFS('Resultat-Produktion &amp; forbrug'!H$4:H$291,'Resultat-Produktion &amp; forbrug'!$A$4:$A$291,'Produktion &amp; forbrug'!$A40,'Resultat-Produktion &amp; forbrug'!$E$4:$E$291,'Produktion &amp; forbrug'!$F40)</f>
        <v>240377.87559326066</v>
      </c>
      <c r="I40" s="94">
        <f>SUMIFS('Resultat-Produktion &amp; forbrug'!I$4:I$291,'Resultat-Produktion &amp; forbrug'!$A$4:$A$291,'Produktion &amp; forbrug'!$A40,'Resultat-Produktion &amp; forbrug'!$E$4:$E$291,'Produktion &amp; forbrug'!$F40)</f>
        <v>0</v>
      </c>
      <c r="J40" s="94">
        <f>SUMIFS('Resultat-Produktion &amp; forbrug'!J$4:J$291,'Resultat-Produktion &amp; forbrug'!$A$4:$A$291,'Produktion &amp; forbrug'!$A40,'Resultat-Produktion &amp; forbrug'!$E$4:$E$291,'Produktion &amp; forbrug'!$F40)</f>
        <v>0</v>
      </c>
      <c r="K40" s="94">
        <f>SUMIFS('Resultat-Produktion &amp; forbrug'!K$4:K$291,'Resultat-Produktion &amp; forbrug'!$A$4:$A$291,'Produktion &amp; forbrug'!$A40,'Resultat-Produktion &amp; forbrug'!$E$4:$E$291,'Produktion &amp; forbrug'!$F40)</f>
        <v>0</v>
      </c>
      <c r="L40" s="94">
        <f>SUMIFS('Resultat-Produktion &amp; forbrug'!L$4:L$291,'Resultat-Produktion &amp; forbrug'!$A$4:$A$291,'Produktion &amp; forbrug'!$A40,'Resultat-Produktion &amp; forbrug'!$E$4:$E$291,'Produktion &amp; forbrug'!$F40)</f>
        <v>0</v>
      </c>
      <c r="M40" s="94">
        <f>SUMIFS('Resultat-Produktion &amp; forbrug'!M$4:M$291,'Resultat-Produktion &amp; forbrug'!$A$4:$A$291,'Produktion &amp; forbrug'!$A40,'Resultat-Produktion &amp; forbrug'!$E$4:$E$291,'Produktion &amp; forbrug'!$F40)</f>
        <v>0</v>
      </c>
      <c r="N40" s="94">
        <f>SUMIFS('Resultat-Produktion &amp; forbrug'!N$4:N$291,'Resultat-Produktion &amp; forbrug'!$A$4:$A$291,'Produktion &amp; forbrug'!$A40,'Resultat-Produktion &amp; forbrug'!$E$4:$E$291,'Produktion &amp; forbrug'!$F40)</f>
        <v>0</v>
      </c>
      <c r="O40" s="179">
        <f t="shared" si="3"/>
        <v>98784.738662362768</v>
      </c>
      <c r="P40" s="94">
        <f t="shared" si="4"/>
        <v>0</v>
      </c>
      <c r="Q40" s="180">
        <f t="shared" si="5"/>
        <v>0</v>
      </c>
      <c r="R40">
        <f>IFERROR(VLOOKUP(A40,[1]Energiindhold!$A$2:$C$11,3,FALSE),IFERROR(VLOOKUP(A40,[1]Biogasudbytte!$A$2:$B$18,2,FALSE)*[1]Energiindhold!$C$10,0))*P40</f>
        <v>0</v>
      </c>
      <c r="S40">
        <f>IF(A40&lt;&gt;"Biogas",IFERROR(VLOOKUP(A40,[1]Biogasudbytte!$A$2:$B$18,2,FALSE)*[1]Energiindhold!$C$10,0)*K40*IFERROR(VLOOKUP(A40,Biogasanlæg!$F$3:$G$8,2,FALSE),1)+IFERROR(VLOOKUP(A40,[1]Energiindhold!$A$2:$C$11,3,FALSE),0)*M40+IF(F40&lt;&gt;År1,R40,0),0)</f>
        <v>0</v>
      </c>
      <c r="T40">
        <f>IFERROR(VLOOKUP(A40,[1]Biogasudbytte!$A$2:$B$18,2,FALSE)*[1]Energiindhold!$C$10,0)*K40*IFERROR(VLOOKUP(A40,Biogasanlæg!$F$3:$G$8,2,FALSE),1)</f>
        <v>0</v>
      </c>
      <c r="U40" s="170">
        <f t="shared" si="6"/>
        <v>0</v>
      </c>
      <c r="V40" s="169">
        <f>P40*IFERROR(VLOOKUP(A40,[1]Tørstofindhold!A$2:B$24,2,FALSE),0)</f>
        <v>0</v>
      </c>
      <c r="W40">
        <f>IF(F40=År1,Q40,SUM(P40,Q40))*IFERROR(VLOOKUP(A40,[1]Tørstofindhold!A$2:B$24,2,FALSE),0)</f>
        <v>0</v>
      </c>
      <c r="X40">
        <f>K40*IFERROR(VLOOKUP(A40,[1]Tørstofindhold!A$2:B$24,2,FALSE),0)</f>
        <v>0</v>
      </c>
      <c r="Y40" s="170">
        <f t="shared" si="7"/>
        <v>0</v>
      </c>
      <c r="Z40">
        <f t="shared" si="10"/>
        <v>0</v>
      </c>
      <c r="AA40">
        <f t="shared" si="11"/>
        <v>1</v>
      </c>
      <c r="AC40" s="94">
        <f t="shared" si="8"/>
        <v>98784.738662362768</v>
      </c>
      <c r="AD40">
        <f>AC40*E40*10000*VLOOKUP(A40,[1]kcal!$A$2:$C$49,3,FALSE)/1000000000000*IFERROR(VLOOKUP(A40,'Kategorisering af kcal'!$A$2:$E$18,MATCH('Produktion &amp; forbrug'!F40,'Kategorisering af kcal'!$A$1:$E$1,0),FALSE),0)</f>
        <v>0</v>
      </c>
      <c r="AE40">
        <f>IF(C40&lt;&gt;"",AC40*(1-VLOOKUP(A40,'Kategorisering af kcal'!$A$2:$E$18,MATCH('Produktion &amp; forbrug'!F40,'Kategorisering af kcal'!$A$1:$E$1,0),FALSE)),'Produktion &amp; forbrug'!AC40)</f>
        <v>98784.738662362768</v>
      </c>
      <c r="AF40" s="94">
        <f t="shared" si="9"/>
        <v>0</v>
      </c>
    </row>
    <row r="41" spans="1:34" x14ac:dyDescent="0.25">
      <c r="A41" t="s">
        <v>230</v>
      </c>
      <c r="B41" s="171" t="s">
        <v>230</v>
      </c>
      <c r="C41" s="171" t="str">
        <f>IFERROR(VLOOKUP(A41,'Kategorisering af kcal'!$A$2:$B$18,2,FALSE),"")</f>
        <v>Olieafgrøder</v>
      </c>
      <c r="D41" s="171">
        <f>IF(COUNTIFS('Resultater - Danmark'!$D$3:$D$504,'Produktion &amp; forbrug'!A41,'Resultater - Danmark'!$A$3:$A$504,"Til energi")+COUNTIFS('Resultater - Danmark'!$D$3:$D$504,'Produktion &amp; forbrug'!A41,'Resultater - Danmark'!$A$3:$A$504,"Biogasanlæg")&gt;0,1,0)</f>
        <v>1</v>
      </c>
      <c r="E41" s="171">
        <v>1</v>
      </c>
      <c r="F41" s="171">
        <f t="shared" si="2"/>
        <v>2019</v>
      </c>
      <c r="G41" s="94">
        <f>SUMIFS('Resultat-Produktion &amp; forbrug'!G$4:G$291,'Resultat-Produktion &amp; forbrug'!$A$4:$A$291,'Produktion &amp; forbrug'!$A41,'Resultat-Produktion &amp; forbrug'!$E$4:$E$291,'Produktion &amp; forbrug'!$F41)</f>
        <v>217064.073123599</v>
      </c>
      <c r="H41" s="94">
        <f>SUMIFS('Resultat-Produktion &amp; forbrug'!H$4:H$291,'Resultat-Produktion &amp; forbrug'!$A$4:$A$291,'Produktion &amp; forbrug'!$A41,'Resultat-Produktion &amp; forbrug'!$E$4:$E$291,'Produktion &amp; forbrug'!$F41)</f>
        <v>0</v>
      </c>
      <c r="I41" s="94">
        <f>SUMIFS('Resultat-Produktion &amp; forbrug'!I$4:I$291,'Resultat-Produktion &amp; forbrug'!$A$4:$A$291,'Produktion &amp; forbrug'!$A41,'Resultat-Produktion &amp; forbrug'!$E$4:$E$291,'Produktion &amp; forbrug'!$F41)</f>
        <v>0</v>
      </c>
      <c r="J41" s="94">
        <f>SUMIFS('Resultat-Produktion &amp; forbrug'!J$4:J$291,'Resultat-Produktion &amp; forbrug'!$A$4:$A$291,'Produktion &amp; forbrug'!$A41,'Resultat-Produktion &amp; forbrug'!$E$4:$E$291,'Produktion &amp; forbrug'!$F41)</f>
        <v>0</v>
      </c>
      <c r="K41" s="94">
        <f>SUMIFS('Resultat-Produktion &amp; forbrug'!K$4:K$291,'Resultat-Produktion &amp; forbrug'!$A$4:$A$291,'Produktion &amp; forbrug'!$A41,'Resultat-Produktion &amp; forbrug'!$E$4:$E$291,'Produktion &amp; forbrug'!$F41)</f>
        <v>0</v>
      </c>
      <c r="L41" s="94">
        <f>SUMIFS('Resultat-Produktion &amp; forbrug'!L$4:L$291,'Resultat-Produktion &amp; forbrug'!$A$4:$A$291,'Produktion &amp; forbrug'!$A41,'Resultat-Produktion &amp; forbrug'!$E$4:$E$291,'Produktion &amp; forbrug'!$F41)</f>
        <v>0</v>
      </c>
      <c r="M41" s="94">
        <f>SUMIFS('Resultat-Produktion &amp; forbrug'!M$4:M$291,'Resultat-Produktion &amp; forbrug'!$A$4:$A$291,'Produktion &amp; forbrug'!$A41,'Resultat-Produktion &amp; forbrug'!$E$4:$E$291,'Produktion &amp; forbrug'!$F41)</f>
        <v>112873.31802427149</v>
      </c>
      <c r="N41" s="94">
        <f>SUMIFS('Resultat-Produktion &amp; forbrug'!N$4:N$291,'Resultat-Produktion &amp; forbrug'!$A$4:$A$291,'Produktion &amp; forbrug'!$A41,'Resultat-Produktion &amp; forbrug'!$E$4:$E$291,'Produktion &amp; forbrug'!$F41)</f>
        <v>104190.75509932752</v>
      </c>
      <c r="O41" s="179">
        <f t="shared" si="3"/>
        <v>0</v>
      </c>
      <c r="P41" s="94">
        <f t="shared" si="4"/>
        <v>0</v>
      </c>
      <c r="Q41" s="180">
        <f t="shared" si="5"/>
        <v>112873.31802427149</v>
      </c>
      <c r="R41">
        <f>IFERROR(VLOOKUP(A41,[1]Energiindhold!$A$2:$C$11,3,FALSE),IFERROR(VLOOKUP(A41,[1]Biogasudbytte!$A$2:$B$18,2,FALSE)*[1]Energiindhold!$C$10,0))*P41</f>
        <v>0</v>
      </c>
      <c r="S41">
        <f>IF(A41&lt;&gt;"Biogas",IFERROR(VLOOKUP(A41,[1]Biogasudbytte!$A$2:$B$18,2,FALSE)*[1]Energiindhold!$C$10,0)*K41*IFERROR(VLOOKUP(A41,Biogasanlæg!$F$3:$G$8,2,FALSE),1)+IFERROR(VLOOKUP(A41,[1]Energiindhold!$A$2:$C$11,3,FALSE),0)*M41+IF(F41&lt;&gt;År1,R41,0),0)</f>
        <v>3.9505661308495017</v>
      </c>
      <c r="T41">
        <f>IFERROR(VLOOKUP(A41,[1]Biogasudbytte!$A$2:$B$18,2,FALSE)*[1]Energiindhold!$C$10,0)*K41*IFERROR(VLOOKUP(A41,Biogasanlæg!$F$3:$G$8,2,FALSE),1)</f>
        <v>0</v>
      </c>
      <c r="U41" s="170">
        <f t="shared" si="6"/>
        <v>3.9505661308495017</v>
      </c>
      <c r="V41" s="169">
        <f>P41*IFERROR(VLOOKUP(A41,[1]Tørstofindhold!A$2:B$24,2,FALSE),0)</f>
        <v>0</v>
      </c>
      <c r="W41">
        <f>IF(F41=År1,Q41,SUM(P41,Q41))*IFERROR(VLOOKUP(A41,[1]Tørstofindhold!A$2:B$24,2,FALSE),0)</f>
        <v>0</v>
      </c>
      <c r="X41">
        <f>K41*IFERROR(VLOOKUP(A41,[1]Tørstofindhold!A$2:B$24,2,FALSE),0)</f>
        <v>0</v>
      </c>
      <c r="Y41" s="170">
        <f t="shared" si="7"/>
        <v>0</v>
      </c>
      <c r="Z41">
        <f t="shared" si="10"/>
        <v>0</v>
      </c>
      <c r="AA41">
        <f t="shared" si="11"/>
        <v>0</v>
      </c>
      <c r="AC41" s="94">
        <f t="shared" si="8"/>
        <v>112873.31802427147</v>
      </c>
      <c r="AD41">
        <f>AC41*E41*10000*VLOOKUP(A41,[1]kcal!$A$2:$C$49,3,FALSE)/1000000000000*IFERROR(VLOOKUP(A41,'Kategorisering af kcal'!$A$2:$E$18,MATCH('Produktion &amp; forbrug'!F41,'Kategorisering af kcal'!$A$1:$E$1,0),FALSE),0)</f>
        <v>0</v>
      </c>
      <c r="AE41">
        <f>IF(C41&lt;&gt;"",AC41*(1-VLOOKUP(A41,'Kategorisering af kcal'!$A$2:$E$18,MATCH('Produktion &amp; forbrug'!F41,'Kategorisering af kcal'!$A$1:$E$1,0),FALSE)),'Produktion &amp; forbrug'!AC41)</f>
        <v>112873.31802427147</v>
      </c>
      <c r="AF41" s="94">
        <f t="shared" si="9"/>
        <v>0</v>
      </c>
    </row>
    <row r="42" spans="1:34" x14ac:dyDescent="0.25">
      <c r="A42" t="s">
        <v>52</v>
      </c>
      <c r="B42" s="171" t="s">
        <v>223</v>
      </c>
      <c r="C42" s="171" t="str">
        <f>IFERROR(VLOOKUP(A42,'Kategorisering af kcal'!$A$2:$B$18,2,FALSE),"")</f>
        <v>Roer</v>
      </c>
      <c r="D42" s="171">
        <f>IF(COUNTIFS('Resultater - Danmark'!$D$3:$D$504,'Produktion &amp; forbrug'!A42,'Resultater - Danmark'!$A$3:$A$504,"Til energi")+COUNTIFS('Resultater - Danmark'!$D$3:$D$504,'Produktion &amp; forbrug'!A42,'Resultater - Danmark'!$A$3:$A$504,"Biogasanlæg")&gt;0,1,0)</f>
        <v>1</v>
      </c>
      <c r="E42" s="171">
        <v>1</v>
      </c>
      <c r="F42" s="171">
        <f t="shared" si="2"/>
        <v>2019</v>
      </c>
      <c r="G42" s="94">
        <f>SUMIFS('Resultat-Produktion &amp; forbrug'!G$4:G$291,'Resultat-Produktion &amp; forbrug'!$A$4:$A$291,'Produktion &amp; forbrug'!$A42,'Resultat-Produktion &amp; forbrug'!$E$4:$E$291,'Produktion &amp; forbrug'!$F42)</f>
        <v>2610834.0419031042</v>
      </c>
      <c r="H42" s="94">
        <f>SUMIFS('Resultat-Produktion &amp; forbrug'!H$4:H$291,'Resultat-Produktion &amp; forbrug'!$A$4:$A$291,'Produktion &amp; forbrug'!$A42,'Resultat-Produktion &amp; forbrug'!$E$4:$E$291,'Produktion &amp; forbrug'!$F42)</f>
        <v>944413.49448565592</v>
      </c>
      <c r="I42" s="94">
        <f>SUMIFS('Resultat-Produktion &amp; forbrug'!I$4:I$291,'Resultat-Produktion &amp; forbrug'!$A$4:$A$291,'Produktion &amp; forbrug'!$A42,'Resultat-Produktion &amp; forbrug'!$E$4:$E$291,'Produktion &amp; forbrug'!$F42)</f>
        <v>0</v>
      </c>
      <c r="J42" s="94">
        <f>SUMIFS('Resultat-Produktion &amp; forbrug'!J$4:J$291,'Resultat-Produktion &amp; forbrug'!$A$4:$A$291,'Produktion &amp; forbrug'!$A42,'Resultat-Produktion &amp; forbrug'!$E$4:$E$291,'Produktion &amp; forbrug'!$F42)</f>
        <v>0</v>
      </c>
      <c r="K42" s="94">
        <f>SUMIFS('Resultat-Produktion &amp; forbrug'!K$4:K$291,'Resultat-Produktion &amp; forbrug'!$A$4:$A$291,'Produktion &amp; forbrug'!$A42,'Resultat-Produktion &amp; forbrug'!$E$4:$E$291,'Produktion &amp; forbrug'!$F42)</f>
        <v>28644.999999999993</v>
      </c>
      <c r="L42" s="94">
        <f>SUMIFS('Resultat-Produktion &amp; forbrug'!L$4:L$291,'Resultat-Produktion &amp; forbrug'!$A$4:$A$291,'Produktion &amp; forbrug'!$A42,'Resultat-Produktion &amp; forbrug'!$E$4:$E$291,'Produktion &amp; forbrug'!$F42)</f>
        <v>0</v>
      </c>
      <c r="M42" s="94">
        <f>SUMIFS('Resultat-Produktion &amp; forbrug'!M$4:M$291,'Resultat-Produktion &amp; forbrug'!$A$4:$A$291,'Produktion &amp; forbrug'!$A42,'Resultat-Produktion &amp; forbrug'!$E$4:$E$291,'Produktion &amp; forbrug'!$F42)</f>
        <v>0</v>
      </c>
      <c r="N42" s="94">
        <f>SUMIFS('Resultat-Produktion &amp; forbrug'!N$4:N$291,'Resultat-Produktion &amp; forbrug'!$A$4:$A$291,'Produktion &amp; forbrug'!$A42,'Resultat-Produktion &amp; forbrug'!$E$4:$E$291,'Produktion &amp; forbrug'!$F42)</f>
        <v>0</v>
      </c>
      <c r="O42" s="179">
        <f t="shared" si="3"/>
        <v>1637775.5474174484</v>
      </c>
      <c r="P42" s="94">
        <f t="shared" si="4"/>
        <v>1637775.5474174484</v>
      </c>
      <c r="Q42" s="180">
        <f t="shared" si="5"/>
        <v>28644.999999999993</v>
      </c>
      <c r="R42">
        <f>IFERROR(VLOOKUP(A42,[1]Energiindhold!$A$2:$C$11,3,FALSE),IFERROR(VLOOKUP(A42,[1]Biogasudbytte!$A$2:$B$18,2,FALSE)*[1]Energiindhold!$C$10,0))*P42</f>
        <v>4.4449883467128517</v>
      </c>
      <c r="S42">
        <f>IF(A42&lt;&gt;"Biogas",IFERROR(VLOOKUP(A42,[1]Biogasudbytte!$A$2:$B$18,2,FALSE)*[1]Energiindhold!$C$10,0)*K42*IFERROR(VLOOKUP(A42,Biogasanlæg!$F$3:$G$8,2,FALSE),1)+IFERROR(VLOOKUP(A42,[1]Energiindhold!$A$2:$C$11,3,FALSE),0)*M42+IF(F42&lt;&gt;År1,R42,0),0)</f>
        <v>7.7743675799999981E-2</v>
      </c>
      <c r="T42">
        <f>IFERROR(VLOOKUP(A42,[1]Biogasudbytte!$A$2:$B$18,2,FALSE)*[1]Energiindhold!$C$10,0)*K42*IFERROR(VLOOKUP(A42,Biogasanlæg!$F$3:$G$8,2,FALSE),1)</f>
        <v>7.7743675799999981E-2</v>
      </c>
      <c r="U42" s="170">
        <f t="shared" si="6"/>
        <v>0</v>
      </c>
      <c r="V42" s="169">
        <f>P42*IFERROR(VLOOKUP(A42,[1]Tørstofindhold!A$2:B$24,2,FALSE),0)</f>
        <v>327555.10948348971</v>
      </c>
      <c r="W42">
        <f>IF(F42=År1,Q42,SUM(P42,Q42))*IFERROR(VLOOKUP(A42,[1]Tørstofindhold!A$2:B$24,2,FALSE),0)</f>
        <v>5728.9999999999991</v>
      </c>
      <c r="X42">
        <f>K42*IFERROR(VLOOKUP(A42,[1]Tørstofindhold!A$2:B$24,2,FALSE),0)</f>
        <v>5728.9999999999991</v>
      </c>
      <c r="Y42" s="170">
        <f t="shared" si="7"/>
        <v>0</v>
      </c>
      <c r="Z42">
        <f t="shared" si="10"/>
        <v>0</v>
      </c>
      <c r="AA42">
        <f t="shared" si="11"/>
        <v>1</v>
      </c>
      <c r="AC42" s="94">
        <f t="shared" si="8"/>
        <v>1637775.5474174484</v>
      </c>
      <c r="AD42">
        <f>AC42*E42*10000*VLOOKUP(A42,[1]kcal!$A$2:$C$49,3,FALSE)/1000000000000*IFERROR(VLOOKUP(A42,'Kategorisering af kcal'!$A$2:$E$18,MATCH('Produktion &amp; forbrug'!F42,'Kategorisering af kcal'!$A$1:$E$1,0),FALSE),0)</f>
        <v>0.49133266422523447</v>
      </c>
      <c r="AE42">
        <f>IF(C42&lt;&gt;"",AC42*(1-VLOOKUP(A42,'Kategorisering af kcal'!$A$2:$E$18,MATCH('Produktion &amp; forbrug'!F42,'Kategorisering af kcal'!$A$1:$E$1,0),FALSE)),'Produktion &amp; forbrug'!AC42)</f>
        <v>0</v>
      </c>
      <c r="AF42" s="94">
        <f t="shared" si="9"/>
        <v>1637775.5474174484</v>
      </c>
    </row>
    <row r="43" spans="1:34" x14ac:dyDescent="0.25">
      <c r="A43" t="s">
        <v>121</v>
      </c>
      <c r="B43" s="171"/>
      <c r="C43" s="171" t="str">
        <f>IFERROR(VLOOKUP(A43,'Kategorisering af kcal'!$A$2:$B$18,2,FALSE),"")</f>
        <v/>
      </c>
      <c r="D43" s="171">
        <f>IF(COUNTIFS('Resultater - Danmark'!$D$3:$D$504,'Produktion &amp; forbrug'!A43,'Resultater - Danmark'!$A$3:$A$504,"Til energi")+COUNTIFS('Resultater - Danmark'!$D$3:$D$504,'Produktion &amp; forbrug'!A43,'Resultater - Danmark'!$A$3:$A$504,"Biogasanlæg")&gt;0,1,0)</f>
        <v>0</v>
      </c>
      <c r="E43" s="171">
        <v>0</v>
      </c>
      <c r="F43" s="171">
        <f t="shared" si="2"/>
        <v>2019</v>
      </c>
      <c r="G43" s="94">
        <f>SUMIFS('Resultat-Produktion &amp; forbrug'!G$4:G$291,'Resultat-Produktion &amp; forbrug'!$A$4:$A$291,'Produktion &amp; forbrug'!$A43,'Resultat-Produktion &amp; forbrug'!$E$4:$E$291,'Produktion &amp; forbrug'!$F43)</f>
        <v>217010.36743552322</v>
      </c>
      <c r="H43" s="94">
        <f>SUMIFS('Resultat-Produktion &amp; forbrug'!H$4:H$291,'Resultat-Produktion &amp; forbrug'!$A$4:$A$291,'Produktion &amp; forbrug'!$A43,'Resultat-Produktion &amp; forbrug'!$E$4:$E$291,'Produktion &amp; forbrug'!$F43)</f>
        <v>0</v>
      </c>
      <c r="I43" s="94">
        <f>SUMIFS('Resultat-Produktion &amp; forbrug'!I$4:I$291,'Resultat-Produktion &amp; forbrug'!$A$4:$A$291,'Produktion &amp; forbrug'!$A43,'Resultat-Produktion &amp; forbrug'!$E$4:$E$291,'Produktion &amp; forbrug'!$F43)</f>
        <v>0</v>
      </c>
      <c r="J43" s="94">
        <f>SUMIFS('Resultat-Produktion &amp; forbrug'!J$4:J$291,'Resultat-Produktion &amp; forbrug'!$A$4:$A$291,'Produktion &amp; forbrug'!$A43,'Resultat-Produktion &amp; forbrug'!$E$4:$E$291,'Produktion &amp; forbrug'!$F43)</f>
        <v>0</v>
      </c>
      <c r="K43" s="94">
        <f>SUMIFS('Resultat-Produktion &amp; forbrug'!K$4:K$291,'Resultat-Produktion &amp; forbrug'!$A$4:$A$291,'Produktion &amp; forbrug'!$A43,'Resultat-Produktion &amp; forbrug'!$E$4:$E$291,'Produktion &amp; forbrug'!$F43)</f>
        <v>0</v>
      </c>
      <c r="L43" s="94">
        <f>SUMIFS('Resultat-Produktion &amp; forbrug'!L$4:L$291,'Resultat-Produktion &amp; forbrug'!$A$4:$A$291,'Produktion &amp; forbrug'!$A43,'Resultat-Produktion &amp; forbrug'!$E$4:$E$291,'Produktion &amp; forbrug'!$F43)</f>
        <v>0</v>
      </c>
      <c r="M43" s="94">
        <f>SUMIFS('Resultat-Produktion &amp; forbrug'!M$4:M$291,'Resultat-Produktion &amp; forbrug'!$A$4:$A$291,'Produktion &amp; forbrug'!$A43,'Resultat-Produktion &amp; forbrug'!$E$4:$E$291,'Produktion &amp; forbrug'!$F43)</f>
        <v>0</v>
      </c>
      <c r="N43" s="94">
        <f>SUMIFS('Resultat-Produktion &amp; forbrug'!N$4:N$291,'Resultat-Produktion &amp; forbrug'!$A$4:$A$291,'Produktion &amp; forbrug'!$A43,'Resultat-Produktion &amp; forbrug'!$E$4:$E$291,'Produktion &amp; forbrug'!$F43)</f>
        <v>0</v>
      </c>
      <c r="O43" s="179">
        <f t="shared" si="3"/>
        <v>217010.36743552322</v>
      </c>
      <c r="P43" s="94">
        <f t="shared" si="4"/>
        <v>0</v>
      </c>
      <c r="Q43" s="180">
        <f t="shared" si="5"/>
        <v>0</v>
      </c>
      <c r="R43">
        <f>IFERROR(VLOOKUP(A43,[1]Energiindhold!$A$2:$C$11,3,FALSE),IFERROR(VLOOKUP(A43,[1]Biogasudbytte!$A$2:$B$18,2,FALSE)*[1]Energiindhold!$C$10,0))*P43</f>
        <v>0</v>
      </c>
      <c r="S43">
        <f>IF(A43&lt;&gt;"Biogas",IFERROR(VLOOKUP(A43,[1]Biogasudbytte!$A$2:$B$18,2,FALSE)*[1]Energiindhold!$C$10,0)*K43*IFERROR(VLOOKUP(A43,Biogasanlæg!$F$3:$G$8,2,FALSE),1)+IFERROR(VLOOKUP(A43,[1]Energiindhold!$A$2:$C$11,3,FALSE),0)*M43+IF(F43&lt;&gt;År1,R43,0),0)</f>
        <v>0</v>
      </c>
      <c r="T43">
        <f>IFERROR(VLOOKUP(A43,[1]Biogasudbytte!$A$2:$B$18,2,FALSE)*[1]Energiindhold!$C$10,0)*K43*IFERROR(VLOOKUP(A43,Biogasanlæg!$F$3:$G$8,2,FALSE),1)</f>
        <v>0</v>
      </c>
      <c r="U43" s="170">
        <f t="shared" si="6"/>
        <v>0</v>
      </c>
      <c r="V43" s="169">
        <f>P43*IFERROR(VLOOKUP(A43,[1]Tørstofindhold!A$2:B$24,2,FALSE),0)</f>
        <v>0</v>
      </c>
      <c r="W43">
        <f>IF(F43=År1,Q43,SUM(P43,Q43))*IFERROR(VLOOKUP(A43,[1]Tørstofindhold!A$2:B$24,2,FALSE),0)</f>
        <v>0</v>
      </c>
      <c r="X43">
        <f>K43*IFERROR(VLOOKUP(A43,[1]Tørstofindhold!A$2:B$24,2,FALSE),0)</f>
        <v>0</v>
      </c>
      <c r="Y43" s="170">
        <f t="shared" si="7"/>
        <v>0</v>
      </c>
      <c r="Z43">
        <f t="shared" si="10"/>
        <v>0</v>
      </c>
      <c r="AA43">
        <f t="shared" si="11"/>
        <v>1</v>
      </c>
      <c r="AC43" s="94">
        <f t="shared" si="8"/>
        <v>217010.36743552322</v>
      </c>
      <c r="AD43">
        <f>AC43*E43*10000*VLOOKUP(A43,[1]kcal!$A$2:$C$49,3,FALSE)/1000000000000*IFERROR(VLOOKUP(A43,'Kategorisering af kcal'!$A$2:$E$18,MATCH('Produktion &amp; forbrug'!F43,'Kategorisering af kcal'!$A$1:$E$1,0),FALSE),0)</f>
        <v>0</v>
      </c>
      <c r="AE43">
        <f>IF(C43&lt;&gt;"",AC43*(1-VLOOKUP(A43,'Kategorisering af kcal'!$A$2:$E$18,MATCH('Produktion &amp; forbrug'!F43,'Kategorisering af kcal'!$A$1:$E$1,0),FALSE)),'Produktion &amp; forbrug'!AC43)</f>
        <v>217010.36743552322</v>
      </c>
      <c r="AF43" s="94">
        <f t="shared" si="9"/>
        <v>0</v>
      </c>
    </row>
    <row r="44" spans="1:34" x14ac:dyDescent="0.25">
      <c r="A44" t="s">
        <v>107</v>
      </c>
      <c r="B44" s="171"/>
      <c r="C44" s="171" t="str">
        <f>IFERROR(VLOOKUP(A44,'Kategorisering af kcal'!$A$2:$B$18,2,FALSE),"")</f>
        <v/>
      </c>
      <c r="D44" s="171">
        <f>IF(COUNTIFS('Resultater - Danmark'!$D$3:$D$504,'Produktion &amp; forbrug'!A44,'Resultater - Danmark'!$A$3:$A$504,"Til energi")+COUNTIFS('Resultater - Danmark'!$D$3:$D$504,'Produktion &amp; forbrug'!A44,'Resultater - Danmark'!$A$3:$A$504,"Biogasanlæg")&gt;0,1,0)</f>
        <v>0</v>
      </c>
      <c r="E44" s="171">
        <v>0</v>
      </c>
      <c r="F44" s="171">
        <f t="shared" si="2"/>
        <v>2019</v>
      </c>
      <c r="G44" s="94">
        <f>SUMIFS('Resultat-Produktion &amp; forbrug'!G$4:G$291,'Resultat-Produktion &amp; forbrug'!$A$4:$A$291,'Produktion &amp; forbrug'!$A44,'Resultat-Produktion &amp; forbrug'!$E$4:$E$291,'Produktion &amp; forbrug'!$F44)</f>
        <v>150199.97904519152</v>
      </c>
      <c r="H44" s="94">
        <f>SUMIFS('Resultat-Produktion &amp; forbrug'!H$4:H$291,'Resultat-Produktion &amp; forbrug'!$A$4:$A$291,'Produktion &amp; forbrug'!$A44,'Resultat-Produktion &amp; forbrug'!$E$4:$E$291,'Produktion &amp; forbrug'!$F44)</f>
        <v>44253.667473236274</v>
      </c>
      <c r="I44" s="94">
        <f>SUMIFS('Resultat-Produktion &amp; forbrug'!I$4:I$291,'Resultat-Produktion &amp; forbrug'!$A$4:$A$291,'Produktion &amp; forbrug'!$A44,'Resultat-Produktion &amp; forbrug'!$E$4:$E$291,'Produktion &amp; forbrug'!$F44)</f>
        <v>0</v>
      </c>
      <c r="J44" s="94">
        <f>SUMIFS('Resultat-Produktion &amp; forbrug'!J$4:J$291,'Resultat-Produktion &amp; forbrug'!$A$4:$A$291,'Produktion &amp; forbrug'!$A44,'Resultat-Produktion &amp; forbrug'!$E$4:$E$291,'Produktion &amp; forbrug'!$F44)</f>
        <v>0</v>
      </c>
      <c r="K44" s="94">
        <f>SUMIFS('Resultat-Produktion &amp; forbrug'!K$4:K$291,'Resultat-Produktion &amp; forbrug'!$A$4:$A$291,'Produktion &amp; forbrug'!$A44,'Resultat-Produktion &amp; forbrug'!$E$4:$E$291,'Produktion &amp; forbrug'!$F44)</f>
        <v>0</v>
      </c>
      <c r="L44" s="94">
        <f>SUMIFS('Resultat-Produktion &amp; forbrug'!L$4:L$291,'Resultat-Produktion &amp; forbrug'!$A$4:$A$291,'Produktion &amp; forbrug'!$A44,'Resultat-Produktion &amp; forbrug'!$E$4:$E$291,'Produktion &amp; forbrug'!$F44)</f>
        <v>0</v>
      </c>
      <c r="M44" s="94">
        <f>SUMIFS('Resultat-Produktion &amp; forbrug'!M$4:M$291,'Resultat-Produktion &amp; forbrug'!$A$4:$A$291,'Produktion &amp; forbrug'!$A44,'Resultat-Produktion &amp; forbrug'!$E$4:$E$291,'Produktion &amp; forbrug'!$F44)</f>
        <v>0</v>
      </c>
      <c r="N44" s="94">
        <f>SUMIFS('Resultat-Produktion &amp; forbrug'!N$4:N$291,'Resultat-Produktion &amp; forbrug'!$A$4:$A$291,'Produktion &amp; forbrug'!$A44,'Resultat-Produktion &amp; forbrug'!$E$4:$E$291,'Produktion &amp; forbrug'!$F44)</f>
        <v>0</v>
      </c>
      <c r="O44" s="179">
        <f t="shared" si="3"/>
        <v>105946.31157195524</v>
      </c>
      <c r="P44" s="94">
        <f t="shared" si="4"/>
        <v>0</v>
      </c>
      <c r="Q44" s="180">
        <f t="shared" si="5"/>
        <v>0</v>
      </c>
      <c r="R44">
        <f>IFERROR(VLOOKUP(A44,[1]Energiindhold!$A$2:$C$11,3,FALSE),IFERROR(VLOOKUP(A44,[1]Biogasudbytte!$A$2:$B$18,2,FALSE)*[1]Energiindhold!$C$10,0))*P44</f>
        <v>0</v>
      </c>
      <c r="S44">
        <f>IF(A44&lt;&gt;"Biogas",IFERROR(VLOOKUP(A44,[1]Biogasudbytte!$A$2:$B$18,2,FALSE)*[1]Energiindhold!$C$10,0)*K44*IFERROR(VLOOKUP(A44,Biogasanlæg!$F$3:$G$8,2,FALSE),1)+IFERROR(VLOOKUP(A44,[1]Energiindhold!$A$2:$C$11,3,FALSE),0)*M44+IF(F44&lt;&gt;År1,R44,0),0)</f>
        <v>0</v>
      </c>
      <c r="T44">
        <f>IFERROR(VLOOKUP(A44,[1]Biogasudbytte!$A$2:$B$18,2,FALSE)*[1]Energiindhold!$C$10,0)*K44*IFERROR(VLOOKUP(A44,Biogasanlæg!$F$3:$G$8,2,FALSE),1)</f>
        <v>0</v>
      </c>
      <c r="U44" s="170">
        <f t="shared" si="6"/>
        <v>0</v>
      </c>
      <c r="V44" s="169">
        <f>P44*IFERROR(VLOOKUP(A44,[1]Tørstofindhold!A$2:B$24,2,FALSE),0)</f>
        <v>0</v>
      </c>
      <c r="W44">
        <f>IF(F44=År1,Q44,SUM(P44,Q44))*IFERROR(VLOOKUP(A44,[1]Tørstofindhold!A$2:B$24,2,FALSE),0)</f>
        <v>0</v>
      </c>
      <c r="X44">
        <f>K44*IFERROR(VLOOKUP(A44,[1]Tørstofindhold!A$2:B$24,2,FALSE),0)</f>
        <v>0</v>
      </c>
      <c r="Y44" s="170">
        <f t="shared" si="7"/>
        <v>0</v>
      </c>
      <c r="Z44">
        <f t="shared" si="10"/>
        <v>0</v>
      </c>
      <c r="AA44">
        <f t="shared" si="11"/>
        <v>1</v>
      </c>
      <c r="AC44" s="94">
        <f t="shared" si="8"/>
        <v>105946.31157195524</v>
      </c>
      <c r="AD44">
        <f>AC44*E44*10000*VLOOKUP(A44,[1]kcal!$A$2:$C$49,3,FALSE)/1000000000000*IFERROR(VLOOKUP(A44,'Kategorisering af kcal'!$A$2:$E$18,MATCH('Produktion &amp; forbrug'!F44,'Kategorisering af kcal'!$A$1:$E$1,0),FALSE),0)</f>
        <v>0</v>
      </c>
      <c r="AE44">
        <f>IF(C44&lt;&gt;"",AC44*(1-VLOOKUP(A44,'Kategorisering af kcal'!$A$2:$E$18,MATCH('Produktion &amp; forbrug'!F44,'Kategorisering af kcal'!$A$1:$E$1,0),FALSE)),'Produktion &amp; forbrug'!AC44)</f>
        <v>105946.31157195524</v>
      </c>
      <c r="AF44" s="94">
        <f t="shared" si="9"/>
        <v>0</v>
      </c>
    </row>
    <row r="45" spans="1:34" x14ac:dyDescent="0.25">
      <c r="A45" s="171" t="s">
        <v>140</v>
      </c>
      <c r="B45" s="171" t="s">
        <v>229</v>
      </c>
      <c r="C45" s="171" t="str">
        <f>IFERROR(VLOOKUP(A45,'Kategorisering af kcal'!$A$2:$B$18,2,FALSE),"")</f>
        <v/>
      </c>
      <c r="D45" s="171">
        <f>IF(COUNTIFS('Resultater - Danmark'!$D$3:$D$504,'Produktion &amp; forbrug'!A45,'Resultater - Danmark'!$A$3:$A$504,"Til energi")+COUNTIFS('Resultater - Danmark'!$D$3:$D$504,'Produktion &amp; forbrug'!A45,'Resultater - Danmark'!$A$3:$A$504,"Biogasanlæg")&gt;0,1,0)</f>
        <v>1</v>
      </c>
      <c r="E45" s="171">
        <v>0</v>
      </c>
      <c r="F45" s="171">
        <f t="shared" si="2"/>
        <v>2019</v>
      </c>
      <c r="G45" s="94">
        <f>SUMIFS('Resultat-Produktion &amp; forbrug'!G$4:G$291,'Resultat-Produktion &amp; forbrug'!$A$4:$A$291,'Produktion &amp; forbrug'!$A45,'Resultat-Produktion &amp; forbrug'!$E$4:$E$291,'Produktion &amp; forbrug'!$F45)</f>
        <v>7037157.901678659</v>
      </c>
      <c r="H45" s="94">
        <f>SUMIFS('Resultat-Produktion &amp; forbrug'!H$4:H$291,'Resultat-Produktion &amp; forbrug'!$A$4:$A$291,'Produktion &amp; forbrug'!$A45,'Resultat-Produktion &amp; forbrug'!$E$4:$E$291,'Produktion &amp; forbrug'!$F45)</f>
        <v>0</v>
      </c>
      <c r="I45" s="94">
        <f>SUMIFS('Resultat-Produktion &amp; forbrug'!I$4:I$291,'Resultat-Produktion &amp; forbrug'!$A$4:$A$291,'Produktion &amp; forbrug'!$A45,'Resultat-Produktion &amp; forbrug'!$E$4:$E$291,'Produktion &amp; forbrug'!$F45)</f>
        <v>0</v>
      </c>
      <c r="J45" s="94">
        <f>SUMIFS('Resultat-Produktion &amp; forbrug'!J$4:J$291,'Resultat-Produktion &amp; forbrug'!$A$4:$A$291,'Produktion &amp; forbrug'!$A45,'Resultat-Produktion &amp; forbrug'!$E$4:$E$291,'Produktion &amp; forbrug'!$F45)</f>
        <v>0</v>
      </c>
      <c r="K45" s="94">
        <f>SUMIFS('Resultat-Produktion &amp; forbrug'!K$4:K$291,'Resultat-Produktion &amp; forbrug'!$A$4:$A$291,'Produktion &amp; forbrug'!$A45,'Resultat-Produktion &amp; forbrug'!$E$4:$E$291,'Produktion &amp; forbrug'!$F45)</f>
        <v>2668834</v>
      </c>
      <c r="L45" s="94">
        <f>SUMIFS('Resultat-Produktion &amp; forbrug'!L$4:L$291,'Resultat-Produktion &amp; forbrug'!$A$4:$A$291,'Produktion &amp; forbrug'!$A45,'Resultat-Produktion &amp; forbrug'!$E$4:$E$291,'Produktion &amp; forbrug'!$F45)</f>
        <v>0</v>
      </c>
      <c r="M45" s="94">
        <f>SUMIFS('Resultat-Produktion &amp; forbrug'!M$4:M$291,'Resultat-Produktion &amp; forbrug'!$A$4:$A$291,'Produktion &amp; forbrug'!$A45,'Resultat-Produktion &amp; forbrug'!$E$4:$E$291,'Produktion &amp; forbrug'!$F45)</f>
        <v>0</v>
      </c>
      <c r="N45" s="94">
        <f>SUMIFS('Resultat-Produktion &amp; forbrug'!N$4:N$291,'Resultat-Produktion &amp; forbrug'!$A$4:$A$291,'Produktion &amp; forbrug'!$A45,'Resultat-Produktion &amp; forbrug'!$E$4:$E$291,'Produktion &amp; forbrug'!$F45)</f>
        <v>0</v>
      </c>
      <c r="O45" s="179">
        <f t="shared" si="3"/>
        <v>4368323.901678659</v>
      </c>
      <c r="P45" s="94">
        <f t="shared" si="4"/>
        <v>4368323.901678659</v>
      </c>
      <c r="Q45" s="180">
        <f t="shared" si="5"/>
        <v>2668834</v>
      </c>
      <c r="R45">
        <f>IFERROR(VLOOKUP(A45,[1]Energiindhold!$A$2:$C$11,3,FALSE),IFERROR(VLOOKUP(A45,[1]Biogasudbytte!$A$2:$B$18,2,FALSE)*[1]Energiindhold!$C$10,0))*P45</f>
        <v>2.1798373101766679</v>
      </c>
      <c r="S45">
        <f>IF(A45&lt;&gt;"Biogas",IFERROR(VLOOKUP(A45,[1]Biogasudbytte!$A$2:$B$18,2,FALSE)*[1]Energiindhold!$C$10,0)*K45*IFERROR(VLOOKUP(A45,Biogasanlæg!$F$3:$G$8,2,FALSE),1)+IFERROR(VLOOKUP(A45,[1]Energiindhold!$A$2:$C$11,3,FALSE),0)*M45+IF(F45&lt;&gt;År1,R45,0),0)</f>
        <v>1.3317748543400001</v>
      </c>
      <c r="T45">
        <f>IFERROR(VLOOKUP(A45,[1]Biogasudbytte!$A$2:$B$18,2,FALSE)*[1]Energiindhold!$C$10,0)*K45*IFERROR(VLOOKUP(A45,Biogasanlæg!$F$3:$G$8,2,FALSE),1)</f>
        <v>1.3317748543400001</v>
      </c>
      <c r="U45" s="170">
        <f t="shared" si="6"/>
        <v>0</v>
      </c>
      <c r="V45" s="169">
        <f>P45*IFERROR(VLOOKUP(A45,[1]Tørstofindhold!A$2:B$24,2,FALSE),0)</f>
        <v>262099.43410071952</v>
      </c>
      <c r="W45">
        <f>IF(F45=År1,Q45,SUM(P45,Q45))*IFERROR(VLOOKUP(A45,[1]Tørstofindhold!A$2:B$24,2,FALSE),0)</f>
        <v>160130.04</v>
      </c>
      <c r="X45">
        <f>K45*IFERROR(VLOOKUP(A45,[1]Tørstofindhold!A$2:B$24,2,FALSE),0)</f>
        <v>160130.04</v>
      </c>
      <c r="Y45" s="170">
        <f t="shared" si="7"/>
        <v>0</v>
      </c>
      <c r="Z45">
        <f t="shared" si="10"/>
        <v>0</v>
      </c>
      <c r="AA45">
        <f t="shared" si="11"/>
        <v>1</v>
      </c>
      <c r="AC45" s="94">
        <f t="shared" si="8"/>
        <v>4368323.901678659</v>
      </c>
      <c r="AD45">
        <f>AC45*E45*10000*VLOOKUP(A45,[1]kcal!$A$2:$C$49,3,FALSE)/1000000000000*IFERROR(VLOOKUP(A45,'Kategorisering af kcal'!$A$2:$E$18,MATCH('Produktion &amp; forbrug'!F45,'Kategorisering af kcal'!$A$1:$E$1,0),FALSE),0)</f>
        <v>0</v>
      </c>
      <c r="AE45">
        <f>IF(C45&lt;&gt;"",AC45*(1-VLOOKUP(A45,'Kategorisering af kcal'!$A$2:$E$18,MATCH('Produktion &amp; forbrug'!F45,'Kategorisering af kcal'!$A$1:$E$1,0),FALSE)),'Produktion &amp; forbrug'!AC45)</f>
        <v>4368323.901678659</v>
      </c>
      <c r="AF45" s="94">
        <f t="shared" si="9"/>
        <v>0</v>
      </c>
    </row>
    <row r="46" spans="1:34" x14ac:dyDescent="0.25">
      <c r="A46" s="171" t="s">
        <v>135</v>
      </c>
      <c r="B46" s="171" t="s">
        <v>221</v>
      </c>
      <c r="C46" s="171" t="str">
        <f>IFERROR(VLOOKUP(A46,'Kategorisering af kcal'!$A$2:$B$18,2,FALSE),"")</f>
        <v/>
      </c>
      <c r="D46" s="171">
        <f>IF(COUNTIFS('Resultater - Danmark'!$D$3:$D$504,'Produktion &amp; forbrug'!A46,'Resultater - Danmark'!$A$3:$A$504,"Til energi")+COUNTIFS('Resultater - Danmark'!$D$3:$D$504,'Produktion &amp; forbrug'!A46,'Resultater - Danmark'!$A$3:$A$504,"Biogasanlæg")&gt;0,1,0)</f>
        <v>1</v>
      </c>
      <c r="E46" s="171">
        <v>0</v>
      </c>
      <c r="F46" s="171">
        <f t="shared" si="2"/>
        <v>2019</v>
      </c>
      <c r="G46" s="94">
        <f>SUMIFS('Resultat-Produktion &amp; forbrug'!G$4:G$291,'Resultat-Produktion &amp; forbrug'!$A$4:$A$291,'Produktion &amp; forbrug'!$A46,'Resultat-Produktion &amp; forbrug'!$E$4:$E$291,'Produktion &amp; forbrug'!$F46)</f>
        <v>17657000</v>
      </c>
      <c r="H46" s="94">
        <f>SUMIFS('Resultat-Produktion &amp; forbrug'!H$4:H$291,'Resultat-Produktion &amp; forbrug'!$A$4:$A$291,'Produktion &amp; forbrug'!$A46,'Resultat-Produktion &amp; forbrug'!$E$4:$E$291,'Produktion &amp; forbrug'!$F46)</f>
        <v>0</v>
      </c>
      <c r="I46" s="94">
        <f>SUMIFS('Resultat-Produktion &amp; forbrug'!I$4:I$291,'Resultat-Produktion &amp; forbrug'!$A$4:$A$291,'Produktion &amp; forbrug'!$A46,'Resultat-Produktion &amp; forbrug'!$E$4:$E$291,'Produktion &amp; forbrug'!$F46)</f>
        <v>0</v>
      </c>
      <c r="J46" s="94">
        <f>SUMIFS('Resultat-Produktion &amp; forbrug'!J$4:J$291,'Resultat-Produktion &amp; forbrug'!$A$4:$A$291,'Produktion &amp; forbrug'!$A46,'Resultat-Produktion &amp; forbrug'!$E$4:$E$291,'Produktion &amp; forbrug'!$F46)</f>
        <v>0</v>
      </c>
      <c r="K46" s="94">
        <f>SUMIFS('Resultat-Produktion &amp; forbrug'!K$4:K$291,'Resultat-Produktion &amp; forbrug'!$A$4:$A$291,'Produktion &amp; forbrug'!$A46,'Resultat-Produktion &amp; forbrug'!$E$4:$E$291,'Produktion &amp; forbrug'!$F46)</f>
        <v>2914869.3333333335</v>
      </c>
      <c r="L46" s="94">
        <f>SUMIFS('Resultat-Produktion &amp; forbrug'!L$4:L$291,'Resultat-Produktion &amp; forbrug'!$A$4:$A$291,'Produktion &amp; forbrug'!$A46,'Resultat-Produktion &amp; forbrug'!$E$4:$E$291,'Produktion &amp; forbrug'!$F46)</f>
        <v>14742130.666666664</v>
      </c>
      <c r="M46" s="94">
        <f>SUMIFS('Resultat-Produktion &amp; forbrug'!M$4:M$291,'Resultat-Produktion &amp; forbrug'!$A$4:$A$291,'Produktion &amp; forbrug'!$A46,'Resultat-Produktion &amp; forbrug'!$E$4:$E$291,'Produktion &amp; forbrug'!$F46)</f>
        <v>0</v>
      </c>
      <c r="N46" s="94">
        <f>SUMIFS('Resultat-Produktion &amp; forbrug'!N$4:N$291,'Resultat-Produktion &amp; forbrug'!$A$4:$A$291,'Produktion &amp; forbrug'!$A46,'Resultat-Produktion &amp; forbrug'!$E$4:$E$291,'Produktion &amp; forbrug'!$F46)</f>
        <v>0</v>
      </c>
      <c r="O46" s="179">
        <f t="shared" si="3"/>
        <v>0</v>
      </c>
      <c r="P46" s="94">
        <f t="shared" si="4"/>
        <v>0</v>
      </c>
      <c r="Q46" s="180">
        <f t="shared" si="5"/>
        <v>2914869.3333333335</v>
      </c>
      <c r="R46">
        <f>IFERROR(VLOOKUP(A46,[1]Energiindhold!$A$2:$C$11,3,FALSE),IFERROR(VLOOKUP(A46,[1]Biogasudbytte!$A$2:$B$18,2,FALSE)*[1]Energiindhold!$C$10,0))*P46</f>
        <v>0</v>
      </c>
      <c r="S46">
        <f>IF(A46&lt;&gt;"Biogas",IFERROR(VLOOKUP(A46,[1]Biogasudbytte!$A$2:$B$18,2,FALSE)*[1]Energiindhold!$C$10,0)*K46*IFERROR(VLOOKUP(A46,Biogasanlæg!$F$3:$G$8,2,FALSE),1)+IFERROR(VLOOKUP(A46,[1]Energiindhold!$A$2:$C$11,3,FALSE),0)*M46+IF(F46&lt;&gt;År1,R46,0),0)</f>
        <v>1.2557257088000002</v>
      </c>
      <c r="T46">
        <f>IFERROR(VLOOKUP(A46,[1]Biogasudbytte!$A$2:$B$18,2,FALSE)*[1]Energiindhold!$C$10,0)*K46*IFERROR(VLOOKUP(A46,Biogasanlæg!$F$3:$G$8,2,FALSE),1)</f>
        <v>1.2557257088000002</v>
      </c>
      <c r="U46" s="170">
        <f t="shared" si="6"/>
        <v>0</v>
      </c>
      <c r="V46" s="169">
        <f>P46*IFERROR(VLOOKUP(A46,[1]Tørstofindhold!A$2:B$24,2,FALSE),0)</f>
        <v>0</v>
      </c>
      <c r="W46">
        <f>IF(F46=År1,Q46,SUM(P46,Q46))*IFERROR(VLOOKUP(A46,[1]Tørstofindhold!A$2:B$24,2,FALSE),0)</f>
        <v>145743.46666666667</v>
      </c>
      <c r="X46">
        <f>K46*IFERROR(VLOOKUP(A46,[1]Tørstofindhold!A$2:B$24,2,FALSE),0)</f>
        <v>145743.46666666667</v>
      </c>
      <c r="Y46" s="170">
        <f t="shared" si="7"/>
        <v>0</v>
      </c>
      <c r="Z46">
        <f t="shared" si="10"/>
        <v>0</v>
      </c>
      <c r="AA46">
        <f t="shared" si="11"/>
        <v>0</v>
      </c>
      <c r="AC46" s="94">
        <f t="shared" si="8"/>
        <v>0</v>
      </c>
      <c r="AD46">
        <f>AC46*E46*10000*VLOOKUP(A46,[1]kcal!$A$2:$C$49,3,FALSE)/1000000000000*IFERROR(VLOOKUP(A46,'Kategorisering af kcal'!$A$2:$E$18,MATCH('Produktion &amp; forbrug'!F46,'Kategorisering af kcal'!$A$1:$E$1,0),FALSE),0)</f>
        <v>0</v>
      </c>
      <c r="AE46">
        <f>IF(C46&lt;&gt;"",AC46*(1-VLOOKUP(A46,'Kategorisering af kcal'!$A$2:$E$18,MATCH('Produktion &amp; forbrug'!F46,'Kategorisering af kcal'!$A$1:$E$1,0),FALSE)),'Produktion &amp; forbrug'!AC46)</f>
        <v>0</v>
      </c>
      <c r="AF46" s="94">
        <f t="shared" si="9"/>
        <v>0</v>
      </c>
    </row>
    <row r="47" spans="1:34" x14ac:dyDescent="0.25">
      <c r="A47" s="171" t="s">
        <v>13</v>
      </c>
      <c r="B47" s="171"/>
      <c r="C47" s="171" t="str">
        <f>IFERROR(VLOOKUP(A47,'Kategorisering af kcal'!$A$2:$B$18,2,FALSE),"")</f>
        <v>Kød</v>
      </c>
      <c r="D47" s="171">
        <f>IF(COUNTIFS('Resultater - Danmark'!$D$3:$D$504,'Produktion &amp; forbrug'!A47,'Resultater - Danmark'!$A$3:$A$504,"Til energi")+COUNTIFS('Resultater - Danmark'!$D$3:$D$504,'Produktion &amp; forbrug'!A47,'Resultater - Danmark'!$A$3:$A$504,"Biogasanlæg")&gt;0,1,0)</f>
        <v>0</v>
      </c>
      <c r="E47" s="171">
        <v>1</v>
      </c>
      <c r="F47" s="171">
        <f t="shared" si="2"/>
        <v>2019</v>
      </c>
      <c r="G47" s="94">
        <f>SUMIFS('Resultat-Produktion &amp; forbrug'!G$4:G$291,'Resultat-Produktion &amp; forbrug'!$A$4:$A$291,'Produktion &amp; forbrug'!$A47,'Resultat-Produktion &amp; forbrug'!$E$4:$E$291,'Produktion &amp; forbrug'!$F47)</f>
        <v>1601127.6966659406</v>
      </c>
      <c r="H47" s="94">
        <f>SUMIFS('Resultat-Produktion &amp; forbrug'!H$4:H$291,'Resultat-Produktion &amp; forbrug'!$A$4:$A$291,'Produktion &amp; forbrug'!$A47,'Resultat-Produktion &amp; forbrug'!$E$4:$E$291,'Produktion &amp; forbrug'!$F47)</f>
        <v>0</v>
      </c>
      <c r="I47" s="94">
        <f>SUMIFS('Resultat-Produktion &amp; forbrug'!I$4:I$291,'Resultat-Produktion &amp; forbrug'!$A$4:$A$291,'Produktion &amp; forbrug'!$A47,'Resultat-Produktion &amp; forbrug'!$E$4:$E$291,'Produktion &amp; forbrug'!$F47)</f>
        <v>0</v>
      </c>
      <c r="J47" s="94">
        <f>SUMIFS('Resultat-Produktion &amp; forbrug'!J$4:J$291,'Resultat-Produktion &amp; forbrug'!$A$4:$A$291,'Produktion &amp; forbrug'!$A47,'Resultat-Produktion &amp; forbrug'!$E$4:$E$291,'Produktion &amp; forbrug'!$F47)</f>
        <v>117920.63695532705</v>
      </c>
      <c r="K47" s="94">
        <f>SUMIFS('Resultat-Produktion &amp; forbrug'!K$4:K$291,'Resultat-Produktion &amp; forbrug'!$A$4:$A$291,'Produktion &amp; forbrug'!$A47,'Resultat-Produktion &amp; forbrug'!$E$4:$E$291,'Produktion &amp; forbrug'!$F47)</f>
        <v>0</v>
      </c>
      <c r="L47" s="94">
        <f>SUMIFS('Resultat-Produktion &amp; forbrug'!L$4:L$291,'Resultat-Produktion &amp; forbrug'!$A$4:$A$291,'Produktion &amp; forbrug'!$A47,'Resultat-Produktion &amp; forbrug'!$E$4:$E$291,'Produktion &amp; forbrug'!$F47)</f>
        <v>0</v>
      </c>
      <c r="M47" s="94">
        <f>SUMIFS('Resultat-Produktion &amp; forbrug'!M$4:M$291,'Resultat-Produktion &amp; forbrug'!$A$4:$A$291,'Produktion &amp; forbrug'!$A47,'Resultat-Produktion &amp; forbrug'!$E$4:$E$291,'Produktion &amp; forbrug'!$F47)</f>
        <v>0</v>
      </c>
      <c r="N47" s="94">
        <f>SUMIFS('Resultat-Produktion &amp; forbrug'!N$4:N$291,'Resultat-Produktion &amp; forbrug'!$A$4:$A$291,'Produktion &amp; forbrug'!$A47,'Resultat-Produktion &amp; forbrug'!$E$4:$E$291,'Produktion &amp; forbrug'!$F47)</f>
        <v>0</v>
      </c>
      <c r="O47" s="179">
        <f t="shared" si="3"/>
        <v>1483207.0597106135</v>
      </c>
      <c r="P47" s="94">
        <f t="shared" si="4"/>
        <v>0</v>
      </c>
      <c r="Q47" s="180">
        <f t="shared" si="5"/>
        <v>0</v>
      </c>
      <c r="R47">
        <f>IFERROR(VLOOKUP(A47,[1]Energiindhold!$A$2:$C$11,3,FALSE),IFERROR(VLOOKUP(A47,[1]Biogasudbytte!$A$2:$B$18,2,FALSE)*[1]Energiindhold!$C$10,0))*P47</f>
        <v>0</v>
      </c>
      <c r="S47">
        <f>IF(A47&lt;&gt;"Biogas",IFERROR(VLOOKUP(A47,[1]Biogasudbytte!$A$2:$B$18,2,FALSE)*[1]Energiindhold!$C$10,0)*K47*IFERROR(VLOOKUP(A47,Biogasanlæg!$F$3:$G$8,2,FALSE),1)+IFERROR(VLOOKUP(A47,[1]Energiindhold!$A$2:$C$11,3,FALSE),0)*M47+IF(F47&lt;&gt;År1,R47,0),0)</f>
        <v>0</v>
      </c>
      <c r="T47">
        <f>IFERROR(VLOOKUP(A47,[1]Biogasudbytte!$A$2:$B$18,2,FALSE)*[1]Energiindhold!$C$10,0)*K47*IFERROR(VLOOKUP(A47,Biogasanlæg!$F$3:$G$8,2,FALSE),1)</f>
        <v>0</v>
      </c>
      <c r="U47" s="170">
        <f t="shared" si="6"/>
        <v>0</v>
      </c>
      <c r="V47" s="169">
        <f>P47*IFERROR(VLOOKUP(A47,[1]Tørstofindhold!A$2:B$24,2,FALSE),0)</f>
        <v>0</v>
      </c>
      <c r="W47">
        <f>IF(F47=År1,Q47,SUM(P47,Q47))*IFERROR(VLOOKUP(A47,[1]Tørstofindhold!A$2:B$24,2,FALSE),0)</f>
        <v>0</v>
      </c>
      <c r="X47">
        <f>K47*IFERROR(VLOOKUP(A47,[1]Tørstofindhold!A$2:B$24,2,FALSE),0)</f>
        <v>0</v>
      </c>
      <c r="Y47" s="170">
        <f t="shared" si="7"/>
        <v>0</v>
      </c>
      <c r="Z47">
        <f t="shared" si="10"/>
        <v>0</v>
      </c>
      <c r="AA47">
        <f t="shared" si="11"/>
        <v>1</v>
      </c>
      <c r="AC47" s="94">
        <f t="shared" si="8"/>
        <v>1601127.6966659406</v>
      </c>
      <c r="AD47">
        <f>AC47*E47*10000*VLOOKUP(A47,[1]kcal!$A$2:$C$49,3,FALSE)/1000000000000*IFERROR(VLOOKUP(A47,'Kategorisering af kcal'!$A$2:$E$18,MATCH('Produktion &amp; forbrug'!F47,'Kategorisering af kcal'!$A$1:$E$1,0),FALSE),0)</f>
        <v>3.1221990084985847</v>
      </c>
      <c r="AE47">
        <f>IF(C47&lt;&gt;"",AC47*(1-VLOOKUP(A47,'Kategorisering af kcal'!$A$2:$E$18,MATCH('Produktion &amp; forbrug'!F47,'Kategorisering af kcal'!$A$1:$E$1,0),FALSE)),'Produktion &amp; forbrug'!AC47)</f>
        <v>0</v>
      </c>
      <c r="AF47" s="94">
        <f t="shared" si="9"/>
        <v>1601127.6966659406</v>
      </c>
      <c r="AG47" s="94"/>
      <c r="AH47" s="401"/>
    </row>
    <row r="48" spans="1:34" x14ac:dyDescent="0.25">
      <c r="A48" s="171" t="s">
        <v>99</v>
      </c>
      <c r="B48" s="171" t="s">
        <v>225</v>
      </c>
      <c r="C48" s="171" t="str">
        <f>IFERROR(VLOOKUP(A48,'Kategorisering af kcal'!$A$2:$B$18,2,FALSE),"")</f>
        <v>Fisk mm</v>
      </c>
      <c r="D48" s="171">
        <f>IF(COUNTIFS('Resultater - Danmark'!$D$3:$D$504,'Produktion &amp; forbrug'!A48,'Resultater - Danmark'!$A$3:$A$504,"Til energi")+COUNTIFS('Resultater - Danmark'!$D$3:$D$504,'Produktion &amp; forbrug'!A48,'Resultater - Danmark'!$A$3:$A$504,"Biogasanlæg")&gt;0,1,0)</f>
        <v>1</v>
      </c>
      <c r="E48" s="171">
        <v>1</v>
      </c>
      <c r="F48" s="171">
        <f t="shared" si="2"/>
        <v>2019</v>
      </c>
      <c r="G48" s="94">
        <f>SUMIFS('Resultat-Produktion &amp; forbrug'!G$4:G$291,'Resultat-Produktion &amp; forbrug'!$A$4:$A$291,'Produktion &amp; forbrug'!$A48,'Resultat-Produktion &amp; forbrug'!$E$4:$E$291,'Produktion &amp; forbrug'!$F48)</f>
        <v>76.5</v>
      </c>
      <c r="H48" s="94">
        <f>SUMIFS('Resultat-Produktion &amp; forbrug'!H$4:H$291,'Resultat-Produktion &amp; forbrug'!$A$4:$A$291,'Produktion &amp; forbrug'!$A48,'Resultat-Produktion &amp; forbrug'!$E$4:$E$291,'Produktion &amp; forbrug'!$F48)</f>
        <v>0</v>
      </c>
      <c r="I48" s="94">
        <f>SUMIFS('Resultat-Produktion &amp; forbrug'!I$4:I$291,'Resultat-Produktion &amp; forbrug'!$A$4:$A$291,'Produktion &amp; forbrug'!$A48,'Resultat-Produktion &amp; forbrug'!$E$4:$E$291,'Produktion &amp; forbrug'!$F48)</f>
        <v>0</v>
      </c>
      <c r="J48" s="94">
        <f>SUMIFS('Resultat-Produktion &amp; forbrug'!J$4:J$291,'Resultat-Produktion &amp; forbrug'!$A$4:$A$291,'Produktion &amp; forbrug'!$A48,'Resultat-Produktion &amp; forbrug'!$E$4:$E$291,'Produktion &amp; forbrug'!$F48)</f>
        <v>0</v>
      </c>
      <c r="K48" s="94">
        <f>SUMIFS('Resultat-Produktion &amp; forbrug'!K$4:K$291,'Resultat-Produktion &amp; forbrug'!$A$4:$A$291,'Produktion &amp; forbrug'!$A48,'Resultat-Produktion &amp; forbrug'!$E$4:$E$291,'Produktion &amp; forbrug'!$F48)</f>
        <v>0</v>
      </c>
      <c r="L48" s="94">
        <f>SUMIFS('Resultat-Produktion &amp; forbrug'!L$4:L$291,'Resultat-Produktion &amp; forbrug'!$A$4:$A$291,'Produktion &amp; forbrug'!$A48,'Resultat-Produktion &amp; forbrug'!$E$4:$E$291,'Produktion &amp; forbrug'!$F48)</f>
        <v>0</v>
      </c>
      <c r="M48" s="94">
        <f>SUMIFS('Resultat-Produktion &amp; forbrug'!M$4:M$291,'Resultat-Produktion &amp; forbrug'!$A$4:$A$291,'Produktion &amp; forbrug'!$A48,'Resultat-Produktion &amp; forbrug'!$E$4:$E$291,'Produktion &amp; forbrug'!$F48)</f>
        <v>0</v>
      </c>
      <c r="N48" s="94">
        <f>SUMIFS('Resultat-Produktion &amp; forbrug'!N$4:N$291,'Resultat-Produktion &amp; forbrug'!$A$4:$A$291,'Produktion &amp; forbrug'!$A48,'Resultat-Produktion &amp; forbrug'!$E$4:$E$291,'Produktion &amp; forbrug'!$F48)</f>
        <v>0</v>
      </c>
      <c r="O48" s="179">
        <f t="shared" si="3"/>
        <v>76.5</v>
      </c>
      <c r="P48" s="94">
        <f t="shared" si="4"/>
        <v>76.5</v>
      </c>
      <c r="Q48" s="180">
        <f t="shared" si="5"/>
        <v>0</v>
      </c>
      <c r="R48">
        <f>IFERROR(VLOOKUP(A48,[1]Energiindhold!$A$2:$C$11,3,FALSE),IFERROR(VLOOKUP(A48,[1]Biogasudbytte!$A$2:$B$18,2,FALSE)*[1]Energiindhold!$C$10,0))*P48</f>
        <v>6.8658750000000004E-5</v>
      </c>
      <c r="S48">
        <f>IF(A48&lt;&gt;"Biogas",IFERROR(VLOOKUP(A48,[1]Biogasudbytte!$A$2:$B$18,2,FALSE)*[1]Energiindhold!$C$10,0)*K48*IFERROR(VLOOKUP(A48,Biogasanlæg!$F$3:$G$8,2,FALSE),1)+IFERROR(VLOOKUP(A48,[1]Energiindhold!$A$2:$C$11,3,FALSE),0)*M48+IF(F48&lt;&gt;År1,R48,0),0)</f>
        <v>0</v>
      </c>
      <c r="T48">
        <f>IFERROR(VLOOKUP(A48,[1]Biogasudbytte!$A$2:$B$18,2,FALSE)*[1]Energiindhold!$C$10,0)*K48*IFERROR(VLOOKUP(A48,Biogasanlæg!$F$3:$G$8,2,FALSE),1)</f>
        <v>0</v>
      </c>
      <c r="U48" s="170">
        <f t="shared" si="6"/>
        <v>0</v>
      </c>
      <c r="V48" s="169">
        <f>P48*IFERROR(VLOOKUP(A48,[1]Tørstofindhold!A$2:B$24,2,FALSE),0)</f>
        <v>11.475</v>
      </c>
      <c r="W48">
        <f>IF(F48=År1,Q48,SUM(P48,Q48))*IFERROR(VLOOKUP(A48,[1]Tørstofindhold!A$2:B$24,2,FALSE),0)</f>
        <v>0</v>
      </c>
      <c r="X48">
        <f>K48*IFERROR(VLOOKUP(A48,[1]Tørstofindhold!A$2:B$24,2,FALSE),0)</f>
        <v>0</v>
      </c>
      <c r="Y48" s="170">
        <f t="shared" si="7"/>
        <v>0</v>
      </c>
      <c r="Z48">
        <f t="shared" si="10"/>
        <v>0</v>
      </c>
      <c r="AA48">
        <f t="shared" si="11"/>
        <v>1</v>
      </c>
      <c r="AC48" s="94">
        <f t="shared" si="8"/>
        <v>76.5</v>
      </c>
      <c r="AD48">
        <f>AC48*E48*10000*VLOOKUP(A48,[1]kcal!$A$2:$C$49,3,FALSE)/1000000000000*IFERROR(VLOOKUP(A48,'Kategorisering af kcal'!$A$2:$E$18,MATCH('Produktion &amp; forbrug'!F48,'Kategorisering af kcal'!$A$1:$E$1,0),FALSE),0)</f>
        <v>3.1211999999999999E-5</v>
      </c>
      <c r="AE48">
        <f>IF(C48&lt;&gt;"",AC48*(1-VLOOKUP(A48,'Kategorisering af kcal'!$A$2:$E$18,MATCH('Produktion &amp; forbrug'!F48,'Kategorisering af kcal'!$A$1:$E$1,0),FALSE)),'Produktion &amp; forbrug'!AC48)</f>
        <v>0</v>
      </c>
      <c r="AF48" s="94">
        <f t="shared" si="9"/>
        <v>76.5</v>
      </c>
    </row>
    <row r="49" spans="1:32" x14ac:dyDescent="0.25">
      <c r="A49" s="171" t="s">
        <v>104</v>
      </c>
      <c r="B49" s="171"/>
      <c r="C49" s="171" t="str">
        <f>IFERROR(VLOOKUP(A49,'Kategorisering af kcal'!$A$2:$B$18,2,FALSE),"")</f>
        <v/>
      </c>
      <c r="D49" s="171">
        <f>IF(COUNTIFS('Resultater - Danmark'!$D$3:$D$504,'Produktion &amp; forbrug'!A49,'Resultater - Danmark'!$A$3:$A$504,"Til energi")+COUNTIFS('Resultater - Danmark'!$D$3:$D$504,'Produktion &amp; forbrug'!A49,'Resultater - Danmark'!$A$3:$A$504,"Biogasanlæg")&gt;0,1,0)</f>
        <v>1</v>
      </c>
      <c r="E49" s="171">
        <v>0</v>
      </c>
      <c r="F49" s="171">
        <f t="shared" si="2"/>
        <v>2019</v>
      </c>
      <c r="G49" s="94">
        <f>SUMIFS('Resultat-Produktion &amp; forbrug'!G$4:G$291,'Resultat-Produktion &amp; forbrug'!$A$4:$A$291,'Produktion &amp; forbrug'!$A49,'Resultat-Produktion &amp; forbrug'!$E$4:$E$291,'Produktion &amp; forbrug'!$F49)</f>
        <v>0</v>
      </c>
      <c r="H49" s="94">
        <f>SUMIFS('Resultat-Produktion &amp; forbrug'!H$4:H$291,'Resultat-Produktion &amp; forbrug'!$A$4:$A$291,'Produktion &amp; forbrug'!$A49,'Resultat-Produktion &amp; forbrug'!$E$4:$E$291,'Produktion &amp; forbrug'!$F49)</f>
        <v>0</v>
      </c>
      <c r="I49" s="94">
        <f>SUMIFS('Resultat-Produktion &amp; forbrug'!I$4:I$291,'Resultat-Produktion &amp; forbrug'!$A$4:$A$291,'Produktion &amp; forbrug'!$A49,'Resultat-Produktion &amp; forbrug'!$E$4:$E$291,'Produktion &amp; forbrug'!$F49)</f>
        <v>0</v>
      </c>
      <c r="J49" s="94">
        <f>SUMIFS('Resultat-Produktion &amp; forbrug'!J$4:J$291,'Resultat-Produktion &amp; forbrug'!$A$4:$A$291,'Produktion &amp; forbrug'!$A49,'Resultat-Produktion &amp; forbrug'!$E$4:$E$291,'Produktion &amp; forbrug'!$F49)</f>
        <v>0</v>
      </c>
      <c r="K49" s="94">
        <f>SUMIFS('Resultat-Produktion &amp; forbrug'!K$4:K$291,'Resultat-Produktion &amp; forbrug'!$A$4:$A$291,'Produktion &amp; forbrug'!$A49,'Resultat-Produktion &amp; forbrug'!$E$4:$E$291,'Produktion &amp; forbrug'!$F49)</f>
        <v>0</v>
      </c>
      <c r="L49" s="94">
        <f>SUMIFS('Resultat-Produktion &amp; forbrug'!L$4:L$291,'Resultat-Produktion &amp; forbrug'!$A$4:$A$291,'Produktion &amp; forbrug'!$A49,'Resultat-Produktion &amp; forbrug'!$E$4:$E$291,'Produktion &amp; forbrug'!$F49)</f>
        <v>0</v>
      </c>
      <c r="M49" s="94">
        <f>SUMIFS('Resultat-Produktion &amp; forbrug'!M$4:M$291,'Resultat-Produktion &amp; forbrug'!$A$4:$A$291,'Produktion &amp; forbrug'!$A49,'Resultat-Produktion &amp; forbrug'!$E$4:$E$291,'Produktion &amp; forbrug'!$F49)</f>
        <v>0</v>
      </c>
      <c r="N49" s="94">
        <f>SUMIFS('Resultat-Produktion &amp; forbrug'!N$4:N$291,'Resultat-Produktion &amp; forbrug'!$A$4:$A$291,'Produktion &amp; forbrug'!$A49,'Resultat-Produktion &amp; forbrug'!$E$4:$E$291,'Produktion &amp; forbrug'!$F49)</f>
        <v>0</v>
      </c>
      <c r="O49" s="179">
        <f t="shared" si="3"/>
        <v>0</v>
      </c>
      <c r="P49" s="94">
        <f t="shared" si="4"/>
        <v>0</v>
      </c>
      <c r="Q49" s="180">
        <f t="shared" si="5"/>
        <v>0</v>
      </c>
      <c r="R49">
        <f>IFERROR(VLOOKUP(A49,[1]Energiindhold!$A$2:$C$11,3,FALSE),IFERROR(VLOOKUP(A49,[1]Biogasudbytte!$A$2:$B$18,2,FALSE)*[1]Energiindhold!$C$10,0))*P49</f>
        <v>0</v>
      </c>
      <c r="S49">
        <f>IF(A49&lt;&gt;"Biogas",IFERROR(VLOOKUP(A49,[1]Biogasudbytte!$A$2:$B$18,2,FALSE)*[1]Energiindhold!$C$10,0)*K49*IFERROR(VLOOKUP(A49,Biogasanlæg!$F$3:$G$8,2,FALSE),1)+IFERROR(VLOOKUP(A49,[1]Energiindhold!$A$2:$C$11,3,FALSE),0)*M49+IF(F49&lt;&gt;År1,R49,0),0)</f>
        <v>0</v>
      </c>
      <c r="T49">
        <f>IFERROR(VLOOKUP(A49,[1]Biogasudbytte!$A$2:$B$18,2,FALSE)*[1]Energiindhold!$C$10,0)*K49*IFERROR(VLOOKUP(A49,Biogasanlæg!$F$3:$G$8,2,FALSE),1)</f>
        <v>0</v>
      </c>
      <c r="U49" s="170">
        <f t="shared" si="6"/>
        <v>0</v>
      </c>
      <c r="V49" s="169">
        <f>P49*IFERROR(VLOOKUP(A49,[1]Tørstofindhold!A$2:B$24,2,FALSE),0)</f>
        <v>0</v>
      </c>
      <c r="W49">
        <f>IF(F49=År1,Q49,SUM(P49,Q49))*IFERROR(VLOOKUP(A49,[1]Tørstofindhold!A$2:B$24,2,FALSE),0)</f>
        <v>0</v>
      </c>
      <c r="X49">
        <f>K49*IFERROR(VLOOKUP(A49,[1]Tørstofindhold!A$2:B$24,2,FALSE),0)</f>
        <v>0</v>
      </c>
      <c r="Y49" s="170">
        <f t="shared" si="7"/>
        <v>0</v>
      </c>
      <c r="Z49">
        <f t="shared" si="10"/>
        <v>0</v>
      </c>
      <c r="AA49">
        <f t="shared" si="11"/>
        <v>0</v>
      </c>
      <c r="AC49" s="94">
        <f t="shared" si="8"/>
        <v>0</v>
      </c>
      <c r="AD49">
        <f>AC49*E49*10000*VLOOKUP(A49,[1]kcal!$A$2:$C$49,3,FALSE)/1000000000000*IFERROR(VLOOKUP(A49,'Kategorisering af kcal'!$A$2:$E$18,MATCH('Produktion &amp; forbrug'!F49,'Kategorisering af kcal'!$A$1:$E$1,0),FALSE),0)</f>
        <v>0</v>
      </c>
      <c r="AE49">
        <f>IF(C49&lt;&gt;"",AC49*(1-VLOOKUP(A49,'Kategorisering af kcal'!$A$2:$E$18,MATCH('Produktion &amp; forbrug'!F49,'Kategorisering af kcal'!$A$1:$E$1,0),FALSE)),'Produktion &amp; forbrug'!AC49)</f>
        <v>0</v>
      </c>
      <c r="AF49" s="94">
        <f t="shared" si="9"/>
        <v>0</v>
      </c>
    </row>
    <row r="50" spans="1:32" x14ac:dyDescent="0.25">
      <c r="A50" s="171" t="s">
        <v>119</v>
      </c>
      <c r="B50" s="171" t="s">
        <v>224</v>
      </c>
      <c r="C50" s="171" t="str">
        <f>IFERROR(VLOOKUP(A50,'Kategorisering af kcal'!$A$2:$B$18,2,FALSE),"")</f>
        <v/>
      </c>
      <c r="D50" s="171">
        <f>IF(COUNTIFS('Resultater - Danmark'!$D$3:$D$504,'Produktion &amp; forbrug'!A50,'Resultater - Danmark'!$A$3:$A$504,"Til energi")+COUNTIFS('Resultater - Danmark'!$D$3:$D$504,'Produktion &amp; forbrug'!A50,'Resultater - Danmark'!$A$3:$A$504,"Biogasanlæg")&gt;0,1,0)</f>
        <v>1</v>
      </c>
      <c r="E50" s="171">
        <v>0</v>
      </c>
      <c r="F50" s="171">
        <f t="shared" si="2"/>
        <v>2019</v>
      </c>
      <c r="G50" s="94">
        <f ca="1">SUMIFS('Resultat-Produktion &amp; forbrug'!G$4:G$291,'Resultat-Produktion &amp; forbrug'!$A$4:$A$291,'Produktion &amp; forbrug'!$A50,'Resultat-Produktion &amp; forbrug'!$E$4:$E$291,'Produktion &amp; forbrug'!$F50)</f>
        <v>3010292.0648196544</v>
      </c>
      <c r="H50" s="94">
        <f>SUMIFS('Resultat-Produktion &amp; forbrug'!H$4:H$291,'Resultat-Produktion &amp; forbrug'!$A$4:$A$291,'Produktion &amp; forbrug'!$A50,'Resultat-Produktion &amp; forbrug'!$E$4:$E$291,'Produktion &amp; forbrug'!$F50)</f>
        <v>0</v>
      </c>
      <c r="I50" s="94">
        <f>SUMIFS('Resultat-Produktion &amp; forbrug'!I$4:I$291,'Resultat-Produktion &amp; forbrug'!$A$4:$A$291,'Produktion &amp; forbrug'!$A50,'Resultat-Produktion &amp; forbrug'!$E$4:$E$291,'Produktion &amp; forbrug'!$F50)</f>
        <v>0</v>
      </c>
      <c r="J50" s="94">
        <f>SUMIFS('Resultat-Produktion &amp; forbrug'!J$4:J$291,'Resultat-Produktion &amp; forbrug'!$A$4:$A$291,'Produktion &amp; forbrug'!$A50,'Resultat-Produktion &amp; forbrug'!$E$4:$E$291,'Produktion &amp; forbrug'!$F50)</f>
        <v>0</v>
      </c>
      <c r="K50" s="94">
        <f>SUMIFS('Resultat-Produktion &amp; forbrug'!K$4:K$291,'Resultat-Produktion &amp; forbrug'!$A$4:$A$291,'Produktion &amp; forbrug'!$A50,'Resultat-Produktion &amp; forbrug'!$E$4:$E$291,'Produktion &amp; forbrug'!$F50)</f>
        <v>0</v>
      </c>
      <c r="L50" s="94">
        <f>SUMIFS('Resultat-Produktion &amp; forbrug'!L$4:L$291,'Resultat-Produktion &amp; forbrug'!$A$4:$A$291,'Produktion &amp; forbrug'!$A50,'Resultat-Produktion &amp; forbrug'!$E$4:$E$291,'Produktion &amp; forbrug'!$F50)</f>
        <v>0</v>
      </c>
      <c r="M50" s="94">
        <f ca="1">SUMIFS('Resultat-Produktion &amp; forbrug'!M$4:M$291,'Resultat-Produktion &amp; forbrug'!$A$4:$A$291,'Produktion &amp; forbrug'!$A50,'Resultat-Produktion &amp; forbrug'!$E$4:$E$291,'Produktion &amp; forbrug'!$F50)</f>
        <v>3010292.0648196544</v>
      </c>
      <c r="N50" s="94">
        <f>SUMIFS('Resultat-Produktion &amp; forbrug'!N$4:N$291,'Resultat-Produktion &amp; forbrug'!$A$4:$A$291,'Produktion &amp; forbrug'!$A50,'Resultat-Produktion &amp; forbrug'!$E$4:$E$291,'Produktion &amp; forbrug'!$F50)</f>
        <v>0</v>
      </c>
      <c r="O50" s="179">
        <f t="shared" ca="1" si="3"/>
        <v>0</v>
      </c>
      <c r="P50" s="94">
        <f t="shared" ca="1" si="4"/>
        <v>0</v>
      </c>
      <c r="Q50" s="180">
        <f t="shared" ca="1" si="5"/>
        <v>3010292.0648196544</v>
      </c>
      <c r="R50">
        <f ca="1">IFERROR(VLOOKUP(A50,[1]Energiindhold!$A$2:$C$11,3,FALSE),IFERROR(VLOOKUP(A50,[1]Biogasudbytte!$A$2:$B$18,2,FALSE)*[1]Energiindhold!$C$10,0))*P50</f>
        <v>0</v>
      </c>
      <c r="S50">
        <f ca="1">IF(A50&lt;&gt;"Biogas",IFERROR(VLOOKUP(A50,[1]Biogasudbytte!$A$2:$B$18,2,FALSE)*[1]Energiindhold!$C$10,0)*K50*IFERROR(VLOOKUP(A50,Biogasanlæg!$F$3:$G$8,2,FALSE),1)+IFERROR(VLOOKUP(A50,[1]Energiindhold!$A$2:$C$11,3,FALSE),0)*M50+IF(F50&lt;&gt;År1,R50,0),0)</f>
        <v>43.629875452920864</v>
      </c>
      <c r="T50">
        <f>IFERROR(VLOOKUP(A50,[1]Biogasudbytte!$A$2:$B$18,2,FALSE)*[1]Energiindhold!$C$10,0)*K50*IFERROR(VLOOKUP(A50,Biogasanlæg!$F$3:$G$8,2,FALSE),1)</f>
        <v>0</v>
      </c>
      <c r="U50" s="170">
        <f t="shared" ca="1" si="6"/>
        <v>43.629875452920864</v>
      </c>
      <c r="V50" s="169">
        <f ca="1">P50*IFERROR(VLOOKUP(A50,[1]Tørstofindhold!A$2:B$24,2,FALSE),0)</f>
        <v>0</v>
      </c>
      <c r="W50">
        <f ca="1">IF(F50=År1,Q50,SUM(P50,Q50))*IFERROR(VLOOKUP(A50,[1]Tørstofindhold!A$2:B$24,2,FALSE),0)</f>
        <v>1488840.2837253874</v>
      </c>
      <c r="X50">
        <f>K50*IFERROR(VLOOKUP(A50,[1]Tørstofindhold!A$2:B$24,2,FALSE),0)</f>
        <v>0</v>
      </c>
      <c r="Y50" s="170">
        <f t="shared" ca="1" si="7"/>
        <v>1488840.2837253874</v>
      </c>
      <c r="Z50">
        <f t="shared" ca="1" si="10"/>
        <v>0</v>
      </c>
      <c r="AA50">
        <f t="shared" ca="1" si="11"/>
        <v>0</v>
      </c>
      <c r="AC50" s="94">
        <f t="shared" ca="1" si="8"/>
        <v>3010292.0648196544</v>
      </c>
      <c r="AD50">
        <f ca="1">AC50*E50*10000*VLOOKUP(A50,[1]kcal!$A$2:$C$49,3,FALSE)/1000000000000*IFERROR(VLOOKUP(A50,'Kategorisering af kcal'!$A$2:$E$18,MATCH('Produktion &amp; forbrug'!F50,'Kategorisering af kcal'!$A$1:$E$1,0),FALSE),0)</f>
        <v>0</v>
      </c>
      <c r="AE50">
        <f ca="1">IF(C50&lt;&gt;"",AC50*(1-VLOOKUP(A50,'Kategorisering af kcal'!$A$2:$E$18,MATCH('Produktion &amp; forbrug'!F50,'Kategorisering af kcal'!$A$1:$E$1,0),FALSE)),'Produktion &amp; forbrug'!AC50)</f>
        <v>3010292.0648196544</v>
      </c>
      <c r="AF50" s="94">
        <f t="shared" ca="1" si="9"/>
        <v>0</v>
      </c>
    </row>
    <row r="51" spans="1:32" x14ac:dyDescent="0.25">
      <c r="A51" s="171" t="s">
        <v>118</v>
      </c>
      <c r="B51" s="171"/>
      <c r="C51" s="171" t="str">
        <f>IFERROR(VLOOKUP(A51,'Kategorisering af kcal'!$A$2:$B$18,2,FALSE),"")</f>
        <v/>
      </c>
      <c r="D51" s="171">
        <f>IF(COUNTIFS('Resultater - Danmark'!$D$3:$D$504,'Produktion &amp; forbrug'!A51,'Resultater - Danmark'!$A$3:$A$504,"Til energi")+COUNTIFS('Resultater - Danmark'!$D$3:$D$504,'Produktion &amp; forbrug'!A51,'Resultater - Danmark'!$A$3:$A$504,"Biogasanlæg")&gt;0,1,0)</f>
        <v>0</v>
      </c>
      <c r="E51" s="171">
        <v>0</v>
      </c>
      <c r="F51" s="171">
        <f t="shared" si="2"/>
        <v>2019</v>
      </c>
      <c r="G51" s="94">
        <f ca="1">SUMIFS('Resultat-Produktion &amp; forbrug'!G$4:G$291,'Resultat-Produktion &amp; forbrug'!$A$4:$A$291,'Produktion &amp; forbrug'!$A51,'Resultat-Produktion &amp; forbrug'!$E$4:$E$291,'Produktion &amp; forbrug'!$F51)</f>
        <v>827707.93518034508</v>
      </c>
      <c r="H51" s="94">
        <f>SUMIFS('Resultat-Produktion &amp; forbrug'!H$4:H$291,'Resultat-Produktion &amp; forbrug'!$A$4:$A$291,'Produktion &amp; forbrug'!$A51,'Resultat-Produktion &amp; forbrug'!$E$4:$E$291,'Produktion &amp; forbrug'!$F51)</f>
        <v>0</v>
      </c>
      <c r="I51" s="94">
        <f>SUMIFS('Resultat-Produktion &amp; forbrug'!I$4:I$291,'Resultat-Produktion &amp; forbrug'!$A$4:$A$291,'Produktion &amp; forbrug'!$A51,'Resultat-Produktion &amp; forbrug'!$E$4:$E$291,'Produktion &amp; forbrug'!$F51)</f>
        <v>0</v>
      </c>
      <c r="J51" s="94">
        <f>SUMIFS('Resultat-Produktion &amp; forbrug'!J$4:J$291,'Resultat-Produktion &amp; forbrug'!$A$4:$A$291,'Produktion &amp; forbrug'!$A51,'Resultat-Produktion &amp; forbrug'!$E$4:$E$291,'Produktion &amp; forbrug'!$F51)</f>
        <v>0</v>
      </c>
      <c r="K51" s="94">
        <f>SUMIFS('Resultat-Produktion &amp; forbrug'!K$4:K$291,'Resultat-Produktion &amp; forbrug'!$A$4:$A$291,'Produktion &amp; forbrug'!$A51,'Resultat-Produktion &amp; forbrug'!$E$4:$E$291,'Produktion &amp; forbrug'!$F51)</f>
        <v>0</v>
      </c>
      <c r="L51" s="94">
        <f>SUMIFS('Resultat-Produktion &amp; forbrug'!L$4:L$291,'Resultat-Produktion &amp; forbrug'!$A$4:$A$291,'Produktion &amp; forbrug'!$A51,'Resultat-Produktion &amp; forbrug'!$E$4:$E$291,'Produktion &amp; forbrug'!$F51)</f>
        <v>0</v>
      </c>
      <c r="M51" s="94">
        <f>SUMIFS('Resultat-Produktion &amp; forbrug'!M$4:M$291,'Resultat-Produktion &amp; forbrug'!$A$4:$A$291,'Produktion &amp; forbrug'!$A51,'Resultat-Produktion &amp; forbrug'!$E$4:$E$291,'Produktion &amp; forbrug'!$F51)</f>
        <v>0</v>
      </c>
      <c r="N51" s="94">
        <f ca="1">SUMIFS('Resultat-Produktion &amp; forbrug'!N$4:N$291,'Resultat-Produktion &amp; forbrug'!$A$4:$A$291,'Produktion &amp; forbrug'!$A51,'Resultat-Produktion &amp; forbrug'!$E$4:$E$291,'Produktion &amp; forbrug'!$F51)</f>
        <v>827707.93518034508</v>
      </c>
      <c r="O51" s="179">
        <f t="shared" ca="1" si="3"/>
        <v>0</v>
      </c>
      <c r="P51" s="94">
        <f t="shared" si="4"/>
        <v>0</v>
      </c>
      <c r="Q51" s="180">
        <f t="shared" si="5"/>
        <v>0</v>
      </c>
      <c r="R51">
        <f>IFERROR(VLOOKUP(A51,[1]Energiindhold!$A$2:$C$11,3,FALSE),IFERROR(VLOOKUP(A51,[1]Biogasudbytte!$A$2:$B$18,2,FALSE)*[1]Energiindhold!$C$10,0))*P51</f>
        <v>0</v>
      </c>
      <c r="S51">
        <f>IF(A51&lt;&gt;"Biogas",IFERROR(VLOOKUP(A51,[1]Biogasudbytte!$A$2:$B$18,2,FALSE)*[1]Energiindhold!$C$10,0)*K51*IFERROR(VLOOKUP(A51,Biogasanlæg!$F$3:$G$8,2,FALSE),1)+IFERROR(VLOOKUP(A51,[1]Energiindhold!$A$2:$C$11,3,FALSE),0)*M51+IF(F51&lt;&gt;År1,R51,0),0)</f>
        <v>0</v>
      </c>
      <c r="T51">
        <f>IFERROR(VLOOKUP(A51,[1]Biogasudbytte!$A$2:$B$18,2,FALSE)*[1]Energiindhold!$C$10,0)*K51*IFERROR(VLOOKUP(A51,Biogasanlæg!$F$3:$G$8,2,FALSE),1)</f>
        <v>0</v>
      </c>
      <c r="U51" s="170">
        <f t="shared" si="6"/>
        <v>0</v>
      </c>
      <c r="V51" s="169">
        <f>P51*IFERROR(VLOOKUP(A51,[1]Tørstofindhold!A$2:B$24,2,FALSE),0)</f>
        <v>0</v>
      </c>
      <c r="W51">
        <f>IF(F51=År1,Q51,SUM(P51,Q51))*IFERROR(VLOOKUP(A51,[1]Tørstofindhold!A$2:B$24,2,FALSE),0)</f>
        <v>0</v>
      </c>
      <c r="X51">
        <f>K51*IFERROR(VLOOKUP(A51,[1]Tørstofindhold!A$2:B$24,2,FALSE),0)</f>
        <v>0</v>
      </c>
      <c r="Y51" s="170">
        <f t="shared" si="7"/>
        <v>0</v>
      </c>
      <c r="Z51">
        <f t="shared" ca="1" si="10"/>
        <v>0</v>
      </c>
      <c r="AA51">
        <f t="shared" ca="1" si="11"/>
        <v>0</v>
      </c>
      <c r="AC51" s="94">
        <f t="shared" ca="1" si="8"/>
        <v>0</v>
      </c>
      <c r="AD51">
        <f ca="1">AC51*E51*10000*VLOOKUP(A51,[1]kcal!$A$2:$C$49,3,FALSE)/1000000000000*IFERROR(VLOOKUP(A51,'Kategorisering af kcal'!$A$2:$E$18,MATCH('Produktion &amp; forbrug'!F51,'Kategorisering af kcal'!$A$1:$E$1,0),FALSE),0)</f>
        <v>0</v>
      </c>
      <c r="AE51">
        <f ca="1">IF(C51&lt;&gt;"",AC51*(1-VLOOKUP(A51,'Kategorisering af kcal'!$A$2:$E$18,MATCH('Produktion &amp; forbrug'!F51,'Kategorisering af kcal'!$A$1:$E$1,0),FALSE)),'Produktion &amp; forbrug'!AC51)</f>
        <v>0</v>
      </c>
      <c r="AF51" s="94">
        <f t="shared" ca="1" si="9"/>
        <v>0</v>
      </c>
    </row>
    <row r="52" spans="1:32" x14ac:dyDescent="0.25">
      <c r="A52" s="171" t="str">
        <f t="shared" ref="A52:A115" si="12">A4</f>
        <v>Æg</v>
      </c>
      <c r="B52" s="171" t="str">
        <f t="shared" ref="B52:B115" si="13">IF(B4&lt;&gt;"",B4,"")</f>
        <v/>
      </c>
      <c r="C52" s="171" t="str">
        <f>IFERROR(VLOOKUP(A52,'Kategorisering af kcal'!$A$2:$B$18,2,FALSE),"")</f>
        <v>Æg</v>
      </c>
      <c r="D52" s="171">
        <f>IF(COUNTIFS('Resultater - Danmark'!$D$3:$D$504,'Produktion &amp; forbrug'!A52,'Resultater - Danmark'!$A$3:$A$504,"Til energi")+COUNTIFS('Resultater - Danmark'!$D$3:$D$504,'Produktion &amp; forbrug'!A52,'Resultater - Danmark'!$A$3:$A$504,"Biogasanlæg")&gt;0,1,0)</f>
        <v>0</v>
      </c>
      <c r="E52" s="171">
        <f>E4</f>
        <v>1</v>
      </c>
      <c r="F52" s="171">
        <f t="shared" ref="F52:F99" si="14">År2</f>
        <v>2030</v>
      </c>
      <c r="G52" s="94">
        <f>SUMIFS('Resultat-Produktion &amp; forbrug'!G$4:G$291,'Resultat-Produktion &amp; forbrug'!$A$4:$A$291,'Produktion &amp; forbrug'!$A52,'Resultat-Produktion &amp; forbrug'!$E$4:$E$291,'Produktion &amp; forbrug'!$F52)</f>
        <v>235000</v>
      </c>
      <c r="H52" s="94">
        <f>SUMIFS('Resultat-Produktion &amp; forbrug'!H$4:H$291,'Resultat-Produktion &amp; forbrug'!$A$4:$A$291,'Produktion &amp; forbrug'!$A52,'Resultat-Produktion &amp; forbrug'!$E$4:$E$291,'Produktion &amp; forbrug'!$F52)</f>
        <v>0</v>
      </c>
      <c r="I52" s="94">
        <f>SUMIFS('Resultat-Produktion &amp; forbrug'!I$4:I$291,'Resultat-Produktion &amp; forbrug'!$A$4:$A$291,'Produktion &amp; forbrug'!$A52,'Resultat-Produktion &amp; forbrug'!$E$4:$E$291,'Produktion &amp; forbrug'!$F52)</f>
        <v>0</v>
      </c>
      <c r="J52" s="94">
        <f>SUMIFS('Resultat-Produktion &amp; forbrug'!J$4:J$291,'Resultat-Produktion &amp; forbrug'!$A$4:$A$291,'Produktion &amp; forbrug'!$A52,'Resultat-Produktion &amp; forbrug'!$E$4:$E$291,'Produktion &amp; forbrug'!$F52)</f>
        <v>0</v>
      </c>
      <c r="K52" s="94">
        <f>SUMIFS('Resultat-Produktion &amp; forbrug'!K$4:K$291,'Resultat-Produktion &amp; forbrug'!$A$4:$A$291,'Produktion &amp; forbrug'!$A52,'Resultat-Produktion &amp; forbrug'!$E$4:$E$291,'Produktion &amp; forbrug'!$F52)</f>
        <v>0</v>
      </c>
      <c r="L52" s="94">
        <f>SUMIFS('Resultat-Produktion &amp; forbrug'!L$4:L$291,'Resultat-Produktion &amp; forbrug'!$A$4:$A$291,'Produktion &amp; forbrug'!$A52,'Resultat-Produktion &amp; forbrug'!$E$4:$E$291,'Produktion &amp; forbrug'!$F52)</f>
        <v>0</v>
      </c>
      <c r="M52" s="94">
        <f>SUMIFS('Resultat-Produktion &amp; forbrug'!M$4:M$291,'Resultat-Produktion &amp; forbrug'!$A$4:$A$291,'Produktion &amp; forbrug'!$A52,'Resultat-Produktion &amp; forbrug'!$E$4:$E$291,'Produktion &amp; forbrug'!$F52)</f>
        <v>0</v>
      </c>
      <c r="N52" s="94">
        <f>SUMIFS('Resultat-Produktion &amp; forbrug'!N$4:N$291,'Resultat-Produktion &amp; forbrug'!$A$4:$A$291,'Produktion &amp; forbrug'!$A52,'Resultat-Produktion &amp; forbrug'!$E$4:$E$291,'Produktion &amp; forbrug'!$F52)</f>
        <v>0</v>
      </c>
      <c r="O52" s="179">
        <f t="shared" si="3"/>
        <v>235000</v>
      </c>
      <c r="P52" s="94">
        <f t="shared" si="4"/>
        <v>0</v>
      </c>
      <c r="Q52" s="180">
        <f t="shared" si="5"/>
        <v>0</v>
      </c>
      <c r="R52">
        <f>IFERROR(VLOOKUP(A52,[1]Energiindhold!$A$2:$C$11,3,FALSE),IFERROR(VLOOKUP(A52,[1]Biogasudbytte!$A$2:$B$18,2,FALSE)*[1]Energiindhold!$C$10,0))*P52</f>
        <v>0</v>
      </c>
      <c r="S52">
        <f>IF(A52&lt;&gt;"Biogas",IFERROR(VLOOKUP(A52,[1]Biogasudbytte!$A$2:$B$18,2,FALSE)*[1]Energiindhold!$C$10,0)*K52*IFERROR(VLOOKUP(A52,Biogasanlæg!$F$3:$G$8,2,FALSE),1)+IFERROR(VLOOKUP(A52,[1]Energiindhold!$A$2:$C$11,3,FALSE),0)*M52+IF(F52&lt;&gt;År1,R52,0),0)</f>
        <v>0</v>
      </c>
      <c r="T52">
        <f>IFERROR(VLOOKUP(A52,[1]Biogasudbytte!$A$2:$B$18,2,FALSE)*[1]Energiindhold!$C$10,0)*K52*IFERROR(VLOOKUP(A52,Biogasanlæg!$F$3:$G$8,2,FALSE),1)</f>
        <v>0</v>
      </c>
      <c r="U52" s="170">
        <f t="shared" si="6"/>
        <v>0</v>
      </c>
      <c r="V52" s="169">
        <f>P52*IFERROR(VLOOKUP(A52,[1]Tørstofindhold!A$2:B$24,2,FALSE),0)</f>
        <v>0</v>
      </c>
      <c r="W52">
        <f>IF(F52=År1,Q52,SUM(P52,Q52))*IFERROR(VLOOKUP(A52,[1]Tørstofindhold!A$2:B$24,2,FALSE),0)</f>
        <v>0</v>
      </c>
      <c r="X52">
        <f>K52*IFERROR(VLOOKUP(A52,[1]Tørstofindhold!A$2:B$24,2,FALSE),0)</f>
        <v>0</v>
      </c>
      <c r="Y52" s="170">
        <f t="shared" si="7"/>
        <v>0</v>
      </c>
      <c r="Z52">
        <f t="shared" si="10"/>
        <v>0</v>
      </c>
      <c r="AA52">
        <f t="shared" si="11"/>
        <v>1</v>
      </c>
      <c r="AC52" s="94">
        <f t="shared" si="8"/>
        <v>235000</v>
      </c>
      <c r="AD52">
        <f>AC52*E52*10000*VLOOKUP(A52,[1]kcal!$A$2:$C$49,3,FALSE)/1000000000000*IFERROR(VLOOKUP(A52,'Kategorisering af kcal'!$A$2:$E$18,MATCH('Produktion &amp; forbrug'!F52,'Kategorisering af kcal'!$A$1:$E$1,0),FALSE),0)</f>
        <v>0.32429999999999998</v>
      </c>
      <c r="AE52">
        <f>IF(C52&lt;&gt;"",AC52*(1-VLOOKUP(A52,'Kategorisering af kcal'!$A$2:$E$18,MATCH('Produktion &amp; forbrug'!F52,'Kategorisering af kcal'!$A$1:$E$1,0),FALSE)),'Produktion &amp; forbrug'!AC52)</f>
        <v>0</v>
      </c>
      <c r="AF52" s="94">
        <f t="shared" si="9"/>
        <v>235000</v>
      </c>
    </row>
    <row r="53" spans="1:32" x14ac:dyDescent="0.25">
      <c r="A53" s="171" t="str">
        <f t="shared" si="12"/>
        <v>Bælgsæd</v>
      </c>
      <c r="B53" s="171" t="str">
        <f t="shared" si="13"/>
        <v/>
      </c>
      <c r="C53" s="171" t="str">
        <f>IFERROR(VLOOKUP(A53,'Kategorisering af kcal'!$A$2:$B$18,2,FALSE),"")</f>
        <v>Bælgsæd</v>
      </c>
      <c r="D53" s="171">
        <f>IF(COUNTIFS('Resultater - Danmark'!$D$3:$D$504,'Produktion &amp; forbrug'!A53,'Resultater - Danmark'!$A$3:$A$504,"Til energi")+COUNTIFS('Resultater - Danmark'!$D$3:$D$504,'Produktion &amp; forbrug'!A53,'Resultater - Danmark'!$A$3:$A$504,"Biogasanlæg")&gt;0,1,0)</f>
        <v>0</v>
      </c>
      <c r="E53" s="171">
        <f t="shared" ref="E53:E116" si="15">E5</f>
        <v>1</v>
      </c>
      <c r="F53" s="171">
        <f t="shared" si="14"/>
        <v>2030</v>
      </c>
      <c r="G53" s="94">
        <f>SUMIFS('Resultat-Produktion &amp; forbrug'!G$4:G$291,'Resultat-Produktion &amp; forbrug'!$A$4:$A$291,'Produktion &amp; forbrug'!$A53,'Resultat-Produktion &amp; forbrug'!$E$4:$E$291,'Produktion &amp; forbrug'!$F53)</f>
        <v>711567.98134110344</v>
      </c>
      <c r="H53" s="94">
        <f>SUMIFS('Resultat-Produktion &amp; forbrug'!H$4:H$291,'Resultat-Produktion &amp; forbrug'!$A$4:$A$291,'Produktion &amp; forbrug'!$A53,'Resultat-Produktion &amp; forbrug'!$E$4:$E$291,'Produktion &amp; forbrug'!$F53)</f>
        <v>58543.481535809427</v>
      </c>
      <c r="I53" s="94">
        <f>SUMIFS('Resultat-Produktion &amp; forbrug'!I$4:I$291,'Resultat-Produktion &amp; forbrug'!$A$4:$A$291,'Produktion &amp; forbrug'!$A53,'Resultat-Produktion &amp; forbrug'!$E$4:$E$291,'Produktion &amp; forbrug'!$F53)</f>
        <v>0</v>
      </c>
      <c r="J53" s="94">
        <f>SUMIFS('Resultat-Produktion &amp; forbrug'!J$4:J$291,'Resultat-Produktion &amp; forbrug'!$A$4:$A$291,'Produktion &amp; forbrug'!$A53,'Resultat-Produktion &amp; forbrug'!$E$4:$E$291,'Produktion &amp; forbrug'!$F53)</f>
        <v>0</v>
      </c>
      <c r="K53" s="94">
        <f>SUMIFS('Resultat-Produktion &amp; forbrug'!K$4:K$291,'Resultat-Produktion &amp; forbrug'!$A$4:$A$291,'Produktion &amp; forbrug'!$A53,'Resultat-Produktion &amp; forbrug'!$E$4:$E$291,'Produktion &amp; forbrug'!$F53)</f>
        <v>0</v>
      </c>
      <c r="L53" s="94">
        <f>SUMIFS('Resultat-Produktion &amp; forbrug'!L$4:L$291,'Resultat-Produktion &amp; forbrug'!$A$4:$A$291,'Produktion &amp; forbrug'!$A53,'Resultat-Produktion &amp; forbrug'!$E$4:$E$291,'Produktion &amp; forbrug'!$F53)</f>
        <v>0</v>
      </c>
      <c r="M53" s="94">
        <f>SUMIFS('Resultat-Produktion &amp; forbrug'!M$4:M$291,'Resultat-Produktion &amp; forbrug'!$A$4:$A$291,'Produktion &amp; forbrug'!$A53,'Resultat-Produktion &amp; forbrug'!$E$4:$E$291,'Produktion &amp; forbrug'!$F53)</f>
        <v>0</v>
      </c>
      <c r="N53" s="94">
        <f>SUMIFS('Resultat-Produktion &amp; forbrug'!N$4:N$291,'Resultat-Produktion &amp; forbrug'!$A$4:$A$291,'Produktion &amp; forbrug'!$A53,'Resultat-Produktion &amp; forbrug'!$E$4:$E$291,'Produktion &amp; forbrug'!$F53)</f>
        <v>0</v>
      </c>
      <c r="O53" s="179">
        <f t="shared" si="3"/>
        <v>653024.49980529398</v>
      </c>
      <c r="P53" s="94">
        <f t="shared" si="4"/>
        <v>0</v>
      </c>
      <c r="Q53" s="180">
        <f t="shared" si="5"/>
        <v>0</v>
      </c>
      <c r="R53">
        <f>IFERROR(VLOOKUP(A53,[1]Energiindhold!$A$2:$C$11,3,FALSE),IFERROR(VLOOKUP(A53,[1]Biogasudbytte!$A$2:$B$18,2,FALSE)*[1]Energiindhold!$C$10,0))*P53</f>
        <v>0</v>
      </c>
      <c r="S53">
        <f>IF(A53&lt;&gt;"Biogas",IFERROR(VLOOKUP(A53,[1]Biogasudbytte!$A$2:$B$18,2,FALSE)*[1]Energiindhold!$C$10,0)*K53*IFERROR(VLOOKUP(A53,Biogasanlæg!$F$3:$G$8,2,FALSE),1)+IFERROR(VLOOKUP(A53,[1]Energiindhold!$A$2:$C$11,3,FALSE),0)*M53+IF(F53&lt;&gt;År1,R53,0),0)</f>
        <v>0</v>
      </c>
      <c r="T53">
        <f>IFERROR(VLOOKUP(A53,[1]Biogasudbytte!$A$2:$B$18,2,FALSE)*[1]Energiindhold!$C$10,0)*K53*IFERROR(VLOOKUP(A53,Biogasanlæg!$F$3:$G$8,2,FALSE),1)</f>
        <v>0</v>
      </c>
      <c r="U53" s="170">
        <f t="shared" si="6"/>
        <v>0</v>
      </c>
      <c r="V53" s="169">
        <f>P53*IFERROR(VLOOKUP(A53,[1]Tørstofindhold!A$2:B$24,2,FALSE),0)</f>
        <v>0</v>
      </c>
      <c r="W53">
        <f>IF(F53=År1,Q53,SUM(P53,Q53))*IFERROR(VLOOKUP(A53,[1]Tørstofindhold!A$2:B$24,2,FALSE),0)</f>
        <v>0</v>
      </c>
      <c r="X53">
        <f>K53*IFERROR(VLOOKUP(A53,[1]Tørstofindhold!A$2:B$24,2,FALSE),0)</f>
        <v>0</v>
      </c>
      <c r="Y53" s="170">
        <f t="shared" si="7"/>
        <v>0</v>
      </c>
      <c r="Z53">
        <f t="shared" si="10"/>
        <v>0</v>
      </c>
      <c r="AA53">
        <f t="shared" si="11"/>
        <v>1</v>
      </c>
      <c r="AC53" s="94">
        <f t="shared" si="8"/>
        <v>653024.49980529398</v>
      </c>
      <c r="AD53">
        <f>AC53*E53*10000*VLOOKUP(A53,[1]kcal!$A$2:$C$49,3,FALSE)/1000000000000*IFERROR(VLOOKUP(A53,'Kategorisering af kcal'!$A$2:$E$18,MATCH('Produktion &amp; forbrug'!F53,'Kategorisering af kcal'!$A$1:$E$1,0),FALSE),0)</f>
        <v>4.5352551511477666</v>
      </c>
      <c r="AE53">
        <f>IF(C53&lt;&gt;"",AC53*(1-VLOOKUP(A53,'Kategorisering af kcal'!$A$2:$E$18,MATCH('Produktion &amp; forbrug'!F53,'Kategorisering af kcal'!$A$1:$E$1,0),FALSE)),'Produktion &amp; forbrug'!AC53)</f>
        <v>0</v>
      </c>
      <c r="AF53" s="94">
        <f t="shared" si="9"/>
        <v>653024.49980529398</v>
      </c>
    </row>
    <row r="54" spans="1:32" x14ac:dyDescent="0.25">
      <c r="A54" s="171" t="str">
        <f t="shared" si="12"/>
        <v>Bioaffald</v>
      </c>
      <c r="B54" s="171" t="str">
        <f t="shared" si="13"/>
        <v>Bionedbrydeligt affald</v>
      </c>
      <c r="C54" s="171" t="str">
        <f>IFERROR(VLOOKUP(A54,'Kategorisering af kcal'!$A$2:$B$18,2,FALSE),"")</f>
        <v/>
      </c>
      <c r="D54" s="171">
        <f>IF(COUNTIFS('Resultater - Danmark'!$D$3:$D$504,'Produktion &amp; forbrug'!A54,'Resultater - Danmark'!$A$3:$A$504,"Til energi")+COUNTIFS('Resultater - Danmark'!$D$3:$D$504,'Produktion &amp; forbrug'!A54,'Resultater - Danmark'!$A$3:$A$504,"Biogasanlæg")&gt;0,1,0)</f>
        <v>1</v>
      </c>
      <c r="E54" s="171">
        <f t="shared" si="15"/>
        <v>0</v>
      </c>
      <c r="F54" s="171">
        <f t="shared" si="14"/>
        <v>2030</v>
      </c>
      <c r="G54" s="94">
        <f ca="1">SUMIFS('Resultat-Produktion &amp; forbrug'!G$4:G$291,'Resultat-Produktion &amp; forbrug'!$A$4:$A$291,'Produktion &amp; forbrug'!$A54,'Resultat-Produktion &amp; forbrug'!$E$4:$E$291,'Produktion &amp; forbrug'!$F54)</f>
        <v>363994.97174274386</v>
      </c>
      <c r="H54" s="94">
        <f>SUMIFS('Resultat-Produktion &amp; forbrug'!H$4:H$291,'Resultat-Produktion &amp; forbrug'!$A$4:$A$291,'Produktion &amp; forbrug'!$A54,'Resultat-Produktion &amp; forbrug'!$E$4:$E$291,'Produktion &amp; forbrug'!$F54)</f>
        <v>0</v>
      </c>
      <c r="I54" s="94">
        <f>SUMIFS('Resultat-Produktion &amp; forbrug'!I$4:I$291,'Resultat-Produktion &amp; forbrug'!$A$4:$A$291,'Produktion &amp; forbrug'!$A54,'Resultat-Produktion &amp; forbrug'!$E$4:$E$291,'Produktion &amp; forbrug'!$F54)</f>
        <v>0</v>
      </c>
      <c r="J54" s="94">
        <f>SUMIFS('Resultat-Produktion &amp; forbrug'!J$4:J$291,'Resultat-Produktion &amp; forbrug'!$A$4:$A$291,'Produktion &amp; forbrug'!$A54,'Resultat-Produktion &amp; forbrug'!$E$4:$E$291,'Produktion &amp; forbrug'!$F54)</f>
        <v>0</v>
      </c>
      <c r="K54" s="94">
        <f ca="1">SUMIFS('Resultat-Produktion &amp; forbrug'!K$4:K$291,'Resultat-Produktion &amp; forbrug'!$A$4:$A$291,'Produktion &amp; forbrug'!$A54,'Resultat-Produktion &amp; forbrug'!$E$4:$E$291,'Produktion &amp; forbrug'!$F54)</f>
        <v>0</v>
      </c>
      <c r="L54" s="94">
        <f>SUMIFS('Resultat-Produktion &amp; forbrug'!L$4:L$291,'Resultat-Produktion &amp; forbrug'!$A$4:$A$291,'Produktion &amp; forbrug'!$A54,'Resultat-Produktion &amp; forbrug'!$E$4:$E$291,'Produktion &amp; forbrug'!$F54)</f>
        <v>0</v>
      </c>
      <c r="M54" s="94">
        <f ca="1">SUMIFS('Resultat-Produktion &amp; forbrug'!M$4:M$291,'Resultat-Produktion &amp; forbrug'!$A$4:$A$291,'Produktion &amp; forbrug'!$A54,'Resultat-Produktion &amp; forbrug'!$E$4:$E$291,'Produktion &amp; forbrug'!$F54)</f>
        <v>363994.97174274386</v>
      </c>
      <c r="N54" s="94">
        <f ca="1">SUMIFS('Resultat-Produktion &amp; forbrug'!N$4:N$291,'Resultat-Produktion &amp; forbrug'!$A$4:$A$291,'Produktion &amp; forbrug'!$A54,'Resultat-Produktion &amp; forbrug'!$E$4:$E$291,'Produktion &amp; forbrug'!$F54)</f>
        <v>0</v>
      </c>
      <c r="O54" s="179">
        <f t="shared" ca="1" si="3"/>
        <v>0</v>
      </c>
      <c r="P54" s="94">
        <f t="shared" ca="1" si="4"/>
        <v>0</v>
      </c>
      <c r="Q54" s="180">
        <f t="shared" ca="1" si="5"/>
        <v>363994.97174274386</v>
      </c>
      <c r="R54">
        <f ca="1">IFERROR(VLOOKUP(A54,[1]Energiindhold!$A$2:$C$11,3,FALSE),IFERROR(VLOOKUP(A54,[1]Biogasudbytte!$A$2:$B$18,2,FALSE)*[1]Energiindhold!$C$10,0))*P54</f>
        <v>0</v>
      </c>
      <c r="S54">
        <f ca="1">IF(A54&lt;&gt;"Biogas",IFERROR(VLOOKUP(A54,[1]Biogasudbytte!$A$2:$B$18,2,FALSE)*[1]Energiindhold!$C$10,0)*K54*IFERROR(VLOOKUP(A54,Biogasanlæg!$F$3:$G$8,2,FALSE),1)+IFERROR(VLOOKUP(A54,[1]Energiindhold!$A$2:$C$11,3,FALSE),0)*M54+IF(F54&lt;&gt;År1,R54,0),0)</f>
        <v>6.4981185039678975</v>
      </c>
      <c r="T54">
        <f ca="1">IFERROR(VLOOKUP(A54,[1]Biogasudbytte!$A$2:$B$18,2,FALSE)*[1]Energiindhold!$C$10,0)*K54*IFERROR(VLOOKUP(A54,Biogasanlæg!$F$3:$G$8,2,FALSE),1)</f>
        <v>0</v>
      </c>
      <c r="U54" s="170">
        <f t="shared" ca="1" si="6"/>
        <v>6.4981185039678975</v>
      </c>
      <c r="V54" s="169">
        <f ca="1">P54*IFERROR(VLOOKUP(A54,[1]Tørstofindhold!A$2:B$24,2,FALSE),0)</f>
        <v>0</v>
      </c>
      <c r="W54">
        <f ca="1">IF(F54=År1,Q54,SUM(P54,Q54))*IFERROR(VLOOKUP(A54,[1]Tørstofindhold!A$2:B$24,2,FALSE),0)</f>
        <v>101918.5920879683</v>
      </c>
      <c r="X54">
        <f ca="1">K54*IFERROR(VLOOKUP(A54,[1]Tørstofindhold!A$2:B$24,2,FALSE),0)</f>
        <v>0</v>
      </c>
      <c r="Y54" s="170">
        <f t="shared" ca="1" si="7"/>
        <v>101918.5920879683</v>
      </c>
      <c r="Z54">
        <f t="shared" ca="1" si="10"/>
        <v>0</v>
      </c>
      <c r="AA54">
        <f t="shared" ca="1" si="11"/>
        <v>0</v>
      </c>
      <c r="AC54" s="94">
        <f t="shared" ca="1" si="8"/>
        <v>363994.97174274386</v>
      </c>
      <c r="AD54">
        <f ca="1">AC54*E54*10000*VLOOKUP(A54,[1]kcal!$A$2:$C$49,3,FALSE)/1000000000000*IFERROR(VLOOKUP(A54,'Kategorisering af kcal'!$A$2:$E$18,MATCH('Produktion &amp; forbrug'!F54,'Kategorisering af kcal'!$A$1:$E$1,0),FALSE),0)</f>
        <v>0</v>
      </c>
      <c r="AE54">
        <f ca="1">IF(C54&lt;&gt;"",AC54*(1-VLOOKUP(A54,'Kategorisering af kcal'!$A$2:$E$18,MATCH('Produktion &amp; forbrug'!F54,'Kategorisering af kcal'!$A$1:$E$1,0),FALSE)),'Produktion &amp; forbrug'!AC54)</f>
        <v>363994.97174274386</v>
      </c>
      <c r="AF54" s="94">
        <f t="shared" ca="1" si="9"/>
        <v>0</v>
      </c>
    </row>
    <row r="55" spans="1:32" x14ac:dyDescent="0.25">
      <c r="A55" s="171" t="str">
        <f t="shared" si="12"/>
        <v>Biogas</v>
      </c>
      <c r="B55" s="171" t="str">
        <f t="shared" si="13"/>
        <v/>
      </c>
      <c r="C55" s="171" t="str">
        <f>IFERROR(VLOOKUP(A55,'Kategorisering af kcal'!$A$2:$B$18,2,FALSE),"")</f>
        <v/>
      </c>
      <c r="D55" s="171">
        <f>IF(COUNTIFS('Resultater - Danmark'!$D$3:$D$504,'Produktion &amp; forbrug'!A55,'Resultater - Danmark'!$A$3:$A$504,"Til energi")+COUNTIFS('Resultater - Danmark'!$D$3:$D$504,'Produktion &amp; forbrug'!A55,'Resultater - Danmark'!$A$3:$A$504,"Biogasanlæg")&gt;0,1,0)</f>
        <v>1</v>
      </c>
      <c r="E55" s="171">
        <f t="shared" si="15"/>
        <v>0</v>
      </c>
      <c r="F55" s="171">
        <f t="shared" si="14"/>
        <v>2030</v>
      </c>
      <c r="G55" s="94">
        <f ca="1">SUMIFS('Resultat-Produktion &amp; forbrug'!G$4:G$291,'Resultat-Produktion &amp; forbrug'!$A$4:$A$291,'Produktion &amp; forbrug'!$A55,'Resultat-Produktion &amp; forbrug'!$E$4:$E$291,'Produktion &amp; forbrug'!$F55)</f>
        <v>443396103.95884109</v>
      </c>
      <c r="H55" s="94">
        <f>SUMIFS('Resultat-Produktion &amp; forbrug'!H$4:H$291,'Resultat-Produktion &amp; forbrug'!$A$4:$A$291,'Produktion &amp; forbrug'!$A55,'Resultat-Produktion &amp; forbrug'!$E$4:$E$291,'Produktion &amp; forbrug'!$F55)</f>
        <v>0</v>
      </c>
      <c r="I55" s="94">
        <f>SUMIFS('Resultat-Produktion &amp; forbrug'!I$4:I$291,'Resultat-Produktion &amp; forbrug'!$A$4:$A$291,'Produktion &amp; forbrug'!$A55,'Resultat-Produktion &amp; forbrug'!$E$4:$E$291,'Produktion &amp; forbrug'!$F55)</f>
        <v>0</v>
      </c>
      <c r="J55" s="94">
        <f>SUMIFS('Resultat-Produktion &amp; forbrug'!J$4:J$291,'Resultat-Produktion &amp; forbrug'!$A$4:$A$291,'Produktion &amp; forbrug'!$A55,'Resultat-Produktion &amp; forbrug'!$E$4:$E$291,'Produktion &amp; forbrug'!$F55)</f>
        <v>0</v>
      </c>
      <c r="K55" s="94">
        <f>SUMIFS('Resultat-Produktion &amp; forbrug'!K$4:K$291,'Resultat-Produktion &amp; forbrug'!$A$4:$A$291,'Produktion &amp; forbrug'!$A55,'Resultat-Produktion &amp; forbrug'!$E$4:$E$291,'Produktion &amp; forbrug'!$F55)</f>
        <v>0</v>
      </c>
      <c r="L55" s="94">
        <f>SUMIFS('Resultat-Produktion &amp; forbrug'!L$4:L$291,'Resultat-Produktion &amp; forbrug'!$A$4:$A$291,'Produktion &amp; forbrug'!$A55,'Resultat-Produktion &amp; forbrug'!$E$4:$E$291,'Produktion &amp; forbrug'!$F55)</f>
        <v>0</v>
      </c>
      <c r="M55" s="94">
        <f ca="1">SUMIFS('Resultat-Produktion &amp; forbrug'!M$4:M$291,'Resultat-Produktion &amp; forbrug'!$A$4:$A$291,'Produktion &amp; forbrug'!$A55,'Resultat-Produktion &amp; forbrug'!$E$4:$E$291,'Produktion &amp; forbrug'!$F55)</f>
        <v>443396103.95884109</v>
      </c>
      <c r="N55" s="94">
        <f>SUMIFS('Resultat-Produktion &amp; forbrug'!N$4:N$291,'Resultat-Produktion &amp; forbrug'!$A$4:$A$291,'Produktion &amp; forbrug'!$A55,'Resultat-Produktion &amp; forbrug'!$E$4:$E$291,'Produktion &amp; forbrug'!$F55)</f>
        <v>0</v>
      </c>
      <c r="O55" s="179">
        <f t="shared" ca="1" si="3"/>
        <v>0</v>
      </c>
      <c r="P55" s="94">
        <f t="shared" ca="1" si="4"/>
        <v>0</v>
      </c>
      <c r="Q55" s="180">
        <f t="shared" ca="1" si="5"/>
        <v>443396103.95884109</v>
      </c>
      <c r="R55">
        <f ca="1">IFERROR(VLOOKUP(A55,[1]Energiindhold!$A$2:$C$11,3,FALSE),IFERROR(VLOOKUP(A55,[1]Biogasudbytte!$A$2:$B$18,2,FALSE)*[1]Energiindhold!$C$10,0))*P55</f>
        <v>0</v>
      </c>
      <c r="S55">
        <f>IF(A55&lt;&gt;"Biogas",IFERROR(VLOOKUP(A55,[1]Biogasudbytte!$A$2:$B$18,2,FALSE)*[1]Energiindhold!$C$10,0)*K55*IFERROR(VLOOKUP(A55,Biogasanlæg!$F$3:$G$8,2,FALSE),1)+IFERROR(VLOOKUP(A55,[1]Energiindhold!$A$2:$C$11,3,FALSE),0)*M55+IF(F55&lt;&gt;År1,R55,0),0)</f>
        <v>0</v>
      </c>
      <c r="T55">
        <f>IFERROR(VLOOKUP(A55,[1]Biogasudbytte!$A$2:$B$18,2,FALSE)*[1]Energiindhold!$C$10,0)*K55*IFERROR(VLOOKUP(A55,Biogasanlæg!$F$3:$G$8,2,FALSE),1)</f>
        <v>0</v>
      </c>
      <c r="U55" s="170">
        <f t="shared" si="6"/>
        <v>0</v>
      </c>
      <c r="V55" s="169">
        <f ca="1">P55*IFERROR(VLOOKUP(A55,[1]Tørstofindhold!A$2:B$24,2,FALSE),0)</f>
        <v>0</v>
      </c>
      <c r="W55">
        <f ca="1">IF(F55=År1,Q55,SUM(P55,Q55))*IFERROR(VLOOKUP(A55,[1]Tørstofindhold!A$2:B$24,2,FALSE),0)</f>
        <v>0</v>
      </c>
      <c r="X55">
        <f>K55*IFERROR(VLOOKUP(A55,[1]Tørstofindhold!A$2:B$24,2,FALSE),0)</f>
        <v>0</v>
      </c>
      <c r="Y55" s="170">
        <f t="shared" ca="1" si="7"/>
        <v>0</v>
      </c>
      <c r="Z55">
        <f t="shared" ca="1" si="10"/>
        <v>0</v>
      </c>
      <c r="AA55">
        <f t="shared" ca="1" si="11"/>
        <v>0</v>
      </c>
      <c r="AC55" s="94">
        <f t="shared" ca="1" si="8"/>
        <v>443396103.95884109</v>
      </c>
      <c r="AD55">
        <f ca="1">AC55*E55*10000*VLOOKUP(A55,[1]kcal!$A$2:$C$49,3,FALSE)/1000000000000*IFERROR(VLOOKUP(A55,'Kategorisering af kcal'!$A$2:$E$18,MATCH('Produktion &amp; forbrug'!F55,'Kategorisering af kcal'!$A$1:$E$1,0),FALSE),0)</f>
        <v>0</v>
      </c>
      <c r="AE55">
        <f ca="1">IF(C55&lt;&gt;"",AC55*(1-VLOOKUP(A55,'Kategorisering af kcal'!$A$2:$E$18,MATCH('Produktion &amp; forbrug'!F55,'Kategorisering af kcal'!$A$1:$E$1,0),FALSE)),'Produktion &amp; forbrug'!AC55)</f>
        <v>443396103.95884109</v>
      </c>
      <c r="AF55" s="94">
        <f t="shared" ca="1" si="9"/>
        <v>0</v>
      </c>
    </row>
    <row r="56" spans="1:32" x14ac:dyDescent="0.25">
      <c r="A56" s="171" t="str">
        <f t="shared" si="12"/>
        <v>Biogasgylle</v>
      </c>
      <c r="B56" s="171" t="str">
        <f t="shared" si="13"/>
        <v/>
      </c>
      <c r="C56" s="171" t="str">
        <f>IFERROR(VLOOKUP(A56,'Kategorisering af kcal'!$A$2:$B$18,2,FALSE),"")</f>
        <v/>
      </c>
      <c r="D56" s="171">
        <f>IF(COUNTIFS('Resultater - Danmark'!$D$3:$D$504,'Produktion &amp; forbrug'!A56,'Resultater - Danmark'!$A$3:$A$504,"Til energi")+COUNTIFS('Resultater - Danmark'!$D$3:$D$504,'Produktion &amp; forbrug'!A56,'Resultater - Danmark'!$A$3:$A$504,"Biogasanlæg")&gt;0,1,0)</f>
        <v>0</v>
      </c>
      <c r="E56" s="171">
        <f t="shared" si="15"/>
        <v>0</v>
      </c>
      <c r="F56" s="171">
        <f t="shared" si="14"/>
        <v>2030</v>
      </c>
      <c r="G56" s="94">
        <f ca="1">SUMIFS('Resultat-Produktion &amp; forbrug'!G$4:G$291,'Resultat-Produktion &amp; forbrug'!$A$4:$A$291,'Produktion &amp; forbrug'!$A56,'Resultat-Produktion &amp; forbrug'!$E$4:$E$291,'Produktion &amp; forbrug'!$F56)</f>
        <v>24153409.533455886</v>
      </c>
      <c r="H56" s="94">
        <f>SUMIFS('Resultat-Produktion &amp; forbrug'!H$4:H$291,'Resultat-Produktion &amp; forbrug'!$A$4:$A$291,'Produktion &amp; forbrug'!$A56,'Resultat-Produktion &amp; forbrug'!$E$4:$E$291,'Produktion &amp; forbrug'!$F56)</f>
        <v>0</v>
      </c>
      <c r="I56" s="94">
        <f>SUMIFS('Resultat-Produktion &amp; forbrug'!I$4:I$291,'Resultat-Produktion &amp; forbrug'!$A$4:$A$291,'Produktion &amp; forbrug'!$A56,'Resultat-Produktion &amp; forbrug'!$E$4:$E$291,'Produktion &amp; forbrug'!$F56)</f>
        <v>0</v>
      </c>
      <c r="J56" s="94">
        <f>SUMIFS('Resultat-Produktion &amp; forbrug'!J$4:J$291,'Resultat-Produktion &amp; forbrug'!$A$4:$A$291,'Produktion &amp; forbrug'!$A56,'Resultat-Produktion &amp; forbrug'!$E$4:$E$291,'Produktion &amp; forbrug'!$F56)</f>
        <v>0</v>
      </c>
      <c r="K56" s="94">
        <f>SUMIFS('Resultat-Produktion &amp; forbrug'!K$4:K$291,'Resultat-Produktion &amp; forbrug'!$A$4:$A$291,'Produktion &amp; forbrug'!$A56,'Resultat-Produktion &amp; forbrug'!$E$4:$E$291,'Produktion &amp; forbrug'!$F56)</f>
        <v>0</v>
      </c>
      <c r="L56" s="94">
        <f ca="1">SUMIFS('Resultat-Produktion &amp; forbrug'!L$4:L$291,'Resultat-Produktion &amp; forbrug'!$A$4:$A$291,'Produktion &amp; forbrug'!$A56,'Resultat-Produktion &amp; forbrug'!$E$4:$E$291,'Produktion &amp; forbrug'!$F56)</f>
        <v>20824031.592073698</v>
      </c>
      <c r="M56" s="94">
        <f>SUMIFS('Resultat-Produktion &amp; forbrug'!M$4:M$291,'Resultat-Produktion &amp; forbrug'!$A$4:$A$291,'Produktion &amp; forbrug'!$A56,'Resultat-Produktion &amp; forbrug'!$E$4:$E$291,'Produktion &amp; forbrug'!$F56)</f>
        <v>0</v>
      </c>
      <c r="N56" s="94">
        <f>SUMIFS('Resultat-Produktion &amp; forbrug'!N$4:N$291,'Resultat-Produktion &amp; forbrug'!$A$4:$A$291,'Produktion &amp; forbrug'!$A56,'Resultat-Produktion &amp; forbrug'!$E$4:$E$291,'Produktion &amp; forbrug'!$F56)</f>
        <v>0</v>
      </c>
      <c r="O56" s="179">
        <f t="shared" ca="1" si="3"/>
        <v>3329377.9413821883</v>
      </c>
      <c r="P56" s="94">
        <f t="shared" si="4"/>
        <v>0</v>
      </c>
      <c r="Q56" s="180">
        <f t="shared" si="5"/>
        <v>0</v>
      </c>
      <c r="R56">
        <f>IFERROR(VLOOKUP(A56,[1]Energiindhold!$A$2:$C$11,3,FALSE),IFERROR(VLOOKUP(A56,[1]Biogasudbytte!$A$2:$B$18,2,FALSE)*[1]Energiindhold!$C$10,0))*P56</f>
        <v>0</v>
      </c>
      <c r="S56">
        <f>IF(A56&lt;&gt;"Biogas",IFERROR(VLOOKUP(A56,[1]Biogasudbytte!$A$2:$B$18,2,FALSE)*[1]Energiindhold!$C$10,0)*K56*IFERROR(VLOOKUP(A56,Biogasanlæg!$F$3:$G$8,2,FALSE),1)+IFERROR(VLOOKUP(A56,[1]Energiindhold!$A$2:$C$11,3,FALSE),0)*M56+IF(F56&lt;&gt;År1,R56,0),0)</f>
        <v>0</v>
      </c>
      <c r="T56">
        <f>IFERROR(VLOOKUP(A56,[1]Biogasudbytte!$A$2:$B$18,2,FALSE)*[1]Energiindhold!$C$10,0)*K56*IFERROR(VLOOKUP(A56,Biogasanlæg!$F$3:$G$8,2,FALSE),1)</f>
        <v>0</v>
      </c>
      <c r="U56" s="170">
        <f t="shared" si="6"/>
        <v>0</v>
      </c>
      <c r="V56" s="169">
        <f>P56*IFERROR(VLOOKUP(A56,[1]Tørstofindhold!A$2:B$24,2,FALSE),0)</f>
        <v>0</v>
      </c>
      <c r="W56">
        <f>IF(F56=År1,Q56,SUM(P56,Q56))*IFERROR(VLOOKUP(A56,[1]Tørstofindhold!A$2:B$24,2,FALSE),0)</f>
        <v>0</v>
      </c>
      <c r="X56">
        <f>K56*IFERROR(VLOOKUP(A56,[1]Tørstofindhold!A$2:B$24,2,FALSE),0)</f>
        <v>0</v>
      </c>
      <c r="Y56" s="170">
        <f t="shared" si="7"/>
        <v>0</v>
      </c>
      <c r="Z56">
        <f t="shared" ca="1" si="10"/>
        <v>0</v>
      </c>
      <c r="AA56">
        <f t="shared" ca="1" si="11"/>
        <v>1</v>
      </c>
      <c r="AC56" s="94">
        <f t="shared" ca="1" si="8"/>
        <v>3329377.9413821883</v>
      </c>
      <c r="AD56">
        <f ca="1">AC56*E56*10000*VLOOKUP(A56,[1]kcal!$A$2:$C$49,3,FALSE)/1000000000000*IFERROR(VLOOKUP(A56,'Kategorisering af kcal'!$A$2:$E$18,MATCH('Produktion &amp; forbrug'!F56,'Kategorisering af kcal'!$A$1:$E$1,0),FALSE),0)</f>
        <v>0</v>
      </c>
      <c r="AE56">
        <f ca="1">IF(C56&lt;&gt;"",AC56*(1-VLOOKUP(A56,'Kategorisering af kcal'!$A$2:$E$18,MATCH('Produktion &amp; forbrug'!F56,'Kategorisering af kcal'!$A$1:$E$1,0),FALSE)),'Produktion &amp; forbrug'!AC56)</f>
        <v>3329377.9413821883</v>
      </c>
      <c r="AF56" s="94">
        <f t="shared" ca="1" si="9"/>
        <v>0</v>
      </c>
    </row>
    <row r="57" spans="1:32" x14ac:dyDescent="0.25">
      <c r="A57" s="171" t="str">
        <f t="shared" si="12"/>
        <v>Brun saft</v>
      </c>
      <c r="B57" s="171" t="str">
        <f t="shared" si="13"/>
        <v>Bionedbrydeligt affald</v>
      </c>
      <c r="C57" s="171" t="str">
        <f>IFERROR(VLOOKUP(A57,'Kategorisering af kcal'!$A$2:$B$18,2,FALSE),"")</f>
        <v/>
      </c>
      <c r="D57" s="171">
        <f>IF(COUNTIFS('Resultater - Danmark'!$D$3:$D$504,'Produktion &amp; forbrug'!A57,'Resultater - Danmark'!$A$3:$A$504,"Til energi")+COUNTIFS('Resultater - Danmark'!$D$3:$D$504,'Produktion &amp; forbrug'!A57,'Resultater - Danmark'!$A$3:$A$504,"Biogasanlæg")&gt;0,1,0)</f>
        <v>1</v>
      </c>
      <c r="E57" s="171">
        <f t="shared" si="15"/>
        <v>0</v>
      </c>
      <c r="F57" s="171">
        <f t="shared" si="14"/>
        <v>2030</v>
      </c>
      <c r="G57" s="94">
        <f>SUMIFS('Resultat-Produktion &amp; forbrug'!G$4:G$291,'Resultat-Produktion &amp; forbrug'!$A$4:$A$291,'Produktion &amp; forbrug'!$A57,'Resultat-Produktion &amp; forbrug'!$E$4:$E$291,'Produktion &amp; forbrug'!$F57)</f>
        <v>5787952.2766673062</v>
      </c>
      <c r="H57" s="94">
        <f>SUMIFS('Resultat-Produktion &amp; forbrug'!H$4:H$291,'Resultat-Produktion &amp; forbrug'!$A$4:$A$291,'Produktion &amp; forbrug'!$A57,'Resultat-Produktion &amp; forbrug'!$E$4:$E$291,'Produktion &amp; forbrug'!$F57)</f>
        <v>0</v>
      </c>
      <c r="I57" s="94">
        <f>SUMIFS('Resultat-Produktion &amp; forbrug'!I$4:I$291,'Resultat-Produktion &amp; forbrug'!$A$4:$A$291,'Produktion &amp; forbrug'!$A57,'Resultat-Produktion &amp; forbrug'!$E$4:$E$291,'Produktion &amp; forbrug'!$F57)</f>
        <v>0</v>
      </c>
      <c r="J57" s="94">
        <f>SUMIFS('Resultat-Produktion &amp; forbrug'!J$4:J$291,'Resultat-Produktion &amp; forbrug'!$A$4:$A$291,'Produktion &amp; forbrug'!$A57,'Resultat-Produktion &amp; forbrug'!$E$4:$E$291,'Produktion &amp; forbrug'!$F57)</f>
        <v>0</v>
      </c>
      <c r="K57" s="94">
        <f>SUMIFS('Resultat-Produktion &amp; forbrug'!K$4:K$291,'Resultat-Produktion &amp; forbrug'!$A$4:$A$291,'Produktion &amp; forbrug'!$A57,'Resultat-Produktion &amp; forbrug'!$E$4:$E$291,'Produktion &amp; forbrug'!$F57)</f>
        <v>4340964.2075004801</v>
      </c>
      <c r="L57" s="94">
        <f>SUMIFS('Resultat-Produktion &amp; forbrug'!L$4:L$291,'Resultat-Produktion &amp; forbrug'!$A$4:$A$291,'Produktion &amp; forbrug'!$A57,'Resultat-Produktion &amp; forbrug'!$E$4:$E$291,'Produktion &amp; forbrug'!$F57)</f>
        <v>0</v>
      </c>
      <c r="M57" s="94">
        <f>SUMIFS('Resultat-Produktion &amp; forbrug'!M$4:M$291,'Resultat-Produktion &amp; forbrug'!$A$4:$A$291,'Produktion &amp; forbrug'!$A57,'Resultat-Produktion &amp; forbrug'!$E$4:$E$291,'Produktion &amp; forbrug'!$F57)</f>
        <v>0</v>
      </c>
      <c r="N57" s="94">
        <f>SUMIFS('Resultat-Produktion &amp; forbrug'!N$4:N$291,'Resultat-Produktion &amp; forbrug'!$A$4:$A$291,'Produktion &amp; forbrug'!$A57,'Resultat-Produktion &amp; forbrug'!$E$4:$E$291,'Produktion &amp; forbrug'!$F57)</f>
        <v>0</v>
      </c>
      <c r="O57" s="179">
        <f t="shared" si="3"/>
        <v>1446988.0691668261</v>
      </c>
      <c r="P57" s="94">
        <f t="shared" si="4"/>
        <v>1446988.0691668261</v>
      </c>
      <c r="Q57" s="180">
        <f t="shared" si="5"/>
        <v>4340964.2075004801</v>
      </c>
      <c r="R57">
        <f>IFERROR(VLOOKUP(A57,[1]Energiindhold!$A$2:$C$11,3,FALSE),IFERROR(VLOOKUP(A57,[1]Biogasudbytte!$A$2:$B$18,2,FALSE)*[1]Energiindhold!$C$10,0))*P57</f>
        <v>0.82192695630664381</v>
      </c>
      <c r="S57">
        <f>IF(A57&lt;&gt;"Biogas",IFERROR(VLOOKUP(A57,[1]Biogasudbytte!$A$2:$B$18,2,FALSE)*[1]Energiindhold!$C$10,0)*K57*IFERROR(VLOOKUP(A57,Biogasanlæg!$F$3:$G$8,2,FALSE),1)+IFERROR(VLOOKUP(A57,[1]Energiindhold!$A$2:$C$11,3,FALSE),0)*M57+IF(F57&lt;&gt;År1,R57,0),0)</f>
        <v>3.2877078252265761</v>
      </c>
      <c r="T57">
        <f>IFERROR(VLOOKUP(A57,[1]Biogasudbytte!$A$2:$B$18,2,FALSE)*[1]Energiindhold!$C$10,0)*K57*IFERROR(VLOOKUP(A57,Biogasanlæg!$F$3:$G$8,2,FALSE),1)</f>
        <v>2.4657808689199325</v>
      </c>
      <c r="U57" s="170">
        <f t="shared" si="6"/>
        <v>0.82192695630664359</v>
      </c>
      <c r="V57" s="169">
        <f>P57*IFERROR(VLOOKUP(A57,[1]Tørstofindhold!A$2:B$24,2,FALSE),0)</f>
        <v>61878.111594266629</v>
      </c>
      <c r="W57">
        <f>IF(F57=År1,Q57,SUM(P57,Q57))*IFERROR(VLOOKUP(A57,[1]Tørstofindhold!A$2:B$24,2,FALSE),0)</f>
        <v>247512.4463770666</v>
      </c>
      <c r="X57">
        <f>K57*IFERROR(VLOOKUP(A57,[1]Tørstofindhold!A$2:B$24,2,FALSE),0)</f>
        <v>185634.33478279997</v>
      </c>
      <c r="Y57" s="170">
        <f t="shared" si="7"/>
        <v>61878.111594266637</v>
      </c>
      <c r="Z57">
        <f t="shared" si="10"/>
        <v>0</v>
      </c>
      <c r="AA57">
        <f t="shared" si="11"/>
        <v>1</v>
      </c>
      <c r="AC57" s="94">
        <f t="shared" si="8"/>
        <v>1446988.0691668261</v>
      </c>
      <c r="AD57">
        <f>AC57*E57*10000*VLOOKUP(A57,[1]kcal!$A$2:$C$49,3,FALSE)/1000000000000*IFERROR(VLOOKUP(A57,'Kategorisering af kcal'!$A$2:$E$18,MATCH('Produktion &amp; forbrug'!F57,'Kategorisering af kcal'!$A$1:$E$1,0),FALSE),0)</f>
        <v>0</v>
      </c>
      <c r="AE57">
        <f>IF(C57&lt;&gt;"",AC57*(1-VLOOKUP(A57,'Kategorisering af kcal'!$A$2:$E$18,MATCH('Produktion &amp; forbrug'!F57,'Kategorisering af kcal'!$A$1:$E$1,0),FALSE)),'Produktion &amp; forbrug'!AC57)</f>
        <v>1446988.0691668261</v>
      </c>
      <c r="AF57" s="94">
        <f t="shared" si="9"/>
        <v>0</v>
      </c>
    </row>
    <row r="58" spans="1:32" x14ac:dyDescent="0.25">
      <c r="A58" s="171" t="str">
        <f t="shared" si="12"/>
        <v>Dybstrøelse</v>
      </c>
      <c r="B58" s="171" t="str">
        <f t="shared" si="13"/>
        <v>Husdyrgødning</v>
      </c>
      <c r="C58" s="171" t="str">
        <f>IFERROR(VLOOKUP(A58,'Kategorisering af kcal'!$A$2:$B$18,2,FALSE),"")</f>
        <v/>
      </c>
      <c r="D58" s="171">
        <f>IF(COUNTIFS('Resultater - Danmark'!$D$3:$D$504,'Produktion &amp; forbrug'!A58,'Resultater - Danmark'!$A$3:$A$504,"Til energi")+COUNTIFS('Resultater - Danmark'!$D$3:$D$504,'Produktion &amp; forbrug'!A58,'Resultater - Danmark'!$A$3:$A$504,"Biogasanlæg")&gt;0,1,0)</f>
        <v>1</v>
      </c>
      <c r="E58" s="171">
        <f t="shared" si="15"/>
        <v>0</v>
      </c>
      <c r="F58" s="171">
        <f t="shared" si="14"/>
        <v>2030</v>
      </c>
      <c r="G58" s="94">
        <f>SUMIFS('Resultat-Produktion &amp; forbrug'!G$4:G$291,'Resultat-Produktion &amp; forbrug'!$A$4:$A$291,'Produktion &amp; forbrug'!$A58,'Resultat-Produktion &amp; forbrug'!$E$4:$E$291,'Produktion &amp; forbrug'!$F58)</f>
        <v>2668182.8889507195</v>
      </c>
      <c r="H58" s="94">
        <f>SUMIFS('Resultat-Produktion &amp; forbrug'!H$4:H$291,'Resultat-Produktion &amp; forbrug'!$A$4:$A$291,'Produktion &amp; forbrug'!$A58,'Resultat-Produktion &amp; forbrug'!$E$4:$E$291,'Produktion &amp; forbrug'!$F58)</f>
        <v>0</v>
      </c>
      <c r="I58" s="94">
        <f>SUMIFS('Resultat-Produktion &amp; forbrug'!I$4:I$291,'Resultat-Produktion &amp; forbrug'!$A$4:$A$291,'Produktion &amp; forbrug'!$A58,'Resultat-Produktion &amp; forbrug'!$E$4:$E$291,'Produktion &amp; forbrug'!$F58)</f>
        <v>0</v>
      </c>
      <c r="J58" s="94">
        <f>SUMIFS('Resultat-Produktion &amp; forbrug'!J$4:J$291,'Resultat-Produktion &amp; forbrug'!$A$4:$A$291,'Produktion &amp; forbrug'!$A58,'Resultat-Produktion &amp; forbrug'!$E$4:$E$291,'Produktion &amp; forbrug'!$F58)</f>
        <v>0</v>
      </c>
      <c r="K58" s="94">
        <f>SUMIFS('Resultat-Produktion &amp; forbrug'!K$4:K$291,'Resultat-Produktion &amp; forbrug'!$A$4:$A$291,'Produktion &amp; forbrug'!$A58,'Resultat-Produktion &amp; forbrug'!$E$4:$E$291,'Produktion &amp; forbrug'!$F58)</f>
        <v>2001137.1667130394</v>
      </c>
      <c r="L58" s="94">
        <f>SUMIFS('Resultat-Produktion &amp; forbrug'!L$4:L$291,'Resultat-Produktion &amp; forbrug'!$A$4:$A$291,'Produktion &amp; forbrug'!$A58,'Resultat-Produktion &amp; forbrug'!$E$4:$E$291,'Produktion &amp; forbrug'!$F58)</f>
        <v>252524.45198997878</v>
      </c>
      <c r="M58" s="94">
        <f>SUMIFS('Resultat-Produktion &amp; forbrug'!M$4:M$291,'Resultat-Produktion &amp; forbrug'!$A$4:$A$291,'Produktion &amp; forbrug'!$A58,'Resultat-Produktion &amp; forbrug'!$E$4:$E$291,'Produktion &amp; forbrug'!$F58)</f>
        <v>0</v>
      </c>
      <c r="N58" s="94">
        <f>SUMIFS('Resultat-Produktion &amp; forbrug'!N$4:N$291,'Resultat-Produktion &amp; forbrug'!$A$4:$A$291,'Produktion &amp; forbrug'!$A58,'Resultat-Produktion &amp; forbrug'!$E$4:$E$291,'Produktion &amp; forbrug'!$F58)</f>
        <v>0</v>
      </c>
      <c r="O58" s="179">
        <f t="shared" si="3"/>
        <v>414521.27024770156</v>
      </c>
      <c r="P58" s="94">
        <f t="shared" si="4"/>
        <v>414521.27024770156</v>
      </c>
      <c r="Q58" s="180">
        <f t="shared" si="5"/>
        <v>2001137.1667130394</v>
      </c>
      <c r="R58">
        <f>IFERROR(VLOOKUP(A58,[1]Energiindhold!$A$2:$C$11,3,FALSE),IFERROR(VLOOKUP(A58,[1]Biogasudbytte!$A$2:$B$18,2,FALSE)*[1]Energiindhold!$C$10,0))*P58</f>
        <v>0.89287881611354913</v>
      </c>
      <c r="S58">
        <f>IF(A58&lt;&gt;"Biogas",IFERROR(VLOOKUP(A58,[1]Biogasudbytte!$A$2:$B$18,2,FALSE)*[1]Energiindhold!$C$10,0)*K58*IFERROR(VLOOKUP(A58,Biogasanlæg!$F$3:$G$8,2,FALSE),1)+IFERROR(VLOOKUP(A58,[1]Energiindhold!$A$2:$C$11,3,FALSE),0)*M58+IF(F58&lt;&gt;År1,R58,0),0)</f>
        <v>5.2033282732134358</v>
      </c>
      <c r="T58">
        <f>IFERROR(VLOOKUP(A58,[1]Biogasudbytte!$A$2:$B$18,2,FALSE)*[1]Energiindhold!$C$10,0)*K58*IFERROR(VLOOKUP(A58,Biogasanlæg!$F$3:$G$8,2,FALSE),1)</f>
        <v>4.310449457099887</v>
      </c>
      <c r="U58" s="170">
        <f t="shared" si="6"/>
        <v>0.8928788161135488</v>
      </c>
      <c r="V58" s="169">
        <f>P58*IFERROR(VLOOKUP(A58,[1]Tørstofindhold!A$2:B$24,2,FALSE),0)</f>
        <v>124356.38107431046</v>
      </c>
      <c r="W58">
        <f>IF(F58=År1,Q58,SUM(P58,Q58))*IFERROR(VLOOKUP(A58,[1]Tørstofindhold!A$2:B$24,2,FALSE),0)</f>
        <v>724697.53108822228</v>
      </c>
      <c r="X58">
        <f>K58*IFERROR(VLOOKUP(A58,[1]Tørstofindhold!A$2:B$24,2,FALSE),0)</f>
        <v>600341.15001391177</v>
      </c>
      <c r="Y58" s="170">
        <f t="shared" si="7"/>
        <v>124356.38107431051</v>
      </c>
      <c r="Z58">
        <f t="shared" si="10"/>
        <v>0</v>
      </c>
      <c r="AA58">
        <f t="shared" si="11"/>
        <v>1</v>
      </c>
      <c r="AC58" s="94">
        <f t="shared" si="8"/>
        <v>414521.27024770156</v>
      </c>
      <c r="AD58">
        <f>AC58*E58*10000*VLOOKUP(A58,[1]kcal!$A$2:$C$49,3,FALSE)/1000000000000*IFERROR(VLOOKUP(A58,'Kategorisering af kcal'!$A$2:$E$18,MATCH('Produktion &amp; forbrug'!F58,'Kategorisering af kcal'!$A$1:$E$1,0),FALSE),0)</f>
        <v>0</v>
      </c>
      <c r="AE58">
        <f>IF(C58&lt;&gt;"",AC58*(1-VLOOKUP(A58,'Kategorisering af kcal'!$A$2:$E$18,MATCH('Produktion &amp; forbrug'!F58,'Kategorisering af kcal'!$A$1:$E$1,0),FALSE)),'Produktion &amp; forbrug'!AC58)</f>
        <v>414521.27024770156</v>
      </c>
      <c r="AF58" s="94">
        <f t="shared" si="9"/>
        <v>0</v>
      </c>
    </row>
    <row r="59" spans="1:32" x14ac:dyDescent="0.25">
      <c r="A59" s="171" t="str">
        <f t="shared" si="12"/>
        <v>Fiberfraktion</v>
      </c>
      <c r="B59" s="171" t="str">
        <f t="shared" si="13"/>
        <v/>
      </c>
      <c r="C59" s="171" t="str">
        <f>IFERROR(VLOOKUP(A59,'Kategorisering af kcal'!$A$2:$B$18,2,FALSE),"")</f>
        <v/>
      </c>
      <c r="D59" s="171">
        <f>IF(COUNTIFS('Resultater - Danmark'!$D$3:$D$504,'Produktion &amp; forbrug'!A59,'Resultater - Danmark'!$A$3:$A$504,"Til energi")+COUNTIFS('Resultater - Danmark'!$D$3:$D$504,'Produktion &amp; forbrug'!A59,'Resultater - Danmark'!$A$3:$A$504,"Biogasanlæg")&gt;0,1,0)</f>
        <v>0</v>
      </c>
      <c r="E59" s="171">
        <f t="shared" si="15"/>
        <v>0</v>
      </c>
      <c r="F59" s="171">
        <f t="shared" si="14"/>
        <v>2030</v>
      </c>
      <c r="G59" s="94">
        <f>SUMIFS('Resultat-Produktion &amp; forbrug'!G$4:G$291,'Resultat-Produktion &amp; forbrug'!$A$4:$A$291,'Produktion &amp; forbrug'!$A59,'Resultat-Produktion &amp; forbrug'!$E$4:$E$291,'Produktion &amp; forbrug'!$F59)</f>
        <v>4076675.5873869797</v>
      </c>
      <c r="H59" s="94">
        <f>SUMIFS('Resultat-Produktion &amp; forbrug'!H$4:H$291,'Resultat-Produktion &amp; forbrug'!$A$4:$A$291,'Produktion &amp; forbrug'!$A59,'Resultat-Produktion &amp; forbrug'!$E$4:$E$291,'Produktion &amp; forbrug'!$F59)</f>
        <v>4074809.5392123749</v>
      </c>
      <c r="I59" s="94">
        <f>SUMIFS('Resultat-Produktion &amp; forbrug'!I$4:I$291,'Resultat-Produktion &amp; forbrug'!$A$4:$A$291,'Produktion &amp; forbrug'!$A59,'Resultat-Produktion &amp; forbrug'!$E$4:$E$291,'Produktion &amp; forbrug'!$F59)</f>
        <v>0</v>
      </c>
      <c r="J59" s="94">
        <f>SUMIFS('Resultat-Produktion &amp; forbrug'!J$4:J$291,'Resultat-Produktion &amp; forbrug'!$A$4:$A$291,'Produktion &amp; forbrug'!$A59,'Resultat-Produktion &amp; forbrug'!$E$4:$E$291,'Produktion &amp; forbrug'!$F59)</f>
        <v>0</v>
      </c>
      <c r="K59" s="94">
        <f>SUMIFS('Resultat-Produktion &amp; forbrug'!K$4:K$291,'Resultat-Produktion &amp; forbrug'!$A$4:$A$291,'Produktion &amp; forbrug'!$A59,'Resultat-Produktion &amp; forbrug'!$E$4:$E$291,'Produktion &amp; forbrug'!$F59)</f>
        <v>0</v>
      </c>
      <c r="L59" s="94">
        <f>SUMIFS('Resultat-Produktion &amp; forbrug'!L$4:L$291,'Resultat-Produktion &amp; forbrug'!$A$4:$A$291,'Produktion &amp; forbrug'!$A59,'Resultat-Produktion &amp; forbrug'!$E$4:$E$291,'Produktion &amp; forbrug'!$F59)</f>
        <v>0</v>
      </c>
      <c r="M59" s="94">
        <f>SUMIFS('Resultat-Produktion &amp; forbrug'!M$4:M$291,'Resultat-Produktion &amp; forbrug'!$A$4:$A$291,'Produktion &amp; forbrug'!$A59,'Resultat-Produktion &amp; forbrug'!$E$4:$E$291,'Produktion &amp; forbrug'!$F59)</f>
        <v>0</v>
      </c>
      <c r="N59" s="94">
        <f>SUMIFS('Resultat-Produktion &amp; forbrug'!N$4:N$291,'Resultat-Produktion &amp; forbrug'!$A$4:$A$291,'Produktion &amp; forbrug'!$A59,'Resultat-Produktion &amp; forbrug'!$E$4:$E$291,'Produktion &amp; forbrug'!$F59)</f>
        <v>0</v>
      </c>
      <c r="O59" s="179">
        <f t="shared" si="3"/>
        <v>1866.0481746047735</v>
      </c>
      <c r="P59" s="94">
        <f t="shared" si="4"/>
        <v>0</v>
      </c>
      <c r="Q59" s="180">
        <f t="shared" si="5"/>
        <v>0</v>
      </c>
      <c r="R59">
        <f>IFERROR(VLOOKUP(A59,[1]Energiindhold!$A$2:$C$11,3,FALSE),IFERROR(VLOOKUP(A59,[1]Biogasudbytte!$A$2:$B$18,2,FALSE)*[1]Energiindhold!$C$10,0))*P59</f>
        <v>0</v>
      </c>
      <c r="S59">
        <f>IF(A59&lt;&gt;"Biogas",IFERROR(VLOOKUP(A59,[1]Biogasudbytte!$A$2:$B$18,2,FALSE)*[1]Energiindhold!$C$10,0)*K59*IFERROR(VLOOKUP(A59,Biogasanlæg!$F$3:$G$8,2,FALSE),1)+IFERROR(VLOOKUP(A59,[1]Energiindhold!$A$2:$C$11,3,FALSE),0)*M59+IF(F59&lt;&gt;År1,R59,0),0)</f>
        <v>0</v>
      </c>
      <c r="T59">
        <f>IFERROR(VLOOKUP(A59,[1]Biogasudbytte!$A$2:$B$18,2,FALSE)*[1]Energiindhold!$C$10,0)*K59*IFERROR(VLOOKUP(A59,Biogasanlæg!$F$3:$G$8,2,FALSE),1)</f>
        <v>0</v>
      </c>
      <c r="U59" s="170">
        <f t="shared" si="6"/>
        <v>0</v>
      </c>
      <c r="V59" s="169">
        <f>P59*IFERROR(VLOOKUP(A59,[1]Tørstofindhold!A$2:B$24,2,FALSE),0)</f>
        <v>0</v>
      </c>
      <c r="W59">
        <f>IF(F59=År1,Q59,SUM(P59,Q59))*IFERROR(VLOOKUP(A59,[1]Tørstofindhold!A$2:B$24,2,FALSE),0)</f>
        <v>0</v>
      </c>
      <c r="X59">
        <f>K59*IFERROR(VLOOKUP(A59,[1]Tørstofindhold!A$2:B$24,2,FALSE),0)</f>
        <v>0</v>
      </c>
      <c r="Y59" s="170">
        <f t="shared" si="7"/>
        <v>0</v>
      </c>
      <c r="Z59">
        <f t="shared" si="10"/>
        <v>0</v>
      </c>
      <c r="AA59">
        <f t="shared" si="11"/>
        <v>1</v>
      </c>
      <c r="AC59" s="94">
        <f t="shared" si="8"/>
        <v>1866.0481746047735</v>
      </c>
      <c r="AD59">
        <f>AC59*E59*10000*VLOOKUP(A59,[1]kcal!$A$2:$C$49,3,FALSE)/1000000000000*IFERROR(VLOOKUP(A59,'Kategorisering af kcal'!$A$2:$E$18,MATCH('Produktion &amp; forbrug'!F59,'Kategorisering af kcal'!$A$1:$E$1,0),FALSE),0)</f>
        <v>0</v>
      </c>
      <c r="AE59">
        <f>IF(C59&lt;&gt;"",AC59*(1-VLOOKUP(A59,'Kategorisering af kcal'!$A$2:$E$18,MATCH('Produktion &amp; forbrug'!F59,'Kategorisering af kcal'!$A$1:$E$1,0),FALSE)),'Produktion &amp; forbrug'!AC59)</f>
        <v>1866.0481746047735</v>
      </c>
      <c r="AF59" s="94">
        <f t="shared" si="9"/>
        <v>0</v>
      </c>
    </row>
    <row r="60" spans="1:32" x14ac:dyDescent="0.25">
      <c r="A60" s="171" t="str">
        <f t="shared" si="12"/>
        <v>Fjerkrægylle</v>
      </c>
      <c r="B60" s="171" t="str">
        <f t="shared" si="13"/>
        <v>Husdyrgødning</v>
      </c>
      <c r="C60" s="171" t="str">
        <f>IFERROR(VLOOKUP(A60,'Kategorisering af kcal'!$A$2:$B$18,2,FALSE),"")</f>
        <v/>
      </c>
      <c r="D60" s="171">
        <f>IF(COUNTIFS('Resultater - Danmark'!$D$3:$D$504,'Produktion &amp; forbrug'!A60,'Resultater - Danmark'!$A$3:$A$504,"Til energi")+COUNTIFS('Resultater - Danmark'!$D$3:$D$504,'Produktion &amp; forbrug'!A60,'Resultater - Danmark'!$A$3:$A$504,"Biogasanlæg")&gt;0,1,0)</f>
        <v>1</v>
      </c>
      <c r="E60" s="171">
        <f t="shared" si="15"/>
        <v>0</v>
      </c>
      <c r="F60" s="171">
        <f t="shared" si="14"/>
        <v>2030</v>
      </c>
      <c r="G60" s="94">
        <f>SUMIFS('Resultat-Produktion &amp; forbrug'!G$4:G$291,'Resultat-Produktion &amp; forbrug'!$A$4:$A$291,'Produktion &amp; forbrug'!$A60,'Resultat-Produktion &amp; forbrug'!$E$4:$E$291,'Produktion &amp; forbrug'!$F60)</f>
        <v>8883</v>
      </c>
      <c r="H60" s="94">
        <f>SUMIFS('Resultat-Produktion &amp; forbrug'!H$4:H$291,'Resultat-Produktion &amp; forbrug'!$A$4:$A$291,'Produktion &amp; forbrug'!$A60,'Resultat-Produktion &amp; forbrug'!$E$4:$E$291,'Produktion &amp; forbrug'!$F60)</f>
        <v>0</v>
      </c>
      <c r="I60" s="94">
        <f>SUMIFS('Resultat-Produktion &amp; forbrug'!I$4:I$291,'Resultat-Produktion &amp; forbrug'!$A$4:$A$291,'Produktion &amp; forbrug'!$A60,'Resultat-Produktion &amp; forbrug'!$E$4:$E$291,'Produktion &amp; forbrug'!$F60)</f>
        <v>0</v>
      </c>
      <c r="J60" s="94">
        <f>SUMIFS('Resultat-Produktion &amp; forbrug'!J$4:J$291,'Resultat-Produktion &amp; forbrug'!$A$4:$A$291,'Produktion &amp; forbrug'!$A60,'Resultat-Produktion &amp; forbrug'!$E$4:$E$291,'Produktion &amp; forbrug'!$F60)</f>
        <v>0</v>
      </c>
      <c r="K60" s="94">
        <f>SUMIFS('Resultat-Produktion &amp; forbrug'!K$4:K$291,'Resultat-Produktion &amp; forbrug'!$A$4:$A$291,'Produktion &amp; forbrug'!$A60,'Resultat-Produktion &amp; forbrug'!$E$4:$E$291,'Produktion &amp; forbrug'!$F60)</f>
        <v>6662.2500000000009</v>
      </c>
      <c r="L60" s="94">
        <f>SUMIFS('Resultat-Produktion &amp; forbrug'!L$4:L$291,'Resultat-Produktion &amp; forbrug'!$A$4:$A$291,'Produktion &amp; forbrug'!$A60,'Resultat-Produktion &amp; forbrug'!$E$4:$E$291,'Produktion &amp; forbrug'!$F60)</f>
        <v>2220.75</v>
      </c>
      <c r="M60" s="94">
        <f>SUMIFS('Resultat-Produktion &amp; forbrug'!M$4:M$291,'Resultat-Produktion &amp; forbrug'!$A$4:$A$291,'Produktion &amp; forbrug'!$A60,'Resultat-Produktion &amp; forbrug'!$E$4:$E$291,'Produktion &amp; forbrug'!$F60)</f>
        <v>0</v>
      </c>
      <c r="N60" s="94">
        <f>SUMIFS('Resultat-Produktion &amp; forbrug'!N$4:N$291,'Resultat-Produktion &amp; forbrug'!$A$4:$A$291,'Produktion &amp; forbrug'!$A60,'Resultat-Produktion &amp; forbrug'!$E$4:$E$291,'Produktion &amp; forbrug'!$F60)</f>
        <v>0</v>
      </c>
      <c r="O60" s="179">
        <f t="shared" si="3"/>
        <v>0</v>
      </c>
      <c r="P60" s="94">
        <f t="shared" si="4"/>
        <v>0</v>
      </c>
      <c r="Q60" s="180">
        <f t="shared" si="5"/>
        <v>6662.2500000000009</v>
      </c>
      <c r="R60">
        <f>IFERROR(VLOOKUP(A60,[1]Energiindhold!$A$2:$C$11,3,FALSE),IFERROR(VLOOKUP(A60,[1]Biogasudbytte!$A$2:$B$18,2,FALSE)*[1]Energiindhold!$C$10,0))*P60</f>
        <v>0</v>
      </c>
      <c r="S60">
        <f>IF(A60&lt;&gt;"Biogas",IFERROR(VLOOKUP(A60,[1]Biogasudbytte!$A$2:$B$18,2,FALSE)*[1]Energiindhold!$C$10,0)*K60*IFERROR(VLOOKUP(A60,Biogasanlæg!$F$3:$G$8,2,FALSE),1)+IFERROR(VLOOKUP(A60,[1]Energiindhold!$A$2:$C$11,3,FALSE),0)*M60+IF(F60&lt;&gt;År1,R60,0),0)</f>
        <v>3.1331895525000004E-3</v>
      </c>
      <c r="T60">
        <f>IFERROR(VLOOKUP(A60,[1]Biogasudbytte!$A$2:$B$18,2,FALSE)*[1]Energiindhold!$C$10,0)*K60*IFERROR(VLOOKUP(A60,Biogasanlæg!$F$3:$G$8,2,FALSE),1)</f>
        <v>3.1331895525000004E-3</v>
      </c>
      <c r="U60" s="170">
        <f t="shared" si="6"/>
        <v>0</v>
      </c>
      <c r="V60" s="169">
        <f>P60*IFERROR(VLOOKUP(A60,[1]Tørstofindhold!A$2:B$24,2,FALSE),0)</f>
        <v>0</v>
      </c>
      <c r="W60">
        <f>IF(F60=År1,Q60,SUM(P60,Q60))*IFERROR(VLOOKUP(A60,[1]Tørstofindhold!A$2:B$24,2,FALSE),0)</f>
        <v>419.72175000000004</v>
      </c>
      <c r="X60">
        <f>K60*IFERROR(VLOOKUP(A60,[1]Tørstofindhold!A$2:B$24,2,FALSE),0)</f>
        <v>419.72175000000004</v>
      </c>
      <c r="Y60" s="170">
        <f t="shared" si="7"/>
        <v>0</v>
      </c>
      <c r="Z60">
        <f t="shared" si="10"/>
        <v>0</v>
      </c>
      <c r="AA60">
        <f t="shared" si="11"/>
        <v>0</v>
      </c>
      <c r="AC60" s="94">
        <f t="shared" si="8"/>
        <v>0</v>
      </c>
      <c r="AD60">
        <f>AC60*E60*10000*VLOOKUP(A60,[1]kcal!$A$2:$C$49,3,FALSE)/1000000000000*IFERROR(VLOOKUP(A60,'Kategorisering af kcal'!$A$2:$E$18,MATCH('Produktion &amp; forbrug'!F60,'Kategorisering af kcal'!$A$1:$E$1,0),FALSE),0)</f>
        <v>0</v>
      </c>
      <c r="AE60">
        <f>IF(C60&lt;&gt;"",AC60*(1-VLOOKUP(A60,'Kategorisering af kcal'!$A$2:$E$18,MATCH('Produktion &amp; forbrug'!F60,'Kategorisering af kcal'!$A$1:$E$1,0),FALSE)),'Produktion &amp; forbrug'!AC60)</f>
        <v>0</v>
      </c>
      <c r="AF60" s="94">
        <f t="shared" si="9"/>
        <v>0</v>
      </c>
    </row>
    <row r="61" spans="1:32" x14ac:dyDescent="0.25">
      <c r="A61" s="171" t="str">
        <f t="shared" si="12"/>
        <v>Fjerkrækød</v>
      </c>
      <c r="B61" s="171" t="str">
        <f t="shared" si="13"/>
        <v/>
      </c>
      <c r="C61" s="171" t="str">
        <f>IFERROR(VLOOKUP(A61,'Kategorisering af kcal'!$A$2:$B$18,2,FALSE),"")</f>
        <v>Kød</v>
      </c>
      <c r="D61" s="171">
        <f>IF(COUNTIFS('Resultater - Danmark'!$D$3:$D$504,'Produktion &amp; forbrug'!A61,'Resultater - Danmark'!$A$3:$A$504,"Til energi")+COUNTIFS('Resultater - Danmark'!$D$3:$D$504,'Produktion &amp; forbrug'!A61,'Resultater - Danmark'!$A$3:$A$504,"Biogasanlæg")&gt;0,1,0)</f>
        <v>0</v>
      </c>
      <c r="E61" s="171">
        <f t="shared" si="15"/>
        <v>1</v>
      </c>
      <c r="F61" s="171">
        <f t="shared" si="14"/>
        <v>2030</v>
      </c>
      <c r="G61" s="94">
        <f>SUMIFS('Resultat-Produktion &amp; forbrug'!G$4:G$291,'Resultat-Produktion &amp; forbrug'!$A$4:$A$291,'Produktion &amp; forbrug'!$A61,'Resultat-Produktion &amp; forbrug'!$E$4:$E$291,'Produktion &amp; forbrug'!$F61)</f>
        <v>201545.30567673693</v>
      </c>
      <c r="H61" s="94">
        <f>SUMIFS('Resultat-Produktion &amp; forbrug'!H$4:H$291,'Resultat-Produktion &amp; forbrug'!$A$4:$A$291,'Produktion &amp; forbrug'!$A61,'Resultat-Produktion &amp; forbrug'!$E$4:$E$291,'Produktion &amp; forbrug'!$F61)</f>
        <v>0</v>
      </c>
      <c r="I61" s="94">
        <f>SUMIFS('Resultat-Produktion &amp; forbrug'!I$4:I$291,'Resultat-Produktion &amp; forbrug'!$A$4:$A$291,'Produktion &amp; forbrug'!$A61,'Resultat-Produktion &amp; forbrug'!$E$4:$E$291,'Produktion &amp; forbrug'!$F61)</f>
        <v>0</v>
      </c>
      <c r="J61" s="94">
        <f>SUMIFS('Resultat-Produktion &amp; forbrug'!J$4:J$291,'Resultat-Produktion &amp; forbrug'!$A$4:$A$291,'Produktion &amp; forbrug'!$A61,'Resultat-Produktion &amp; forbrug'!$E$4:$E$291,'Produktion &amp; forbrug'!$F61)</f>
        <v>0</v>
      </c>
      <c r="K61" s="94">
        <f>SUMIFS('Resultat-Produktion &amp; forbrug'!K$4:K$291,'Resultat-Produktion &amp; forbrug'!$A$4:$A$291,'Produktion &amp; forbrug'!$A61,'Resultat-Produktion &amp; forbrug'!$E$4:$E$291,'Produktion &amp; forbrug'!$F61)</f>
        <v>0</v>
      </c>
      <c r="L61" s="94">
        <f>SUMIFS('Resultat-Produktion &amp; forbrug'!L$4:L$291,'Resultat-Produktion &amp; forbrug'!$A$4:$A$291,'Produktion &amp; forbrug'!$A61,'Resultat-Produktion &amp; forbrug'!$E$4:$E$291,'Produktion &amp; forbrug'!$F61)</f>
        <v>0</v>
      </c>
      <c r="M61" s="94">
        <f>SUMIFS('Resultat-Produktion &amp; forbrug'!M$4:M$291,'Resultat-Produktion &amp; forbrug'!$A$4:$A$291,'Produktion &amp; forbrug'!$A61,'Resultat-Produktion &amp; forbrug'!$E$4:$E$291,'Produktion &amp; forbrug'!$F61)</f>
        <v>0</v>
      </c>
      <c r="N61" s="94">
        <f>SUMIFS('Resultat-Produktion &amp; forbrug'!N$4:N$291,'Resultat-Produktion &amp; forbrug'!$A$4:$A$291,'Produktion &amp; forbrug'!$A61,'Resultat-Produktion &amp; forbrug'!$E$4:$E$291,'Produktion &amp; forbrug'!$F61)</f>
        <v>0</v>
      </c>
      <c r="O61" s="179">
        <f t="shared" si="3"/>
        <v>201545.30567673693</v>
      </c>
      <c r="P61" s="94">
        <f t="shared" si="4"/>
        <v>0</v>
      </c>
      <c r="Q61" s="180">
        <f t="shared" si="5"/>
        <v>0</v>
      </c>
      <c r="R61">
        <f>IFERROR(VLOOKUP(A61,[1]Energiindhold!$A$2:$C$11,3,FALSE),IFERROR(VLOOKUP(A61,[1]Biogasudbytte!$A$2:$B$18,2,FALSE)*[1]Energiindhold!$C$10,0))*P61</f>
        <v>0</v>
      </c>
      <c r="S61">
        <f>IF(A61&lt;&gt;"Biogas",IFERROR(VLOOKUP(A61,[1]Biogasudbytte!$A$2:$B$18,2,FALSE)*[1]Energiindhold!$C$10,0)*K61*IFERROR(VLOOKUP(A61,Biogasanlæg!$F$3:$G$8,2,FALSE),1)+IFERROR(VLOOKUP(A61,[1]Energiindhold!$A$2:$C$11,3,FALSE),0)*M61+IF(F61&lt;&gt;År1,R61,0),0)</f>
        <v>0</v>
      </c>
      <c r="T61">
        <f>IFERROR(VLOOKUP(A61,[1]Biogasudbytte!$A$2:$B$18,2,FALSE)*[1]Energiindhold!$C$10,0)*K61*IFERROR(VLOOKUP(A61,Biogasanlæg!$F$3:$G$8,2,FALSE),1)</f>
        <v>0</v>
      </c>
      <c r="U61" s="170">
        <f t="shared" si="6"/>
        <v>0</v>
      </c>
      <c r="V61" s="169">
        <f>P61*IFERROR(VLOOKUP(A61,[1]Tørstofindhold!A$2:B$24,2,FALSE),0)</f>
        <v>0</v>
      </c>
      <c r="W61">
        <f>IF(F61=År1,Q61,SUM(P61,Q61))*IFERROR(VLOOKUP(A61,[1]Tørstofindhold!A$2:B$24,2,FALSE),0)</f>
        <v>0</v>
      </c>
      <c r="X61">
        <f>K61*IFERROR(VLOOKUP(A61,[1]Tørstofindhold!A$2:B$24,2,FALSE),0)</f>
        <v>0</v>
      </c>
      <c r="Y61" s="170">
        <f t="shared" si="7"/>
        <v>0</v>
      </c>
      <c r="Z61">
        <f t="shared" si="10"/>
        <v>0</v>
      </c>
      <c r="AA61">
        <f t="shared" si="11"/>
        <v>1</v>
      </c>
      <c r="AC61" s="94">
        <f t="shared" si="8"/>
        <v>201545.30567673693</v>
      </c>
      <c r="AD61">
        <f>AC61*E61*10000*VLOOKUP(A61,[1]kcal!$A$2:$C$49,3,FALSE)/1000000000000*IFERROR(VLOOKUP(A61,'Kategorisering af kcal'!$A$2:$E$18,MATCH('Produktion &amp; forbrug'!F61,'Kategorisering af kcal'!$A$1:$E$1,0),FALSE),0)</f>
        <v>0.30634886462864014</v>
      </c>
      <c r="AE61">
        <f>IF(C61&lt;&gt;"",AC61*(1-VLOOKUP(A61,'Kategorisering af kcal'!$A$2:$E$18,MATCH('Produktion &amp; forbrug'!F61,'Kategorisering af kcal'!$A$1:$E$1,0),FALSE)),'Produktion &amp; forbrug'!AC61)</f>
        <v>0</v>
      </c>
      <c r="AF61" s="94">
        <f t="shared" si="9"/>
        <v>201545.30567673693</v>
      </c>
    </row>
    <row r="62" spans="1:32" x14ac:dyDescent="0.25">
      <c r="A62" s="171" t="str">
        <f t="shared" si="12"/>
        <v>Frø</v>
      </c>
      <c r="B62" s="171" t="str">
        <f t="shared" si="13"/>
        <v/>
      </c>
      <c r="C62" s="171" t="str">
        <f>IFERROR(VLOOKUP(A62,'Kategorisering af kcal'!$A$2:$B$18,2,FALSE),"")</f>
        <v/>
      </c>
      <c r="D62" s="171">
        <f>IF(COUNTIFS('Resultater - Danmark'!$D$3:$D$504,'Produktion &amp; forbrug'!A62,'Resultater - Danmark'!$A$3:$A$504,"Til energi")+COUNTIFS('Resultater - Danmark'!$D$3:$D$504,'Produktion &amp; forbrug'!A62,'Resultater - Danmark'!$A$3:$A$504,"Biogasanlæg")&gt;0,1,0)</f>
        <v>0</v>
      </c>
      <c r="E62" s="171">
        <f t="shared" si="15"/>
        <v>0</v>
      </c>
      <c r="F62" s="171">
        <f t="shared" si="14"/>
        <v>2030</v>
      </c>
      <c r="G62" s="94">
        <f>SUMIFS('Resultat-Produktion &amp; forbrug'!G$4:G$291,'Resultat-Produktion &amp; forbrug'!$A$4:$A$291,'Produktion &amp; forbrug'!$A62,'Resultat-Produktion &amp; forbrug'!$E$4:$E$291,'Produktion &amp; forbrug'!$F62)</f>
        <v>989487.16104781546</v>
      </c>
      <c r="H62" s="94">
        <f>SUMIFS('Resultat-Produktion &amp; forbrug'!H$4:H$291,'Resultat-Produktion &amp; forbrug'!$A$4:$A$291,'Produktion &amp; forbrug'!$A62,'Resultat-Produktion &amp; forbrug'!$E$4:$E$291,'Produktion &amp; forbrug'!$F62)</f>
        <v>0</v>
      </c>
      <c r="I62" s="94">
        <f>SUMIFS('Resultat-Produktion &amp; forbrug'!I$4:I$291,'Resultat-Produktion &amp; forbrug'!$A$4:$A$291,'Produktion &amp; forbrug'!$A62,'Resultat-Produktion &amp; forbrug'!$E$4:$E$291,'Produktion &amp; forbrug'!$F62)</f>
        <v>0</v>
      </c>
      <c r="J62" s="94">
        <f>SUMIFS('Resultat-Produktion &amp; forbrug'!J$4:J$291,'Resultat-Produktion &amp; forbrug'!$A$4:$A$291,'Produktion &amp; forbrug'!$A62,'Resultat-Produktion &amp; forbrug'!$E$4:$E$291,'Produktion &amp; forbrug'!$F62)</f>
        <v>0</v>
      </c>
      <c r="K62" s="94">
        <f>SUMIFS('Resultat-Produktion &amp; forbrug'!K$4:K$291,'Resultat-Produktion &amp; forbrug'!$A$4:$A$291,'Produktion &amp; forbrug'!$A62,'Resultat-Produktion &amp; forbrug'!$E$4:$E$291,'Produktion &amp; forbrug'!$F62)</f>
        <v>0</v>
      </c>
      <c r="L62" s="94">
        <f>SUMIFS('Resultat-Produktion &amp; forbrug'!L$4:L$291,'Resultat-Produktion &amp; forbrug'!$A$4:$A$291,'Produktion &amp; forbrug'!$A62,'Resultat-Produktion &amp; forbrug'!$E$4:$E$291,'Produktion &amp; forbrug'!$F62)</f>
        <v>0</v>
      </c>
      <c r="M62" s="94">
        <f>SUMIFS('Resultat-Produktion &amp; forbrug'!M$4:M$291,'Resultat-Produktion &amp; forbrug'!$A$4:$A$291,'Produktion &amp; forbrug'!$A62,'Resultat-Produktion &amp; forbrug'!$E$4:$E$291,'Produktion &amp; forbrug'!$F62)</f>
        <v>0</v>
      </c>
      <c r="N62" s="94">
        <f>SUMIFS('Resultat-Produktion &amp; forbrug'!N$4:N$291,'Resultat-Produktion &amp; forbrug'!$A$4:$A$291,'Produktion &amp; forbrug'!$A62,'Resultat-Produktion &amp; forbrug'!$E$4:$E$291,'Produktion &amp; forbrug'!$F62)</f>
        <v>0</v>
      </c>
      <c r="O62" s="179">
        <f t="shared" si="3"/>
        <v>989487.16104781546</v>
      </c>
      <c r="P62" s="94">
        <f t="shared" si="4"/>
        <v>0</v>
      </c>
      <c r="Q62" s="180">
        <f t="shared" si="5"/>
        <v>0</v>
      </c>
      <c r="R62">
        <f>IFERROR(VLOOKUP(A62,[1]Energiindhold!$A$2:$C$11,3,FALSE),IFERROR(VLOOKUP(A62,[1]Biogasudbytte!$A$2:$B$18,2,FALSE)*[1]Energiindhold!$C$10,0))*P62</f>
        <v>0</v>
      </c>
      <c r="S62">
        <f>IF(A62&lt;&gt;"Biogas",IFERROR(VLOOKUP(A62,[1]Biogasudbytte!$A$2:$B$18,2,FALSE)*[1]Energiindhold!$C$10,0)*K62*IFERROR(VLOOKUP(A62,Biogasanlæg!$F$3:$G$8,2,FALSE),1)+IFERROR(VLOOKUP(A62,[1]Energiindhold!$A$2:$C$11,3,FALSE),0)*M62+IF(F62&lt;&gt;År1,R62,0),0)</f>
        <v>0</v>
      </c>
      <c r="T62">
        <f>IFERROR(VLOOKUP(A62,[1]Biogasudbytte!$A$2:$B$18,2,FALSE)*[1]Energiindhold!$C$10,0)*K62*IFERROR(VLOOKUP(A62,Biogasanlæg!$F$3:$G$8,2,FALSE),1)</f>
        <v>0</v>
      </c>
      <c r="U62" s="170">
        <f t="shared" si="6"/>
        <v>0</v>
      </c>
      <c r="V62" s="169">
        <f>P62*IFERROR(VLOOKUP(A62,[1]Tørstofindhold!A$2:B$24,2,FALSE),0)</f>
        <v>0</v>
      </c>
      <c r="W62">
        <f>IF(F62=År1,Q62,SUM(P62,Q62))*IFERROR(VLOOKUP(A62,[1]Tørstofindhold!A$2:B$24,2,FALSE),0)</f>
        <v>0</v>
      </c>
      <c r="X62">
        <f>K62*IFERROR(VLOOKUP(A62,[1]Tørstofindhold!A$2:B$24,2,FALSE),0)</f>
        <v>0</v>
      </c>
      <c r="Y62" s="170">
        <f t="shared" si="7"/>
        <v>0</v>
      </c>
      <c r="Z62">
        <f t="shared" si="10"/>
        <v>0</v>
      </c>
      <c r="AA62">
        <f t="shared" si="11"/>
        <v>1</v>
      </c>
      <c r="AC62" s="94">
        <f t="shared" si="8"/>
        <v>989487.16104781546</v>
      </c>
      <c r="AD62">
        <f>AC62*E62*10000*VLOOKUP(A62,[1]kcal!$A$2:$C$49,3,FALSE)/1000000000000*IFERROR(VLOOKUP(A62,'Kategorisering af kcal'!$A$2:$E$18,MATCH('Produktion &amp; forbrug'!F62,'Kategorisering af kcal'!$A$1:$E$1,0),FALSE),0)</f>
        <v>0</v>
      </c>
      <c r="AE62">
        <f>IF(C62&lt;&gt;"",AC62*(1-VLOOKUP(A62,'Kategorisering af kcal'!$A$2:$E$18,MATCH('Produktion &amp; forbrug'!F62,'Kategorisering af kcal'!$A$1:$E$1,0),FALSE)),'Produktion &amp; forbrug'!AC62)</f>
        <v>989487.16104781546</v>
      </c>
      <c r="AF62" s="94">
        <f t="shared" si="9"/>
        <v>0</v>
      </c>
    </row>
    <row r="63" spans="1:32" x14ac:dyDescent="0.25">
      <c r="A63" s="171" t="str">
        <f t="shared" si="12"/>
        <v>Frugt</v>
      </c>
      <c r="B63" s="171" t="str">
        <f t="shared" si="13"/>
        <v/>
      </c>
      <c r="C63" s="171" t="str">
        <f>IFERROR(VLOOKUP(A63,'Kategorisering af kcal'!$A$2:$B$18,2,FALSE),"")</f>
        <v>Frugt</v>
      </c>
      <c r="D63" s="171">
        <f>IF(COUNTIFS('Resultater - Danmark'!$D$3:$D$504,'Produktion &amp; forbrug'!A63,'Resultater - Danmark'!$A$3:$A$504,"Til energi")+COUNTIFS('Resultater - Danmark'!$D$3:$D$504,'Produktion &amp; forbrug'!A63,'Resultater - Danmark'!$A$3:$A$504,"Biogasanlæg")&gt;0,1,0)</f>
        <v>0</v>
      </c>
      <c r="E63" s="171">
        <f t="shared" si="15"/>
        <v>1</v>
      </c>
      <c r="F63" s="171">
        <f t="shared" si="14"/>
        <v>2030</v>
      </c>
      <c r="G63" s="94">
        <f>SUMIFS('Resultat-Produktion &amp; forbrug'!G$4:G$291,'Resultat-Produktion &amp; forbrug'!$A$4:$A$291,'Produktion &amp; forbrug'!$A63,'Resultat-Produktion &amp; forbrug'!$E$4:$E$291,'Produktion &amp; forbrug'!$F63)</f>
        <v>638614.48161594116</v>
      </c>
      <c r="H63" s="94">
        <f>SUMIFS('Resultat-Produktion &amp; forbrug'!H$4:H$291,'Resultat-Produktion &amp; forbrug'!$A$4:$A$291,'Produktion &amp; forbrug'!$A63,'Resultat-Produktion &amp; forbrug'!$E$4:$E$291,'Produktion &amp; forbrug'!$F63)</f>
        <v>0</v>
      </c>
      <c r="I63" s="94">
        <f>SUMIFS('Resultat-Produktion &amp; forbrug'!I$4:I$291,'Resultat-Produktion &amp; forbrug'!$A$4:$A$291,'Produktion &amp; forbrug'!$A63,'Resultat-Produktion &amp; forbrug'!$E$4:$E$291,'Produktion &amp; forbrug'!$F63)</f>
        <v>0</v>
      </c>
      <c r="J63" s="94">
        <f>SUMIFS('Resultat-Produktion &amp; forbrug'!J$4:J$291,'Resultat-Produktion &amp; forbrug'!$A$4:$A$291,'Produktion &amp; forbrug'!$A63,'Resultat-Produktion &amp; forbrug'!$E$4:$E$291,'Produktion &amp; forbrug'!$F63)</f>
        <v>0</v>
      </c>
      <c r="K63" s="94">
        <f>SUMIFS('Resultat-Produktion &amp; forbrug'!K$4:K$291,'Resultat-Produktion &amp; forbrug'!$A$4:$A$291,'Produktion &amp; forbrug'!$A63,'Resultat-Produktion &amp; forbrug'!$E$4:$E$291,'Produktion &amp; forbrug'!$F63)</f>
        <v>0</v>
      </c>
      <c r="L63" s="94">
        <f>SUMIFS('Resultat-Produktion &amp; forbrug'!L$4:L$291,'Resultat-Produktion &amp; forbrug'!$A$4:$A$291,'Produktion &amp; forbrug'!$A63,'Resultat-Produktion &amp; forbrug'!$E$4:$E$291,'Produktion &amp; forbrug'!$F63)</f>
        <v>0</v>
      </c>
      <c r="M63" s="94">
        <f>SUMIFS('Resultat-Produktion &amp; forbrug'!M$4:M$291,'Resultat-Produktion &amp; forbrug'!$A$4:$A$291,'Produktion &amp; forbrug'!$A63,'Resultat-Produktion &amp; forbrug'!$E$4:$E$291,'Produktion &amp; forbrug'!$F63)</f>
        <v>0</v>
      </c>
      <c r="N63" s="94">
        <f>SUMIFS('Resultat-Produktion &amp; forbrug'!N$4:N$291,'Resultat-Produktion &amp; forbrug'!$A$4:$A$291,'Produktion &amp; forbrug'!$A63,'Resultat-Produktion &amp; forbrug'!$E$4:$E$291,'Produktion &amp; forbrug'!$F63)</f>
        <v>0</v>
      </c>
      <c r="O63" s="179">
        <f t="shared" si="3"/>
        <v>638614.48161594116</v>
      </c>
      <c r="P63" s="94">
        <f t="shared" si="4"/>
        <v>0</v>
      </c>
      <c r="Q63" s="180">
        <f t="shared" si="5"/>
        <v>0</v>
      </c>
      <c r="R63">
        <f>IFERROR(VLOOKUP(A63,[1]Energiindhold!$A$2:$C$11,3,FALSE),IFERROR(VLOOKUP(A63,[1]Biogasudbytte!$A$2:$B$18,2,FALSE)*[1]Energiindhold!$C$10,0))*P63</f>
        <v>0</v>
      </c>
      <c r="S63">
        <f>IF(A63&lt;&gt;"Biogas",IFERROR(VLOOKUP(A63,[1]Biogasudbytte!$A$2:$B$18,2,FALSE)*[1]Energiindhold!$C$10,0)*K63*IFERROR(VLOOKUP(A63,Biogasanlæg!$F$3:$G$8,2,FALSE),1)+IFERROR(VLOOKUP(A63,[1]Energiindhold!$A$2:$C$11,3,FALSE),0)*M63+IF(F63&lt;&gt;År1,R63,0),0)</f>
        <v>0</v>
      </c>
      <c r="T63">
        <f>IFERROR(VLOOKUP(A63,[1]Biogasudbytte!$A$2:$B$18,2,FALSE)*[1]Energiindhold!$C$10,0)*K63*IFERROR(VLOOKUP(A63,Biogasanlæg!$F$3:$G$8,2,FALSE),1)</f>
        <v>0</v>
      </c>
      <c r="U63" s="170">
        <f t="shared" si="6"/>
        <v>0</v>
      </c>
      <c r="V63" s="169">
        <f>P63*IFERROR(VLOOKUP(A63,[1]Tørstofindhold!A$2:B$24,2,FALSE),0)</f>
        <v>0</v>
      </c>
      <c r="W63">
        <f>IF(F63=År1,Q63,SUM(P63,Q63))*IFERROR(VLOOKUP(A63,[1]Tørstofindhold!A$2:B$24,2,FALSE),0)</f>
        <v>0</v>
      </c>
      <c r="X63">
        <f>K63*IFERROR(VLOOKUP(A63,[1]Tørstofindhold!A$2:B$24,2,FALSE),0)</f>
        <v>0</v>
      </c>
      <c r="Y63" s="170">
        <f t="shared" si="7"/>
        <v>0</v>
      </c>
      <c r="Z63">
        <f t="shared" si="10"/>
        <v>0</v>
      </c>
      <c r="AA63">
        <f t="shared" si="11"/>
        <v>1</v>
      </c>
      <c r="AC63" s="94">
        <f t="shared" si="8"/>
        <v>638614.48161594116</v>
      </c>
      <c r="AD63">
        <f>AC63*E63*10000*VLOOKUP(A63,[1]kcal!$A$2:$C$49,3,FALSE)/1000000000000*IFERROR(VLOOKUP(A63,'Kategorisering af kcal'!$A$2:$E$18,MATCH('Produktion &amp; forbrug'!F63,'Kategorisering af kcal'!$A$1:$E$1,0),FALSE),0)</f>
        <v>0.33207953044028937</v>
      </c>
      <c r="AE63">
        <f>IF(C63&lt;&gt;"",AC63*(1-VLOOKUP(A63,'Kategorisering af kcal'!$A$2:$E$18,MATCH('Produktion &amp; forbrug'!F63,'Kategorisering af kcal'!$A$1:$E$1,0),FALSE)),'Produktion &amp; forbrug'!AC63)</f>
        <v>0</v>
      </c>
      <c r="AF63" s="94">
        <f t="shared" si="9"/>
        <v>638614.48161594116</v>
      </c>
    </row>
    <row r="64" spans="1:32" x14ac:dyDescent="0.25">
      <c r="A64" s="171" t="str">
        <f t="shared" si="12"/>
        <v>Glycerin</v>
      </c>
      <c r="B64" s="171" t="str">
        <f t="shared" si="13"/>
        <v>Glycerin</v>
      </c>
      <c r="C64" s="171" t="str">
        <f>IFERROR(VLOOKUP(A64,'Kategorisering af kcal'!$A$2:$B$18,2,FALSE),"")</f>
        <v/>
      </c>
      <c r="D64" s="171">
        <f>IF(COUNTIFS('Resultater - Danmark'!$D$3:$D$504,'Produktion &amp; forbrug'!A64,'Resultater - Danmark'!$A$3:$A$504,"Til energi")+COUNTIFS('Resultater - Danmark'!$D$3:$D$504,'Produktion &amp; forbrug'!A64,'Resultater - Danmark'!$A$3:$A$504,"Biogasanlæg")&gt;0,1,0)</f>
        <v>1</v>
      </c>
      <c r="E64" s="171">
        <f t="shared" si="15"/>
        <v>0</v>
      </c>
      <c r="F64" s="171">
        <f t="shared" si="14"/>
        <v>2030</v>
      </c>
      <c r="G64" s="94">
        <f>SUMIFS('Resultat-Produktion &amp; forbrug'!G$4:G$291,'Resultat-Produktion &amp; forbrug'!$A$4:$A$291,'Produktion &amp; forbrug'!$A64,'Resultat-Produktion &amp; forbrug'!$E$4:$E$291,'Produktion &amp; forbrug'!$F64)</f>
        <v>0</v>
      </c>
      <c r="H64" s="94">
        <f>SUMIFS('Resultat-Produktion &amp; forbrug'!H$4:H$291,'Resultat-Produktion &amp; forbrug'!$A$4:$A$291,'Produktion &amp; forbrug'!$A64,'Resultat-Produktion &amp; forbrug'!$E$4:$E$291,'Produktion &amp; forbrug'!$F64)</f>
        <v>0</v>
      </c>
      <c r="I64" s="94">
        <f>SUMIFS('Resultat-Produktion &amp; forbrug'!I$4:I$291,'Resultat-Produktion &amp; forbrug'!$A$4:$A$291,'Produktion &amp; forbrug'!$A64,'Resultat-Produktion &amp; forbrug'!$E$4:$E$291,'Produktion &amp; forbrug'!$F64)</f>
        <v>0</v>
      </c>
      <c r="J64" s="94">
        <f>SUMIFS('Resultat-Produktion &amp; forbrug'!J$4:J$291,'Resultat-Produktion &amp; forbrug'!$A$4:$A$291,'Produktion &amp; forbrug'!$A64,'Resultat-Produktion &amp; forbrug'!$E$4:$E$291,'Produktion &amp; forbrug'!$F64)</f>
        <v>0</v>
      </c>
      <c r="K64" s="94">
        <f>SUMIFS('Resultat-Produktion &amp; forbrug'!K$4:K$291,'Resultat-Produktion &amp; forbrug'!$A$4:$A$291,'Produktion &amp; forbrug'!$A64,'Resultat-Produktion &amp; forbrug'!$E$4:$E$291,'Produktion &amp; forbrug'!$F64)</f>
        <v>0</v>
      </c>
      <c r="L64" s="94">
        <f>SUMIFS('Resultat-Produktion &amp; forbrug'!L$4:L$291,'Resultat-Produktion &amp; forbrug'!$A$4:$A$291,'Produktion &amp; forbrug'!$A64,'Resultat-Produktion &amp; forbrug'!$E$4:$E$291,'Produktion &amp; forbrug'!$F64)</f>
        <v>0</v>
      </c>
      <c r="M64" s="94">
        <f>SUMIFS('Resultat-Produktion &amp; forbrug'!M$4:M$291,'Resultat-Produktion &amp; forbrug'!$A$4:$A$291,'Produktion &amp; forbrug'!$A64,'Resultat-Produktion &amp; forbrug'!$E$4:$E$291,'Produktion &amp; forbrug'!$F64)</f>
        <v>0</v>
      </c>
      <c r="N64" s="94">
        <f>SUMIFS('Resultat-Produktion &amp; forbrug'!N$4:N$291,'Resultat-Produktion &amp; forbrug'!$A$4:$A$291,'Produktion &amp; forbrug'!$A64,'Resultat-Produktion &amp; forbrug'!$E$4:$E$291,'Produktion &amp; forbrug'!$F64)</f>
        <v>0</v>
      </c>
      <c r="O64" s="179">
        <f t="shared" si="3"/>
        <v>0</v>
      </c>
      <c r="P64" s="94">
        <f t="shared" si="4"/>
        <v>0</v>
      </c>
      <c r="Q64" s="180">
        <f t="shared" si="5"/>
        <v>0</v>
      </c>
      <c r="R64">
        <f>IFERROR(VLOOKUP(A64,[1]Energiindhold!$A$2:$C$11,3,FALSE),IFERROR(VLOOKUP(A64,[1]Biogasudbytte!$A$2:$B$18,2,FALSE)*[1]Energiindhold!$C$10,0))*P64</f>
        <v>0</v>
      </c>
      <c r="S64">
        <f>IF(A64&lt;&gt;"Biogas",IFERROR(VLOOKUP(A64,[1]Biogasudbytte!$A$2:$B$18,2,FALSE)*[1]Energiindhold!$C$10,0)*K64*IFERROR(VLOOKUP(A64,Biogasanlæg!$F$3:$G$8,2,FALSE),1)+IFERROR(VLOOKUP(A64,[1]Energiindhold!$A$2:$C$11,3,FALSE),0)*M64+IF(F64&lt;&gt;År1,R64,0),0)</f>
        <v>0</v>
      </c>
      <c r="T64">
        <f>IFERROR(VLOOKUP(A64,[1]Biogasudbytte!$A$2:$B$18,2,FALSE)*[1]Energiindhold!$C$10,0)*K64*IFERROR(VLOOKUP(A64,Biogasanlæg!$F$3:$G$8,2,FALSE),1)</f>
        <v>0</v>
      </c>
      <c r="U64" s="170">
        <f t="shared" si="6"/>
        <v>0</v>
      </c>
      <c r="V64" s="169">
        <f>P64*IFERROR(VLOOKUP(A64,[1]Tørstofindhold!A$2:B$24,2,FALSE),0)</f>
        <v>0</v>
      </c>
      <c r="W64">
        <f>IF(F64=År1,Q64,SUM(P64,Q64))*IFERROR(VLOOKUP(A64,[1]Tørstofindhold!A$2:B$24,2,FALSE),0)</f>
        <v>0</v>
      </c>
      <c r="X64">
        <f>K64*IFERROR(VLOOKUP(A64,[1]Tørstofindhold!A$2:B$24,2,FALSE),0)</f>
        <v>0</v>
      </c>
      <c r="Y64" s="170">
        <f t="shared" si="7"/>
        <v>0</v>
      </c>
      <c r="Z64">
        <f t="shared" si="10"/>
        <v>0</v>
      </c>
      <c r="AA64">
        <f t="shared" si="11"/>
        <v>0</v>
      </c>
      <c r="AC64" s="94">
        <f t="shared" si="8"/>
        <v>0</v>
      </c>
      <c r="AD64">
        <f>AC64*E64*10000*VLOOKUP(A64,[1]kcal!$A$2:$C$49,3,FALSE)/1000000000000*IFERROR(VLOOKUP(A64,'Kategorisering af kcal'!$A$2:$E$18,MATCH('Produktion &amp; forbrug'!F64,'Kategorisering af kcal'!$A$1:$E$1,0),FALSE),0)</f>
        <v>0</v>
      </c>
      <c r="AE64">
        <f>IF(C64&lt;&gt;"",AC64*(1-VLOOKUP(A64,'Kategorisering af kcal'!$A$2:$E$18,MATCH('Produktion &amp; forbrug'!F64,'Kategorisering af kcal'!$A$1:$E$1,0),FALSE)),'Produktion &amp; forbrug'!AC64)</f>
        <v>0</v>
      </c>
      <c r="AF64" s="94">
        <f t="shared" si="9"/>
        <v>0</v>
      </c>
    </row>
    <row r="65" spans="1:32" x14ac:dyDescent="0.25">
      <c r="A65" s="171" t="str">
        <f t="shared" si="12"/>
        <v>Græs</v>
      </c>
      <c r="B65" s="171" t="str">
        <f t="shared" si="13"/>
        <v>Græs og urter</v>
      </c>
      <c r="C65" s="171" t="str">
        <f>IFERROR(VLOOKUP(A65,'Kategorisering af kcal'!$A$2:$B$18,2,FALSE),"")</f>
        <v>Græs</v>
      </c>
      <c r="D65" s="171">
        <f>IF(COUNTIFS('Resultater - Danmark'!$D$3:$D$504,'Produktion &amp; forbrug'!A65,'Resultater - Danmark'!$A$3:$A$504,"Til energi")+COUNTIFS('Resultater - Danmark'!$D$3:$D$504,'Produktion &amp; forbrug'!A65,'Resultater - Danmark'!$A$3:$A$504,"Biogasanlæg")&gt;0,1,0)</f>
        <v>1</v>
      </c>
      <c r="E65" s="171">
        <f t="shared" si="15"/>
        <v>1</v>
      </c>
      <c r="F65" s="171">
        <f t="shared" si="14"/>
        <v>2030</v>
      </c>
      <c r="G65" s="94">
        <f>SUMIFS('Resultat-Produktion &amp; forbrug'!G$4:G$291,'Resultat-Produktion &amp; forbrug'!$A$4:$A$291,'Produktion &amp; forbrug'!$A65,'Resultat-Produktion &amp; forbrug'!$E$4:$E$291,'Produktion &amp; forbrug'!$F65)</f>
        <v>29802893.251747362</v>
      </c>
      <c r="H65" s="94">
        <f>SUMIFS('Resultat-Produktion &amp; forbrug'!H$4:H$291,'Resultat-Produktion &amp; forbrug'!$A$4:$A$291,'Produktion &amp; forbrug'!$A65,'Resultat-Produktion &amp; forbrug'!$E$4:$E$291,'Produktion &amp; forbrug'!$F65)</f>
        <v>11107812.517509617</v>
      </c>
      <c r="I65" s="94">
        <f>SUMIFS('Resultat-Produktion &amp; forbrug'!I$4:I$291,'Resultat-Produktion &amp; forbrug'!$A$4:$A$291,'Produktion &amp; forbrug'!$A65,'Resultat-Produktion &amp; forbrug'!$E$4:$E$291,'Produktion &amp; forbrug'!$F65)</f>
        <v>0</v>
      </c>
      <c r="J65" s="94">
        <f>SUMIFS('Resultat-Produktion &amp; forbrug'!J$4:J$291,'Resultat-Produktion &amp; forbrug'!$A$4:$A$291,'Produktion &amp; forbrug'!$A65,'Resultat-Produktion &amp; forbrug'!$E$4:$E$291,'Produktion &amp; forbrug'!$F65)</f>
        <v>0</v>
      </c>
      <c r="K65" s="94">
        <f>SUMIFS('Resultat-Produktion &amp; forbrug'!K$4:K$291,'Resultat-Produktion &amp; forbrug'!$A$4:$A$291,'Produktion &amp; forbrug'!$A65,'Resultat-Produktion &amp; forbrug'!$E$4:$E$291,'Produktion &amp; forbrug'!$F65)</f>
        <v>0</v>
      </c>
      <c r="L65" s="94">
        <f>SUMIFS('Resultat-Produktion &amp; forbrug'!L$4:L$291,'Resultat-Produktion &amp; forbrug'!$A$4:$A$291,'Produktion &amp; forbrug'!$A65,'Resultat-Produktion &amp; forbrug'!$E$4:$E$291,'Produktion &amp; forbrug'!$F65)</f>
        <v>0</v>
      </c>
      <c r="M65" s="94">
        <f>SUMIFS('Resultat-Produktion &amp; forbrug'!M$4:M$291,'Resultat-Produktion &amp; forbrug'!$A$4:$A$291,'Produktion &amp; forbrug'!$A65,'Resultat-Produktion &amp; forbrug'!$E$4:$E$291,'Produktion &amp; forbrug'!$F65)</f>
        <v>0</v>
      </c>
      <c r="N65" s="94">
        <f>SUMIFS('Resultat-Produktion &amp; forbrug'!N$4:N$291,'Resultat-Produktion &amp; forbrug'!$A$4:$A$291,'Produktion &amp; forbrug'!$A65,'Resultat-Produktion &amp; forbrug'!$E$4:$E$291,'Produktion &amp; forbrug'!$F65)</f>
        <v>11844727.43507082</v>
      </c>
      <c r="O65" s="179">
        <f t="shared" si="3"/>
        <v>6850353.2991669253</v>
      </c>
      <c r="P65" s="94">
        <f t="shared" si="4"/>
        <v>6850353.2991669253</v>
      </c>
      <c r="Q65" s="180">
        <f t="shared" si="5"/>
        <v>0</v>
      </c>
      <c r="R65">
        <f>IFERROR(VLOOKUP(A65,[1]Energiindhold!$A$2:$C$11,3,FALSE),IFERROR(VLOOKUP(A65,[1]Biogasudbytte!$A$2:$B$18,2,FALSE)*[1]Energiindhold!$C$10,0))*P65</f>
        <v>12.603793776304748</v>
      </c>
      <c r="S65">
        <f>IF(A65&lt;&gt;"Biogas",IFERROR(VLOOKUP(A65,[1]Biogasudbytte!$A$2:$B$18,2,FALSE)*[1]Energiindhold!$C$10,0)*K65*IFERROR(VLOOKUP(A65,Biogasanlæg!$F$3:$G$8,2,FALSE),1)+IFERROR(VLOOKUP(A65,[1]Energiindhold!$A$2:$C$11,3,FALSE),0)*M65+IF(F65&lt;&gt;År1,R65,0),0)</f>
        <v>12.603793776304748</v>
      </c>
      <c r="T65">
        <f>IFERROR(VLOOKUP(A65,[1]Biogasudbytte!$A$2:$B$18,2,FALSE)*[1]Energiindhold!$C$10,0)*K65*IFERROR(VLOOKUP(A65,Biogasanlæg!$F$3:$G$8,2,FALSE),1)</f>
        <v>0</v>
      </c>
      <c r="U65" s="170">
        <f t="shared" si="6"/>
        <v>12.603793776304748</v>
      </c>
      <c r="V65" s="169">
        <f>P65*IFERROR(VLOOKUP(A65,[1]Tørstofindhold!A$2:B$24,2,FALSE),0)</f>
        <v>1918098.9237667392</v>
      </c>
      <c r="W65">
        <f>IF(F65=År1,Q65,SUM(P65,Q65))*IFERROR(VLOOKUP(A65,[1]Tørstofindhold!A$2:B$24,2,FALSE),0)</f>
        <v>1918098.9237667392</v>
      </c>
      <c r="X65">
        <f>K65*IFERROR(VLOOKUP(A65,[1]Tørstofindhold!A$2:B$24,2,FALSE),0)</f>
        <v>0</v>
      </c>
      <c r="Y65" s="170">
        <f t="shared" si="7"/>
        <v>1918098.9237667392</v>
      </c>
      <c r="Z65">
        <f t="shared" si="10"/>
        <v>0</v>
      </c>
      <c r="AA65">
        <f t="shared" si="11"/>
        <v>1</v>
      </c>
      <c r="AC65" s="94">
        <f t="shared" si="8"/>
        <v>6850353.2991669253</v>
      </c>
      <c r="AD65">
        <f>AC65*E65*10000*VLOOKUP(A65,[1]kcal!$A$2:$C$49,3,FALSE)/1000000000000*IFERROR(VLOOKUP(A65,'Kategorisering af kcal'!$A$2:$E$18,MATCH('Produktion &amp; forbrug'!F65,'Kategorisering af kcal'!$A$1:$E$1,0),FALSE),0)</f>
        <v>0.43706232090242253</v>
      </c>
      <c r="AE65">
        <f>IF(C65&lt;&gt;"",AC65*(1-VLOOKUP(A65,'Kategorisering af kcal'!$A$2:$E$18,MATCH('Produktion &amp; forbrug'!F65,'Kategorisering af kcal'!$A$1:$E$1,0),FALSE)),'Produktion &amp; forbrug'!AC65)</f>
        <v>5525922.0237050392</v>
      </c>
      <c r="AF65" s="94">
        <f t="shared" si="9"/>
        <v>1324431.2754618861</v>
      </c>
    </row>
    <row r="66" spans="1:32" x14ac:dyDescent="0.25">
      <c r="A66" s="171" t="str">
        <f t="shared" si="12"/>
        <v>Græsprotein</v>
      </c>
      <c r="B66" s="171" t="str">
        <f t="shared" si="13"/>
        <v/>
      </c>
      <c r="C66" s="171" t="str">
        <f>IFERROR(VLOOKUP(A66,'Kategorisering af kcal'!$A$2:$B$18,2,FALSE),"")</f>
        <v/>
      </c>
      <c r="D66" s="171">
        <f>IF(COUNTIFS('Resultater - Danmark'!$D$3:$D$504,'Produktion &amp; forbrug'!A66,'Resultater - Danmark'!$A$3:$A$504,"Til energi")+COUNTIFS('Resultater - Danmark'!$D$3:$D$504,'Produktion &amp; forbrug'!A66,'Resultater - Danmark'!$A$3:$A$504,"Biogasanlæg")&gt;0,1,0)</f>
        <v>0</v>
      </c>
      <c r="E66" s="171">
        <f t="shared" si="15"/>
        <v>0</v>
      </c>
      <c r="F66" s="171">
        <f t="shared" si="14"/>
        <v>2030</v>
      </c>
      <c r="G66" s="94">
        <f>SUMIFS('Resultat-Produktion &amp; forbrug'!G$4:G$291,'Resultat-Produktion &amp; forbrug'!$A$4:$A$291,'Produktion &amp; forbrug'!$A66,'Resultat-Produktion &amp; forbrug'!$E$4:$E$291,'Produktion &amp; forbrug'!$F66)</f>
        <v>1980099.5710165328</v>
      </c>
      <c r="H66" s="94">
        <f>SUMIFS('Resultat-Produktion &amp; forbrug'!H$4:H$291,'Resultat-Produktion &amp; forbrug'!$A$4:$A$291,'Produktion &amp; forbrug'!$A66,'Resultat-Produktion &amp; forbrug'!$E$4:$E$291,'Produktion &amp; forbrug'!$F66)</f>
        <v>1980099.5710165331</v>
      </c>
      <c r="I66" s="94">
        <f>SUMIFS('Resultat-Produktion &amp; forbrug'!I$4:I$291,'Resultat-Produktion &amp; forbrug'!$A$4:$A$291,'Produktion &amp; forbrug'!$A66,'Resultat-Produktion &amp; forbrug'!$E$4:$E$291,'Produktion &amp; forbrug'!$F66)</f>
        <v>0</v>
      </c>
      <c r="J66" s="94">
        <f>SUMIFS('Resultat-Produktion &amp; forbrug'!J$4:J$291,'Resultat-Produktion &amp; forbrug'!$A$4:$A$291,'Produktion &amp; forbrug'!$A66,'Resultat-Produktion &amp; forbrug'!$E$4:$E$291,'Produktion &amp; forbrug'!$F66)</f>
        <v>0</v>
      </c>
      <c r="K66" s="94">
        <f>SUMIFS('Resultat-Produktion &amp; forbrug'!K$4:K$291,'Resultat-Produktion &amp; forbrug'!$A$4:$A$291,'Produktion &amp; forbrug'!$A66,'Resultat-Produktion &amp; forbrug'!$E$4:$E$291,'Produktion &amp; forbrug'!$F66)</f>
        <v>0</v>
      </c>
      <c r="L66" s="94">
        <f>SUMIFS('Resultat-Produktion &amp; forbrug'!L$4:L$291,'Resultat-Produktion &amp; forbrug'!$A$4:$A$291,'Produktion &amp; forbrug'!$A66,'Resultat-Produktion &amp; forbrug'!$E$4:$E$291,'Produktion &amp; forbrug'!$F66)</f>
        <v>0</v>
      </c>
      <c r="M66" s="94">
        <f>SUMIFS('Resultat-Produktion &amp; forbrug'!M$4:M$291,'Resultat-Produktion &amp; forbrug'!$A$4:$A$291,'Produktion &amp; forbrug'!$A66,'Resultat-Produktion &amp; forbrug'!$E$4:$E$291,'Produktion &amp; forbrug'!$F66)</f>
        <v>0</v>
      </c>
      <c r="N66" s="94">
        <f>SUMIFS('Resultat-Produktion &amp; forbrug'!N$4:N$291,'Resultat-Produktion &amp; forbrug'!$A$4:$A$291,'Produktion &amp; forbrug'!$A66,'Resultat-Produktion &amp; forbrug'!$E$4:$E$291,'Produktion &amp; forbrug'!$F66)</f>
        <v>0</v>
      </c>
      <c r="O66" s="179">
        <f t="shared" si="3"/>
        <v>0</v>
      </c>
      <c r="P66" s="94">
        <f t="shared" si="4"/>
        <v>0</v>
      </c>
      <c r="Q66" s="180">
        <f t="shared" si="5"/>
        <v>0</v>
      </c>
      <c r="R66">
        <f>IFERROR(VLOOKUP(A66,[1]Energiindhold!$A$2:$C$11,3,FALSE),IFERROR(VLOOKUP(A66,[1]Biogasudbytte!$A$2:$B$18,2,FALSE)*[1]Energiindhold!$C$10,0))*P66</f>
        <v>0</v>
      </c>
      <c r="S66">
        <f>IF(A66&lt;&gt;"Biogas",IFERROR(VLOOKUP(A66,[1]Biogasudbytte!$A$2:$B$18,2,FALSE)*[1]Energiindhold!$C$10,0)*K66*IFERROR(VLOOKUP(A66,Biogasanlæg!$F$3:$G$8,2,FALSE),1)+IFERROR(VLOOKUP(A66,[1]Energiindhold!$A$2:$C$11,3,FALSE),0)*M66+IF(F66&lt;&gt;År1,R66,0),0)</f>
        <v>0</v>
      </c>
      <c r="T66">
        <f>IFERROR(VLOOKUP(A66,[1]Biogasudbytte!$A$2:$B$18,2,FALSE)*[1]Energiindhold!$C$10,0)*K66*IFERROR(VLOOKUP(A66,Biogasanlæg!$F$3:$G$8,2,FALSE),1)</f>
        <v>0</v>
      </c>
      <c r="U66" s="170">
        <f t="shared" si="6"/>
        <v>0</v>
      </c>
      <c r="V66" s="169">
        <f>P66*IFERROR(VLOOKUP(A66,[1]Tørstofindhold!A$2:B$24,2,FALSE),0)</f>
        <v>0</v>
      </c>
      <c r="W66">
        <f>IF(F66=År1,Q66,SUM(P66,Q66))*IFERROR(VLOOKUP(A66,[1]Tørstofindhold!A$2:B$24,2,FALSE),0)</f>
        <v>0</v>
      </c>
      <c r="X66">
        <f>K66*IFERROR(VLOOKUP(A66,[1]Tørstofindhold!A$2:B$24,2,FALSE),0)</f>
        <v>0</v>
      </c>
      <c r="Y66" s="170">
        <f t="shared" si="7"/>
        <v>0</v>
      </c>
      <c r="Z66">
        <f t="shared" si="10"/>
        <v>0</v>
      </c>
      <c r="AA66">
        <f t="shared" si="11"/>
        <v>0</v>
      </c>
      <c r="AC66" s="94">
        <f t="shared" si="8"/>
        <v>0</v>
      </c>
      <c r="AD66">
        <f>AC66*E66*10000*VLOOKUP(A66,[1]kcal!$A$2:$C$49,3,FALSE)/1000000000000*IFERROR(VLOOKUP(A66,'Kategorisering af kcal'!$A$2:$E$18,MATCH('Produktion &amp; forbrug'!F66,'Kategorisering af kcal'!$A$1:$E$1,0),FALSE),0)</f>
        <v>0</v>
      </c>
      <c r="AE66">
        <f>IF(C66&lt;&gt;"",AC66*(1-VLOOKUP(A66,'Kategorisering af kcal'!$A$2:$E$18,MATCH('Produktion &amp; forbrug'!F66,'Kategorisering af kcal'!$A$1:$E$1,0),FALSE)),'Produktion &amp; forbrug'!AC66)</f>
        <v>0</v>
      </c>
      <c r="AF66" s="94">
        <f t="shared" si="9"/>
        <v>0</v>
      </c>
    </row>
    <row r="67" spans="1:32" x14ac:dyDescent="0.25">
      <c r="A67" s="171" t="str">
        <f t="shared" si="12"/>
        <v>Grøntsager</v>
      </c>
      <c r="B67" s="171" t="str">
        <f t="shared" si="13"/>
        <v/>
      </c>
      <c r="C67" s="171" t="str">
        <f>IFERROR(VLOOKUP(A67,'Kategorisering af kcal'!$A$2:$B$18,2,FALSE),"")</f>
        <v>Grøntsager</v>
      </c>
      <c r="D67" s="171">
        <f>IF(COUNTIFS('Resultater - Danmark'!$D$3:$D$504,'Produktion &amp; forbrug'!A67,'Resultater - Danmark'!$A$3:$A$504,"Til energi")+COUNTIFS('Resultater - Danmark'!$D$3:$D$504,'Produktion &amp; forbrug'!A67,'Resultater - Danmark'!$A$3:$A$504,"Biogasanlæg")&gt;0,1,0)</f>
        <v>0</v>
      </c>
      <c r="E67" s="171">
        <f t="shared" si="15"/>
        <v>1</v>
      </c>
      <c r="F67" s="171">
        <f t="shared" si="14"/>
        <v>2030</v>
      </c>
      <c r="G67" s="94">
        <f>SUMIFS('Resultat-Produktion &amp; forbrug'!G$4:G$291,'Resultat-Produktion &amp; forbrug'!$A$4:$A$291,'Produktion &amp; forbrug'!$A67,'Resultat-Produktion &amp; forbrug'!$E$4:$E$291,'Produktion &amp; forbrug'!$F67)</f>
        <v>416975.9671256108</v>
      </c>
      <c r="H67" s="94">
        <f>SUMIFS('Resultat-Produktion &amp; forbrug'!H$4:H$291,'Resultat-Produktion &amp; forbrug'!$A$4:$A$291,'Produktion &amp; forbrug'!$A67,'Resultat-Produktion &amp; forbrug'!$E$4:$E$291,'Produktion &amp; forbrug'!$F67)</f>
        <v>0</v>
      </c>
      <c r="I67" s="94">
        <f>SUMIFS('Resultat-Produktion &amp; forbrug'!I$4:I$291,'Resultat-Produktion &amp; forbrug'!$A$4:$A$291,'Produktion &amp; forbrug'!$A67,'Resultat-Produktion &amp; forbrug'!$E$4:$E$291,'Produktion &amp; forbrug'!$F67)</f>
        <v>0</v>
      </c>
      <c r="J67" s="94">
        <f>SUMIFS('Resultat-Produktion &amp; forbrug'!J$4:J$291,'Resultat-Produktion &amp; forbrug'!$A$4:$A$291,'Produktion &amp; forbrug'!$A67,'Resultat-Produktion &amp; forbrug'!$E$4:$E$291,'Produktion &amp; forbrug'!$F67)</f>
        <v>0</v>
      </c>
      <c r="K67" s="94">
        <f>SUMIFS('Resultat-Produktion &amp; forbrug'!K$4:K$291,'Resultat-Produktion &amp; forbrug'!$A$4:$A$291,'Produktion &amp; forbrug'!$A67,'Resultat-Produktion &amp; forbrug'!$E$4:$E$291,'Produktion &amp; forbrug'!$F67)</f>
        <v>0</v>
      </c>
      <c r="L67" s="94">
        <f>SUMIFS('Resultat-Produktion &amp; forbrug'!L$4:L$291,'Resultat-Produktion &amp; forbrug'!$A$4:$A$291,'Produktion &amp; forbrug'!$A67,'Resultat-Produktion &amp; forbrug'!$E$4:$E$291,'Produktion &amp; forbrug'!$F67)</f>
        <v>0</v>
      </c>
      <c r="M67" s="94">
        <f>SUMIFS('Resultat-Produktion &amp; forbrug'!M$4:M$291,'Resultat-Produktion &amp; forbrug'!$A$4:$A$291,'Produktion &amp; forbrug'!$A67,'Resultat-Produktion &amp; forbrug'!$E$4:$E$291,'Produktion &amp; forbrug'!$F67)</f>
        <v>0</v>
      </c>
      <c r="N67" s="94">
        <f>SUMIFS('Resultat-Produktion &amp; forbrug'!N$4:N$291,'Resultat-Produktion &amp; forbrug'!$A$4:$A$291,'Produktion &amp; forbrug'!$A67,'Resultat-Produktion &amp; forbrug'!$E$4:$E$291,'Produktion &amp; forbrug'!$F67)</f>
        <v>0</v>
      </c>
      <c r="O67" s="179">
        <f t="shared" si="3"/>
        <v>416975.9671256108</v>
      </c>
      <c r="P67" s="94">
        <f t="shared" si="4"/>
        <v>0</v>
      </c>
      <c r="Q67" s="180">
        <f t="shared" si="5"/>
        <v>0</v>
      </c>
      <c r="R67">
        <f>IFERROR(VLOOKUP(A67,[1]Energiindhold!$A$2:$C$11,3,FALSE),IFERROR(VLOOKUP(A67,[1]Biogasudbytte!$A$2:$B$18,2,FALSE)*[1]Energiindhold!$C$10,0))*P67</f>
        <v>0</v>
      </c>
      <c r="S67">
        <f>IF(A67&lt;&gt;"Biogas",IFERROR(VLOOKUP(A67,[1]Biogasudbytte!$A$2:$B$18,2,FALSE)*[1]Energiindhold!$C$10,0)*K67*IFERROR(VLOOKUP(A67,Biogasanlæg!$F$3:$G$8,2,FALSE),1)+IFERROR(VLOOKUP(A67,[1]Energiindhold!$A$2:$C$11,3,FALSE),0)*M67+IF(F67&lt;&gt;År1,R67,0),0)</f>
        <v>0</v>
      </c>
      <c r="T67">
        <f>IFERROR(VLOOKUP(A67,[1]Biogasudbytte!$A$2:$B$18,2,FALSE)*[1]Energiindhold!$C$10,0)*K67*IFERROR(VLOOKUP(A67,Biogasanlæg!$F$3:$G$8,2,FALSE),1)</f>
        <v>0</v>
      </c>
      <c r="U67" s="170">
        <f t="shared" si="6"/>
        <v>0</v>
      </c>
      <c r="V67" s="169">
        <f>P67*IFERROR(VLOOKUP(A67,[1]Tørstofindhold!A$2:B$24,2,FALSE),0)</f>
        <v>0</v>
      </c>
      <c r="W67">
        <f>IF(F67=År1,Q67,SUM(P67,Q67))*IFERROR(VLOOKUP(A67,[1]Tørstofindhold!A$2:B$24,2,FALSE),0)</f>
        <v>0</v>
      </c>
      <c r="X67">
        <f>K67*IFERROR(VLOOKUP(A67,[1]Tørstofindhold!A$2:B$24,2,FALSE),0)</f>
        <v>0</v>
      </c>
      <c r="Y67" s="170">
        <f t="shared" si="7"/>
        <v>0</v>
      </c>
      <c r="Z67">
        <f t="shared" si="10"/>
        <v>0</v>
      </c>
      <c r="AA67">
        <f t="shared" si="11"/>
        <v>1</v>
      </c>
      <c r="AC67" s="94">
        <f t="shared" si="8"/>
        <v>416975.9671256108</v>
      </c>
      <c r="AD67">
        <f>AC67*E67*10000*VLOOKUP(A67,[1]kcal!$A$2:$C$49,3,FALSE)/1000000000000*IFERROR(VLOOKUP(A67,'Kategorisering af kcal'!$A$2:$E$18,MATCH('Produktion &amp; forbrug'!F67,'Kategorisering af kcal'!$A$1:$E$1,0),FALSE),0)</f>
        <v>0.1626206271789882</v>
      </c>
      <c r="AE67">
        <f>IF(C67&lt;&gt;"",AC67*(1-VLOOKUP(A67,'Kategorisering af kcal'!$A$2:$E$18,MATCH('Produktion &amp; forbrug'!F67,'Kategorisering af kcal'!$A$1:$E$1,0),FALSE)),'Produktion &amp; forbrug'!AC67)</f>
        <v>0</v>
      </c>
      <c r="AF67" s="94">
        <f t="shared" si="9"/>
        <v>416975.9671256108</v>
      </c>
    </row>
    <row r="68" spans="1:32" x14ac:dyDescent="0.25">
      <c r="A68" s="171" t="str">
        <f t="shared" si="12"/>
        <v>Halm</v>
      </c>
      <c r="B68" s="171" t="str">
        <f t="shared" si="13"/>
        <v>Halm og strå</v>
      </c>
      <c r="C68" s="171" t="str">
        <f>IFERROR(VLOOKUP(A68,'Kategorisering af kcal'!$A$2:$B$18,2,FALSE),"")</f>
        <v/>
      </c>
      <c r="D68" s="171">
        <f>IF(COUNTIFS('Resultater - Danmark'!$D$3:$D$504,'Produktion &amp; forbrug'!A68,'Resultater - Danmark'!$A$3:$A$504,"Til energi")+COUNTIFS('Resultater - Danmark'!$D$3:$D$504,'Produktion &amp; forbrug'!A68,'Resultater - Danmark'!$A$3:$A$504,"Biogasanlæg")&gt;0,1,0)</f>
        <v>1</v>
      </c>
      <c r="E68" s="171">
        <f t="shared" si="15"/>
        <v>0</v>
      </c>
      <c r="F68" s="171">
        <f t="shared" si="14"/>
        <v>2030</v>
      </c>
      <c r="G68" s="94">
        <f>SUMIFS('Resultat-Produktion &amp; forbrug'!G$4:G$291,'Resultat-Produktion &amp; forbrug'!$A$4:$A$291,'Produktion &amp; forbrug'!$A68,'Resultat-Produktion &amp; forbrug'!$E$4:$E$291,'Produktion &amp; forbrug'!$F68)</f>
        <v>2888728.8325596154</v>
      </c>
      <c r="H68" s="94">
        <f>SUMIFS('Resultat-Produktion &amp; forbrug'!H$4:H$291,'Resultat-Produktion &amp; forbrug'!$A$4:$A$291,'Produktion &amp; forbrug'!$A68,'Resultat-Produktion &amp; forbrug'!$E$4:$E$291,'Produktion &amp; forbrug'!$F68)</f>
        <v>564815.44300522283</v>
      </c>
      <c r="I68" s="94">
        <f>SUMIFS('Resultat-Produktion &amp; forbrug'!I$4:I$291,'Resultat-Produktion &amp; forbrug'!$A$4:$A$291,'Produktion &amp; forbrug'!$A68,'Resultat-Produktion &amp; forbrug'!$E$4:$E$291,'Produktion &amp; forbrug'!$F68)</f>
        <v>769703.87060706667</v>
      </c>
      <c r="J68" s="94">
        <f>SUMIFS('Resultat-Produktion &amp; forbrug'!J$4:J$291,'Resultat-Produktion &amp; forbrug'!$A$4:$A$291,'Produktion &amp; forbrug'!$A68,'Resultat-Produktion &amp; forbrug'!$E$4:$E$291,'Produktion &amp; forbrug'!$F68)</f>
        <v>0</v>
      </c>
      <c r="K68" s="94">
        <f>SUMIFS('Resultat-Produktion &amp; forbrug'!K$4:K$291,'Resultat-Produktion &amp; forbrug'!$A$4:$A$291,'Produktion &amp; forbrug'!$A68,'Resultat-Produktion &amp; forbrug'!$E$4:$E$291,'Produktion &amp; forbrug'!$F68)</f>
        <v>0</v>
      </c>
      <c r="L68" s="94">
        <f>SUMIFS('Resultat-Produktion &amp; forbrug'!L$4:L$291,'Resultat-Produktion &amp; forbrug'!$A$4:$A$291,'Produktion &amp; forbrug'!$A68,'Resultat-Produktion &amp; forbrug'!$E$4:$E$291,'Produktion &amp; forbrug'!$F68)</f>
        <v>0</v>
      </c>
      <c r="M68" s="94">
        <f>SUMIFS('Resultat-Produktion &amp; forbrug'!M$4:M$291,'Resultat-Produktion &amp; forbrug'!$A$4:$A$291,'Produktion &amp; forbrug'!$A68,'Resultat-Produktion &amp; forbrug'!$E$4:$E$291,'Produktion &amp; forbrug'!$F68)</f>
        <v>1554209.5189473266</v>
      </c>
      <c r="N68" s="94">
        <f>SUMIFS('Resultat-Produktion &amp; forbrug'!N$4:N$291,'Resultat-Produktion &amp; forbrug'!$A$4:$A$291,'Produktion &amp; forbrug'!$A68,'Resultat-Produktion &amp; forbrug'!$E$4:$E$291,'Produktion &amp; forbrug'!$F68)</f>
        <v>0</v>
      </c>
      <c r="O68" s="179">
        <f t="shared" si="3"/>
        <v>0</v>
      </c>
      <c r="P68" s="94">
        <f t="shared" si="4"/>
        <v>0</v>
      </c>
      <c r="Q68" s="180">
        <f t="shared" si="5"/>
        <v>1554209.5189473266</v>
      </c>
      <c r="R68">
        <f>IFERROR(VLOOKUP(A68,[1]Energiindhold!$A$2:$C$11,3,FALSE),IFERROR(VLOOKUP(A68,[1]Biogasudbytte!$A$2:$B$18,2,FALSE)*[1]Energiindhold!$C$10,0))*P68</f>
        <v>0</v>
      </c>
      <c r="S68">
        <f>IF(A68&lt;&gt;"Biogas",IFERROR(VLOOKUP(A68,[1]Biogasudbytte!$A$2:$B$18,2,FALSE)*[1]Energiindhold!$C$10,0)*K68*IFERROR(VLOOKUP(A68,Biogasanlæg!$F$3:$G$8,2,FALSE),1)+IFERROR(VLOOKUP(A68,[1]Energiindhold!$A$2:$C$11,3,FALSE),0)*M68+IF(F68&lt;&gt;År1,R68,0),0)</f>
        <v>16.06400859827875</v>
      </c>
      <c r="T68">
        <f>IFERROR(VLOOKUP(A68,[1]Biogasudbytte!$A$2:$B$18,2,FALSE)*[1]Energiindhold!$C$10,0)*K68*IFERROR(VLOOKUP(A68,Biogasanlæg!$F$3:$G$8,2,FALSE),1)</f>
        <v>0</v>
      </c>
      <c r="U68" s="170">
        <f t="shared" si="6"/>
        <v>16.06400859827875</v>
      </c>
      <c r="V68" s="169">
        <f>P68*IFERROR(VLOOKUP(A68,[1]Tørstofindhold!A$2:B$24,2,FALSE),0)</f>
        <v>0</v>
      </c>
      <c r="W68">
        <f>IF(F68=År1,Q68,SUM(P68,Q68))*IFERROR(VLOOKUP(A68,[1]Tørstofindhold!A$2:B$24,2,FALSE),0)</f>
        <v>1321078.0911052276</v>
      </c>
      <c r="X68">
        <f>K68*IFERROR(VLOOKUP(A68,[1]Tørstofindhold!A$2:B$24,2,FALSE),0)</f>
        <v>0</v>
      </c>
      <c r="Y68" s="170">
        <f t="shared" si="7"/>
        <v>1321078.0911052276</v>
      </c>
      <c r="Z68">
        <f t="shared" ref="Z68:Z99" si="16">IF(SUMIFS($O$4:$O$147,$A$4:$A$147,A68,$F$4:$F$147,F68)&lt;0,1,0)</f>
        <v>0</v>
      </c>
      <c r="AA68">
        <f t="shared" ref="AA68:AA99" si="17">IF(SUMIFS($O$4:$O$147,$A$4:$A$147,A68,$F$4:$F$147,F68)&gt;0,1,0)</f>
        <v>0</v>
      </c>
      <c r="AC68" s="94">
        <f t="shared" si="8"/>
        <v>1554209.5189473259</v>
      </c>
      <c r="AD68">
        <f>AC68*E68*10000*VLOOKUP(A68,[1]kcal!$A$2:$C$49,3,FALSE)/1000000000000*IFERROR(VLOOKUP(A68,'Kategorisering af kcal'!$A$2:$E$18,MATCH('Produktion &amp; forbrug'!F68,'Kategorisering af kcal'!$A$1:$E$1,0),FALSE),0)</f>
        <v>0</v>
      </c>
      <c r="AE68">
        <f>IF(C68&lt;&gt;"",AC68*(1-VLOOKUP(A68,'Kategorisering af kcal'!$A$2:$E$18,MATCH('Produktion &amp; forbrug'!F68,'Kategorisering af kcal'!$A$1:$E$1,0),FALSE)),'Produktion &amp; forbrug'!AC68)</f>
        <v>1554209.5189473259</v>
      </c>
      <c r="AF68" s="94">
        <f t="shared" si="9"/>
        <v>0</v>
      </c>
    </row>
    <row r="69" spans="1:32" x14ac:dyDescent="0.25">
      <c r="A69" s="171" t="str">
        <f t="shared" si="12"/>
        <v>Have/parkaffald</v>
      </c>
      <c r="B69" s="171" t="str">
        <f t="shared" si="13"/>
        <v>Bionedbrydeligt affald</v>
      </c>
      <c r="C69" s="171" t="str">
        <f>IFERROR(VLOOKUP(A69,'Kategorisering af kcal'!$A$2:$B$18,2,FALSE),"")</f>
        <v/>
      </c>
      <c r="D69" s="171">
        <f>IF(COUNTIFS('Resultater - Danmark'!$D$3:$D$504,'Produktion &amp; forbrug'!A69,'Resultater - Danmark'!$A$3:$A$504,"Til energi")+COUNTIFS('Resultater - Danmark'!$D$3:$D$504,'Produktion &amp; forbrug'!A69,'Resultater - Danmark'!$A$3:$A$504,"Biogasanlæg")&gt;0,1,0)</f>
        <v>1</v>
      </c>
      <c r="E69" s="171">
        <f t="shared" si="15"/>
        <v>0</v>
      </c>
      <c r="F69" s="171">
        <f t="shared" si="14"/>
        <v>2030</v>
      </c>
      <c r="G69" s="94">
        <f>SUMIFS('Resultat-Produktion &amp; forbrug'!G$4:G$291,'Resultat-Produktion &amp; forbrug'!$A$4:$A$291,'Produktion &amp; forbrug'!$A69,'Resultat-Produktion &amp; forbrug'!$E$4:$E$291,'Produktion &amp; forbrug'!$F69)</f>
        <v>982809</v>
      </c>
      <c r="H69" s="94">
        <f>SUMIFS('Resultat-Produktion &amp; forbrug'!H$4:H$291,'Resultat-Produktion &amp; forbrug'!$A$4:$A$291,'Produktion &amp; forbrug'!$A69,'Resultat-Produktion &amp; forbrug'!$E$4:$E$291,'Produktion &amp; forbrug'!$F69)</f>
        <v>0</v>
      </c>
      <c r="I69" s="94">
        <f>SUMIFS('Resultat-Produktion &amp; forbrug'!I$4:I$291,'Resultat-Produktion &amp; forbrug'!$A$4:$A$291,'Produktion &amp; forbrug'!$A69,'Resultat-Produktion &amp; forbrug'!$E$4:$E$291,'Produktion &amp; forbrug'!$F69)</f>
        <v>0</v>
      </c>
      <c r="J69" s="94">
        <f>SUMIFS('Resultat-Produktion &amp; forbrug'!J$4:J$291,'Resultat-Produktion &amp; forbrug'!$A$4:$A$291,'Produktion &amp; forbrug'!$A69,'Resultat-Produktion &amp; forbrug'!$E$4:$E$291,'Produktion &amp; forbrug'!$F69)</f>
        <v>0</v>
      </c>
      <c r="K69" s="94">
        <f>SUMIFS('Resultat-Produktion &amp; forbrug'!K$4:K$291,'Resultat-Produktion &amp; forbrug'!$A$4:$A$291,'Produktion &amp; forbrug'!$A69,'Resultat-Produktion &amp; forbrug'!$E$4:$E$291,'Produktion &amp; forbrug'!$F69)</f>
        <v>0</v>
      </c>
      <c r="L69" s="94">
        <f>SUMIFS('Resultat-Produktion &amp; forbrug'!L$4:L$291,'Resultat-Produktion &amp; forbrug'!$A$4:$A$291,'Produktion &amp; forbrug'!$A69,'Resultat-Produktion &amp; forbrug'!$E$4:$E$291,'Produktion &amp; forbrug'!$F69)</f>
        <v>0</v>
      </c>
      <c r="M69" s="94">
        <f>SUMIFS('Resultat-Produktion &amp; forbrug'!M$4:M$291,'Resultat-Produktion &amp; forbrug'!$A$4:$A$291,'Produktion &amp; forbrug'!$A69,'Resultat-Produktion &amp; forbrug'!$E$4:$E$291,'Produktion &amp; forbrug'!$F69)</f>
        <v>982809</v>
      </c>
      <c r="N69" s="94">
        <f>SUMIFS('Resultat-Produktion &amp; forbrug'!N$4:N$291,'Resultat-Produktion &amp; forbrug'!$A$4:$A$291,'Produktion &amp; forbrug'!$A69,'Resultat-Produktion &amp; forbrug'!$E$4:$E$291,'Produktion &amp; forbrug'!$F69)</f>
        <v>0</v>
      </c>
      <c r="O69" s="179">
        <f t="shared" ref="O69:O134" si="18">G69-SUM(H69:N69)</f>
        <v>0</v>
      </c>
      <c r="P69" s="94">
        <f t="shared" ref="P69:P132" si="19">IF(D69=1,MAX(O69,0),0)</f>
        <v>0</v>
      </c>
      <c r="Q69" s="180">
        <f t="shared" ref="Q69:Q134" si="20">SUM(K69,M69)</f>
        <v>982809</v>
      </c>
      <c r="R69">
        <f>IFERROR(VLOOKUP(A69,[1]Energiindhold!$A$2:$C$11,3,FALSE),IFERROR(VLOOKUP(A69,[1]Biogasudbytte!$A$2:$B$18,2,FALSE)*[1]Energiindhold!$C$10,0))*P69</f>
        <v>0</v>
      </c>
      <c r="S69">
        <f>IF(A69&lt;&gt;"Biogas",IFERROR(VLOOKUP(A69,[1]Biogasudbytte!$A$2:$B$18,2,FALSE)*[1]Energiindhold!$C$10,0)*K69*IFERROR(VLOOKUP(A69,Biogasanlæg!$F$3:$G$8,2,FALSE),1)+IFERROR(VLOOKUP(A69,[1]Energiindhold!$A$2:$C$11,3,FALSE),0)*M69+IF(F69&lt;&gt;År1,R69,0),0)</f>
        <v>17.545322997702911</v>
      </c>
      <c r="T69">
        <f>IFERROR(VLOOKUP(A69,[1]Biogasudbytte!$A$2:$B$18,2,FALSE)*[1]Energiindhold!$C$10,0)*K69*IFERROR(VLOOKUP(A69,Biogasanlæg!$F$3:$G$8,2,FALSE),1)</f>
        <v>0</v>
      </c>
      <c r="U69" s="170">
        <f t="shared" ref="U69:U134" si="21">S69-T69</f>
        <v>17.545322997702911</v>
      </c>
      <c r="V69" s="169">
        <f>P69*IFERROR(VLOOKUP(A69,[1]Tørstofindhold!A$2:B$24,2,FALSE),0)</f>
        <v>0</v>
      </c>
      <c r="W69">
        <f>IF(F69=År1,Q69,SUM(P69,Q69))*IFERROR(VLOOKUP(A69,[1]Tørstofindhold!A$2:B$24,2,FALSE),0)</f>
        <v>294842.7</v>
      </c>
      <c r="X69">
        <f>K69*IFERROR(VLOOKUP(A69,[1]Tørstofindhold!A$2:B$24,2,FALSE),0)</f>
        <v>0</v>
      </c>
      <c r="Y69" s="170">
        <f t="shared" ref="Y69:Y134" si="22">W69-X69</f>
        <v>294842.7</v>
      </c>
      <c r="Z69">
        <f t="shared" si="16"/>
        <v>0</v>
      </c>
      <c r="AA69">
        <f t="shared" si="17"/>
        <v>0</v>
      </c>
      <c r="AC69" s="94">
        <f t="shared" ref="AC69:AC132" si="23">G69-SUMPRODUCT($H$2:$N$2,H69:N69)</f>
        <v>982809</v>
      </c>
      <c r="AD69">
        <f>AC69*E69*10000*VLOOKUP(A69,[1]kcal!$A$2:$C$49,3,FALSE)/1000000000000*IFERROR(VLOOKUP(A69,'Kategorisering af kcal'!$A$2:$E$18,MATCH('Produktion &amp; forbrug'!F69,'Kategorisering af kcal'!$A$1:$E$1,0),FALSE),0)</f>
        <v>0</v>
      </c>
      <c r="AE69">
        <f>IF(C69&lt;&gt;"",AC69*(1-VLOOKUP(A69,'Kategorisering af kcal'!$A$2:$E$18,MATCH('Produktion &amp; forbrug'!F69,'Kategorisering af kcal'!$A$1:$E$1,0),FALSE)),'Produktion &amp; forbrug'!AC69)</f>
        <v>982809</v>
      </c>
      <c r="AF69" s="94">
        <f t="shared" ref="AF69:AF132" si="24">AC69-AE69</f>
        <v>0</v>
      </c>
    </row>
    <row r="70" spans="1:32" x14ac:dyDescent="0.25">
      <c r="A70" s="171" t="str">
        <f t="shared" si="12"/>
        <v>Import af foder</v>
      </c>
      <c r="B70" s="171" t="str">
        <f t="shared" si="13"/>
        <v/>
      </c>
      <c r="C70" s="171" t="str">
        <f>IFERROR(VLOOKUP(A70,'Kategorisering af kcal'!$A$2:$B$18,2,FALSE),"")</f>
        <v>Olieafgrøder</v>
      </c>
      <c r="D70" s="171">
        <f>IF(COUNTIFS('Resultater - Danmark'!$D$3:$D$504,'Produktion &amp; forbrug'!A70,'Resultater - Danmark'!$A$3:$A$504,"Til energi")+COUNTIFS('Resultater - Danmark'!$D$3:$D$504,'Produktion &amp; forbrug'!A70,'Resultater - Danmark'!$A$3:$A$504,"Biogasanlæg")&gt;0,1,0)</f>
        <v>0</v>
      </c>
      <c r="E70" s="171">
        <f t="shared" si="15"/>
        <v>1</v>
      </c>
      <c r="F70" s="171">
        <f t="shared" si="14"/>
        <v>2030</v>
      </c>
      <c r="G70" s="94">
        <f>SUMIFS('Resultat-Produktion &amp; forbrug'!G$4:G$291,'Resultat-Produktion &amp; forbrug'!$A$4:$A$291,'Produktion &amp; forbrug'!$A70,'Resultat-Produktion &amp; forbrug'!$E$4:$E$291,'Produktion &amp; forbrug'!$F70)</f>
        <v>0</v>
      </c>
      <c r="H70" s="94">
        <f>SUMIFS('Resultat-Produktion &amp; forbrug'!H$4:H$291,'Resultat-Produktion &amp; forbrug'!$A$4:$A$291,'Produktion &amp; forbrug'!$A70,'Resultat-Produktion &amp; forbrug'!$E$4:$E$291,'Produktion &amp; forbrug'!$F70)</f>
        <v>2827503.2748925881</v>
      </c>
      <c r="I70" s="94">
        <f>SUMIFS('Resultat-Produktion &amp; forbrug'!I$4:I$291,'Resultat-Produktion &amp; forbrug'!$A$4:$A$291,'Produktion &amp; forbrug'!$A70,'Resultat-Produktion &amp; forbrug'!$E$4:$E$291,'Produktion &amp; forbrug'!$F70)</f>
        <v>0</v>
      </c>
      <c r="J70" s="94">
        <f>SUMIFS('Resultat-Produktion &amp; forbrug'!J$4:J$291,'Resultat-Produktion &amp; forbrug'!$A$4:$A$291,'Produktion &amp; forbrug'!$A70,'Resultat-Produktion &amp; forbrug'!$E$4:$E$291,'Produktion &amp; forbrug'!$F70)</f>
        <v>0</v>
      </c>
      <c r="K70" s="94">
        <f>SUMIFS('Resultat-Produktion &amp; forbrug'!K$4:K$291,'Resultat-Produktion &amp; forbrug'!$A$4:$A$291,'Produktion &amp; forbrug'!$A70,'Resultat-Produktion &amp; forbrug'!$E$4:$E$291,'Produktion &amp; forbrug'!$F70)</f>
        <v>0</v>
      </c>
      <c r="L70" s="94">
        <f>SUMIFS('Resultat-Produktion &amp; forbrug'!L$4:L$291,'Resultat-Produktion &amp; forbrug'!$A$4:$A$291,'Produktion &amp; forbrug'!$A70,'Resultat-Produktion &amp; forbrug'!$E$4:$E$291,'Produktion &amp; forbrug'!$F70)</f>
        <v>0</v>
      </c>
      <c r="M70" s="94">
        <f>SUMIFS('Resultat-Produktion &amp; forbrug'!M$4:M$291,'Resultat-Produktion &amp; forbrug'!$A$4:$A$291,'Produktion &amp; forbrug'!$A70,'Resultat-Produktion &amp; forbrug'!$E$4:$E$291,'Produktion &amp; forbrug'!$F70)</f>
        <v>0</v>
      </c>
      <c r="N70" s="94">
        <f>SUMIFS('Resultat-Produktion &amp; forbrug'!N$4:N$291,'Resultat-Produktion &amp; forbrug'!$A$4:$A$291,'Produktion &amp; forbrug'!$A70,'Resultat-Produktion &amp; forbrug'!$E$4:$E$291,'Produktion &amp; forbrug'!$F70)</f>
        <v>0</v>
      </c>
      <c r="O70" s="179">
        <f t="shared" si="18"/>
        <v>-2827503.2748925881</v>
      </c>
      <c r="P70" s="94">
        <f t="shared" si="19"/>
        <v>0</v>
      </c>
      <c r="Q70" s="180">
        <f t="shared" si="20"/>
        <v>0</v>
      </c>
      <c r="R70">
        <f>IFERROR(VLOOKUP(A70,[1]Energiindhold!$A$2:$C$11,3,FALSE),IFERROR(VLOOKUP(A70,[1]Biogasudbytte!$A$2:$B$18,2,FALSE)*[1]Energiindhold!$C$10,0))*P70</f>
        <v>0</v>
      </c>
      <c r="S70">
        <f>IF(A70&lt;&gt;"Biogas",IFERROR(VLOOKUP(A70,[1]Biogasudbytte!$A$2:$B$18,2,FALSE)*[1]Energiindhold!$C$10,0)*K70*IFERROR(VLOOKUP(A70,Biogasanlæg!$F$3:$G$8,2,FALSE),1)+IFERROR(VLOOKUP(A70,[1]Energiindhold!$A$2:$C$11,3,FALSE),0)*M70+IF(F70&lt;&gt;År1,R70,0),0)</f>
        <v>0</v>
      </c>
      <c r="T70">
        <f>IFERROR(VLOOKUP(A70,[1]Biogasudbytte!$A$2:$B$18,2,FALSE)*[1]Energiindhold!$C$10,0)*K70*IFERROR(VLOOKUP(A70,Biogasanlæg!$F$3:$G$8,2,FALSE),1)</f>
        <v>0</v>
      </c>
      <c r="U70" s="170">
        <f t="shared" si="21"/>
        <v>0</v>
      </c>
      <c r="V70" s="169">
        <f>P70*IFERROR(VLOOKUP(A70,[1]Tørstofindhold!A$2:B$24,2,FALSE),0)</f>
        <v>0</v>
      </c>
      <c r="W70">
        <f>IF(F70=År1,Q70,SUM(P70,Q70))*IFERROR(VLOOKUP(A70,[1]Tørstofindhold!A$2:B$24,2,FALSE),0)</f>
        <v>0</v>
      </c>
      <c r="X70">
        <f>K70*IFERROR(VLOOKUP(A70,[1]Tørstofindhold!A$2:B$24,2,FALSE),0)</f>
        <v>0</v>
      </c>
      <c r="Y70" s="170">
        <f t="shared" si="22"/>
        <v>0</v>
      </c>
      <c r="Z70">
        <f t="shared" si="16"/>
        <v>1</v>
      </c>
      <c r="AA70">
        <f t="shared" si="17"/>
        <v>0</v>
      </c>
      <c r="AC70" s="94">
        <f t="shared" si="23"/>
        <v>-2827503.2748925881</v>
      </c>
      <c r="AD70">
        <f>AC70*E70*10000*VLOOKUP(A70,[1]kcal!$A$2:$C$49,3,FALSE)/1000000000000*IFERROR(VLOOKUP(A70,'Kategorisering af kcal'!$A$2:$E$18,MATCH('Produktion &amp; forbrug'!F70,'Kategorisering af kcal'!$A$1:$E$1,0),FALSE),0)</f>
        <v>-1.6116768666887751</v>
      </c>
      <c r="AE70">
        <f>IF(C70&lt;&gt;"",AC70*(1-VLOOKUP(A70,'Kategorisering af kcal'!$A$2:$E$18,MATCH('Produktion &amp; forbrug'!F70,'Kategorisering af kcal'!$A$1:$E$1,0),FALSE)),'Produktion &amp; forbrug'!AC70)</f>
        <v>0</v>
      </c>
      <c r="AF70" s="94">
        <f t="shared" si="24"/>
        <v>-2827503.2748925881</v>
      </c>
    </row>
    <row r="71" spans="1:32" x14ac:dyDescent="0.25">
      <c r="A71" s="171" t="str">
        <f t="shared" si="12"/>
        <v>Industriaffald</v>
      </c>
      <c r="B71" s="171" t="str">
        <f t="shared" si="13"/>
        <v>Bionedbrydeligt affald</v>
      </c>
      <c r="C71" s="171" t="str">
        <f>IFERROR(VLOOKUP(A71,'Kategorisering af kcal'!$A$2:$B$18,2,FALSE),"")</f>
        <v/>
      </c>
      <c r="D71" s="171">
        <f>IF(COUNTIFS('Resultater - Danmark'!$D$3:$D$504,'Produktion &amp; forbrug'!A71,'Resultater - Danmark'!$A$3:$A$504,"Til energi")+COUNTIFS('Resultater - Danmark'!$D$3:$D$504,'Produktion &amp; forbrug'!A71,'Resultater - Danmark'!$A$3:$A$504,"Biogasanlæg")&gt;0,1,0)</f>
        <v>1</v>
      </c>
      <c r="E71" s="171">
        <f t="shared" si="15"/>
        <v>0</v>
      </c>
      <c r="F71" s="171">
        <f t="shared" si="14"/>
        <v>2030</v>
      </c>
      <c r="G71" s="94">
        <f>SUMIFS('Resultat-Produktion &amp; forbrug'!G$4:G$291,'Resultat-Produktion &amp; forbrug'!$A$4:$A$291,'Produktion &amp; forbrug'!$A71,'Resultat-Produktion &amp; forbrug'!$E$4:$E$291,'Produktion &amp; forbrug'!$F71)</f>
        <v>670207.42120163166</v>
      </c>
      <c r="H71" s="94">
        <f>SUMIFS('Resultat-Produktion &amp; forbrug'!H$4:H$291,'Resultat-Produktion &amp; forbrug'!$A$4:$A$291,'Produktion &amp; forbrug'!$A71,'Resultat-Produktion &amp; forbrug'!$E$4:$E$291,'Produktion &amp; forbrug'!$F71)</f>
        <v>0</v>
      </c>
      <c r="I71" s="94">
        <f>SUMIFS('Resultat-Produktion &amp; forbrug'!I$4:I$291,'Resultat-Produktion &amp; forbrug'!$A$4:$A$291,'Produktion &amp; forbrug'!$A71,'Resultat-Produktion &amp; forbrug'!$E$4:$E$291,'Produktion &amp; forbrug'!$F71)</f>
        <v>0</v>
      </c>
      <c r="J71" s="94">
        <f>SUMIFS('Resultat-Produktion &amp; forbrug'!J$4:J$291,'Resultat-Produktion &amp; forbrug'!$A$4:$A$291,'Produktion &amp; forbrug'!$A71,'Resultat-Produktion &amp; forbrug'!$E$4:$E$291,'Produktion &amp; forbrug'!$F71)</f>
        <v>0</v>
      </c>
      <c r="K71" s="94">
        <f>SUMIFS('Resultat-Produktion &amp; forbrug'!K$4:K$291,'Resultat-Produktion &amp; forbrug'!$A$4:$A$291,'Produktion &amp; forbrug'!$A71,'Resultat-Produktion &amp; forbrug'!$E$4:$E$291,'Produktion &amp; forbrug'!$F71)</f>
        <v>0</v>
      </c>
      <c r="L71" s="94">
        <f>SUMIFS('Resultat-Produktion &amp; forbrug'!L$4:L$291,'Resultat-Produktion &amp; forbrug'!$A$4:$A$291,'Produktion &amp; forbrug'!$A71,'Resultat-Produktion &amp; forbrug'!$E$4:$E$291,'Produktion &amp; forbrug'!$F71)</f>
        <v>0</v>
      </c>
      <c r="M71" s="94">
        <f>SUMIFS('Resultat-Produktion &amp; forbrug'!M$4:M$291,'Resultat-Produktion &amp; forbrug'!$A$4:$A$291,'Produktion &amp; forbrug'!$A71,'Resultat-Produktion &amp; forbrug'!$E$4:$E$291,'Produktion &amp; forbrug'!$F71)</f>
        <v>0</v>
      </c>
      <c r="N71" s="94">
        <f>SUMIFS('Resultat-Produktion &amp; forbrug'!N$4:N$291,'Resultat-Produktion &amp; forbrug'!$A$4:$A$291,'Produktion &amp; forbrug'!$A71,'Resultat-Produktion &amp; forbrug'!$E$4:$E$291,'Produktion &amp; forbrug'!$F71)</f>
        <v>0</v>
      </c>
      <c r="O71" s="179">
        <f t="shared" si="18"/>
        <v>670207.42120163166</v>
      </c>
      <c r="P71" s="94">
        <f t="shared" si="19"/>
        <v>670207.42120163166</v>
      </c>
      <c r="Q71" s="180">
        <f t="shared" si="20"/>
        <v>0</v>
      </c>
      <c r="R71">
        <f>IFERROR(VLOOKUP(A71,[1]Energiindhold!$A$2:$C$11,3,FALSE),IFERROR(VLOOKUP(A71,[1]Biogasudbytte!$A$2:$B$18,2,FALSE)*[1]Energiindhold!$C$10,0))*P71</f>
        <v>2.9040958830314265</v>
      </c>
      <c r="S71">
        <f>IF(A71&lt;&gt;"Biogas",IFERROR(VLOOKUP(A71,[1]Biogasudbytte!$A$2:$B$18,2,FALSE)*[1]Energiindhold!$C$10,0)*K71*IFERROR(VLOOKUP(A71,Biogasanlæg!$F$3:$G$8,2,FALSE),1)+IFERROR(VLOOKUP(A71,[1]Energiindhold!$A$2:$C$11,3,FALSE),0)*M71+IF(F71&lt;&gt;År1,R71,0),0)</f>
        <v>2.9040958830314265</v>
      </c>
      <c r="T71">
        <f>IFERROR(VLOOKUP(A71,[1]Biogasudbytte!$A$2:$B$18,2,FALSE)*[1]Energiindhold!$C$10,0)*K71*IFERROR(VLOOKUP(A71,Biogasanlæg!$F$3:$G$8,2,FALSE),1)</f>
        <v>0</v>
      </c>
      <c r="U71" s="170">
        <f t="shared" si="21"/>
        <v>2.9040958830314265</v>
      </c>
      <c r="V71" s="169">
        <f>P71*IFERROR(VLOOKUP(A71,[1]Tørstofindhold!A$2:B$24,2,FALSE),0)</f>
        <v>281487.11690468527</v>
      </c>
      <c r="W71">
        <f>IF(F71=År1,Q71,SUM(P71,Q71))*IFERROR(VLOOKUP(A71,[1]Tørstofindhold!A$2:B$24,2,FALSE),0)</f>
        <v>281487.11690468527</v>
      </c>
      <c r="X71">
        <f>K71*IFERROR(VLOOKUP(A71,[1]Tørstofindhold!A$2:B$24,2,FALSE),0)</f>
        <v>0</v>
      </c>
      <c r="Y71" s="170">
        <f t="shared" si="22"/>
        <v>281487.11690468527</v>
      </c>
      <c r="Z71">
        <f t="shared" si="16"/>
        <v>0</v>
      </c>
      <c r="AA71">
        <f t="shared" si="17"/>
        <v>1</v>
      </c>
      <c r="AC71" s="94">
        <f t="shared" si="23"/>
        <v>670207.42120163166</v>
      </c>
      <c r="AD71">
        <f>AC71*E71*10000*VLOOKUP(A71,[1]kcal!$A$2:$C$49,3,FALSE)/1000000000000*IFERROR(VLOOKUP(A71,'Kategorisering af kcal'!$A$2:$E$18,MATCH('Produktion &amp; forbrug'!F71,'Kategorisering af kcal'!$A$1:$E$1,0),FALSE),0)</f>
        <v>0</v>
      </c>
      <c r="AE71">
        <f>IF(C71&lt;&gt;"",AC71*(1-VLOOKUP(A71,'Kategorisering af kcal'!$A$2:$E$18,MATCH('Produktion &amp; forbrug'!F71,'Kategorisering af kcal'!$A$1:$E$1,0),FALSE)),'Produktion &amp; forbrug'!AC71)</f>
        <v>670207.42120163166</v>
      </c>
      <c r="AF71" s="94">
        <f t="shared" si="24"/>
        <v>0</v>
      </c>
    </row>
    <row r="72" spans="1:32" x14ac:dyDescent="0.25">
      <c r="A72" s="171" t="str">
        <f t="shared" si="12"/>
        <v>Juletræer</v>
      </c>
      <c r="B72" s="171" t="str">
        <f t="shared" si="13"/>
        <v/>
      </c>
      <c r="C72" s="171" t="str">
        <f>IFERROR(VLOOKUP(A72,'Kategorisering af kcal'!$A$2:$B$18,2,FALSE),"")</f>
        <v/>
      </c>
      <c r="D72" s="171">
        <f>IF(COUNTIFS('Resultater - Danmark'!$D$3:$D$504,'Produktion &amp; forbrug'!A72,'Resultater - Danmark'!$A$3:$A$504,"Til energi")+COUNTIFS('Resultater - Danmark'!$D$3:$D$504,'Produktion &amp; forbrug'!A72,'Resultater - Danmark'!$A$3:$A$504,"Biogasanlæg")&gt;0,1,0)</f>
        <v>0</v>
      </c>
      <c r="E72" s="171">
        <f t="shared" si="15"/>
        <v>0</v>
      </c>
      <c r="F72" s="171">
        <f t="shared" si="14"/>
        <v>2030</v>
      </c>
      <c r="G72" s="94">
        <f>SUMIFS('Resultat-Produktion &amp; forbrug'!G$4:G$291,'Resultat-Produktion &amp; forbrug'!$A$4:$A$291,'Produktion &amp; forbrug'!$A72,'Resultat-Produktion &amp; forbrug'!$E$4:$E$291,'Produktion &amp; forbrug'!$F72)</f>
        <v>887583.7004243203</v>
      </c>
      <c r="H72" s="94">
        <f>SUMIFS('Resultat-Produktion &amp; forbrug'!H$4:H$291,'Resultat-Produktion &amp; forbrug'!$A$4:$A$291,'Produktion &amp; forbrug'!$A72,'Resultat-Produktion &amp; forbrug'!$E$4:$E$291,'Produktion &amp; forbrug'!$F72)</f>
        <v>0</v>
      </c>
      <c r="I72" s="94">
        <f>SUMIFS('Resultat-Produktion &amp; forbrug'!I$4:I$291,'Resultat-Produktion &amp; forbrug'!$A$4:$A$291,'Produktion &amp; forbrug'!$A72,'Resultat-Produktion &amp; forbrug'!$E$4:$E$291,'Produktion &amp; forbrug'!$F72)</f>
        <v>0</v>
      </c>
      <c r="J72" s="94">
        <f>SUMIFS('Resultat-Produktion &amp; forbrug'!J$4:J$291,'Resultat-Produktion &amp; forbrug'!$A$4:$A$291,'Produktion &amp; forbrug'!$A72,'Resultat-Produktion &amp; forbrug'!$E$4:$E$291,'Produktion &amp; forbrug'!$F72)</f>
        <v>0</v>
      </c>
      <c r="K72" s="94">
        <f>SUMIFS('Resultat-Produktion &amp; forbrug'!K$4:K$291,'Resultat-Produktion &amp; forbrug'!$A$4:$A$291,'Produktion &amp; forbrug'!$A72,'Resultat-Produktion &amp; forbrug'!$E$4:$E$291,'Produktion &amp; forbrug'!$F72)</f>
        <v>0</v>
      </c>
      <c r="L72" s="94">
        <f>SUMIFS('Resultat-Produktion &amp; forbrug'!L$4:L$291,'Resultat-Produktion &amp; forbrug'!$A$4:$A$291,'Produktion &amp; forbrug'!$A72,'Resultat-Produktion &amp; forbrug'!$E$4:$E$291,'Produktion &amp; forbrug'!$F72)</f>
        <v>0</v>
      </c>
      <c r="M72" s="94">
        <f>SUMIFS('Resultat-Produktion &amp; forbrug'!M$4:M$291,'Resultat-Produktion &amp; forbrug'!$A$4:$A$291,'Produktion &amp; forbrug'!$A72,'Resultat-Produktion &amp; forbrug'!$E$4:$E$291,'Produktion &amp; forbrug'!$F72)</f>
        <v>0</v>
      </c>
      <c r="N72" s="94">
        <f>SUMIFS('Resultat-Produktion &amp; forbrug'!N$4:N$291,'Resultat-Produktion &amp; forbrug'!$A$4:$A$291,'Produktion &amp; forbrug'!$A72,'Resultat-Produktion &amp; forbrug'!$E$4:$E$291,'Produktion &amp; forbrug'!$F72)</f>
        <v>0</v>
      </c>
      <c r="O72" s="179">
        <f t="shared" si="18"/>
        <v>887583.7004243203</v>
      </c>
      <c r="P72" s="94">
        <f t="shared" si="19"/>
        <v>0</v>
      </c>
      <c r="Q72" s="180">
        <f t="shared" si="20"/>
        <v>0</v>
      </c>
      <c r="R72">
        <f>IFERROR(VLOOKUP(A72,[1]Energiindhold!$A$2:$C$11,3,FALSE),IFERROR(VLOOKUP(A72,[1]Biogasudbytte!$A$2:$B$18,2,FALSE)*[1]Energiindhold!$C$10,0))*P72</f>
        <v>0</v>
      </c>
      <c r="S72">
        <f>IF(A72&lt;&gt;"Biogas",IFERROR(VLOOKUP(A72,[1]Biogasudbytte!$A$2:$B$18,2,FALSE)*[1]Energiindhold!$C$10,0)*K72*IFERROR(VLOOKUP(A72,Biogasanlæg!$F$3:$G$8,2,FALSE),1)+IFERROR(VLOOKUP(A72,[1]Energiindhold!$A$2:$C$11,3,FALSE),0)*M72+IF(F72&lt;&gt;År1,R72,0),0)</f>
        <v>0</v>
      </c>
      <c r="T72">
        <f>IFERROR(VLOOKUP(A72,[1]Biogasudbytte!$A$2:$B$18,2,FALSE)*[1]Energiindhold!$C$10,0)*K72*IFERROR(VLOOKUP(A72,Biogasanlæg!$F$3:$G$8,2,FALSE),1)</f>
        <v>0</v>
      </c>
      <c r="U72" s="170">
        <f t="shared" si="21"/>
        <v>0</v>
      </c>
      <c r="V72" s="169">
        <f>P72*IFERROR(VLOOKUP(A72,[1]Tørstofindhold!A$2:B$24,2,FALSE),0)</f>
        <v>0</v>
      </c>
      <c r="W72">
        <f>IF(F72=År1,Q72,SUM(P72,Q72))*IFERROR(VLOOKUP(A72,[1]Tørstofindhold!A$2:B$24,2,FALSE),0)</f>
        <v>0</v>
      </c>
      <c r="X72">
        <f>K72*IFERROR(VLOOKUP(A72,[1]Tørstofindhold!A$2:B$24,2,FALSE),0)</f>
        <v>0</v>
      </c>
      <c r="Y72" s="170">
        <f t="shared" si="22"/>
        <v>0</v>
      </c>
      <c r="Z72">
        <f t="shared" si="16"/>
        <v>0</v>
      </c>
      <c r="AA72">
        <f t="shared" si="17"/>
        <v>1</v>
      </c>
      <c r="AC72" s="94">
        <f t="shared" si="23"/>
        <v>887583.7004243203</v>
      </c>
      <c r="AD72">
        <f>AC72*E72*10000*VLOOKUP(A72,[1]kcal!$A$2:$C$49,3,FALSE)/1000000000000*IFERROR(VLOOKUP(A72,'Kategorisering af kcal'!$A$2:$E$18,MATCH('Produktion &amp; forbrug'!F72,'Kategorisering af kcal'!$A$1:$E$1,0),FALSE),0)</f>
        <v>0</v>
      </c>
      <c r="AE72">
        <f>IF(C72&lt;&gt;"",AC72*(1-VLOOKUP(A72,'Kategorisering af kcal'!$A$2:$E$18,MATCH('Produktion &amp; forbrug'!F72,'Kategorisering af kcal'!$A$1:$E$1,0),FALSE)),'Produktion &amp; forbrug'!AC72)</f>
        <v>887583.7004243203</v>
      </c>
      <c r="AF72" s="94">
        <f t="shared" si="24"/>
        <v>0</v>
      </c>
    </row>
    <row r="73" spans="1:32" x14ac:dyDescent="0.25">
      <c r="A73" s="171" t="str">
        <f t="shared" si="12"/>
        <v>Kartofler</v>
      </c>
      <c r="B73" s="171" t="str">
        <f t="shared" si="13"/>
        <v/>
      </c>
      <c r="C73" s="171" t="str">
        <f>IFERROR(VLOOKUP(A73,'Kategorisering af kcal'!$A$2:$B$18,2,FALSE),"")</f>
        <v>Kartofler</v>
      </c>
      <c r="D73" s="171">
        <f>IF(COUNTIFS('Resultater - Danmark'!$D$3:$D$504,'Produktion &amp; forbrug'!A73,'Resultater - Danmark'!$A$3:$A$504,"Til energi")+COUNTIFS('Resultater - Danmark'!$D$3:$D$504,'Produktion &amp; forbrug'!A73,'Resultater - Danmark'!$A$3:$A$504,"Biogasanlæg")&gt;0,1,0)</f>
        <v>0</v>
      </c>
      <c r="E73" s="171">
        <f t="shared" si="15"/>
        <v>1</v>
      </c>
      <c r="F73" s="171">
        <f t="shared" si="14"/>
        <v>2030</v>
      </c>
      <c r="G73" s="94">
        <f>SUMIFS('Resultat-Produktion &amp; forbrug'!G$4:G$291,'Resultat-Produktion &amp; forbrug'!$A$4:$A$291,'Produktion &amp; forbrug'!$A73,'Resultat-Produktion &amp; forbrug'!$E$4:$E$291,'Produktion &amp; forbrug'!$F73)</f>
        <v>3294694.3063373538</v>
      </c>
      <c r="H73" s="94">
        <f>SUMIFS('Resultat-Produktion &amp; forbrug'!H$4:H$291,'Resultat-Produktion &amp; forbrug'!$A$4:$A$291,'Produktion &amp; forbrug'!$A73,'Resultat-Produktion &amp; forbrug'!$E$4:$E$291,'Produktion &amp; forbrug'!$F73)</f>
        <v>852117.16041507828</v>
      </c>
      <c r="I73" s="94">
        <f>SUMIFS('Resultat-Produktion &amp; forbrug'!I$4:I$291,'Resultat-Produktion &amp; forbrug'!$A$4:$A$291,'Produktion &amp; forbrug'!$A73,'Resultat-Produktion &amp; forbrug'!$E$4:$E$291,'Produktion &amp; forbrug'!$F73)</f>
        <v>0</v>
      </c>
      <c r="J73" s="94">
        <f>SUMIFS('Resultat-Produktion &amp; forbrug'!J$4:J$291,'Resultat-Produktion &amp; forbrug'!$A$4:$A$291,'Produktion &amp; forbrug'!$A73,'Resultat-Produktion &amp; forbrug'!$E$4:$E$291,'Produktion &amp; forbrug'!$F73)</f>
        <v>0</v>
      </c>
      <c r="K73" s="94">
        <f>SUMIFS('Resultat-Produktion &amp; forbrug'!K$4:K$291,'Resultat-Produktion &amp; forbrug'!$A$4:$A$291,'Produktion &amp; forbrug'!$A73,'Resultat-Produktion &amp; forbrug'!$E$4:$E$291,'Produktion &amp; forbrug'!$F73)</f>
        <v>0</v>
      </c>
      <c r="L73" s="94">
        <f>SUMIFS('Resultat-Produktion &amp; forbrug'!L$4:L$291,'Resultat-Produktion &amp; forbrug'!$A$4:$A$291,'Produktion &amp; forbrug'!$A73,'Resultat-Produktion &amp; forbrug'!$E$4:$E$291,'Produktion &amp; forbrug'!$F73)</f>
        <v>0</v>
      </c>
      <c r="M73" s="94">
        <f>SUMIFS('Resultat-Produktion &amp; forbrug'!M$4:M$291,'Resultat-Produktion &amp; forbrug'!$A$4:$A$291,'Produktion &amp; forbrug'!$A73,'Resultat-Produktion &amp; forbrug'!$E$4:$E$291,'Produktion &amp; forbrug'!$F73)</f>
        <v>0</v>
      </c>
      <c r="N73" s="94">
        <f>SUMIFS('Resultat-Produktion &amp; forbrug'!N$4:N$291,'Resultat-Produktion &amp; forbrug'!$A$4:$A$291,'Produktion &amp; forbrug'!$A73,'Resultat-Produktion &amp; forbrug'!$E$4:$E$291,'Produktion &amp; forbrug'!$F73)</f>
        <v>0</v>
      </c>
      <c r="O73" s="179">
        <f t="shared" si="18"/>
        <v>2442577.1459222753</v>
      </c>
      <c r="P73" s="94">
        <f t="shared" si="19"/>
        <v>0</v>
      </c>
      <c r="Q73" s="180">
        <f t="shared" si="20"/>
        <v>0</v>
      </c>
      <c r="R73">
        <f>IFERROR(VLOOKUP(A73,[1]Energiindhold!$A$2:$C$11,3,FALSE),IFERROR(VLOOKUP(A73,[1]Biogasudbytte!$A$2:$B$18,2,FALSE)*[1]Energiindhold!$C$10,0))*P73</f>
        <v>0</v>
      </c>
      <c r="S73">
        <f>IF(A73&lt;&gt;"Biogas",IFERROR(VLOOKUP(A73,[1]Biogasudbytte!$A$2:$B$18,2,FALSE)*[1]Energiindhold!$C$10,0)*K73*IFERROR(VLOOKUP(A73,Biogasanlæg!$F$3:$G$8,2,FALSE),1)+IFERROR(VLOOKUP(A73,[1]Energiindhold!$A$2:$C$11,3,FALSE),0)*M73+IF(F73&lt;&gt;År1,R73,0),0)</f>
        <v>0</v>
      </c>
      <c r="T73">
        <f>IFERROR(VLOOKUP(A73,[1]Biogasudbytte!$A$2:$B$18,2,FALSE)*[1]Energiindhold!$C$10,0)*K73*IFERROR(VLOOKUP(A73,Biogasanlæg!$F$3:$G$8,2,FALSE),1)</f>
        <v>0</v>
      </c>
      <c r="U73" s="170">
        <f t="shared" si="21"/>
        <v>0</v>
      </c>
      <c r="V73" s="169">
        <f>P73*IFERROR(VLOOKUP(A73,[1]Tørstofindhold!A$2:B$24,2,FALSE),0)</f>
        <v>0</v>
      </c>
      <c r="W73">
        <f>IF(F73=År1,Q73,SUM(P73,Q73))*IFERROR(VLOOKUP(A73,[1]Tørstofindhold!A$2:B$24,2,FALSE),0)</f>
        <v>0</v>
      </c>
      <c r="X73">
        <f>K73*IFERROR(VLOOKUP(A73,[1]Tørstofindhold!A$2:B$24,2,FALSE),0)</f>
        <v>0</v>
      </c>
      <c r="Y73" s="170">
        <f t="shared" si="22"/>
        <v>0</v>
      </c>
      <c r="Z73">
        <f t="shared" si="16"/>
        <v>0</v>
      </c>
      <c r="AA73">
        <f t="shared" si="17"/>
        <v>1</v>
      </c>
      <c r="AC73" s="94">
        <f t="shared" si="23"/>
        <v>2442577.1459222753</v>
      </c>
      <c r="AD73">
        <f>AC73*E73*10000*VLOOKUP(A73,[1]kcal!$A$2:$C$49,3,FALSE)/1000000000000*IFERROR(VLOOKUP(A73,'Kategorisering af kcal'!$A$2:$E$18,MATCH('Produktion &amp; forbrug'!F73,'Kategorisering af kcal'!$A$1:$E$1,0),FALSE),0)</f>
        <v>1.9052101738193745</v>
      </c>
      <c r="AE73">
        <f>IF(C73&lt;&gt;"",AC73*(1-VLOOKUP(A73,'Kategorisering af kcal'!$A$2:$E$18,MATCH('Produktion &amp; forbrug'!F73,'Kategorisering af kcal'!$A$1:$E$1,0),FALSE)),'Produktion &amp; forbrug'!AC73)</f>
        <v>0</v>
      </c>
      <c r="AF73" s="94">
        <f t="shared" si="24"/>
        <v>2442577.1459222753</v>
      </c>
    </row>
    <row r="74" spans="1:32" x14ac:dyDescent="0.25">
      <c r="A74" s="171" t="str">
        <f t="shared" si="12"/>
        <v>Korn</v>
      </c>
      <c r="B74" s="171" t="str">
        <f t="shared" si="13"/>
        <v>Halm og strå</v>
      </c>
      <c r="C74" s="171" t="str">
        <f>IFERROR(VLOOKUP(A74,'Kategorisering af kcal'!$A$2:$B$18,2,FALSE),"")</f>
        <v>Korn</v>
      </c>
      <c r="D74" s="171">
        <f>IF(COUNTIFS('Resultater - Danmark'!$D$3:$D$504,'Produktion &amp; forbrug'!A74,'Resultater - Danmark'!$A$3:$A$504,"Til energi")+COUNTIFS('Resultater - Danmark'!$D$3:$D$504,'Produktion &amp; forbrug'!A74,'Resultater - Danmark'!$A$3:$A$504,"Biogasanlæg")&gt;0,1,0)</f>
        <v>1</v>
      </c>
      <c r="E74" s="171">
        <f t="shared" si="15"/>
        <v>1</v>
      </c>
      <c r="F74" s="171">
        <f t="shared" si="14"/>
        <v>2030</v>
      </c>
      <c r="G74" s="94">
        <f>SUMIFS('Resultat-Produktion &amp; forbrug'!G$4:G$291,'Resultat-Produktion &amp; forbrug'!$A$4:$A$291,'Produktion &amp; forbrug'!$A74,'Resultat-Produktion &amp; forbrug'!$E$4:$E$291,'Produktion &amp; forbrug'!$F74)</f>
        <v>6125005.1879481785</v>
      </c>
      <c r="H74" s="94">
        <f>SUMIFS('Resultat-Produktion &amp; forbrug'!H$4:H$291,'Resultat-Produktion &amp; forbrug'!$A$4:$A$291,'Produktion &amp; forbrug'!$A74,'Resultat-Produktion &amp; forbrug'!$E$4:$E$291,'Produktion &amp; forbrug'!$F74)</f>
        <v>3634588.4159995825</v>
      </c>
      <c r="I74" s="94">
        <f>SUMIFS('Resultat-Produktion &amp; forbrug'!I$4:I$291,'Resultat-Produktion &amp; forbrug'!$A$4:$A$291,'Produktion &amp; forbrug'!$A74,'Resultat-Produktion &amp; forbrug'!$E$4:$E$291,'Produktion &amp; forbrug'!$F74)</f>
        <v>0</v>
      </c>
      <c r="J74" s="94">
        <f>SUMIFS('Resultat-Produktion &amp; forbrug'!J$4:J$291,'Resultat-Produktion &amp; forbrug'!$A$4:$A$291,'Produktion &amp; forbrug'!$A74,'Resultat-Produktion &amp; forbrug'!$E$4:$E$291,'Produktion &amp; forbrug'!$F74)</f>
        <v>0</v>
      </c>
      <c r="K74" s="94">
        <f>SUMIFS('Resultat-Produktion &amp; forbrug'!K$4:K$291,'Resultat-Produktion &amp; forbrug'!$A$4:$A$291,'Produktion &amp; forbrug'!$A74,'Resultat-Produktion &amp; forbrug'!$E$4:$E$291,'Produktion &amp; forbrug'!$F74)</f>
        <v>0</v>
      </c>
      <c r="L74" s="94">
        <f>SUMIFS('Resultat-Produktion &amp; forbrug'!L$4:L$291,'Resultat-Produktion &amp; forbrug'!$A$4:$A$291,'Produktion &amp; forbrug'!$A74,'Resultat-Produktion &amp; forbrug'!$E$4:$E$291,'Produktion &amp; forbrug'!$F74)</f>
        <v>0</v>
      </c>
      <c r="M74" s="94">
        <f>SUMIFS('Resultat-Produktion &amp; forbrug'!M$4:M$291,'Resultat-Produktion &amp; forbrug'!$A$4:$A$291,'Produktion &amp; forbrug'!$A74,'Resultat-Produktion &amp; forbrug'!$E$4:$E$291,'Produktion &amp; forbrug'!$F74)</f>
        <v>0</v>
      </c>
      <c r="N74" s="94">
        <f>SUMIFS('Resultat-Produktion &amp; forbrug'!N$4:N$291,'Resultat-Produktion &amp; forbrug'!$A$4:$A$291,'Produktion &amp; forbrug'!$A74,'Resultat-Produktion &amp; forbrug'!$E$4:$E$291,'Produktion &amp; forbrug'!$F74)</f>
        <v>0</v>
      </c>
      <c r="O74" s="179">
        <f t="shared" si="18"/>
        <v>2490416.771948596</v>
      </c>
      <c r="P74" s="94">
        <f t="shared" si="19"/>
        <v>2490416.771948596</v>
      </c>
      <c r="Q74" s="180">
        <f t="shared" si="20"/>
        <v>0</v>
      </c>
      <c r="R74">
        <f>IFERROR(VLOOKUP(A74,[1]Energiindhold!$A$2:$C$11,3,FALSE),IFERROR(VLOOKUP(A74,[1]Biogasudbytte!$A$2:$B$18,2,FALSE)*[1]Energiindhold!$C$10,0))*P74</f>
        <v>8.5293287855758706</v>
      </c>
      <c r="S74">
        <f>IF(A74&lt;&gt;"Biogas",IFERROR(VLOOKUP(A74,[1]Biogasudbytte!$A$2:$B$18,2,FALSE)*[1]Energiindhold!$C$10,0)*K74*IFERROR(VLOOKUP(A74,Biogasanlæg!$F$3:$G$8,2,FALSE),1)+IFERROR(VLOOKUP(A74,[1]Energiindhold!$A$2:$C$11,3,FALSE),0)*M74+IF(F74&lt;&gt;År1,R74,0),0)</f>
        <v>8.5293287855758706</v>
      </c>
      <c r="T74">
        <f>IFERROR(VLOOKUP(A74,[1]Biogasudbytte!$A$2:$B$18,2,FALSE)*[1]Energiindhold!$C$10,0)*K74*IFERROR(VLOOKUP(A74,Biogasanlæg!$F$3:$G$8,2,FALSE),1)</f>
        <v>0</v>
      </c>
      <c r="U74" s="170">
        <f t="shared" si="21"/>
        <v>8.5293287855758706</v>
      </c>
      <c r="V74" s="169">
        <f>P74*IFERROR(VLOOKUP(A74,[1]Tørstofindhold!A$2:B$24,2,FALSE),0)</f>
        <v>772029.19930406474</v>
      </c>
      <c r="W74">
        <f>IF(F74=År1,Q74,SUM(P74,Q74))*IFERROR(VLOOKUP(A74,[1]Tørstofindhold!A$2:B$24,2,FALSE),0)</f>
        <v>772029.19930406474</v>
      </c>
      <c r="X74">
        <f>K74*IFERROR(VLOOKUP(A74,[1]Tørstofindhold!A$2:B$24,2,FALSE),0)</f>
        <v>0</v>
      </c>
      <c r="Y74" s="170">
        <f t="shared" si="22"/>
        <v>772029.19930406474</v>
      </c>
      <c r="Z74">
        <f t="shared" si="16"/>
        <v>0</v>
      </c>
      <c r="AA74">
        <f t="shared" si="17"/>
        <v>1</v>
      </c>
      <c r="AC74" s="94">
        <f t="shared" si="23"/>
        <v>2490416.771948596</v>
      </c>
      <c r="AD74">
        <f>AC74*E74*10000*VLOOKUP(A74,[1]kcal!$A$2:$C$49,3,FALSE)/1000000000000*IFERROR(VLOOKUP(A74,'Kategorisering af kcal'!$A$2:$E$18,MATCH('Produktion &amp; forbrug'!F74,'Kategorisering af kcal'!$A$1:$E$1,0),FALSE),0)</f>
        <v>5.7880744407467297</v>
      </c>
      <c r="AE74">
        <f>IF(C74&lt;&gt;"",AC74*(1-VLOOKUP(A74,'Kategorisering af kcal'!$A$2:$E$18,MATCH('Produktion &amp; forbrug'!F74,'Kategorisering af kcal'!$A$1:$E$1,0),FALSE)),'Produktion &amp; forbrug'!AC74)</f>
        <v>0</v>
      </c>
      <c r="AF74" s="94">
        <f t="shared" si="24"/>
        <v>2490416.771948596</v>
      </c>
    </row>
    <row r="75" spans="1:32" x14ac:dyDescent="0.25">
      <c r="A75" s="171" t="str">
        <f t="shared" si="12"/>
        <v>Kunstgødning</v>
      </c>
      <c r="B75" s="171" t="str">
        <f t="shared" si="13"/>
        <v/>
      </c>
      <c r="C75" s="171" t="str">
        <f>IFERROR(VLOOKUP(A75,'Kategorisering af kcal'!$A$2:$B$18,2,FALSE),"")</f>
        <v/>
      </c>
      <c r="D75" s="171">
        <f>IF(COUNTIFS('Resultater - Danmark'!$D$3:$D$504,'Produktion &amp; forbrug'!A75,'Resultater - Danmark'!$A$3:$A$504,"Til energi")+COUNTIFS('Resultater - Danmark'!$D$3:$D$504,'Produktion &amp; forbrug'!A75,'Resultater - Danmark'!$A$3:$A$504,"Biogasanlæg")&gt;0,1,0)</f>
        <v>0</v>
      </c>
      <c r="E75" s="171">
        <f t="shared" si="15"/>
        <v>0</v>
      </c>
      <c r="F75" s="171">
        <f t="shared" si="14"/>
        <v>2030</v>
      </c>
      <c r="G75" s="94">
        <f>SUMIFS('Resultat-Produktion &amp; forbrug'!G$4:G$291,'Resultat-Produktion &amp; forbrug'!$A$4:$A$291,'Produktion &amp; forbrug'!$A75,'Resultat-Produktion &amp; forbrug'!$E$4:$E$291,'Produktion &amp; forbrug'!$F75)</f>
        <v>0</v>
      </c>
      <c r="H75" s="94">
        <f>SUMIFS('Resultat-Produktion &amp; forbrug'!H$4:H$291,'Resultat-Produktion &amp; forbrug'!$A$4:$A$291,'Produktion &amp; forbrug'!$A75,'Resultat-Produktion &amp; forbrug'!$E$4:$E$291,'Produktion &amp; forbrug'!$F75)</f>
        <v>0</v>
      </c>
      <c r="I75" s="94">
        <f>SUMIFS('Resultat-Produktion &amp; forbrug'!I$4:I$291,'Resultat-Produktion &amp; forbrug'!$A$4:$A$291,'Produktion &amp; forbrug'!$A75,'Resultat-Produktion &amp; forbrug'!$E$4:$E$291,'Produktion &amp; forbrug'!$F75)</f>
        <v>0</v>
      </c>
      <c r="J75" s="94">
        <f>SUMIFS('Resultat-Produktion &amp; forbrug'!J$4:J$291,'Resultat-Produktion &amp; forbrug'!$A$4:$A$291,'Produktion &amp; forbrug'!$A75,'Resultat-Produktion &amp; forbrug'!$E$4:$E$291,'Produktion &amp; forbrug'!$F75)</f>
        <v>0</v>
      </c>
      <c r="K75" s="94">
        <f>SUMIFS('Resultat-Produktion &amp; forbrug'!K$4:K$291,'Resultat-Produktion &amp; forbrug'!$A$4:$A$291,'Produktion &amp; forbrug'!$A75,'Resultat-Produktion &amp; forbrug'!$E$4:$E$291,'Produktion &amp; forbrug'!$F75)</f>
        <v>0</v>
      </c>
      <c r="L75" s="94">
        <f ca="1">SUMIFS('Resultat-Produktion &amp; forbrug'!L$4:L$291,'Resultat-Produktion &amp; forbrug'!$A$4:$A$291,'Produktion &amp; forbrug'!$A75,'Resultat-Produktion &amp; forbrug'!$E$4:$E$291,'Produktion &amp; forbrug'!$F75)</f>
        <v>1061273.146936445</v>
      </c>
      <c r="M75" s="94">
        <f>SUMIFS('Resultat-Produktion &amp; forbrug'!M$4:M$291,'Resultat-Produktion &amp; forbrug'!$A$4:$A$291,'Produktion &amp; forbrug'!$A75,'Resultat-Produktion &amp; forbrug'!$E$4:$E$291,'Produktion &amp; forbrug'!$F75)</f>
        <v>0</v>
      </c>
      <c r="N75" s="94">
        <f>SUMIFS('Resultat-Produktion &amp; forbrug'!N$4:N$291,'Resultat-Produktion &amp; forbrug'!$A$4:$A$291,'Produktion &amp; forbrug'!$A75,'Resultat-Produktion &amp; forbrug'!$E$4:$E$291,'Produktion &amp; forbrug'!$F75)</f>
        <v>0</v>
      </c>
      <c r="O75" s="179">
        <f t="shared" ca="1" si="18"/>
        <v>-1061273.146936445</v>
      </c>
      <c r="P75" s="94">
        <f t="shared" si="19"/>
        <v>0</v>
      </c>
      <c r="Q75" s="180">
        <f t="shared" si="20"/>
        <v>0</v>
      </c>
      <c r="R75">
        <f>IFERROR(VLOOKUP(A75,[1]Energiindhold!$A$2:$C$11,3,FALSE),IFERROR(VLOOKUP(A75,[1]Biogasudbytte!$A$2:$B$18,2,FALSE)*[1]Energiindhold!$C$10,0))*P75</f>
        <v>0</v>
      </c>
      <c r="S75">
        <f>IF(A75&lt;&gt;"Biogas",IFERROR(VLOOKUP(A75,[1]Biogasudbytte!$A$2:$B$18,2,FALSE)*[1]Energiindhold!$C$10,0)*K75*IFERROR(VLOOKUP(A75,Biogasanlæg!$F$3:$G$8,2,FALSE),1)+IFERROR(VLOOKUP(A75,[1]Energiindhold!$A$2:$C$11,3,FALSE),0)*M75+IF(F75&lt;&gt;År1,R75,0),0)</f>
        <v>0</v>
      </c>
      <c r="T75">
        <f>IFERROR(VLOOKUP(A75,[1]Biogasudbytte!$A$2:$B$18,2,FALSE)*[1]Energiindhold!$C$10,0)*K75*IFERROR(VLOOKUP(A75,Biogasanlæg!$F$3:$G$8,2,FALSE),1)</f>
        <v>0</v>
      </c>
      <c r="U75" s="170">
        <f t="shared" si="21"/>
        <v>0</v>
      </c>
      <c r="V75" s="169">
        <f>P75*IFERROR(VLOOKUP(A75,[1]Tørstofindhold!A$2:B$24,2,FALSE),0)</f>
        <v>0</v>
      </c>
      <c r="W75">
        <f>IF(F75=År1,Q75,SUM(P75,Q75))*IFERROR(VLOOKUP(A75,[1]Tørstofindhold!A$2:B$24,2,FALSE),0)</f>
        <v>0</v>
      </c>
      <c r="X75">
        <f>K75*IFERROR(VLOOKUP(A75,[1]Tørstofindhold!A$2:B$24,2,FALSE),0)</f>
        <v>0</v>
      </c>
      <c r="Y75" s="170">
        <f t="shared" si="22"/>
        <v>0</v>
      </c>
      <c r="Z75">
        <f t="shared" ca="1" si="16"/>
        <v>1</v>
      </c>
      <c r="AA75">
        <f t="shared" ca="1" si="17"/>
        <v>0</v>
      </c>
      <c r="AC75" s="94">
        <f t="shared" ca="1" si="23"/>
        <v>-1061273.146936445</v>
      </c>
      <c r="AD75">
        <f ca="1">AC75*E75*10000*VLOOKUP(A75,[1]kcal!$A$2:$C$49,3,FALSE)/1000000000000*IFERROR(VLOOKUP(A75,'Kategorisering af kcal'!$A$2:$E$18,MATCH('Produktion &amp; forbrug'!F75,'Kategorisering af kcal'!$A$1:$E$1,0),FALSE),0)</f>
        <v>0</v>
      </c>
      <c r="AE75">
        <f ca="1">IF(C75&lt;&gt;"",AC75*(1-VLOOKUP(A75,'Kategorisering af kcal'!$A$2:$E$18,MATCH('Produktion &amp; forbrug'!F75,'Kategorisering af kcal'!$A$1:$E$1,0),FALSE)),'Produktion &amp; forbrug'!AC75)</f>
        <v>-1061273.146936445</v>
      </c>
      <c r="AF75" s="94">
        <f t="shared" ca="1" si="24"/>
        <v>0</v>
      </c>
    </row>
    <row r="76" spans="1:32" x14ac:dyDescent="0.25">
      <c r="A76" s="171" t="str">
        <f t="shared" si="12"/>
        <v>Kvæggylle</v>
      </c>
      <c r="B76" s="171" t="str">
        <f t="shared" si="13"/>
        <v>Husdyrgødning</v>
      </c>
      <c r="C76" s="171" t="str">
        <f>IFERROR(VLOOKUP(A76,'Kategorisering af kcal'!$A$2:$B$18,2,FALSE),"")</f>
        <v/>
      </c>
      <c r="D76" s="171">
        <f>IF(COUNTIFS('Resultater - Danmark'!$D$3:$D$504,'Produktion &amp; forbrug'!A76,'Resultater - Danmark'!$A$3:$A$504,"Til energi")+COUNTIFS('Resultater - Danmark'!$D$3:$D$504,'Produktion &amp; forbrug'!A76,'Resultater - Danmark'!$A$3:$A$504,"Biogasanlæg")&gt;0,1,0)</f>
        <v>1</v>
      </c>
      <c r="E76" s="171">
        <f t="shared" si="15"/>
        <v>0</v>
      </c>
      <c r="F76" s="171">
        <f t="shared" si="14"/>
        <v>2030</v>
      </c>
      <c r="G76" s="94">
        <f>SUMIFS('Resultat-Produktion &amp; forbrug'!G$4:G$291,'Resultat-Produktion &amp; forbrug'!$A$4:$A$291,'Produktion &amp; forbrug'!$A76,'Resultat-Produktion &amp; forbrug'!$E$4:$E$291,'Produktion &amp; forbrug'!$F76)</f>
        <v>6499414.3955516573</v>
      </c>
      <c r="H76" s="94">
        <f>SUMIFS('Resultat-Produktion &amp; forbrug'!H$4:H$291,'Resultat-Produktion &amp; forbrug'!$A$4:$A$291,'Produktion &amp; forbrug'!$A76,'Resultat-Produktion &amp; forbrug'!$E$4:$E$291,'Produktion &amp; forbrug'!$F76)</f>
        <v>0</v>
      </c>
      <c r="I76" s="94">
        <f>SUMIFS('Resultat-Produktion &amp; forbrug'!I$4:I$291,'Resultat-Produktion &amp; forbrug'!$A$4:$A$291,'Produktion &amp; forbrug'!$A76,'Resultat-Produktion &amp; forbrug'!$E$4:$E$291,'Produktion &amp; forbrug'!$F76)</f>
        <v>0</v>
      </c>
      <c r="J76" s="94">
        <f>SUMIFS('Resultat-Produktion &amp; forbrug'!J$4:J$291,'Resultat-Produktion &amp; forbrug'!$A$4:$A$291,'Produktion &amp; forbrug'!$A76,'Resultat-Produktion &amp; forbrug'!$E$4:$E$291,'Produktion &amp; forbrug'!$F76)</f>
        <v>0</v>
      </c>
      <c r="K76" s="94">
        <f>SUMIFS('Resultat-Produktion &amp; forbrug'!K$4:K$291,'Resultat-Produktion &amp; forbrug'!$A$4:$A$291,'Produktion &amp; forbrug'!$A76,'Resultat-Produktion &amp; forbrug'!$E$4:$E$291,'Produktion &amp; forbrug'!$F76)</f>
        <v>4874560.7966637425</v>
      </c>
      <c r="L76" s="94">
        <f>SUMIFS('Resultat-Produktion &amp; forbrug'!L$4:L$291,'Resultat-Produktion &amp; forbrug'!$A$4:$A$291,'Produktion &amp; forbrug'!$A76,'Resultat-Produktion &amp; forbrug'!$E$4:$E$291,'Produktion &amp; forbrug'!$F76)</f>
        <v>1624853.5988879143</v>
      </c>
      <c r="M76" s="94">
        <f>SUMIFS('Resultat-Produktion &amp; forbrug'!M$4:M$291,'Resultat-Produktion &amp; forbrug'!$A$4:$A$291,'Produktion &amp; forbrug'!$A76,'Resultat-Produktion &amp; forbrug'!$E$4:$E$291,'Produktion &amp; forbrug'!$F76)</f>
        <v>0</v>
      </c>
      <c r="N76" s="94">
        <f>SUMIFS('Resultat-Produktion &amp; forbrug'!N$4:N$291,'Resultat-Produktion &amp; forbrug'!$A$4:$A$291,'Produktion &amp; forbrug'!$A76,'Resultat-Produktion &amp; forbrug'!$E$4:$E$291,'Produktion &amp; forbrug'!$F76)</f>
        <v>0</v>
      </c>
      <c r="O76" s="179">
        <f t="shared" si="18"/>
        <v>0</v>
      </c>
      <c r="P76" s="94">
        <f t="shared" si="19"/>
        <v>0</v>
      </c>
      <c r="Q76" s="180">
        <f t="shared" si="20"/>
        <v>4874560.7966637425</v>
      </c>
      <c r="R76">
        <f>IFERROR(VLOOKUP(A76,[1]Energiindhold!$A$2:$C$11,3,FALSE),IFERROR(VLOOKUP(A76,[1]Biogasudbytte!$A$2:$B$18,2,FALSE)*[1]Energiindhold!$C$10,0))*P76</f>
        <v>0</v>
      </c>
      <c r="S76">
        <f>IF(A76&lt;&gt;"Biogas",IFERROR(VLOOKUP(A76,[1]Biogasudbytte!$A$2:$B$18,2,FALSE)*[1]Energiindhold!$C$10,0)*K76*IFERROR(VLOOKUP(A76,Biogasanlæg!$F$3:$G$8,2,FALSE),1)+IFERROR(VLOOKUP(A76,[1]Energiindhold!$A$2:$C$11,3,FALSE),0)*M76+IF(F76&lt;&gt;År1,R76,0),0)</f>
        <v>2.4674539296632201</v>
      </c>
      <c r="T76">
        <f>IFERROR(VLOOKUP(A76,[1]Biogasudbytte!$A$2:$B$18,2,FALSE)*[1]Energiindhold!$C$10,0)*K76*IFERROR(VLOOKUP(A76,Biogasanlæg!$F$3:$G$8,2,FALSE),1)</f>
        <v>2.4674539296632201</v>
      </c>
      <c r="U76" s="170">
        <f t="shared" si="21"/>
        <v>0</v>
      </c>
      <c r="V76" s="169">
        <f>P76*IFERROR(VLOOKUP(A76,[1]Tørstofindhold!A$2:B$24,2,FALSE),0)</f>
        <v>0</v>
      </c>
      <c r="W76">
        <f>IF(F76=År1,Q76,SUM(P76,Q76))*IFERROR(VLOOKUP(A76,[1]Tørstofindhold!A$2:B$24,2,FALSE),0)</f>
        <v>370466.62054644444</v>
      </c>
      <c r="X76">
        <f>K76*IFERROR(VLOOKUP(A76,[1]Tørstofindhold!A$2:B$24,2,FALSE),0)</f>
        <v>370466.62054644444</v>
      </c>
      <c r="Y76" s="170">
        <f t="shared" si="22"/>
        <v>0</v>
      </c>
      <c r="Z76">
        <f t="shared" si="16"/>
        <v>0</v>
      </c>
      <c r="AA76">
        <f t="shared" si="17"/>
        <v>0</v>
      </c>
      <c r="AC76" s="94">
        <f t="shared" si="23"/>
        <v>0</v>
      </c>
      <c r="AD76">
        <f>AC76*E76*10000*VLOOKUP(A76,[1]kcal!$A$2:$C$49,3,FALSE)/1000000000000*IFERROR(VLOOKUP(A76,'Kategorisering af kcal'!$A$2:$E$18,MATCH('Produktion &amp; forbrug'!F76,'Kategorisering af kcal'!$A$1:$E$1,0),FALSE),0)</f>
        <v>0</v>
      </c>
      <c r="AE76">
        <f>IF(C76&lt;&gt;"",AC76*(1-VLOOKUP(A76,'Kategorisering af kcal'!$A$2:$E$18,MATCH('Produktion &amp; forbrug'!F76,'Kategorisering af kcal'!$A$1:$E$1,0),FALSE)),'Produktion &amp; forbrug'!AC76)</f>
        <v>0</v>
      </c>
      <c r="AF76" s="94">
        <f t="shared" si="24"/>
        <v>0</v>
      </c>
    </row>
    <row r="77" spans="1:32" x14ac:dyDescent="0.25">
      <c r="A77" s="171" t="str">
        <f t="shared" si="12"/>
        <v>Mælk til foder</v>
      </c>
      <c r="B77" s="171" t="str">
        <f t="shared" si="13"/>
        <v/>
      </c>
      <c r="C77" s="171" t="str">
        <f>IFERROR(VLOOKUP(A77,'Kategorisering af kcal'!$A$2:$B$18,2,FALSE),"")</f>
        <v/>
      </c>
      <c r="D77" s="171">
        <f>IF(COUNTIFS('Resultater - Danmark'!$D$3:$D$504,'Produktion &amp; forbrug'!A77,'Resultater - Danmark'!$A$3:$A$504,"Til energi")+COUNTIFS('Resultater - Danmark'!$D$3:$D$504,'Produktion &amp; forbrug'!A77,'Resultater - Danmark'!$A$3:$A$504,"Biogasanlæg")&gt;0,1,0)</f>
        <v>0</v>
      </c>
      <c r="E77" s="171">
        <f t="shared" si="15"/>
        <v>0</v>
      </c>
      <c r="F77" s="171">
        <f t="shared" si="14"/>
        <v>2030</v>
      </c>
      <c r="G77" s="94">
        <f>SUMIFS('Resultat-Produktion &amp; forbrug'!G$4:G$291,'Resultat-Produktion &amp; forbrug'!$A$4:$A$291,'Produktion &amp; forbrug'!$A77,'Resultat-Produktion &amp; forbrug'!$E$4:$E$291,'Produktion &amp; forbrug'!$F77)</f>
        <v>756843.52817050298</v>
      </c>
      <c r="H77" s="94">
        <f>SUMIFS('Resultat-Produktion &amp; forbrug'!H$4:H$291,'Resultat-Produktion &amp; forbrug'!$A$4:$A$291,'Produktion &amp; forbrug'!$A77,'Resultat-Produktion &amp; forbrug'!$E$4:$E$291,'Produktion &amp; forbrug'!$F77)</f>
        <v>887594.72005904594</v>
      </c>
      <c r="I77" s="94">
        <f>SUMIFS('Resultat-Produktion &amp; forbrug'!I$4:I$291,'Resultat-Produktion &amp; forbrug'!$A$4:$A$291,'Produktion &amp; forbrug'!$A77,'Resultat-Produktion &amp; forbrug'!$E$4:$E$291,'Produktion &amp; forbrug'!$F77)</f>
        <v>0</v>
      </c>
      <c r="J77" s="94">
        <f>SUMIFS('Resultat-Produktion &amp; forbrug'!J$4:J$291,'Resultat-Produktion &amp; forbrug'!$A$4:$A$291,'Produktion &amp; forbrug'!$A77,'Resultat-Produktion &amp; forbrug'!$E$4:$E$291,'Produktion &amp; forbrug'!$F77)</f>
        <v>0</v>
      </c>
      <c r="K77" s="94">
        <f>SUMIFS('Resultat-Produktion &amp; forbrug'!K$4:K$291,'Resultat-Produktion &amp; forbrug'!$A$4:$A$291,'Produktion &amp; forbrug'!$A77,'Resultat-Produktion &amp; forbrug'!$E$4:$E$291,'Produktion &amp; forbrug'!$F77)</f>
        <v>0</v>
      </c>
      <c r="L77" s="94">
        <f>SUMIFS('Resultat-Produktion &amp; forbrug'!L$4:L$291,'Resultat-Produktion &amp; forbrug'!$A$4:$A$291,'Produktion &amp; forbrug'!$A77,'Resultat-Produktion &amp; forbrug'!$E$4:$E$291,'Produktion &amp; forbrug'!$F77)</f>
        <v>0</v>
      </c>
      <c r="M77" s="94">
        <f>SUMIFS('Resultat-Produktion &amp; forbrug'!M$4:M$291,'Resultat-Produktion &amp; forbrug'!$A$4:$A$291,'Produktion &amp; forbrug'!$A77,'Resultat-Produktion &amp; forbrug'!$E$4:$E$291,'Produktion &amp; forbrug'!$F77)</f>
        <v>0</v>
      </c>
      <c r="N77" s="94">
        <f>SUMIFS('Resultat-Produktion &amp; forbrug'!N$4:N$291,'Resultat-Produktion &amp; forbrug'!$A$4:$A$291,'Produktion &amp; forbrug'!$A77,'Resultat-Produktion &amp; forbrug'!$E$4:$E$291,'Produktion &amp; forbrug'!$F77)</f>
        <v>0</v>
      </c>
      <c r="O77" s="179">
        <f t="shared" si="18"/>
        <v>-130751.19188854296</v>
      </c>
      <c r="P77" s="94">
        <f t="shared" si="19"/>
        <v>0</v>
      </c>
      <c r="Q77" s="180">
        <f t="shared" si="20"/>
        <v>0</v>
      </c>
      <c r="R77">
        <f>IFERROR(VLOOKUP(A77,[1]Energiindhold!$A$2:$C$11,3,FALSE),IFERROR(VLOOKUP(A77,[1]Biogasudbytte!$A$2:$B$18,2,FALSE)*[1]Energiindhold!$C$10,0))*P77</f>
        <v>0</v>
      </c>
      <c r="S77">
        <f>IF(A77&lt;&gt;"Biogas",IFERROR(VLOOKUP(A77,[1]Biogasudbytte!$A$2:$B$18,2,FALSE)*[1]Energiindhold!$C$10,0)*K77*IFERROR(VLOOKUP(A77,Biogasanlæg!$F$3:$G$8,2,FALSE),1)+IFERROR(VLOOKUP(A77,[1]Energiindhold!$A$2:$C$11,3,FALSE),0)*M77+IF(F77&lt;&gt;År1,R77,0),0)</f>
        <v>0</v>
      </c>
      <c r="T77">
        <f>IFERROR(VLOOKUP(A77,[1]Biogasudbytte!$A$2:$B$18,2,FALSE)*[1]Energiindhold!$C$10,0)*K77*IFERROR(VLOOKUP(A77,Biogasanlæg!$F$3:$G$8,2,FALSE),1)</f>
        <v>0</v>
      </c>
      <c r="U77" s="170">
        <f t="shared" si="21"/>
        <v>0</v>
      </c>
      <c r="V77" s="169">
        <f>P77*IFERROR(VLOOKUP(A77,[1]Tørstofindhold!A$2:B$24,2,FALSE),0)</f>
        <v>0</v>
      </c>
      <c r="W77">
        <f>IF(F77=År1,Q77,SUM(P77,Q77))*IFERROR(VLOOKUP(A77,[1]Tørstofindhold!A$2:B$24,2,FALSE),0)</f>
        <v>0</v>
      </c>
      <c r="X77">
        <f>K77*IFERROR(VLOOKUP(A77,[1]Tørstofindhold!A$2:B$24,2,FALSE),0)</f>
        <v>0</v>
      </c>
      <c r="Y77" s="170">
        <f t="shared" si="22"/>
        <v>0</v>
      </c>
      <c r="Z77">
        <f t="shared" si="16"/>
        <v>1</v>
      </c>
      <c r="AA77">
        <f t="shared" si="17"/>
        <v>0</v>
      </c>
      <c r="AC77" s="94">
        <f t="shared" si="23"/>
        <v>-130751.19188854296</v>
      </c>
      <c r="AD77">
        <f>AC77*E77*10000*VLOOKUP(A77,[1]kcal!$A$2:$C$49,3,FALSE)/1000000000000*IFERROR(VLOOKUP(A77,'Kategorisering af kcal'!$A$2:$E$18,MATCH('Produktion &amp; forbrug'!F77,'Kategorisering af kcal'!$A$1:$E$1,0),FALSE),0)</f>
        <v>0</v>
      </c>
      <c r="AE77">
        <f>IF(C77&lt;&gt;"",AC77*(1-VLOOKUP(A77,'Kategorisering af kcal'!$A$2:$E$18,MATCH('Produktion &amp; forbrug'!F77,'Kategorisering af kcal'!$A$1:$E$1,0),FALSE)),'Produktion &amp; forbrug'!AC77)</f>
        <v>-130751.19188854296</v>
      </c>
      <c r="AF77" s="94">
        <f t="shared" si="24"/>
        <v>0</v>
      </c>
    </row>
    <row r="78" spans="1:32" x14ac:dyDescent="0.25">
      <c r="A78" s="171" t="str">
        <f t="shared" si="12"/>
        <v>Majs</v>
      </c>
      <c r="B78" s="171" t="str">
        <f t="shared" si="13"/>
        <v>Græs og urter</v>
      </c>
      <c r="C78" s="171" t="str">
        <f>IFERROR(VLOOKUP(A78,'Kategorisering af kcal'!$A$2:$B$18,2,FALSE),"")</f>
        <v>Korn</v>
      </c>
      <c r="D78" s="171">
        <f>IF(COUNTIFS('Resultater - Danmark'!$D$3:$D$504,'Produktion &amp; forbrug'!A78,'Resultater - Danmark'!$A$3:$A$504,"Til energi")+COUNTIFS('Resultater - Danmark'!$D$3:$D$504,'Produktion &amp; forbrug'!A78,'Resultater - Danmark'!$A$3:$A$504,"Biogasanlæg")&gt;0,1,0)</f>
        <v>1</v>
      </c>
      <c r="E78" s="171">
        <f t="shared" si="15"/>
        <v>1</v>
      </c>
      <c r="F78" s="171">
        <f t="shared" si="14"/>
        <v>2030</v>
      </c>
      <c r="G78" s="94">
        <f>SUMIFS('Resultat-Produktion &amp; forbrug'!G$4:G$291,'Resultat-Produktion &amp; forbrug'!$A$4:$A$291,'Produktion &amp; forbrug'!$A78,'Resultat-Produktion &amp; forbrug'!$E$4:$E$291,'Produktion &amp; forbrug'!$F78)</f>
        <v>5395334.9719225094</v>
      </c>
      <c r="H78" s="94">
        <f>SUMIFS('Resultat-Produktion &amp; forbrug'!H$4:H$291,'Resultat-Produktion &amp; forbrug'!$A$4:$A$291,'Produktion &amp; forbrug'!$A78,'Resultat-Produktion &amp; forbrug'!$E$4:$E$291,'Produktion &amp; forbrug'!$F78)</f>
        <v>3513770.7935001124</v>
      </c>
      <c r="I78" s="94">
        <f>SUMIFS('Resultat-Produktion &amp; forbrug'!I$4:I$291,'Resultat-Produktion &amp; forbrug'!$A$4:$A$291,'Produktion &amp; forbrug'!$A78,'Resultat-Produktion &amp; forbrug'!$E$4:$E$291,'Produktion &amp; forbrug'!$F78)</f>
        <v>0</v>
      </c>
      <c r="J78" s="94">
        <f>SUMIFS('Resultat-Produktion &amp; forbrug'!J$4:J$291,'Resultat-Produktion &amp; forbrug'!$A$4:$A$291,'Produktion &amp; forbrug'!$A78,'Resultat-Produktion &amp; forbrug'!$E$4:$E$291,'Produktion &amp; forbrug'!$F78)</f>
        <v>0</v>
      </c>
      <c r="K78" s="94">
        <f>SUMIFS('Resultat-Produktion &amp; forbrug'!K$4:K$291,'Resultat-Produktion &amp; forbrug'!$A$4:$A$291,'Produktion &amp; forbrug'!$A78,'Resultat-Produktion &amp; forbrug'!$E$4:$E$291,'Produktion &amp; forbrug'!$F78)</f>
        <v>0</v>
      </c>
      <c r="L78" s="94">
        <f>SUMIFS('Resultat-Produktion &amp; forbrug'!L$4:L$291,'Resultat-Produktion &amp; forbrug'!$A$4:$A$291,'Produktion &amp; forbrug'!$A78,'Resultat-Produktion &amp; forbrug'!$E$4:$E$291,'Produktion &amp; forbrug'!$F78)</f>
        <v>0</v>
      </c>
      <c r="M78" s="94">
        <f>SUMIFS('Resultat-Produktion &amp; forbrug'!M$4:M$291,'Resultat-Produktion &amp; forbrug'!$A$4:$A$291,'Produktion &amp; forbrug'!$A78,'Resultat-Produktion &amp; forbrug'!$E$4:$E$291,'Produktion &amp; forbrug'!$F78)</f>
        <v>0</v>
      </c>
      <c r="N78" s="94">
        <f>SUMIFS('Resultat-Produktion &amp; forbrug'!N$4:N$291,'Resultat-Produktion &amp; forbrug'!$A$4:$A$291,'Produktion &amp; forbrug'!$A78,'Resultat-Produktion &amp; forbrug'!$E$4:$E$291,'Produktion &amp; forbrug'!$F78)</f>
        <v>0</v>
      </c>
      <c r="O78" s="179">
        <f t="shared" si="18"/>
        <v>1881564.178422397</v>
      </c>
      <c r="P78" s="94">
        <f t="shared" si="19"/>
        <v>1881564.178422397</v>
      </c>
      <c r="Q78" s="180">
        <f t="shared" si="20"/>
        <v>0</v>
      </c>
      <c r="R78">
        <f>IFERROR(VLOOKUP(A78,[1]Energiindhold!$A$2:$C$11,3,FALSE),IFERROR(VLOOKUP(A78,[1]Biogasudbytte!$A$2:$B$18,2,FALSE)*[1]Energiindhold!$C$10,0))*P78</f>
        <v>6.7548154005364056</v>
      </c>
      <c r="S78">
        <f>IF(A78&lt;&gt;"Biogas",IFERROR(VLOOKUP(A78,[1]Biogasudbytte!$A$2:$B$18,2,FALSE)*[1]Energiindhold!$C$10,0)*K78*IFERROR(VLOOKUP(A78,Biogasanlæg!$F$3:$G$8,2,FALSE),1)+IFERROR(VLOOKUP(A78,[1]Energiindhold!$A$2:$C$11,3,FALSE),0)*M78+IF(F78&lt;&gt;År1,R78,0),0)</f>
        <v>6.7548154005364056</v>
      </c>
      <c r="T78">
        <f>IFERROR(VLOOKUP(A78,[1]Biogasudbytte!$A$2:$B$18,2,FALSE)*[1]Energiindhold!$C$10,0)*K78*IFERROR(VLOOKUP(A78,Biogasanlæg!$F$3:$G$8,2,FALSE),1)</f>
        <v>0</v>
      </c>
      <c r="U78" s="170">
        <f t="shared" si="21"/>
        <v>6.7548154005364056</v>
      </c>
      <c r="V78" s="169">
        <f>P78*IFERROR(VLOOKUP(A78,[1]Tørstofindhold!A$2:B$24,2,FALSE),0)</f>
        <v>564469.25352671905</v>
      </c>
      <c r="W78">
        <f>IF(F78=År1,Q78,SUM(P78,Q78))*IFERROR(VLOOKUP(A78,[1]Tørstofindhold!A$2:B$24,2,FALSE),0)</f>
        <v>564469.25352671905</v>
      </c>
      <c r="X78">
        <f>K78*IFERROR(VLOOKUP(A78,[1]Tørstofindhold!A$2:B$24,2,FALSE),0)</f>
        <v>0</v>
      </c>
      <c r="Y78" s="170">
        <f t="shared" si="22"/>
        <v>564469.25352671905</v>
      </c>
      <c r="Z78">
        <f t="shared" si="16"/>
        <v>0</v>
      </c>
      <c r="AA78">
        <f t="shared" si="17"/>
        <v>1</v>
      </c>
      <c r="AC78" s="94">
        <f t="shared" si="23"/>
        <v>1881564.178422397</v>
      </c>
      <c r="AD78">
        <f>AC78*E78*10000*VLOOKUP(A78,[1]kcal!$A$2:$C$49,3,FALSE)/1000000000000*IFERROR(VLOOKUP(A78,'Kategorisering af kcal'!$A$2:$E$18,MATCH('Produktion &amp; forbrug'!F78,'Kategorisering af kcal'!$A$1:$E$1,0),FALSE),0)</f>
        <v>1.7122234023643812</v>
      </c>
      <c r="AE78">
        <f>IF(C78&lt;&gt;"",AC78*(1-VLOOKUP(A78,'Kategorisering af kcal'!$A$2:$E$18,MATCH('Produktion &amp; forbrug'!F78,'Kategorisering af kcal'!$A$1:$E$1,0),FALSE)),'Produktion &amp; forbrug'!AC78)</f>
        <v>0</v>
      </c>
      <c r="AF78" s="94">
        <f t="shared" si="24"/>
        <v>1881564.178422397</v>
      </c>
    </row>
    <row r="79" spans="1:32" x14ac:dyDescent="0.25">
      <c r="A79" s="171" t="str">
        <f t="shared" si="12"/>
        <v>Mejeriprodukter</v>
      </c>
      <c r="B79" s="171" t="str">
        <f t="shared" si="13"/>
        <v/>
      </c>
      <c r="C79" s="171" t="str">
        <f>IFERROR(VLOOKUP(A79,'Kategorisering af kcal'!$A$2:$B$18,2,FALSE),"")</f>
        <v>Mejeriprodukter</v>
      </c>
      <c r="D79" s="171">
        <f>IF(COUNTIFS('Resultater - Danmark'!$D$3:$D$504,'Produktion &amp; forbrug'!A79,'Resultater - Danmark'!$A$3:$A$504,"Til energi")+COUNTIFS('Resultater - Danmark'!$D$3:$D$504,'Produktion &amp; forbrug'!A79,'Resultater - Danmark'!$A$3:$A$504,"Biogasanlæg")&gt;0,1,0)</f>
        <v>0</v>
      </c>
      <c r="E79" s="171">
        <f t="shared" si="15"/>
        <v>1</v>
      </c>
      <c r="F79" s="171">
        <f t="shared" si="14"/>
        <v>2030</v>
      </c>
      <c r="G79" s="94">
        <f>SUMIFS('Resultat-Produktion &amp; forbrug'!G$4:G$291,'Resultat-Produktion &amp; forbrug'!$A$4:$A$291,'Produktion &amp; forbrug'!$A79,'Resultat-Produktion &amp; forbrug'!$E$4:$E$291,'Produktion &amp; forbrug'!$F79)</f>
        <v>1460315.2156438841</v>
      </c>
      <c r="H79" s="94">
        <f>SUMIFS('Resultat-Produktion &amp; forbrug'!H$4:H$291,'Resultat-Produktion &amp; forbrug'!$A$4:$A$291,'Produktion &amp; forbrug'!$A79,'Resultat-Produktion &amp; forbrug'!$E$4:$E$291,'Produktion &amp; forbrug'!$F79)</f>
        <v>0</v>
      </c>
      <c r="I79" s="94">
        <f>SUMIFS('Resultat-Produktion &amp; forbrug'!I$4:I$291,'Resultat-Produktion &amp; forbrug'!$A$4:$A$291,'Produktion &amp; forbrug'!$A79,'Resultat-Produktion &amp; forbrug'!$E$4:$E$291,'Produktion &amp; forbrug'!$F79)</f>
        <v>0</v>
      </c>
      <c r="J79" s="94">
        <f>SUMIFS('Resultat-Produktion &amp; forbrug'!J$4:J$291,'Resultat-Produktion &amp; forbrug'!$A$4:$A$291,'Produktion &amp; forbrug'!$A79,'Resultat-Produktion &amp; forbrug'!$E$4:$E$291,'Produktion &amp; forbrug'!$F79)</f>
        <v>0</v>
      </c>
      <c r="K79" s="94">
        <f>SUMIFS('Resultat-Produktion &amp; forbrug'!K$4:K$291,'Resultat-Produktion &amp; forbrug'!$A$4:$A$291,'Produktion &amp; forbrug'!$A79,'Resultat-Produktion &amp; forbrug'!$E$4:$E$291,'Produktion &amp; forbrug'!$F79)</f>
        <v>0</v>
      </c>
      <c r="L79" s="94">
        <f>SUMIFS('Resultat-Produktion &amp; forbrug'!L$4:L$291,'Resultat-Produktion &amp; forbrug'!$A$4:$A$291,'Produktion &amp; forbrug'!$A79,'Resultat-Produktion &amp; forbrug'!$E$4:$E$291,'Produktion &amp; forbrug'!$F79)</f>
        <v>0</v>
      </c>
      <c r="M79" s="94">
        <f>SUMIFS('Resultat-Produktion &amp; forbrug'!M$4:M$291,'Resultat-Produktion &amp; forbrug'!$A$4:$A$291,'Produktion &amp; forbrug'!$A79,'Resultat-Produktion &amp; forbrug'!$E$4:$E$291,'Produktion &amp; forbrug'!$F79)</f>
        <v>0</v>
      </c>
      <c r="N79" s="94">
        <f>SUMIFS('Resultat-Produktion &amp; forbrug'!N$4:N$291,'Resultat-Produktion &amp; forbrug'!$A$4:$A$291,'Produktion &amp; forbrug'!$A79,'Resultat-Produktion &amp; forbrug'!$E$4:$E$291,'Produktion &amp; forbrug'!$F79)</f>
        <v>0</v>
      </c>
      <c r="O79" s="179">
        <f t="shared" si="18"/>
        <v>1460315.2156438841</v>
      </c>
      <c r="P79" s="94">
        <f t="shared" si="19"/>
        <v>0</v>
      </c>
      <c r="Q79" s="180">
        <f t="shared" si="20"/>
        <v>0</v>
      </c>
      <c r="R79">
        <f>IFERROR(VLOOKUP(A79,[1]Energiindhold!$A$2:$C$11,3,FALSE),IFERROR(VLOOKUP(A79,[1]Biogasudbytte!$A$2:$B$18,2,FALSE)*[1]Energiindhold!$C$10,0))*P79</f>
        <v>0</v>
      </c>
      <c r="S79">
        <f>IF(A79&lt;&gt;"Biogas",IFERROR(VLOOKUP(A79,[1]Biogasudbytte!$A$2:$B$18,2,FALSE)*[1]Energiindhold!$C$10,0)*K79*IFERROR(VLOOKUP(A79,Biogasanlæg!$F$3:$G$8,2,FALSE),1)+IFERROR(VLOOKUP(A79,[1]Energiindhold!$A$2:$C$11,3,FALSE),0)*M79+IF(F79&lt;&gt;År1,R79,0),0)</f>
        <v>0</v>
      </c>
      <c r="T79">
        <f>IFERROR(VLOOKUP(A79,[1]Biogasudbytte!$A$2:$B$18,2,FALSE)*[1]Energiindhold!$C$10,0)*K79*IFERROR(VLOOKUP(A79,Biogasanlæg!$F$3:$G$8,2,FALSE),1)</f>
        <v>0</v>
      </c>
      <c r="U79" s="170">
        <f t="shared" si="21"/>
        <v>0</v>
      </c>
      <c r="V79" s="169">
        <f>P79*IFERROR(VLOOKUP(A79,[1]Tørstofindhold!A$2:B$24,2,FALSE),0)</f>
        <v>0</v>
      </c>
      <c r="W79">
        <f>IF(F79=År1,Q79,SUM(P79,Q79))*IFERROR(VLOOKUP(A79,[1]Tørstofindhold!A$2:B$24,2,FALSE),0)</f>
        <v>0</v>
      </c>
      <c r="X79">
        <f>K79*IFERROR(VLOOKUP(A79,[1]Tørstofindhold!A$2:B$24,2,FALSE),0)</f>
        <v>0</v>
      </c>
      <c r="Y79" s="170">
        <f t="shared" si="22"/>
        <v>0</v>
      </c>
      <c r="Z79">
        <f t="shared" si="16"/>
        <v>0</v>
      </c>
      <c r="AA79">
        <f t="shared" si="17"/>
        <v>1</v>
      </c>
      <c r="AC79" s="94">
        <f t="shared" si="23"/>
        <v>1460315.2156438841</v>
      </c>
      <c r="AD79">
        <f>AC79*E79*10000*VLOOKUP(A79,[1]kcal!$A$2:$C$49,3,FALSE)/1000000000000*IFERROR(VLOOKUP(A79,'Kategorisering af kcal'!$A$2:$E$18,MATCH('Produktion &amp; forbrug'!F79,'Kategorisering af kcal'!$A$1:$E$1,0),FALSE),0)</f>
        <v>0.91999858585564698</v>
      </c>
      <c r="AE79">
        <f>IF(C79&lt;&gt;"",AC79*(1-VLOOKUP(A79,'Kategorisering af kcal'!$A$2:$E$18,MATCH('Produktion &amp; forbrug'!F79,'Kategorisering af kcal'!$A$1:$E$1,0),FALSE)),'Produktion &amp; forbrug'!AC79)</f>
        <v>0</v>
      </c>
      <c r="AF79" s="94">
        <f t="shared" si="24"/>
        <v>1460315.2156438841</v>
      </c>
    </row>
    <row r="80" spans="1:32" x14ac:dyDescent="0.25">
      <c r="A80" s="171" t="str">
        <f t="shared" si="12"/>
        <v>Muslinger</v>
      </c>
      <c r="B80" s="171" t="str">
        <f t="shared" si="13"/>
        <v>Havbiomasse</v>
      </c>
      <c r="C80" s="171" t="str">
        <f>IFERROR(VLOOKUP(A80,'Kategorisering af kcal'!$A$2:$B$18,2,FALSE),"")</f>
        <v>Fisk mm</v>
      </c>
      <c r="D80" s="171">
        <f>IF(COUNTIFS('Resultater - Danmark'!$D$3:$D$504,'Produktion &amp; forbrug'!A80,'Resultater - Danmark'!$A$3:$A$504,"Til energi")+COUNTIFS('Resultater - Danmark'!$D$3:$D$504,'Produktion &amp; forbrug'!A80,'Resultater - Danmark'!$A$3:$A$504,"Biogasanlæg")&gt;0,1,0)</f>
        <v>1</v>
      </c>
      <c r="E80" s="171">
        <f t="shared" si="15"/>
        <v>1</v>
      </c>
      <c r="F80" s="171">
        <f t="shared" si="14"/>
        <v>2030</v>
      </c>
      <c r="G80" s="94">
        <f>SUMIFS('Resultat-Produktion &amp; forbrug'!G$4:G$291,'Resultat-Produktion &amp; forbrug'!$A$4:$A$291,'Produktion &amp; forbrug'!$A80,'Resultat-Produktion &amp; forbrug'!$E$4:$E$291,'Produktion &amp; forbrug'!$F80)</f>
        <v>880.09999999999991</v>
      </c>
      <c r="H80" s="94">
        <f>SUMIFS('Resultat-Produktion &amp; forbrug'!H$4:H$291,'Resultat-Produktion &amp; forbrug'!$A$4:$A$291,'Produktion &amp; forbrug'!$A80,'Resultat-Produktion &amp; forbrug'!$E$4:$E$291,'Produktion &amp; forbrug'!$F80)</f>
        <v>0</v>
      </c>
      <c r="I80" s="94">
        <f>SUMIFS('Resultat-Produktion &amp; forbrug'!I$4:I$291,'Resultat-Produktion &amp; forbrug'!$A$4:$A$291,'Produktion &amp; forbrug'!$A80,'Resultat-Produktion &amp; forbrug'!$E$4:$E$291,'Produktion &amp; forbrug'!$F80)</f>
        <v>0</v>
      </c>
      <c r="J80" s="94">
        <f>SUMIFS('Resultat-Produktion &amp; forbrug'!J$4:J$291,'Resultat-Produktion &amp; forbrug'!$A$4:$A$291,'Produktion &amp; forbrug'!$A80,'Resultat-Produktion &amp; forbrug'!$E$4:$E$291,'Produktion &amp; forbrug'!$F80)</f>
        <v>0</v>
      </c>
      <c r="K80" s="94">
        <f>SUMIFS('Resultat-Produktion &amp; forbrug'!K$4:K$291,'Resultat-Produktion &amp; forbrug'!$A$4:$A$291,'Produktion &amp; forbrug'!$A80,'Resultat-Produktion &amp; forbrug'!$E$4:$E$291,'Produktion &amp; forbrug'!$F80)</f>
        <v>0</v>
      </c>
      <c r="L80" s="94">
        <f>SUMIFS('Resultat-Produktion &amp; forbrug'!L$4:L$291,'Resultat-Produktion &amp; forbrug'!$A$4:$A$291,'Produktion &amp; forbrug'!$A80,'Resultat-Produktion &amp; forbrug'!$E$4:$E$291,'Produktion &amp; forbrug'!$F80)</f>
        <v>0</v>
      </c>
      <c r="M80" s="94">
        <f>SUMIFS('Resultat-Produktion &amp; forbrug'!M$4:M$291,'Resultat-Produktion &amp; forbrug'!$A$4:$A$291,'Produktion &amp; forbrug'!$A80,'Resultat-Produktion &amp; forbrug'!$E$4:$E$291,'Produktion &amp; forbrug'!$F80)</f>
        <v>0</v>
      </c>
      <c r="N80" s="94">
        <f>SUMIFS('Resultat-Produktion &amp; forbrug'!N$4:N$291,'Resultat-Produktion &amp; forbrug'!$A$4:$A$291,'Produktion &amp; forbrug'!$A80,'Resultat-Produktion &amp; forbrug'!$E$4:$E$291,'Produktion &amp; forbrug'!$F80)</f>
        <v>0</v>
      </c>
      <c r="O80" s="179">
        <f t="shared" si="18"/>
        <v>880.09999999999991</v>
      </c>
      <c r="P80" s="94">
        <f t="shared" si="19"/>
        <v>880.09999999999991</v>
      </c>
      <c r="Q80" s="180">
        <f t="shared" si="20"/>
        <v>0</v>
      </c>
      <c r="R80">
        <f>IFERROR(VLOOKUP(A80,[1]Energiindhold!$A$2:$C$11,3,FALSE),IFERROR(VLOOKUP(A80,[1]Biogasudbytte!$A$2:$B$18,2,FALSE)*[1]Energiindhold!$C$10,0))*P80</f>
        <v>7.8988975000000004E-4</v>
      </c>
      <c r="S80">
        <f>IF(A80&lt;&gt;"Biogas",IFERROR(VLOOKUP(A80,[1]Biogasudbytte!$A$2:$B$18,2,FALSE)*[1]Energiindhold!$C$10,0)*K80*IFERROR(VLOOKUP(A80,Biogasanlæg!$F$3:$G$8,2,FALSE),1)+IFERROR(VLOOKUP(A80,[1]Energiindhold!$A$2:$C$11,3,FALSE),0)*M80+IF(F80&lt;&gt;År1,R80,0),0)</f>
        <v>7.8988975000000004E-4</v>
      </c>
      <c r="T80">
        <f>IFERROR(VLOOKUP(A80,[1]Biogasudbytte!$A$2:$B$18,2,FALSE)*[1]Energiindhold!$C$10,0)*K80*IFERROR(VLOOKUP(A80,Biogasanlæg!$F$3:$G$8,2,FALSE),1)</f>
        <v>0</v>
      </c>
      <c r="U80" s="170">
        <f t="shared" si="21"/>
        <v>7.8988975000000004E-4</v>
      </c>
      <c r="V80" s="169">
        <f>P80*IFERROR(VLOOKUP(A80,[1]Tørstofindhold!A$2:B$24,2,FALSE),0)</f>
        <v>132.01499999999999</v>
      </c>
      <c r="W80">
        <f>IF(F80=År1,Q80,SUM(P80,Q80))*IFERROR(VLOOKUP(A80,[1]Tørstofindhold!A$2:B$24,2,FALSE),0)</f>
        <v>132.01499999999999</v>
      </c>
      <c r="X80">
        <f>K80*IFERROR(VLOOKUP(A80,[1]Tørstofindhold!A$2:B$24,2,FALSE),0)</f>
        <v>0</v>
      </c>
      <c r="Y80" s="170">
        <f t="shared" si="22"/>
        <v>132.01499999999999</v>
      </c>
      <c r="Z80">
        <f t="shared" si="16"/>
        <v>0</v>
      </c>
      <c r="AA80">
        <f t="shared" si="17"/>
        <v>1</v>
      </c>
      <c r="AC80" s="94">
        <f t="shared" si="23"/>
        <v>880.09999999999991</v>
      </c>
      <c r="AD80">
        <f>AC80*E80*10000*VLOOKUP(A80,[1]kcal!$A$2:$C$49,3,FALSE)/1000000000000*IFERROR(VLOOKUP(A80,'Kategorisering af kcal'!$A$2:$E$18,MATCH('Produktion &amp; forbrug'!F80,'Kategorisering af kcal'!$A$1:$E$1,0),FALSE),0)</f>
        <v>7.3048299999999998E-4</v>
      </c>
      <c r="AE80">
        <f>IF(C80&lt;&gt;"",AC80*(1-VLOOKUP(A80,'Kategorisering af kcal'!$A$2:$E$18,MATCH('Produktion &amp; forbrug'!F80,'Kategorisering af kcal'!$A$1:$E$1,0),FALSE)),'Produktion &amp; forbrug'!AC80)</f>
        <v>0</v>
      </c>
      <c r="AF80" s="94">
        <f t="shared" si="24"/>
        <v>880.09999999999991</v>
      </c>
    </row>
    <row r="81" spans="1:32" x14ac:dyDescent="0.25">
      <c r="A81" s="171" t="str">
        <f t="shared" si="12"/>
        <v>Oksekød</v>
      </c>
      <c r="B81" s="171" t="str">
        <f t="shared" si="13"/>
        <v/>
      </c>
      <c r="C81" s="171" t="str">
        <f>IFERROR(VLOOKUP(A81,'Kategorisering af kcal'!$A$2:$B$18,2,FALSE),"")</f>
        <v>Kød</v>
      </c>
      <c r="D81" s="171">
        <f>IF(COUNTIFS('Resultater - Danmark'!$D$3:$D$504,'Produktion &amp; forbrug'!A81,'Resultater - Danmark'!$A$3:$A$504,"Til energi")+COUNTIFS('Resultater - Danmark'!$D$3:$D$504,'Produktion &amp; forbrug'!A81,'Resultater - Danmark'!$A$3:$A$504,"Biogasanlæg")&gt;0,1,0)</f>
        <v>0</v>
      </c>
      <c r="E81" s="171">
        <f t="shared" si="15"/>
        <v>1</v>
      </c>
      <c r="F81" s="171">
        <f t="shared" si="14"/>
        <v>2030</v>
      </c>
      <c r="G81" s="94">
        <f>SUMIFS('Resultat-Produktion &amp; forbrug'!G$4:G$291,'Resultat-Produktion &amp; forbrug'!$A$4:$A$291,'Produktion &amp; forbrug'!$A81,'Resultat-Produktion &amp; forbrug'!$E$4:$E$291,'Produktion &amp; forbrug'!$F81)</f>
        <v>94202.59631534839</v>
      </c>
      <c r="H81" s="94">
        <f>SUMIFS('Resultat-Produktion &amp; forbrug'!H$4:H$291,'Resultat-Produktion &amp; forbrug'!$A$4:$A$291,'Produktion &amp; forbrug'!$A81,'Resultat-Produktion &amp; forbrug'!$E$4:$E$291,'Produktion &amp; forbrug'!$F81)</f>
        <v>0</v>
      </c>
      <c r="I81" s="94">
        <f>SUMIFS('Resultat-Produktion &amp; forbrug'!I$4:I$291,'Resultat-Produktion &amp; forbrug'!$A$4:$A$291,'Produktion &amp; forbrug'!$A81,'Resultat-Produktion &amp; forbrug'!$E$4:$E$291,'Produktion &amp; forbrug'!$F81)</f>
        <v>0</v>
      </c>
      <c r="J81" s="94">
        <f>SUMIFS('Resultat-Produktion &amp; forbrug'!J$4:J$291,'Resultat-Produktion &amp; forbrug'!$A$4:$A$291,'Produktion &amp; forbrug'!$A81,'Resultat-Produktion &amp; forbrug'!$E$4:$E$291,'Produktion &amp; forbrug'!$F81)</f>
        <v>0</v>
      </c>
      <c r="K81" s="94">
        <f>SUMIFS('Resultat-Produktion &amp; forbrug'!K$4:K$291,'Resultat-Produktion &amp; forbrug'!$A$4:$A$291,'Produktion &amp; forbrug'!$A81,'Resultat-Produktion &amp; forbrug'!$E$4:$E$291,'Produktion &amp; forbrug'!$F81)</f>
        <v>0</v>
      </c>
      <c r="L81" s="94">
        <f>SUMIFS('Resultat-Produktion &amp; forbrug'!L$4:L$291,'Resultat-Produktion &amp; forbrug'!$A$4:$A$291,'Produktion &amp; forbrug'!$A81,'Resultat-Produktion &amp; forbrug'!$E$4:$E$291,'Produktion &amp; forbrug'!$F81)</f>
        <v>0</v>
      </c>
      <c r="M81" s="94">
        <f>SUMIFS('Resultat-Produktion &amp; forbrug'!M$4:M$291,'Resultat-Produktion &amp; forbrug'!$A$4:$A$291,'Produktion &amp; forbrug'!$A81,'Resultat-Produktion &amp; forbrug'!$E$4:$E$291,'Produktion &amp; forbrug'!$F81)</f>
        <v>0</v>
      </c>
      <c r="N81" s="94">
        <f>SUMIFS('Resultat-Produktion &amp; forbrug'!N$4:N$291,'Resultat-Produktion &amp; forbrug'!$A$4:$A$291,'Produktion &amp; forbrug'!$A81,'Resultat-Produktion &amp; forbrug'!$E$4:$E$291,'Produktion &amp; forbrug'!$F81)</f>
        <v>0</v>
      </c>
      <c r="O81" s="179">
        <f t="shared" si="18"/>
        <v>94202.59631534839</v>
      </c>
      <c r="P81" s="94">
        <f t="shared" si="19"/>
        <v>0</v>
      </c>
      <c r="Q81" s="180">
        <f t="shared" si="20"/>
        <v>0</v>
      </c>
      <c r="R81">
        <f>IFERROR(VLOOKUP(A81,[1]Energiindhold!$A$2:$C$11,3,FALSE),IFERROR(VLOOKUP(A81,[1]Biogasudbytte!$A$2:$B$18,2,FALSE)*[1]Energiindhold!$C$10,0))*P81</f>
        <v>0</v>
      </c>
      <c r="S81">
        <f>IF(A81&lt;&gt;"Biogas",IFERROR(VLOOKUP(A81,[1]Biogasudbytte!$A$2:$B$18,2,FALSE)*[1]Energiindhold!$C$10,0)*K81*IFERROR(VLOOKUP(A81,Biogasanlæg!$F$3:$G$8,2,FALSE),1)+IFERROR(VLOOKUP(A81,[1]Energiindhold!$A$2:$C$11,3,FALSE),0)*M81+IF(F81&lt;&gt;År1,R81,0),0)</f>
        <v>0</v>
      </c>
      <c r="T81">
        <f>IFERROR(VLOOKUP(A81,[1]Biogasudbytte!$A$2:$B$18,2,FALSE)*[1]Energiindhold!$C$10,0)*K81*IFERROR(VLOOKUP(A81,Biogasanlæg!$F$3:$G$8,2,FALSE),1)</f>
        <v>0</v>
      </c>
      <c r="U81" s="170">
        <f t="shared" si="21"/>
        <v>0</v>
      </c>
      <c r="V81" s="169">
        <f>P81*IFERROR(VLOOKUP(A81,[1]Tørstofindhold!A$2:B$24,2,FALSE),0)</f>
        <v>0</v>
      </c>
      <c r="W81">
        <f>IF(F81=År1,Q81,SUM(P81,Q81))*IFERROR(VLOOKUP(A81,[1]Tørstofindhold!A$2:B$24,2,FALSE),0)</f>
        <v>0</v>
      </c>
      <c r="X81">
        <f>K81*IFERROR(VLOOKUP(A81,[1]Tørstofindhold!A$2:B$24,2,FALSE),0)</f>
        <v>0</v>
      </c>
      <c r="Y81" s="170">
        <f t="shared" si="22"/>
        <v>0</v>
      </c>
      <c r="Z81">
        <f t="shared" si="16"/>
        <v>0</v>
      </c>
      <c r="AA81">
        <f t="shared" si="17"/>
        <v>1</v>
      </c>
      <c r="AC81" s="94">
        <f t="shared" si="23"/>
        <v>94202.59631534839</v>
      </c>
      <c r="AD81">
        <f>AC81*E81*10000*VLOOKUP(A81,[1]kcal!$A$2:$C$49,3,FALSE)/1000000000000*IFERROR(VLOOKUP(A81,'Kategorisering af kcal'!$A$2:$E$18,MATCH('Produktion &amp; forbrug'!F81,'Kategorisering af kcal'!$A$1:$E$1,0),FALSE),0)</f>
        <v>0.18369506281492934</v>
      </c>
      <c r="AE81">
        <f>IF(C81&lt;&gt;"",AC81*(1-VLOOKUP(A81,'Kategorisering af kcal'!$A$2:$E$18,MATCH('Produktion &amp; forbrug'!F81,'Kategorisering af kcal'!$A$1:$E$1,0),FALSE)),'Produktion &amp; forbrug'!AC81)</f>
        <v>0</v>
      </c>
      <c r="AF81" s="94">
        <f t="shared" si="24"/>
        <v>94202.59631534839</v>
      </c>
    </row>
    <row r="82" spans="1:32" x14ac:dyDescent="0.25">
      <c r="A82" s="171" t="str">
        <f t="shared" si="12"/>
        <v>Øvrige</v>
      </c>
      <c r="B82" s="171" t="str">
        <f t="shared" si="13"/>
        <v/>
      </c>
      <c r="C82" s="171" t="str">
        <f>IFERROR(VLOOKUP(A82,'Kategorisering af kcal'!$A$2:$B$18,2,FALSE),"")</f>
        <v/>
      </c>
      <c r="D82" s="171">
        <f>IF(COUNTIFS('Resultater - Danmark'!$D$3:$D$504,'Produktion &amp; forbrug'!A82,'Resultater - Danmark'!$A$3:$A$504,"Til energi")+COUNTIFS('Resultater - Danmark'!$D$3:$D$504,'Produktion &amp; forbrug'!A82,'Resultater - Danmark'!$A$3:$A$504,"Biogasanlæg")&gt;0,1,0)</f>
        <v>0</v>
      </c>
      <c r="E82" s="171">
        <f t="shared" si="15"/>
        <v>1</v>
      </c>
      <c r="F82" s="171">
        <f t="shared" si="14"/>
        <v>2030</v>
      </c>
      <c r="G82" s="94">
        <f>SUMIFS('Resultat-Produktion &amp; forbrug'!G$4:G$291,'Resultat-Produktion &amp; forbrug'!$A$4:$A$291,'Produktion &amp; forbrug'!$A82,'Resultat-Produktion &amp; forbrug'!$E$4:$E$291,'Produktion &amp; forbrug'!$F82)</f>
        <v>1349220.0574663728</v>
      </c>
      <c r="H82" s="94">
        <f>SUMIFS('Resultat-Produktion &amp; forbrug'!H$4:H$291,'Resultat-Produktion &amp; forbrug'!$A$4:$A$291,'Produktion &amp; forbrug'!$A82,'Resultat-Produktion &amp; forbrug'!$E$4:$E$291,'Produktion &amp; forbrug'!$F82)</f>
        <v>0</v>
      </c>
      <c r="I82" s="94">
        <f>SUMIFS('Resultat-Produktion &amp; forbrug'!I$4:I$291,'Resultat-Produktion &amp; forbrug'!$A$4:$A$291,'Produktion &amp; forbrug'!$A82,'Resultat-Produktion &amp; forbrug'!$E$4:$E$291,'Produktion &amp; forbrug'!$F82)</f>
        <v>0</v>
      </c>
      <c r="J82" s="94">
        <f>SUMIFS('Resultat-Produktion &amp; forbrug'!J$4:J$291,'Resultat-Produktion &amp; forbrug'!$A$4:$A$291,'Produktion &amp; forbrug'!$A82,'Resultat-Produktion &amp; forbrug'!$E$4:$E$291,'Produktion &amp; forbrug'!$F82)</f>
        <v>0</v>
      </c>
      <c r="K82" s="94">
        <f>SUMIFS('Resultat-Produktion &amp; forbrug'!K$4:K$291,'Resultat-Produktion &amp; forbrug'!$A$4:$A$291,'Produktion &amp; forbrug'!$A82,'Resultat-Produktion &amp; forbrug'!$E$4:$E$291,'Produktion &amp; forbrug'!$F82)</f>
        <v>0</v>
      </c>
      <c r="L82" s="94">
        <f>SUMIFS('Resultat-Produktion &amp; forbrug'!L$4:L$291,'Resultat-Produktion &amp; forbrug'!$A$4:$A$291,'Produktion &amp; forbrug'!$A82,'Resultat-Produktion &amp; forbrug'!$E$4:$E$291,'Produktion &amp; forbrug'!$F82)</f>
        <v>0</v>
      </c>
      <c r="M82" s="94">
        <f>SUMIFS('Resultat-Produktion &amp; forbrug'!M$4:M$291,'Resultat-Produktion &amp; forbrug'!$A$4:$A$291,'Produktion &amp; forbrug'!$A82,'Resultat-Produktion &amp; forbrug'!$E$4:$E$291,'Produktion &amp; forbrug'!$F82)</f>
        <v>0</v>
      </c>
      <c r="N82" s="94">
        <f>SUMIFS('Resultat-Produktion &amp; forbrug'!N$4:N$291,'Resultat-Produktion &amp; forbrug'!$A$4:$A$291,'Produktion &amp; forbrug'!$A82,'Resultat-Produktion &amp; forbrug'!$E$4:$E$291,'Produktion &amp; forbrug'!$F82)</f>
        <v>0</v>
      </c>
      <c r="O82" s="179">
        <f t="shared" si="18"/>
        <v>1349220.0574663728</v>
      </c>
      <c r="P82" s="94">
        <f t="shared" si="19"/>
        <v>0</v>
      </c>
      <c r="Q82" s="180">
        <f t="shared" si="20"/>
        <v>0</v>
      </c>
      <c r="R82">
        <f>IFERROR(VLOOKUP(A82,[1]Energiindhold!$A$2:$C$11,3,FALSE),IFERROR(VLOOKUP(A82,[1]Biogasudbytte!$A$2:$B$18,2,FALSE)*[1]Energiindhold!$C$10,0))*P82</f>
        <v>0</v>
      </c>
      <c r="S82">
        <f>IF(A82&lt;&gt;"Biogas",IFERROR(VLOOKUP(A82,[1]Biogasudbytte!$A$2:$B$18,2,FALSE)*[1]Energiindhold!$C$10,0)*K82*IFERROR(VLOOKUP(A82,Biogasanlæg!$F$3:$G$8,2,FALSE),1)+IFERROR(VLOOKUP(A82,[1]Energiindhold!$A$2:$C$11,3,FALSE),0)*M82+IF(F82&lt;&gt;År1,R82,0),0)</f>
        <v>0</v>
      </c>
      <c r="T82">
        <f>IFERROR(VLOOKUP(A82,[1]Biogasudbytte!$A$2:$B$18,2,FALSE)*[1]Energiindhold!$C$10,0)*K82*IFERROR(VLOOKUP(A82,Biogasanlæg!$F$3:$G$8,2,FALSE),1)</f>
        <v>0</v>
      </c>
      <c r="U82" s="170">
        <f t="shared" si="21"/>
        <v>0</v>
      </c>
      <c r="V82" s="169">
        <f>P82*IFERROR(VLOOKUP(A82,[1]Tørstofindhold!A$2:B$24,2,FALSE),0)</f>
        <v>0</v>
      </c>
      <c r="W82">
        <f>IF(F82=År1,Q82,SUM(P82,Q82))*IFERROR(VLOOKUP(A82,[1]Tørstofindhold!A$2:B$24,2,FALSE),0)</f>
        <v>0</v>
      </c>
      <c r="X82">
        <f>K82*IFERROR(VLOOKUP(A82,[1]Tørstofindhold!A$2:B$24,2,FALSE),0)</f>
        <v>0</v>
      </c>
      <c r="Y82" s="170">
        <f t="shared" si="22"/>
        <v>0</v>
      </c>
      <c r="Z82">
        <f t="shared" si="16"/>
        <v>0</v>
      </c>
      <c r="AA82">
        <f t="shared" si="17"/>
        <v>1</v>
      </c>
      <c r="AC82" s="94">
        <f t="shared" si="23"/>
        <v>1349220.0574663728</v>
      </c>
      <c r="AD82">
        <f>AC82*E82*10000*VLOOKUP(A82,[1]kcal!$A$2:$C$49,3,FALSE)/1000000000000*IFERROR(VLOOKUP(A82,'Kategorisering af kcal'!$A$2:$E$18,MATCH('Produktion &amp; forbrug'!F82,'Kategorisering af kcal'!$A$1:$E$1,0),FALSE),0)</f>
        <v>0</v>
      </c>
      <c r="AE82">
        <f>IF(C82&lt;&gt;"",AC82*(1-VLOOKUP(A82,'Kategorisering af kcal'!$A$2:$E$18,MATCH('Produktion &amp; forbrug'!F82,'Kategorisering af kcal'!$A$1:$E$1,0),FALSE)),'Produktion &amp; forbrug'!AC82)</f>
        <v>1349220.0574663728</v>
      </c>
      <c r="AF82" s="94">
        <f t="shared" si="24"/>
        <v>0</v>
      </c>
    </row>
    <row r="83" spans="1:32" x14ac:dyDescent="0.25">
      <c r="A83" s="171" t="str">
        <f t="shared" si="12"/>
        <v>Pil &amp; poppel</v>
      </c>
      <c r="B83" s="171" t="str">
        <f t="shared" si="13"/>
        <v>Vedmasse</v>
      </c>
      <c r="C83" s="171" t="str">
        <f>IFERROR(VLOOKUP(A83,'Kategorisering af kcal'!$A$2:$B$18,2,FALSE),"")</f>
        <v/>
      </c>
      <c r="D83" s="171">
        <f>IF(COUNTIFS('Resultater - Danmark'!$D$3:$D$504,'Produktion &amp; forbrug'!A83,'Resultater - Danmark'!$A$3:$A$504,"Til energi")+COUNTIFS('Resultater - Danmark'!$D$3:$D$504,'Produktion &amp; forbrug'!A83,'Resultater - Danmark'!$A$3:$A$504,"Biogasanlæg")&gt;0,1,0)</f>
        <v>1</v>
      </c>
      <c r="E83" s="171">
        <f t="shared" si="15"/>
        <v>0</v>
      </c>
      <c r="F83" s="171">
        <f t="shared" si="14"/>
        <v>2030</v>
      </c>
      <c r="G83" s="94">
        <f>SUMIFS('Resultat-Produktion &amp; forbrug'!G$4:G$291,'Resultat-Produktion &amp; forbrug'!$A$4:$A$291,'Produktion &amp; forbrug'!$A83,'Resultat-Produktion &amp; forbrug'!$E$4:$E$291,'Produktion &amp; forbrug'!$F83)</f>
        <v>1169664.3920535347</v>
      </c>
      <c r="H83" s="94">
        <f>SUMIFS('Resultat-Produktion &amp; forbrug'!H$4:H$291,'Resultat-Produktion &amp; forbrug'!$A$4:$A$291,'Produktion &amp; forbrug'!$A83,'Resultat-Produktion &amp; forbrug'!$E$4:$E$291,'Produktion &amp; forbrug'!$F83)</f>
        <v>0</v>
      </c>
      <c r="I83" s="94">
        <f>SUMIFS('Resultat-Produktion &amp; forbrug'!I$4:I$291,'Resultat-Produktion &amp; forbrug'!$A$4:$A$291,'Produktion &amp; forbrug'!$A83,'Resultat-Produktion &amp; forbrug'!$E$4:$E$291,'Produktion &amp; forbrug'!$F83)</f>
        <v>0</v>
      </c>
      <c r="J83" s="94">
        <f>SUMIFS('Resultat-Produktion &amp; forbrug'!J$4:J$291,'Resultat-Produktion &amp; forbrug'!$A$4:$A$291,'Produktion &amp; forbrug'!$A83,'Resultat-Produktion &amp; forbrug'!$E$4:$E$291,'Produktion &amp; forbrug'!$F83)</f>
        <v>0</v>
      </c>
      <c r="K83" s="94">
        <f>SUMIFS('Resultat-Produktion &amp; forbrug'!K$4:K$291,'Resultat-Produktion &amp; forbrug'!$A$4:$A$291,'Produktion &amp; forbrug'!$A83,'Resultat-Produktion &amp; forbrug'!$E$4:$E$291,'Produktion &amp; forbrug'!$F83)</f>
        <v>0</v>
      </c>
      <c r="L83" s="94">
        <f>SUMIFS('Resultat-Produktion &amp; forbrug'!L$4:L$291,'Resultat-Produktion &amp; forbrug'!$A$4:$A$291,'Produktion &amp; forbrug'!$A83,'Resultat-Produktion &amp; forbrug'!$E$4:$E$291,'Produktion &amp; forbrug'!$F83)</f>
        <v>0</v>
      </c>
      <c r="M83" s="94">
        <f>SUMIFS('Resultat-Produktion &amp; forbrug'!M$4:M$291,'Resultat-Produktion &amp; forbrug'!$A$4:$A$291,'Produktion &amp; forbrug'!$A83,'Resultat-Produktion &amp; forbrug'!$E$4:$E$291,'Produktion &amp; forbrug'!$F83)</f>
        <v>1169664.3920535347</v>
      </c>
      <c r="N83" s="94">
        <f>SUMIFS('Resultat-Produktion &amp; forbrug'!N$4:N$291,'Resultat-Produktion &amp; forbrug'!$A$4:$A$291,'Produktion &amp; forbrug'!$A83,'Resultat-Produktion &amp; forbrug'!$E$4:$E$291,'Produktion &amp; forbrug'!$F83)</f>
        <v>0</v>
      </c>
      <c r="O83" s="179">
        <f t="shared" si="18"/>
        <v>0</v>
      </c>
      <c r="P83" s="94">
        <f t="shared" si="19"/>
        <v>0</v>
      </c>
      <c r="Q83" s="180">
        <f t="shared" si="20"/>
        <v>1169664.3920535347</v>
      </c>
      <c r="R83">
        <f>IFERROR(VLOOKUP(A83,[1]Energiindhold!$A$2:$C$11,3,FALSE),IFERROR(VLOOKUP(A83,[1]Biogasudbytte!$A$2:$B$18,2,FALSE)*[1]Energiindhold!$C$10,0))*P83</f>
        <v>0</v>
      </c>
      <c r="S83">
        <f>IF(A83&lt;&gt;"Biogas",IFERROR(VLOOKUP(A83,[1]Biogasudbytte!$A$2:$B$18,2,FALSE)*[1]Energiindhold!$C$10,0)*K83*IFERROR(VLOOKUP(A83,Biogasanlæg!$F$3:$G$8,2,FALSE),1)+IFERROR(VLOOKUP(A83,[1]Energiindhold!$A$2:$C$11,3,FALSE),0)*M83+IF(F83&lt;&gt;År1,R83,0),0)</f>
        <v>21.521824813785035</v>
      </c>
      <c r="T83">
        <f>IFERROR(VLOOKUP(A83,[1]Biogasudbytte!$A$2:$B$18,2,FALSE)*[1]Energiindhold!$C$10,0)*K83*IFERROR(VLOOKUP(A83,Biogasanlæg!$F$3:$G$8,2,FALSE),1)</f>
        <v>0</v>
      </c>
      <c r="U83" s="170">
        <f t="shared" si="21"/>
        <v>21.521824813785035</v>
      </c>
      <c r="V83" s="169">
        <f>P83*IFERROR(VLOOKUP(A83,[1]Tørstofindhold!A$2:B$24,2,FALSE),0)</f>
        <v>0</v>
      </c>
      <c r="W83">
        <f>IF(F83=År1,Q83,SUM(P83,Q83))*IFERROR(VLOOKUP(A83,[1]Tørstofindhold!A$2:B$24,2,FALSE),0)</f>
        <v>485410.72270221694</v>
      </c>
      <c r="X83">
        <f>K83*IFERROR(VLOOKUP(A83,[1]Tørstofindhold!A$2:B$24,2,FALSE),0)</f>
        <v>0</v>
      </c>
      <c r="Y83" s="170">
        <f t="shared" si="22"/>
        <v>485410.72270221694</v>
      </c>
      <c r="Z83">
        <f t="shared" si="16"/>
        <v>0</v>
      </c>
      <c r="AA83">
        <f t="shared" si="17"/>
        <v>0</v>
      </c>
      <c r="AC83" s="94">
        <f t="shared" si="23"/>
        <v>1169664.3920535347</v>
      </c>
      <c r="AD83">
        <f>AC83*E83*10000*VLOOKUP(A83,[1]kcal!$A$2:$C$49,3,FALSE)/1000000000000*IFERROR(VLOOKUP(A83,'Kategorisering af kcal'!$A$2:$E$18,MATCH('Produktion &amp; forbrug'!F83,'Kategorisering af kcal'!$A$1:$E$1,0),FALSE),0)</f>
        <v>0</v>
      </c>
      <c r="AE83">
        <f>IF(C83&lt;&gt;"",AC83*(1-VLOOKUP(A83,'Kategorisering af kcal'!$A$2:$E$18,MATCH('Produktion &amp; forbrug'!F83,'Kategorisering af kcal'!$A$1:$E$1,0),FALSE)),'Produktion &amp; forbrug'!AC83)</f>
        <v>1169664.3920535347</v>
      </c>
      <c r="AF83" s="94">
        <f t="shared" si="24"/>
        <v>0</v>
      </c>
    </row>
    <row r="84" spans="1:32" x14ac:dyDescent="0.25">
      <c r="A84" s="171" t="str">
        <f t="shared" si="12"/>
        <v>Pyrolysegas</v>
      </c>
      <c r="B84" s="171" t="str">
        <f t="shared" si="13"/>
        <v>Pyrolyseprodukter</v>
      </c>
      <c r="C84" s="171" t="str">
        <f>IFERROR(VLOOKUP(A84,'Kategorisering af kcal'!$A$2:$B$18,2,FALSE),"")</f>
        <v/>
      </c>
      <c r="D84" s="171">
        <f>IF(COUNTIFS('Resultater - Danmark'!$D$3:$D$504,'Produktion &amp; forbrug'!A84,'Resultater - Danmark'!$A$3:$A$504,"Til energi")+COUNTIFS('Resultater - Danmark'!$D$3:$D$504,'Produktion &amp; forbrug'!A84,'Resultater - Danmark'!$A$3:$A$504,"Biogasanlæg")&gt;0,1,0)</f>
        <v>1</v>
      </c>
      <c r="E84" s="171">
        <f t="shared" si="15"/>
        <v>0</v>
      </c>
      <c r="F84" s="171">
        <f t="shared" si="14"/>
        <v>2030</v>
      </c>
      <c r="G84" s="94">
        <f>SUMIFS('Resultat-Produktion &amp; forbrug'!G$4:G$291,'Resultat-Produktion &amp; forbrug'!$A$4:$A$291,'Produktion &amp; forbrug'!$A84,'Resultat-Produktion &amp; forbrug'!$E$4:$E$291,'Produktion &amp; forbrug'!$F84)</f>
        <v>0</v>
      </c>
      <c r="H84" s="94">
        <f>SUMIFS('Resultat-Produktion &amp; forbrug'!H$4:H$291,'Resultat-Produktion &amp; forbrug'!$A$4:$A$291,'Produktion &amp; forbrug'!$A84,'Resultat-Produktion &amp; forbrug'!$E$4:$E$291,'Produktion &amp; forbrug'!$F84)</f>
        <v>0</v>
      </c>
      <c r="I84" s="94">
        <f>SUMIFS('Resultat-Produktion &amp; forbrug'!I$4:I$291,'Resultat-Produktion &amp; forbrug'!$A$4:$A$291,'Produktion &amp; forbrug'!$A84,'Resultat-Produktion &amp; forbrug'!$E$4:$E$291,'Produktion &amp; forbrug'!$F84)</f>
        <v>0</v>
      </c>
      <c r="J84" s="94">
        <f>SUMIFS('Resultat-Produktion &amp; forbrug'!J$4:J$291,'Resultat-Produktion &amp; forbrug'!$A$4:$A$291,'Produktion &amp; forbrug'!$A84,'Resultat-Produktion &amp; forbrug'!$E$4:$E$291,'Produktion &amp; forbrug'!$F84)</f>
        <v>0</v>
      </c>
      <c r="K84" s="94">
        <f>SUMIFS('Resultat-Produktion &amp; forbrug'!K$4:K$291,'Resultat-Produktion &amp; forbrug'!$A$4:$A$291,'Produktion &amp; forbrug'!$A84,'Resultat-Produktion &amp; forbrug'!$E$4:$E$291,'Produktion &amp; forbrug'!$F84)</f>
        <v>0</v>
      </c>
      <c r="L84" s="94">
        <f>SUMIFS('Resultat-Produktion &amp; forbrug'!L$4:L$291,'Resultat-Produktion &amp; forbrug'!$A$4:$A$291,'Produktion &amp; forbrug'!$A84,'Resultat-Produktion &amp; forbrug'!$E$4:$E$291,'Produktion &amp; forbrug'!$F84)</f>
        <v>0</v>
      </c>
      <c r="M84" s="94">
        <f>SUMIFS('Resultat-Produktion &amp; forbrug'!M$4:M$291,'Resultat-Produktion &amp; forbrug'!$A$4:$A$291,'Produktion &amp; forbrug'!$A84,'Resultat-Produktion &amp; forbrug'!$E$4:$E$291,'Produktion &amp; forbrug'!$F84)</f>
        <v>0</v>
      </c>
      <c r="N84" s="94">
        <f>SUMIFS('Resultat-Produktion &amp; forbrug'!N$4:N$291,'Resultat-Produktion &amp; forbrug'!$A$4:$A$291,'Produktion &amp; forbrug'!$A84,'Resultat-Produktion &amp; forbrug'!$E$4:$E$291,'Produktion &amp; forbrug'!$F84)</f>
        <v>0</v>
      </c>
      <c r="O84" s="179">
        <f t="shared" si="18"/>
        <v>0</v>
      </c>
      <c r="P84" s="94">
        <f t="shared" si="19"/>
        <v>0</v>
      </c>
      <c r="Q84" s="180">
        <f t="shared" si="20"/>
        <v>0</v>
      </c>
      <c r="R84">
        <f>IFERROR(VLOOKUP(A84,[1]Energiindhold!$A$2:$C$11,3,FALSE),IFERROR(VLOOKUP(A84,[1]Biogasudbytte!$A$2:$B$18,2,FALSE)*[1]Energiindhold!$C$10,0))*P84</f>
        <v>0</v>
      </c>
      <c r="S84">
        <f>IF(A84&lt;&gt;"Biogas",IFERROR(VLOOKUP(A84,[1]Biogasudbytte!$A$2:$B$18,2,FALSE)*[1]Energiindhold!$C$10,0)*K84*IFERROR(VLOOKUP(A84,Biogasanlæg!$F$3:$G$8,2,FALSE),1)+IFERROR(VLOOKUP(A84,[1]Energiindhold!$A$2:$C$11,3,FALSE),0)*M84+IF(F84&lt;&gt;År1,R84,0),0)</f>
        <v>0</v>
      </c>
      <c r="T84">
        <f>IFERROR(VLOOKUP(A84,[1]Biogasudbytte!$A$2:$B$18,2,FALSE)*[1]Energiindhold!$C$10,0)*K84*IFERROR(VLOOKUP(A84,Biogasanlæg!$F$3:$G$8,2,FALSE),1)</f>
        <v>0</v>
      </c>
      <c r="U84" s="170">
        <f t="shared" si="21"/>
        <v>0</v>
      </c>
      <c r="V84" s="169">
        <f>P84*IFERROR(VLOOKUP(A84,[1]Tørstofindhold!A$2:B$24,2,FALSE),0)</f>
        <v>0</v>
      </c>
      <c r="W84">
        <f>IF(F84=År1,Q84,SUM(P84,Q84))*IFERROR(VLOOKUP(A84,[1]Tørstofindhold!A$2:B$24,2,FALSE),0)</f>
        <v>0</v>
      </c>
      <c r="X84">
        <f>K84*IFERROR(VLOOKUP(A84,[1]Tørstofindhold!A$2:B$24,2,FALSE),0)</f>
        <v>0</v>
      </c>
      <c r="Y84" s="170">
        <f t="shared" si="22"/>
        <v>0</v>
      </c>
      <c r="Z84">
        <f t="shared" si="16"/>
        <v>0</v>
      </c>
      <c r="AA84">
        <f t="shared" si="17"/>
        <v>0</v>
      </c>
      <c r="AC84" s="94">
        <f t="shared" si="23"/>
        <v>0</v>
      </c>
      <c r="AD84">
        <f>AC84*E84*10000*VLOOKUP(A84,[1]kcal!$A$2:$C$49,3,FALSE)/1000000000000*IFERROR(VLOOKUP(A84,'Kategorisering af kcal'!$A$2:$E$18,MATCH('Produktion &amp; forbrug'!F84,'Kategorisering af kcal'!$A$1:$E$1,0),FALSE),0)</f>
        <v>0</v>
      </c>
      <c r="AE84">
        <f>IF(C84&lt;&gt;"",AC84*(1-VLOOKUP(A84,'Kategorisering af kcal'!$A$2:$E$18,MATCH('Produktion &amp; forbrug'!F84,'Kategorisering af kcal'!$A$1:$E$1,0),FALSE)),'Produktion &amp; forbrug'!AC84)</f>
        <v>0</v>
      </c>
      <c r="AF84" s="94">
        <f t="shared" si="24"/>
        <v>0</v>
      </c>
    </row>
    <row r="85" spans="1:32" x14ac:dyDescent="0.25">
      <c r="A85" s="171" t="str">
        <f t="shared" si="12"/>
        <v>Pyrolyseolie</v>
      </c>
      <c r="B85" s="171" t="str">
        <f t="shared" si="13"/>
        <v>Pyrolyseprodukter</v>
      </c>
      <c r="C85" s="171" t="str">
        <f>IFERROR(VLOOKUP(A85,'Kategorisering af kcal'!$A$2:$B$18,2,FALSE),"")</f>
        <v/>
      </c>
      <c r="D85" s="171">
        <f>IF(COUNTIFS('Resultater - Danmark'!$D$3:$D$504,'Produktion &amp; forbrug'!A85,'Resultater - Danmark'!$A$3:$A$504,"Til energi")+COUNTIFS('Resultater - Danmark'!$D$3:$D$504,'Produktion &amp; forbrug'!A85,'Resultater - Danmark'!$A$3:$A$504,"Biogasanlæg")&gt;0,1,0)</f>
        <v>1</v>
      </c>
      <c r="E85" s="171">
        <f t="shared" si="15"/>
        <v>0</v>
      </c>
      <c r="F85" s="171">
        <f t="shared" si="14"/>
        <v>2030</v>
      </c>
      <c r="G85" s="94">
        <f>SUMIFS('Resultat-Produktion &amp; forbrug'!G$4:G$291,'Resultat-Produktion &amp; forbrug'!$A$4:$A$291,'Produktion &amp; forbrug'!$A85,'Resultat-Produktion &amp; forbrug'!$E$4:$E$291,'Produktion &amp; forbrug'!$F85)</f>
        <v>0</v>
      </c>
      <c r="H85" s="94">
        <f>SUMIFS('Resultat-Produktion &amp; forbrug'!H$4:H$291,'Resultat-Produktion &amp; forbrug'!$A$4:$A$291,'Produktion &amp; forbrug'!$A85,'Resultat-Produktion &amp; forbrug'!$E$4:$E$291,'Produktion &amp; forbrug'!$F85)</f>
        <v>0</v>
      </c>
      <c r="I85" s="94">
        <f>SUMIFS('Resultat-Produktion &amp; forbrug'!I$4:I$291,'Resultat-Produktion &amp; forbrug'!$A$4:$A$291,'Produktion &amp; forbrug'!$A85,'Resultat-Produktion &amp; forbrug'!$E$4:$E$291,'Produktion &amp; forbrug'!$F85)</f>
        <v>0</v>
      </c>
      <c r="J85" s="94">
        <f>SUMIFS('Resultat-Produktion &amp; forbrug'!J$4:J$291,'Resultat-Produktion &amp; forbrug'!$A$4:$A$291,'Produktion &amp; forbrug'!$A85,'Resultat-Produktion &amp; forbrug'!$E$4:$E$291,'Produktion &amp; forbrug'!$F85)</f>
        <v>0</v>
      </c>
      <c r="K85" s="94">
        <f>SUMIFS('Resultat-Produktion &amp; forbrug'!K$4:K$291,'Resultat-Produktion &amp; forbrug'!$A$4:$A$291,'Produktion &amp; forbrug'!$A85,'Resultat-Produktion &amp; forbrug'!$E$4:$E$291,'Produktion &amp; forbrug'!$F85)</f>
        <v>0</v>
      </c>
      <c r="L85" s="94">
        <f>SUMIFS('Resultat-Produktion &amp; forbrug'!L$4:L$291,'Resultat-Produktion &amp; forbrug'!$A$4:$A$291,'Produktion &amp; forbrug'!$A85,'Resultat-Produktion &amp; forbrug'!$E$4:$E$291,'Produktion &amp; forbrug'!$F85)</f>
        <v>0</v>
      </c>
      <c r="M85" s="94">
        <f>SUMIFS('Resultat-Produktion &amp; forbrug'!M$4:M$291,'Resultat-Produktion &amp; forbrug'!$A$4:$A$291,'Produktion &amp; forbrug'!$A85,'Resultat-Produktion &amp; forbrug'!$E$4:$E$291,'Produktion &amp; forbrug'!$F85)</f>
        <v>0</v>
      </c>
      <c r="N85" s="94">
        <f>SUMIFS('Resultat-Produktion &amp; forbrug'!N$4:N$291,'Resultat-Produktion &amp; forbrug'!$A$4:$A$291,'Produktion &amp; forbrug'!$A85,'Resultat-Produktion &amp; forbrug'!$E$4:$E$291,'Produktion &amp; forbrug'!$F85)</f>
        <v>0</v>
      </c>
      <c r="O85" s="179">
        <f t="shared" si="18"/>
        <v>0</v>
      </c>
      <c r="P85" s="94">
        <f t="shared" si="19"/>
        <v>0</v>
      </c>
      <c r="Q85" s="180">
        <f t="shared" si="20"/>
        <v>0</v>
      </c>
      <c r="R85">
        <f>IFERROR(VLOOKUP(A85,[1]Energiindhold!$A$2:$C$11,3,FALSE),IFERROR(VLOOKUP(A85,[1]Biogasudbytte!$A$2:$B$18,2,FALSE)*[1]Energiindhold!$C$10,0))*P85</f>
        <v>0</v>
      </c>
      <c r="S85">
        <f>IF(A85&lt;&gt;"Biogas",IFERROR(VLOOKUP(A85,[1]Biogasudbytte!$A$2:$B$18,2,FALSE)*[1]Energiindhold!$C$10,0)*K85*IFERROR(VLOOKUP(A85,Biogasanlæg!$F$3:$G$8,2,FALSE),1)+IFERROR(VLOOKUP(A85,[1]Energiindhold!$A$2:$C$11,3,FALSE),0)*M85+IF(F85&lt;&gt;År1,R85,0),0)</f>
        <v>0</v>
      </c>
      <c r="T85">
        <f>IFERROR(VLOOKUP(A85,[1]Biogasudbytte!$A$2:$B$18,2,FALSE)*[1]Energiindhold!$C$10,0)*K85*IFERROR(VLOOKUP(A85,Biogasanlæg!$F$3:$G$8,2,FALSE),1)</f>
        <v>0</v>
      </c>
      <c r="U85" s="170">
        <f t="shared" si="21"/>
        <v>0</v>
      </c>
      <c r="V85" s="169">
        <f>P85*IFERROR(VLOOKUP(A85,[1]Tørstofindhold!A$2:B$24,2,FALSE),0)</f>
        <v>0</v>
      </c>
      <c r="W85">
        <f>IF(F85=År1,Q85,SUM(P85,Q85))*IFERROR(VLOOKUP(A85,[1]Tørstofindhold!A$2:B$24,2,FALSE),0)</f>
        <v>0</v>
      </c>
      <c r="X85">
        <f>K85*IFERROR(VLOOKUP(A85,[1]Tørstofindhold!A$2:B$24,2,FALSE),0)</f>
        <v>0</v>
      </c>
      <c r="Y85" s="170">
        <f t="shared" si="22"/>
        <v>0</v>
      </c>
      <c r="Z85">
        <f t="shared" si="16"/>
        <v>0</v>
      </c>
      <c r="AA85">
        <f t="shared" si="17"/>
        <v>0</v>
      </c>
      <c r="AC85" s="94">
        <f t="shared" si="23"/>
        <v>0</v>
      </c>
      <c r="AD85">
        <f>AC85*E85*10000*VLOOKUP(A85,[1]kcal!$A$2:$C$49,3,FALSE)/1000000000000*IFERROR(VLOOKUP(A85,'Kategorisering af kcal'!$A$2:$E$18,MATCH('Produktion &amp; forbrug'!F85,'Kategorisering af kcal'!$A$1:$E$1,0),FALSE),0)</f>
        <v>0</v>
      </c>
      <c r="AE85">
        <f>IF(C85&lt;&gt;"",AC85*(1-VLOOKUP(A85,'Kategorisering af kcal'!$A$2:$E$18,MATCH('Produktion &amp; forbrug'!F85,'Kategorisering af kcal'!$A$1:$E$1,0),FALSE)),'Produktion &amp; forbrug'!AC85)</f>
        <v>0</v>
      </c>
      <c r="AF85" s="94">
        <f t="shared" si="24"/>
        <v>0</v>
      </c>
    </row>
    <row r="86" spans="1:32" x14ac:dyDescent="0.25">
      <c r="A86" s="171" t="str">
        <f t="shared" si="12"/>
        <v>Råmælk</v>
      </c>
      <c r="B86" s="171" t="str">
        <f t="shared" si="13"/>
        <v/>
      </c>
      <c r="C86" s="171" t="str">
        <f>IFERROR(VLOOKUP(A86,'Kategorisering af kcal'!$A$2:$B$18,2,FALSE),"")</f>
        <v/>
      </c>
      <c r="D86" s="171">
        <f>IF(COUNTIFS('Resultater - Danmark'!$D$3:$D$504,'Produktion &amp; forbrug'!A86,'Resultater - Danmark'!$A$3:$A$504,"Til energi")+COUNTIFS('Resultater - Danmark'!$D$3:$D$504,'Produktion &amp; forbrug'!A86,'Resultater - Danmark'!$A$3:$A$504,"Biogasanlæg")&gt;0,1,0)</f>
        <v>0</v>
      </c>
      <c r="E86" s="171">
        <f t="shared" si="15"/>
        <v>0</v>
      </c>
      <c r="F86" s="171">
        <f t="shared" si="14"/>
        <v>2030</v>
      </c>
      <c r="G86" s="94">
        <f>SUMIFS('Resultat-Produktion &amp; forbrug'!G$4:G$291,'Resultat-Produktion &amp; forbrug'!$A$4:$A$291,'Produktion &amp; forbrug'!$A86,'Resultat-Produktion &amp; forbrug'!$E$4:$E$291,'Produktion &amp; forbrug'!$F86)</f>
        <v>2274008.9680147558</v>
      </c>
      <c r="H86" s="94">
        <f>SUMIFS('Resultat-Produktion &amp; forbrug'!H$4:H$291,'Resultat-Produktion &amp; forbrug'!$A$4:$A$291,'Produktion &amp; forbrug'!$A86,'Resultat-Produktion &amp; forbrug'!$E$4:$E$291,'Produktion &amp; forbrug'!$F86)</f>
        <v>0</v>
      </c>
      <c r="I86" s="94">
        <f>SUMIFS('Resultat-Produktion &amp; forbrug'!I$4:I$291,'Resultat-Produktion &amp; forbrug'!$A$4:$A$291,'Produktion &amp; forbrug'!$A86,'Resultat-Produktion &amp; forbrug'!$E$4:$E$291,'Produktion &amp; forbrug'!$F86)</f>
        <v>0</v>
      </c>
      <c r="J86" s="94">
        <f>SUMIFS('Resultat-Produktion &amp; forbrug'!J$4:J$291,'Resultat-Produktion &amp; forbrug'!$A$4:$A$291,'Produktion &amp; forbrug'!$A86,'Resultat-Produktion &amp; forbrug'!$E$4:$E$291,'Produktion &amp; forbrug'!$F86)</f>
        <v>0</v>
      </c>
      <c r="K86" s="94">
        <f>SUMIFS('Resultat-Produktion &amp; forbrug'!K$4:K$291,'Resultat-Produktion &amp; forbrug'!$A$4:$A$291,'Produktion &amp; forbrug'!$A86,'Resultat-Produktion &amp; forbrug'!$E$4:$E$291,'Produktion &amp; forbrug'!$F86)</f>
        <v>0</v>
      </c>
      <c r="L86" s="94">
        <f>SUMIFS('Resultat-Produktion &amp; forbrug'!L$4:L$291,'Resultat-Produktion &amp; forbrug'!$A$4:$A$291,'Produktion &amp; forbrug'!$A86,'Resultat-Produktion &amp; forbrug'!$E$4:$E$291,'Produktion &amp; forbrug'!$F86)</f>
        <v>0</v>
      </c>
      <c r="M86" s="94">
        <f>SUMIFS('Resultat-Produktion &amp; forbrug'!M$4:M$291,'Resultat-Produktion &amp; forbrug'!$A$4:$A$291,'Produktion &amp; forbrug'!$A86,'Resultat-Produktion &amp; forbrug'!$E$4:$E$291,'Produktion &amp; forbrug'!$F86)</f>
        <v>0</v>
      </c>
      <c r="N86" s="94">
        <f>SUMIFS('Resultat-Produktion &amp; forbrug'!N$4:N$291,'Resultat-Produktion &amp; forbrug'!$A$4:$A$291,'Produktion &amp; forbrug'!$A86,'Resultat-Produktion &amp; forbrug'!$E$4:$E$291,'Produktion &amp; forbrug'!$F86)</f>
        <v>0</v>
      </c>
      <c r="O86" s="179">
        <f t="shared" si="18"/>
        <v>2274008.9680147558</v>
      </c>
      <c r="P86" s="94">
        <f t="shared" si="19"/>
        <v>0</v>
      </c>
      <c r="Q86" s="180">
        <f t="shared" si="20"/>
        <v>0</v>
      </c>
      <c r="R86">
        <f>IFERROR(VLOOKUP(A86,[1]Energiindhold!$A$2:$C$11,3,FALSE),IFERROR(VLOOKUP(A86,[1]Biogasudbytte!$A$2:$B$18,2,FALSE)*[1]Energiindhold!$C$10,0))*P86</f>
        <v>0</v>
      </c>
      <c r="S86">
        <f>IF(A86&lt;&gt;"Biogas",IFERROR(VLOOKUP(A86,[1]Biogasudbytte!$A$2:$B$18,2,FALSE)*[1]Energiindhold!$C$10,0)*K86*IFERROR(VLOOKUP(A86,Biogasanlæg!$F$3:$G$8,2,FALSE),1)+IFERROR(VLOOKUP(A86,[1]Energiindhold!$A$2:$C$11,3,FALSE),0)*M86+IF(F86&lt;&gt;År1,R86,0),0)</f>
        <v>0</v>
      </c>
      <c r="T86">
        <f>IFERROR(VLOOKUP(A86,[1]Biogasudbytte!$A$2:$B$18,2,FALSE)*[1]Energiindhold!$C$10,0)*K86*IFERROR(VLOOKUP(A86,Biogasanlæg!$F$3:$G$8,2,FALSE),1)</f>
        <v>0</v>
      </c>
      <c r="U86" s="170">
        <f t="shared" si="21"/>
        <v>0</v>
      </c>
      <c r="V86" s="169">
        <f>P86*IFERROR(VLOOKUP(A86,[1]Tørstofindhold!A$2:B$24,2,FALSE),0)</f>
        <v>0</v>
      </c>
      <c r="W86">
        <f>IF(F86=År1,Q86,SUM(P86,Q86))*IFERROR(VLOOKUP(A86,[1]Tørstofindhold!A$2:B$24,2,FALSE),0)</f>
        <v>0</v>
      </c>
      <c r="X86">
        <f>K86*IFERROR(VLOOKUP(A86,[1]Tørstofindhold!A$2:B$24,2,FALSE),0)</f>
        <v>0</v>
      </c>
      <c r="Y86" s="170">
        <f t="shared" si="22"/>
        <v>0</v>
      </c>
      <c r="Z86">
        <f t="shared" si="16"/>
        <v>0</v>
      </c>
      <c r="AA86">
        <f t="shared" si="17"/>
        <v>1</v>
      </c>
      <c r="AC86" s="94">
        <f t="shared" si="23"/>
        <v>2274008.9680147558</v>
      </c>
      <c r="AD86">
        <f>AC86*E86*10000*VLOOKUP(A86,[1]kcal!$A$2:$C$49,3,FALSE)/1000000000000*IFERROR(VLOOKUP(A86,'Kategorisering af kcal'!$A$2:$E$18,MATCH('Produktion &amp; forbrug'!F86,'Kategorisering af kcal'!$A$1:$E$1,0),FALSE),0)</f>
        <v>0</v>
      </c>
      <c r="AE86">
        <f>IF(C86&lt;&gt;"",AC86*(1-VLOOKUP(A86,'Kategorisering af kcal'!$A$2:$E$18,MATCH('Produktion &amp; forbrug'!F86,'Kategorisering af kcal'!$A$1:$E$1,0),FALSE)),'Produktion &amp; forbrug'!AC86)</f>
        <v>2274008.9680147558</v>
      </c>
      <c r="AF86" s="94">
        <f t="shared" si="24"/>
        <v>0</v>
      </c>
    </row>
    <row r="87" spans="1:32" x14ac:dyDescent="0.25">
      <c r="A87" s="171" t="str">
        <f t="shared" si="12"/>
        <v>Raps</v>
      </c>
      <c r="B87" s="171" t="str">
        <f t="shared" si="13"/>
        <v/>
      </c>
      <c r="C87" s="171" t="str">
        <f>IFERROR(VLOOKUP(A87,'Kategorisering af kcal'!$A$2:$B$18,2,FALSE),"")</f>
        <v/>
      </c>
      <c r="D87" s="171">
        <f>IF(COUNTIFS('Resultater - Danmark'!$D$3:$D$504,'Produktion &amp; forbrug'!A87,'Resultater - Danmark'!$A$3:$A$504,"Til energi")+COUNTIFS('Resultater - Danmark'!$D$3:$D$504,'Produktion &amp; forbrug'!A87,'Resultater - Danmark'!$A$3:$A$504,"Biogasanlæg")&gt;0,1,0)</f>
        <v>0</v>
      </c>
      <c r="E87" s="171">
        <f t="shared" si="15"/>
        <v>0</v>
      </c>
      <c r="F87" s="171">
        <f t="shared" si="14"/>
        <v>2030</v>
      </c>
      <c r="G87" s="94">
        <f>SUMIFS('Resultat-Produktion &amp; forbrug'!G$4:G$291,'Resultat-Produktion &amp; forbrug'!$A$4:$A$291,'Produktion &amp; forbrug'!$A87,'Resultat-Produktion &amp; forbrug'!$E$4:$E$291,'Produktion &amp; forbrug'!$F87)</f>
        <v>962189.31811065669</v>
      </c>
      <c r="H87" s="94">
        <f>SUMIFS('Resultat-Produktion &amp; forbrug'!H$4:H$291,'Resultat-Produktion &amp; forbrug'!$A$4:$A$291,'Produktion &amp; forbrug'!$A87,'Resultat-Produktion &amp; forbrug'!$E$4:$E$291,'Produktion &amp; forbrug'!$F87)</f>
        <v>0</v>
      </c>
      <c r="I87" s="94">
        <f>SUMIFS('Resultat-Produktion &amp; forbrug'!I$4:I$291,'Resultat-Produktion &amp; forbrug'!$A$4:$A$291,'Produktion &amp; forbrug'!$A87,'Resultat-Produktion &amp; forbrug'!$E$4:$E$291,'Produktion &amp; forbrug'!$F87)</f>
        <v>0</v>
      </c>
      <c r="J87" s="94">
        <f>SUMIFS('Resultat-Produktion &amp; forbrug'!J$4:J$291,'Resultat-Produktion &amp; forbrug'!$A$4:$A$291,'Produktion &amp; forbrug'!$A87,'Resultat-Produktion &amp; forbrug'!$E$4:$E$291,'Produktion &amp; forbrug'!$F87)</f>
        <v>0</v>
      </c>
      <c r="K87" s="94">
        <f>SUMIFS('Resultat-Produktion &amp; forbrug'!K$4:K$291,'Resultat-Produktion &amp; forbrug'!$A$4:$A$291,'Produktion &amp; forbrug'!$A87,'Resultat-Produktion &amp; forbrug'!$E$4:$E$291,'Produktion &amp; forbrug'!$F87)</f>
        <v>0</v>
      </c>
      <c r="L87" s="94">
        <f>SUMIFS('Resultat-Produktion &amp; forbrug'!L$4:L$291,'Resultat-Produktion &amp; forbrug'!$A$4:$A$291,'Produktion &amp; forbrug'!$A87,'Resultat-Produktion &amp; forbrug'!$E$4:$E$291,'Produktion &amp; forbrug'!$F87)</f>
        <v>0</v>
      </c>
      <c r="M87" s="94">
        <f>SUMIFS('Resultat-Produktion &amp; forbrug'!M$4:M$291,'Resultat-Produktion &amp; forbrug'!$A$4:$A$291,'Produktion &amp; forbrug'!$A87,'Resultat-Produktion &amp; forbrug'!$E$4:$E$291,'Produktion &amp; forbrug'!$F87)</f>
        <v>0</v>
      </c>
      <c r="N87" s="94">
        <f>SUMIFS('Resultat-Produktion &amp; forbrug'!N$4:N$291,'Resultat-Produktion &amp; forbrug'!$A$4:$A$291,'Produktion &amp; forbrug'!$A87,'Resultat-Produktion &amp; forbrug'!$E$4:$E$291,'Produktion &amp; forbrug'!$F87)</f>
        <v>962189.31811065669</v>
      </c>
      <c r="O87" s="179">
        <f t="shared" si="18"/>
        <v>0</v>
      </c>
      <c r="P87" s="94">
        <f t="shared" si="19"/>
        <v>0</v>
      </c>
      <c r="Q87" s="180">
        <f t="shared" si="20"/>
        <v>0</v>
      </c>
      <c r="R87">
        <f>IFERROR(VLOOKUP(A87,[1]Energiindhold!$A$2:$C$11,3,FALSE),IFERROR(VLOOKUP(A87,[1]Biogasudbytte!$A$2:$B$18,2,FALSE)*[1]Energiindhold!$C$10,0))*P87</f>
        <v>0</v>
      </c>
      <c r="S87">
        <f>IF(A87&lt;&gt;"Biogas",IFERROR(VLOOKUP(A87,[1]Biogasudbytte!$A$2:$B$18,2,FALSE)*[1]Energiindhold!$C$10,0)*K87*IFERROR(VLOOKUP(A87,Biogasanlæg!$F$3:$G$8,2,FALSE),1)+IFERROR(VLOOKUP(A87,[1]Energiindhold!$A$2:$C$11,3,FALSE),0)*M87+IF(F87&lt;&gt;År1,R87,0),0)</f>
        <v>0</v>
      </c>
      <c r="T87">
        <f>IFERROR(VLOOKUP(A87,[1]Biogasudbytte!$A$2:$B$18,2,FALSE)*[1]Energiindhold!$C$10,0)*K87*IFERROR(VLOOKUP(A87,Biogasanlæg!$F$3:$G$8,2,FALSE),1)</f>
        <v>0</v>
      </c>
      <c r="U87" s="170">
        <f t="shared" si="21"/>
        <v>0</v>
      </c>
      <c r="V87" s="169">
        <f>P87*IFERROR(VLOOKUP(A87,[1]Tørstofindhold!A$2:B$24,2,FALSE),0)</f>
        <v>0</v>
      </c>
      <c r="W87">
        <f>IF(F87=År1,Q87,SUM(P87,Q87))*IFERROR(VLOOKUP(A87,[1]Tørstofindhold!A$2:B$24,2,FALSE),0)</f>
        <v>0</v>
      </c>
      <c r="X87">
        <f>K87*IFERROR(VLOOKUP(A87,[1]Tørstofindhold!A$2:B$24,2,FALSE),0)</f>
        <v>0</v>
      </c>
      <c r="Y87" s="170">
        <f t="shared" si="22"/>
        <v>0</v>
      </c>
      <c r="Z87">
        <f t="shared" si="16"/>
        <v>0</v>
      </c>
      <c r="AA87">
        <f t="shared" si="17"/>
        <v>0</v>
      </c>
      <c r="AC87" s="94">
        <f t="shared" si="23"/>
        <v>0</v>
      </c>
      <c r="AD87">
        <f>AC87*E87*10000*VLOOKUP(A87,[1]kcal!$A$2:$C$49,3,FALSE)/1000000000000*IFERROR(VLOOKUP(A87,'Kategorisering af kcal'!$A$2:$E$18,MATCH('Produktion &amp; forbrug'!F87,'Kategorisering af kcal'!$A$1:$E$1,0),FALSE),0)</f>
        <v>0</v>
      </c>
      <c r="AE87">
        <f>IF(C87&lt;&gt;"",AC87*(1-VLOOKUP(A87,'Kategorisering af kcal'!$A$2:$E$18,MATCH('Produktion &amp; forbrug'!F87,'Kategorisering af kcal'!$A$1:$E$1,0),FALSE)),'Produktion &amp; forbrug'!AC87)</f>
        <v>0</v>
      </c>
      <c r="AF87" s="94">
        <f t="shared" si="24"/>
        <v>0</v>
      </c>
    </row>
    <row r="88" spans="1:32" x14ac:dyDescent="0.25">
      <c r="A88" s="171" t="str">
        <f t="shared" si="12"/>
        <v>Rapskage</v>
      </c>
      <c r="B88" s="171" t="str">
        <f t="shared" si="13"/>
        <v/>
      </c>
      <c r="C88" s="171" t="str">
        <f>IFERROR(VLOOKUP(A88,'Kategorisering af kcal'!$A$2:$B$18,2,FALSE),"")</f>
        <v/>
      </c>
      <c r="D88" s="171">
        <f>IF(COUNTIFS('Resultater - Danmark'!$D$3:$D$504,'Produktion &amp; forbrug'!A88,'Resultater - Danmark'!$A$3:$A$504,"Til energi")+COUNTIFS('Resultater - Danmark'!$D$3:$D$504,'Produktion &amp; forbrug'!A88,'Resultater - Danmark'!$A$3:$A$504,"Biogasanlæg")&gt;0,1,0)</f>
        <v>0</v>
      </c>
      <c r="E88" s="171">
        <f t="shared" si="15"/>
        <v>0</v>
      </c>
      <c r="F88" s="171">
        <f t="shared" si="14"/>
        <v>2030</v>
      </c>
      <c r="G88" s="94">
        <f>SUMIFS('Resultat-Produktion &amp; forbrug'!G$4:G$291,'Resultat-Produktion &amp; forbrug'!$A$4:$A$291,'Produktion &amp; forbrug'!$A88,'Resultat-Produktion &amp; forbrug'!$E$4:$E$291,'Produktion &amp; forbrug'!$F88)</f>
        <v>481094.65905532835</v>
      </c>
      <c r="H88" s="94">
        <f>SUMIFS('Resultat-Produktion &amp; forbrug'!H$4:H$291,'Resultat-Produktion &amp; forbrug'!$A$4:$A$291,'Produktion &amp; forbrug'!$A88,'Resultat-Produktion &amp; forbrug'!$E$4:$E$291,'Produktion &amp; forbrug'!$F88)</f>
        <v>336636.78930177691</v>
      </c>
      <c r="I88" s="94">
        <f>SUMIFS('Resultat-Produktion &amp; forbrug'!I$4:I$291,'Resultat-Produktion &amp; forbrug'!$A$4:$A$291,'Produktion &amp; forbrug'!$A88,'Resultat-Produktion &amp; forbrug'!$E$4:$E$291,'Produktion &amp; forbrug'!$F88)</f>
        <v>0</v>
      </c>
      <c r="J88" s="94">
        <f>SUMIFS('Resultat-Produktion &amp; forbrug'!J$4:J$291,'Resultat-Produktion &amp; forbrug'!$A$4:$A$291,'Produktion &amp; forbrug'!$A88,'Resultat-Produktion &amp; forbrug'!$E$4:$E$291,'Produktion &amp; forbrug'!$F88)</f>
        <v>0</v>
      </c>
      <c r="K88" s="94">
        <f>SUMIFS('Resultat-Produktion &amp; forbrug'!K$4:K$291,'Resultat-Produktion &amp; forbrug'!$A$4:$A$291,'Produktion &amp; forbrug'!$A88,'Resultat-Produktion &amp; forbrug'!$E$4:$E$291,'Produktion &amp; forbrug'!$F88)</f>
        <v>0</v>
      </c>
      <c r="L88" s="94">
        <f>SUMIFS('Resultat-Produktion &amp; forbrug'!L$4:L$291,'Resultat-Produktion &amp; forbrug'!$A$4:$A$291,'Produktion &amp; forbrug'!$A88,'Resultat-Produktion &amp; forbrug'!$E$4:$E$291,'Produktion &amp; forbrug'!$F88)</f>
        <v>0</v>
      </c>
      <c r="M88" s="94">
        <f>SUMIFS('Resultat-Produktion &amp; forbrug'!M$4:M$291,'Resultat-Produktion &amp; forbrug'!$A$4:$A$291,'Produktion &amp; forbrug'!$A88,'Resultat-Produktion &amp; forbrug'!$E$4:$E$291,'Produktion &amp; forbrug'!$F88)</f>
        <v>0</v>
      </c>
      <c r="N88" s="94">
        <f>SUMIFS('Resultat-Produktion &amp; forbrug'!N$4:N$291,'Resultat-Produktion &amp; forbrug'!$A$4:$A$291,'Produktion &amp; forbrug'!$A88,'Resultat-Produktion &amp; forbrug'!$E$4:$E$291,'Produktion &amp; forbrug'!$F88)</f>
        <v>0</v>
      </c>
      <c r="O88" s="179">
        <f t="shared" si="18"/>
        <v>144457.86975355144</v>
      </c>
      <c r="P88" s="94">
        <f t="shared" si="19"/>
        <v>0</v>
      </c>
      <c r="Q88" s="180">
        <f t="shared" si="20"/>
        <v>0</v>
      </c>
      <c r="R88">
        <f>IFERROR(VLOOKUP(A88,[1]Energiindhold!$A$2:$C$11,3,FALSE),IFERROR(VLOOKUP(A88,[1]Biogasudbytte!$A$2:$B$18,2,FALSE)*[1]Energiindhold!$C$10,0))*P88</f>
        <v>0</v>
      </c>
      <c r="S88">
        <f>IF(A88&lt;&gt;"Biogas",IFERROR(VLOOKUP(A88,[1]Biogasudbytte!$A$2:$B$18,2,FALSE)*[1]Energiindhold!$C$10,0)*K88*IFERROR(VLOOKUP(A88,Biogasanlæg!$F$3:$G$8,2,FALSE),1)+IFERROR(VLOOKUP(A88,[1]Energiindhold!$A$2:$C$11,3,FALSE),0)*M88+IF(F88&lt;&gt;År1,R88,0),0)</f>
        <v>0</v>
      </c>
      <c r="T88">
        <f>IFERROR(VLOOKUP(A88,[1]Biogasudbytte!$A$2:$B$18,2,FALSE)*[1]Energiindhold!$C$10,0)*K88*IFERROR(VLOOKUP(A88,Biogasanlæg!$F$3:$G$8,2,FALSE),1)</f>
        <v>0</v>
      </c>
      <c r="U88" s="170">
        <f t="shared" si="21"/>
        <v>0</v>
      </c>
      <c r="V88" s="169">
        <f>P88*IFERROR(VLOOKUP(A88,[1]Tørstofindhold!A$2:B$24,2,FALSE),0)</f>
        <v>0</v>
      </c>
      <c r="W88">
        <f>IF(F88=År1,Q88,SUM(P88,Q88))*IFERROR(VLOOKUP(A88,[1]Tørstofindhold!A$2:B$24,2,FALSE),0)</f>
        <v>0</v>
      </c>
      <c r="X88">
        <f>K88*IFERROR(VLOOKUP(A88,[1]Tørstofindhold!A$2:B$24,2,FALSE),0)</f>
        <v>0</v>
      </c>
      <c r="Y88" s="170">
        <f t="shared" si="22"/>
        <v>0</v>
      </c>
      <c r="Z88">
        <f t="shared" si="16"/>
        <v>0</v>
      </c>
      <c r="AA88">
        <f t="shared" si="17"/>
        <v>1</v>
      </c>
      <c r="AC88" s="94">
        <f t="shared" si="23"/>
        <v>144457.86975355144</v>
      </c>
      <c r="AD88">
        <f>AC88*E88*10000*VLOOKUP(A88,[1]kcal!$A$2:$C$49,3,FALSE)/1000000000000*IFERROR(VLOOKUP(A88,'Kategorisering af kcal'!$A$2:$E$18,MATCH('Produktion &amp; forbrug'!F88,'Kategorisering af kcal'!$A$1:$E$1,0),FALSE),0)</f>
        <v>0</v>
      </c>
      <c r="AE88">
        <f>IF(C88&lt;&gt;"",AC88*(1-VLOOKUP(A88,'Kategorisering af kcal'!$A$2:$E$18,MATCH('Produktion &amp; forbrug'!F88,'Kategorisering af kcal'!$A$1:$E$1,0),FALSE)),'Produktion &amp; forbrug'!AC88)</f>
        <v>144457.86975355144</v>
      </c>
      <c r="AF88" s="94">
        <f t="shared" si="24"/>
        <v>0</v>
      </c>
    </row>
    <row r="89" spans="1:32" x14ac:dyDescent="0.25">
      <c r="A89" s="171" t="str">
        <f t="shared" si="12"/>
        <v>Rapsolie</v>
      </c>
      <c r="B89" s="171" t="str">
        <f t="shared" si="13"/>
        <v>Rapsolie</v>
      </c>
      <c r="C89" s="171" t="str">
        <f>IFERROR(VLOOKUP(A89,'Kategorisering af kcal'!$A$2:$B$18,2,FALSE),"")</f>
        <v>Olieafgrøder</v>
      </c>
      <c r="D89" s="171">
        <f>IF(COUNTIFS('Resultater - Danmark'!$D$3:$D$504,'Produktion &amp; forbrug'!A89,'Resultater - Danmark'!$A$3:$A$504,"Til energi")+COUNTIFS('Resultater - Danmark'!$D$3:$D$504,'Produktion &amp; forbrug'!A89,'Resultater - Danmark'!$A$3:$A$504,"Biogasanlæg")&gt;0,1,0)</f>
        <v>1</v>
      </c>
      <c r="E89" s="171">
        <f t="shared" si="15"/>
        <v>1</v>
      </c>
      <c r="F89" s="171">
        <f t="shared" si="14"/>
        <v>2030</v>
      </c>
      <c r="G89" s="94">
        <f>SUMIFS('Resultat-Produktion &amp; forbrug'!G$4:G$291,'Resultat-Produktion &amp; forbrug'!$A$4:$A$291,'Produktion &amp; forbrug'!$A89,'Resultat-Produktion &amp; forbrug'!$E$4:$E$291,'Produktion &amp; forbrug'!$F89)</f>
        <v>307900.58179541014</v>
      </c>
      <c r="H89" s="94">
        <f>SUMIFS('Resultat-Produktion &amp; forbrug'!H$4:H$291,'Resultat-Produktion &amp; forbrug'!$A$4:$A$291,'Produktion &amp; forbrug'!$A89,'Resultat-Produktion &amp; forbrug'!$E$4:$E$291,'Produktion &amp; forbrug'!$F89)</f>
        <v>0</v>
      </c>
      <c r="I89" s="94">
        <f>SUMIFS('Resultat-Produktion &amp; forbrug'!I$4:I$291,'Resultat-Produktion &amp; forbrug'!$A$4:$A$291,'Produktion &amp; forbrug'!$A89,'Resultat-Produktion &amp; forbrug'!$E$4:$E$291,'Produktion &amp; forbrug'!$F89)</f>
        <v>0</v>
      </c>
      <c r="J89" s="94">
        <f>SUMIFS('Resultat-Produktion &amp; forbrug'!J$4:J$291,'Resultat-Produktion &amp; forbrug'!$A$4:$A$291,'Produktion &amp; forbrug'!$A89,'Resultat-Produktion &amp; forbrug'!$E$4:$E$291,'Produktion &amp; forbrug'!$F89)</f>
        <v>0</v>
      </c>
      <c r="K89" s="94">
        <f>SUMIFS('Resultat-Produktion &amp; forbrug'!K$4:K$291,'Resultat-Produktion &amp; forbrug'!$A$4:$A$291,'Produktion &amp; forbrug'!$A89,'Resultat-Produktion &amp; forbrug'!$E$4:$E$291,'Produktion &amp; forbrug'!$F89)</f>
        <v>0</v>
      </c>
      <c r="L89" s="94">
        <f>SUMIFS('Resultat-Produktion &amp; forbrug'!L$4:L$291,'Resultat-Produktion &amp; forbrug'!$A$4:$A$291,'Produktion &amp; forbrug'!$A89,'Resultat-Produktion &amp; forbrug'!$E$4:$E$291,'Produktion &amp; forbrug'!$F89)</f>
        <v>0</v>
      </c>
      <c r="M89" s="94">
        <f>SUMIFS('Resultat-Produktion &amp; forbrug'!M$4:M$291,'Resultat-Produktion &amp; forbrug'!$A$4:$A$291,'Produktion &amp; forbrug'!$A89,'Resultat-Produktion &amp; forbrug'!$E$4:$E$291,'Produktion &amp; forbrug'!$F89)</f>
        <v>307900.58179541014</v>
      </c>
      <c r="N89" s="94">
        <f>SUMIFS('Resultat-Produktion &amp; forbrug'!N$4:N$291,'Resultat-Produktion &amp; forbrug'!$A$4:$A$291,'Produktion &amp; forbrug'!$A89,'Resultat-Produktion &amp; forbrug'!$E$4:$E$291,'Produktion &amp; forbrug'!$F89)</f>
        <v>0</v>
      </c>
      <c r="O89" s="179">
        <f t="shared" si="18"/>
        <v>0</v>
      </c>
      <c r="P89" s="94">
        <f t="shared" si="19"/>
        <v>0</v>
      </c>
      <c r="Q89" s="180">
        <f t="shared" si="20"/>
        <v>307900.58179541014</v>
      </c>
      <c r="R89">
        <f>IFERROR(VLOOKUP(A89,[1]Energiindhold!$A$2:$C$11,3,FALSE),IFERROR(VLOOKUP(A89,[1]Biogasudbytte!$A$2:$B$18,2,FALSE)*[1]Energiindhold!$C$10,0))*P89</f>
        <v>0</v>
      </c>
      <c r="S89">
        <f>IF(A89&lt;&gt;"Biogas",IFERROR(VLOOKUP(A89,[1]Biogasudbytte!$A$2:$B$18,2,FALSE)*[1]Energiindhold!$C$10,0)*K89*IFERROR(VLOOKUP(A89,Biogasanlæg!$F$3:$G$8,2,FALSE),1)+IFERROR(VLOOKUP(A89,[1]Energiindhold!$A$2:$C$11,3,FALSE),0)*M89+IF(F89&lt;&gt;År1,R89,0),0)</f>
        <v>10.776520362839355</v>
      </c>
      <c r="T89">
        <f>IFERROR(VLOOKUP(A89,[1]Biogasudbytte!$A$2:$B$18,2,FALSE)*[1]Energiindhold!$C$10,0)*K89*IFERROR(VLOOKUP(A89,Biogasanlæg!$F$3:$G$8,2,FALSE),1)</f>
        <v>0</v>
      </c>
      <c r="U89" s="170">
        <f t="shared" si="21"/>
        <v>10.776520362839355</v>
      </c>
      <c r="V89" s="169">
        <f>P89*IFERROR(VLOOKUP(A89,[1]Tørstofindhold!A$2:B$24,2,FALSE),0)</f>
        <v>0</v>
      </c>
      <c r="W89">
        <f>IF(F89=År1,Q89,SUM(P89,Q89))*IFERROR(VLOOKUP(A89,[1]Tørstofindhold!A$2:B$24,2,FALSE),0)</f>
        <v>0</v>
      </c>
      <c r="X89">
        <f>K89*IFERROR(VLOOKUP(A89,[1]Tørstofindhold!A$2:B$24,2,FALSE),0)</f>
        <v>0</v>
      </c>
      <c r="Y89" s="170">
        <f t="shared" si="22"/>
        <v>0</v>
      </c>
      <c r="Z89">
        <f t="shared" si="16"/>
        <v>0</v>
      </c>
      <c r="AA89">
        <f t="shared" si="17"/>
        <v>0</v>
      </c>
      <c r="AC89" s="94">
        <f t="shared" si="23"/>
        <v>307900.58179541014</v>
      </c>
      <c r="AD89">
        <f>AC89*E89*10000*VLOOKUP(A89,[1]kcal!$A$2:$C$49,3,FALSE)/1000000000000*IFERROR(VLOOKUP(A89,'Kategorisering af kcal'!$A$2:$E$18,MATCH('Produktion &amp; forbrug'!F89,'Kategorisering af kcal'!$A$1:$E$1,0),FALSE),0)</f>
        <v>2.7711052361586912</v>
      </c>
      <c r="AE89">
        <f>IF(C89&lt;&gt;"",AC89*(1-VLOOKUP(A89,'Kategorisering af kcal'!$A$2:$E$18,MATCH('Produktion &amp; forbrug'!F89,'Kategorisering af kcal'!$A$1:$E$1,0),FALSE)),'Produktion &amp; forbrug'!AC89)</f>
        <v>0</v>
      </c>
      <c r="AF89" s="94">
        <f t="shared" si="24"/>
        <v>307900.58179541014</v>
      </c>
    </row>
    <row r="90" spans="1:32" x14ac:dyDescent="0.25">
      <c r="A90" s="171" t="str">
        <f t="shared" si="12"/>
        <v>Roer</v>
      </c>
      <c r="B90" s="171" t="str">
        <f t="shared" si="13"/>
        <v>Græs og urter</v>
      </c>
      <c r="C90" s="171" t="str">
        <f>IFERROR(VLOOKUP(A90,'Kategorisering af kcal'!$A$2:$B$18,2,FALSE),"")</f>
        <v>Roer</v>
      </c>
      <c r="D90" s="171">
        <f>IF(COUNTIFS('Resultater - Danmark'!$D$3:$D$504,'Produktion &amp; forbrug'!A90,'Resultater - Danmark'!$A$3:$A$504,"Til energi")+COUNTIFS('Resultater - Danmark'!$D$3:$D$504,'Produktion &amp; forbrug'!A90,'Resultater - Danmark'!$A$3:$A$504,"Biogasanlæg")&gt;0,1,0)</f>
        <v>1</v>
      </c>
      <c r="E90" s="171">
        <f t="shared" si="15"/>
        <v>1</v>
      </c>
      <c r="F90" s="171">
        <f t="shared" si="14"/>
        <v>2030</v>
      </c>
      <c r="G90" s="94">
        <f>SUMIFS('Resultat-Produktion &amp; forbrug'!G$4:G$291,'Resultat-Produktion &amp; forbrug'!$A$4:$A$291,'Produktion &amp; forbrug'!$A90,'Resultat-Produktion &amp; forbrug'!$E$4:$E$291,'Produktion &amp; forbrug'!$F90)</f>
        <v>3789970.9535080842</v>
      </c>
      <c r="H90" s="94">
        <f>SUMIFS('Resultat-Produktion &amp; forbrug'!H$4:H$291,'Resultat-Produktion &amp; forbrug'!$A$4:$A$291,'Produktion &amp; forbrug'!$A90,'Resultat-Produktion &amp; forbrug'!$E$4:$E$291,'Produktion &amp; forbrug'!$F90)</f>
        <v>763504.57169618132</v>
      </c>
      <c r="I90" s="94">
        <f>SUMIFS('Resultat-Produktion &amp; forbrug'!I$4:I$291,'Resultat-Produktion &amp; forbrug'!$A$4:$A$291,'Produktion &amp; forbrug'!$A90,'Resultat-Produktion &amp; forbrug'!$E$4:$E$291,'Produktion &amp; forbrug'!$F90)</f>
        <v>0</v>
      </c>
      <c r="J90" s="94">
        <f>SUMIFS('Resultat-Produktion &amp; forbrug'!J$4:J$291,'Resultat-Produktion &amp; forbrug'!$A$4:$A$291,'Produktion &amp; forbrug'!$A90,'Resultat-Produktion &amp; forbrug'!$E$4:$E$291,'Produktion &amp; forbrug'!$F90)</f>
        <v>0</v>
      </c>
      <c r="K90" s="94">
        <f>SUMIFS('Resultat-Produktion &amp; forbrug'!K$4:K$291,'Resultat-Produktion &amp; forbrug'!$A$4:$A$291,'Produktion &amp; forbrug'!$A90,'Resultat-Produktion &amp; forbrug'!$E$4:$E$291,'Produktion &amp; forbrug'!$F90)</f>
        <v>0</v>
      </c>
      <c r="L90" s="94">
        <f>SUMIFS('Resultat-Produktion &amp; forbrug'!L$4:L$291,'Resultat-Produktion &amp; forbrug'!$A$4:$A$291,'Produktion &amp; forbrug'!$A90,'Resultat-Produktion &amp; forbrug'!$E$4:$E$291,'Produktion &amp; forbrug'!$F90)</f>
        <v>0</v>
      </c>
      <c r="M90" s="94">
        <f>SUMIFS('Resultat-Produktion &amp; forbrug'!M$4:M$291,'Resultat-Produktion &amp; forbrug'!$A$4:$A$291,'Produktion &amp; forbrug'!$A90,'Resultat-Produktion &amp; forbrug'!$E$4:$E$291,'Produktion &amp; forbrug'!$F90)</f>
        <v>0</v>
      </c>
      <c r="N90" s="94">
        <f>SUMIFS('Resultat-Produktion &amp; forbrug'!N$4:N$291,'Resultat-Produktion &amp; forbrug'!$A$4:$A$291,'Produktion &amp; forbrug'!$A90,'Resultat-Produktion &amp; forbrug'!$E$4:$E$291,'Produktion &amp; forbrug'!$F90)</f>
        <v>0</v>
      </c>
      <c r="O90" s="179">
        <f t="shared" si="18"/>
        <v>3026466.3818119029</v>
      </c>
      <c r="P90" s="94">
        <f t="shared" si="19"/>
        <v>3026466.3818119029</v>
      </c>
      <c r="Q90" s="180">
        <f t="shared" si="20"/>
        <v>0</v>
      </c>
      <c r="R90">
        <f>IFERROR(VLOOKUP(A90,[1]Energiindhold!$A$2:$C$11,3,FALSE),IFERROR(VLOOKUP(A90,[1]Biogasudbytte!$A$2:$B$18,2,FALSE)*[1]Energiindhold!$C$10,0))*P90</f>
        <v>8.2139508188927763</v>
      </c>
      <c r="S90">
        <f>IF(A90&lt;&gt;"Biogas",IFERROR(VLOOKUP(A90,[1]Biogasudbytte!$A$2:$B$18,2,FALSE)*[1]Energiindhold!$C$10,0)*K90*IFERROR(VLOOKUP(A90,Biogasanlæg!$F$3:$G$8,2,FALSE),1)+IFERROR(VLOOKUP(A90,[1]Energiindhold!$A$2:$C$11,3,FALSE),0)*M90+IF(F90&lt;&gt;År1,R90,0),0)</f>
        <v>8.2139508188927763</v>
      </c>
      <c r="T90">
        <f>IFERROR(VLOOKUP(A90,[1]Biogasudbytte!$A$2:$B$18,2,FALSE)*[1]Energiindhold!$C$10,0)*K90*IFERROR(VLOOKUP(A90,Biogasanlæg!$F$3:$G$8,2,FALSE),1)</f>
        <v>0</v>
      </c>
      <c r="U90" s="170">
        <f t="shared" si="21"/>
        <v>8.2139508188927763</v>
      </c>
      <c r="V90" s="169">
        <f>P90*IFERROR(VLOOKUP(A90,[1]Tørstofindhold!A$2:B$24,2,FALSE),0)</f>
        <v>605293.27636238059</v>
      </c>
      <c r="W90">
        <f>IF(F90=År1,Q90,SUM(P90,Q90))*IFERROR(VLOOKUP(A90,[1]Tørstofindhold!A$2:B$24,2,FALSE),0)</f>
        <v>605293.27636238059</v>
      </c>
      <c r="X90">
        <f>K90*IFERROR(VLOOKUP(A90,[1]Tørstofindhold!A$2:B$24,2,FALSE),0)</f>
        <v>0</v>
      </c>
      <c r="Y90" s="170">
        <f t="shared" si="22"/>
        <v>605293.27636238059</v>
      </c>
      <c r="Z90">
        <f t="shared" si="16"/>
        <v>0</v>
      </c>
      <c r="AA90">
        <f t="shared" si="17"/>
        <v>1</v>
      </c>
      <c r="AC90" s="94">
        <f t="shared" si="23"/>
        <v>3026466.3818119029</v>
      </c>
      <c r="AD90">
        <f>AC90*E90*10000*VLOOKUP(A90,[1]kcal!$A$2:$C$49,3,FALSE)/1000000000000*IFERROR(VLOOKUP(A90,'Kategorisering af kcal'!$A$2:$E$18,MATCH('Produktion &amp; forbrug'!F90,'Kategorisering af kcal'!$A$1:$E$1,0),FALSE),0)</f>
        <v>0.90793991454357093</v>
      </c>
      <c r="AE90">
        <f>IF(C90&lt;&gt;"",AC90*(1-VLOOKUP(A90,'Kategorisering af kcal'!$A$2:$E$18,MATCH('Produktion &amp; forbrug'!F90,'Kategorisering af kcal'!$A$1:$E$1,0),FALSE)),'Produktion &amp; forbrug'!AC90)</f>
        <v>0</v>
      </c>
      <c r="AF90" s="94">
        <f t="shared" si="24"/>
        <v>3026466.3818119029</v>
      </c>
    </row>
    <row r="91" spans="1:32" x14ac:dyDescent="0.25">
      <c r="A91" s="171" t="str">
        <f t="shared" si="12"/>
        <v>Slagteriaffald til andet</v>
      </c>
      <c r="B91" s="171" t="str">
        <f t="shared" si="13"/>
        <v/>
      </c>
      <c r="C91" s="171" t="str">
        <f>IFERROR(VLOOKUP(A91,'Kategorisering af kcal'!$A$2:$B$18,2,FALSE),"")</f>
        <v/>
      </c>
      <c r="D91" s="171">
        <f>IF(COUNTIFS('Resultater - Danmark'!$D$3:$D$504,'Produktion &amp; forbrug'!A91,'Resultater - Danmark'!$A$3:$A$504,"Til energi")+COUNTIFS('Resultater - Danmark'!$D$3:$D$504,'Produktion &amp; forbrug'!A91,'Resultater - Danmark'!$A$3:$A$504,"Biogasanlæg")&gt;0,1,0)</f>
        <v>0</v>
      </c>
      <c r="E91" s="171">
        <f t="shared" si="15"/>
        <v>0</v>
      </c>
      <c r="F91" s="171">
        <f t="shared" si="14"/>
        <v>2030</v>
      </c>
      <c r="G91" s="94">
        <f>SUMIFS('Resultat-Produktion &amp; forbrug'!G$4:G$291,'Resultat-Produktion &amp; forbrug'!$A$4:$A$291,'Produktion &amp; forbrug'!$A91,'Resultat-Produktion &amp; forbrug'!$E$4:$E$291,'Produktion &amp; forbrug'!$F91)</f>
        <v>192884.02183719221</v>
      </c>
      <c r="H91" s="94">
        <f>SUMIFS('Resultat-Produktion &amp; forbrug'!H$4:H$291,'Resultat-Produktion &amp; forbrug'!$A$4:$A$291,'Produktion &amp; forbrug'!$A91,'Resultat-Produktion &amp; forbrug'!$E$4:$E$291,'Produktion &amp; forbrug'!$F91)</f>
        <v>0</v>
      </c>
      <c r="I91" s="94">
        <f>SUMIFS('Resultat-Produktion &amp; forbrug'!I$4:I$291,'Resultat-Produktion &amp; forbrug'!$A$4:$A$291,'Produktion &amp; forbrug'!$A91,'Resultat-Produktion &amp; forbrug'!$E$4:$E$291,'Produktion &amp; forbrug'!$F91)</f>
        <v>0</v>
      </c>
      <c r="J91" s="94">
        <f>SUMIFS('Resultat-Produktion &amp; forbrug'!J$4:J$291,'Resultat-Produktion &amp; forbrug'!$A$4:$A$291,'Produktion &amp; forbrug'!$A91,'Resultat-Produktion &amp; forbrug'!$E$4:$E$291,'Produktion &amp; forbrug'!$F91)</f>
        <v>0</v>
      </c>
      <c r="K91" s="94">
        <f>SUMIFS('Resultat-Produktion &amp; forbrug'!K$4:K$291,'Resultat-Produktion &amp; forbrug'!$A$4:$A$291,'Produktion &amp; forbrug'!$A91,'Resultat-Produktion &amp; forbrug'!$E$4:$E$291,'Produktion &amp; forbrug'!$F91)</f>
        <v>0</v>
      </c>
      <c r="L91" s="94">
        <f>SUMIFS('Resultat-Produktion &amp; forbrug'!L$4:L$291,'Resultat-Produktion &amp; forbrug'!$A$4:$A$291,'Produktion &amp; forbrug'!$A91,'Resultat-Produktion &amp; forbrug'!$E$4:$E$291,'Produktion &amp; forbrug'!$F91)</f>
        <v>0</v>
      </c>
      <c r="M91" s="94">
        <f>SUMIFS('Resultat-Produktion &amp; forbrug'!M$4:M$291,'Resultat-Produktion &amp; forbrug'!$A$4:$A$291,'Produktion &amp; forbrug'!$A91,'Resultat-Produktion &amp; forbrug'!$E$4:$E$291,'Produktion &amp; forbrug'!$F91)</f>
        <v>0</v>
      </c>
      <c r="N91" s="94">
        <f>SUMIFS('Resultat-Produktion &amp; forbrug'!N$4:N$291,'Resultat-Produktion &amp; forbrug'!$A$4:$A$291,'Produktion &amp; forbrug'!$A91,'Resultat-Produktion &amp; forbrug'!$E$4:$E$291,'Produktion &amp; forbrug'!$F91)</f>
        <v>0</v>
      </c>
      <c r="O91" s="179">
        <f t="shared" si="18"/>
        <v>192884.02183719221</v>
      </c>
      <c r="P91" s="94">
        <f t="shared" si="19"/>
        <v>0</v>
      </c>
      <c r="Q91" s="180">
        <f t="shared" si="20"/>
        <v>0</v>
      </c>
      <c r="R91">
        <f>IFERROR(VLOOKUP(A91,[1]Energiindhold!$A$2:$C$11,3,FALSE),IFERROR(VLOOKUP(A91,[1]Biogasudbytte!$A$2:$B$18,2,FALSE)*[1]Energiindhold!$C$10,0))*P91</f>
        <v>0</v>
      </c>
      <c r="S91">
        <f>IF(A91&lt;&gt;"Biogas",IFERROR(VLOOKUP(A91,[1]Biogasudbytte!$A$2:$B$18,2,FALSE)*[1]Energiindhold!$C$10,0)*K91*IFERROR(VLOOKUP(A91,Biogasanlæg!$F$3:$G$8,2,FALSE),1)+IFERROR(VLOOKUP(A91,[1]Energiindhold!$A$2:$C$11,3,FALSE),0)*M91+IF(F91&lt;&gt;År1,R91,0),0)</f>
        <v>0</v>
      </c>
      <c r="T91">
        <f>IFERROR(VLOOKUP(A91,[1]Biogasudbytte!$A$2:$B$18,2,FALSE)*[1]Energiindhold!$C$10,0)*K91*IFERROR(VLOOKUP(A91,Biogasanlæg!$F$3:$G$8,2,FALSE),1)</f>
        <v>0</v>
      </c>
      <c r="U91" s="170">
        <f t="shared" si="21"/>
        <v>0</v>
      </c>
      <c r="V91" s="169">
        <f>P91*IFERROR(VLOOKUP(A91,[1]Tørstofindhold!A$2:B$24,2,FALSE),0)</f>
        <v>0</v>
      </c>
      <c r="W91">
        <f>IF(F91=År1,Q91,SUM(P91,Q91))*IFERROR(VLOOKUP(A91,[1]Tørstofindhold!A$2:B$24,2,FALSE),0)</f>
        <v>0</v>
      </c>
      <c r="X91">
        <f>K91*IFERROR(VLOOKUP(A91,[1]Tørstofindhold!A$2:B$24,2,FALSE),0)</f>
        <v>0</v>
      </c>
      <c r="Y91" s="170">
        <f t="shared" si="22"/>
        <v>0</v>
      </c>
      <c r="Z91">
        <f t="shared" si="16"/>
        <v>0</v>
      </c>
      <c r="AA91">
        <f t="shared" si="17"/>
        <v>1</v>
      </c>
      <c r="AC91" s="94">
        <f t="shared" si="23"/>
        <v>192884.02183719221</v>
      </c>
      <c r="AD91">
        <f>AC91*E91*10000*VLOOKUP(A91,[1]kcal!$A$2:$C$49,3,FALSE)/1000000000000*IFERROR(VLOOKUP(A91,'Kategorisering af kcal'!$A$2:$E$18,MATCH('Produktion &amp; forbrug'!F91,'Kategorisering af kcal'!$A$1:$E$1,0),FALSE),0)</f>
        <v>0</v>
      </c>
      <c r="AE91">
        <f>IF(C91&lt;&gt;"",AC91*(1-VLOOKUP(A91,'Kategorisering af kcal'!$A$2:$E$18,MATCH('Produktion &amp; forbrug'!F91,'Kategorisering af kcal'!$A$1:$E$1,0),FALSE)),'Produktion &amp; forbrug'!AC91)</f>
        <v>192884.02183719221</v>
      </c>
      <c r="AF91" s="94">
        <f t="shared" si="24"/>
        <v>0</v>
      </c>
    </row>
    <row r="92" spans="1:32" x14ac:dyDescent="0.25">
      <c r="A92" s="171" t="str">
        <f t="shared" si="12"/>
        <v>Slagteriaffald til foder</v>
      </c>
      <c r="B92" s="171" t="str">
        <f t="shared" si="13"/>
        <v/>
      </c>
      <c r="C92" s="171" t="str">
        <f>IFERROR(VLOOKUP(A92,'Kategorisering af kcal'!$A$2:$B$18,2,FALSE),"")</f>
        <v/>
      </c>
      <c r="D92" s="171">
        <f>IF(COUNTIFS('Resultater - Danmark'!$D$3:$D$504,'Produktion &amp; forbrug'!A92,'Resultater - Danmark'!$A$3:$A$504,"Til energi")+COUNTIFS('Resultater - Danmark'!$D$3:$D$504,'Produktion &amp; forbrug'!A92,'Resultater - Danmark'!$A$3:$A$504,"Biogasanlæg")&gt;0,1,0)</f>
        <v>0</v>
      </c>
      <c r="E92" s="171">
        <f t="shared" si="15"/>
        <v>0</v>
      </c>
      <c r="F92" s="171">
        <f t="shared" si="14"/>
        <v>2030</v>
      </c>
      <c r="G92" s="94">
        <f>SUMIFS('Resultat-Produktion &amp; forbrug'!G$4:G$291,'Resultat-Produktion &amp; forbrug'!$A$4:$A$291,'Produktion &amp; forbrug'!$A92,'Resultat-Produktion &amp; forbrug'!$E$4:$E$291,'Produktion &amp; forbrug'!$F92)</f>
        <v>138691.70552396361</v>
      </c>
      <c r="H92" s="94">
        <f>SUMIFS('Resultat-Produktion &amp; forbrug'!H$4:H$291,'Resultat-Produktion &amp; forbrug'!$A$4:$A$291,'Produktion &amp; forbrug'!$A92,'Resultat-Produktion &amp; forbrug'!$E$4:$E$291,'Produktion &amp; forbrug'!$F92)</f>
        <v>44771.914379262082</v>
      </c>
      <c r="I92" s="94">
        <f>SUMIFS('Resultat-Produktion &amp; forbrug'!I$4:I$291,'Resultat-Produktion &amp; forbrug'!$A$4:$A$291,'Produktion &amp; forbrug'!$A92,'Resultat-Produktion &amp; forbrug'!$E$4:$E$291,'Produktion &amp; forbrug'!$F92)</f>
        <v>0</v>
      </c>
      <c r="J92" s="94">
        <f>SUMIFS('Resultat-Produktion &amp; forbrug'!J$4:J$291,'Resultat-Produktion &amp; forbrug'!$A$4:$A$291,'Produktion &amp; forbrug'!$A92,'Resultat-Produktion &amp; forbrug'!$E$4:$E$291,'Produktion &amp; forbrug'!$F92)</f>
        <v>0</v>
      </c>
      <c r="K92" s="94">
        <f>SUMIFS('Resultat-Produktion &amp; forbrug'!K$4:K$291,'Resultat-Produktion &amp; forbrug'!$A$4:$A$291,'Produktion &amp; forbrug'!$A92,'Resultat-Produktion &amp; forbrug'!$E$4:$E$291,'Produktion &amp; forbrug'!$F92)</f>
        <v>0</v>
      </c>
      <c r="L92" s="94">
        <f>SUMIFS('Resultat-Produktion &amp; forbrug'!L$4:L$291,'Resultat-Produktion &amp; forbrug'!$A$4:$A$291,'Produktion &amp; forbrug'!$A92,'Resultat-Produktion &amp; forbrug'!$E$4:$E$291,'Produktion &amp; forbrug'!$F92)</f>
        <v>0</v>
      </c>
      <c r="M92" s="94">
        <f>SUMIFS('Resultat-Produktion &amp; forbrug'!M$4:M$291,'Resultat-Produktion &amp; forbrug'!$A$4:$A$291,'Produktion &amp; forbrug'!$A92,'Resultat-Produktion &amp; forbrug'!$E$4:$E$291,'Produktion &amp; forbrug'!$F92)</f>
        <v>0</v>
      </c>
      <c r="N92" s="94">
        <f>SUMIFS('Resultat-Produktion &amp; forbrug'!N$4:N$291,'Resultat-Produktion &amp; forbrug'!$A$4:$A$291,'Produktion &amp; forbrug'!$A92,'Resultat-Produktion &amp; forbrug'!$E$4:$E$291,'Produktion &amp; forbrug'!$F92)</f>
        <v>0</v>
      </c>
      <c r="O92" s="179">
        <f t="shared" si="18"/>
        <v>93919.791144701536</v>
      </c>
      <c r="P92" s="94">
        <f t="shared" si="19"/>
        <v>0</v>
      </c>
      <c r="Q92" s="180">
        <f t="shared" si="20"/>
        <v>0</v>
      </c>
      <c r="R92">
        <f>IFERROR(VLOOKUP(A92,[1]Energiindhold!$A$2:$C$11,3,FALSE),IFERROR(VLOOKUP(A92,[1]Biogasudbytte!$A$2:$B$18,2,FALSE)*[1]Energiindhold!$C$10,0))*P92</f>
        <v>0</v>
      </c>
      <c r="S92">
        <f>IF(A92&lt;&gt;"Biogas",IFERROR(VLOOKUP(A92,[1]Biogasudbytte!$A$2:$B$18,2,FALSE)*[1]Energiindhold!$C$10,0)*K92*IFERROR(VLOOKUP(A92,Biogasanlæg!$F$3:$G$8,2,FALSE),1)+IFERROR(VLOOKUP(A92,[1]Energiindhold!$A$2:$C$11,3,FALSE),0)*M92+IF(F92&lt;&gt;År1,R92,0),0)</f>
        <v>0</v>
      </c>
      <c r="T92">
        <f>IFERROR(VLOOKUP(A92,[1]Biogasudbytte!$A$2:$B$18,2,FALSE)*[1]Energiindhold!$C$10,0)*K92*IFERROR(VLOOKUP(A92,Biogasanlæg!$F$3:$G$8,2,FALSE),1)</f>
        <v>0</v>
      </c>
      <c r="U92" s="170">
        <f t="shared" si="21"/>
        <v>0</v>
      </c>
      <c r="V92" s="169">
        <f>P92*IFERROR(VLOOKUP(A92,[1]Tørstofindhold!A$2:B$24,2,FALSE),0)</f>
        <v>0</v>
      </c>
      <c r="W92">
        <f>IF(F92=År1,Q92,SUM(P92,Q92))*IFERROR(VLOOKUP(A92,[1]Tørstofindhold!A$2:B$24,2,FALSE),0)</f>
        <v>0</v>
      </c>
      <c r="X92">
        <f>K92*IFERROR(VLOOKUP(A92,[1]Tørstofindhold!A$2:B$24,2,FALSE),0)</f>
        <v>0</v>
      </c>
      <c r="Y92" s="170">
        <f t="shared" si="22"/>
        <v>0</v>
      </c>
      <c r="Z92">
        <f t="shared" si="16"/>
        <v>0</v>
      </c>
      <c r="AA92">
        <f t="shared" si="17"/>
        <v>1</v>
      </c>
      <c r="AC92" s="94">
        <f t="shared" si="23"/>
        <v>93919.791144701536</v>
      </c>
      <c r="AD92">
        <f>AC92*E92*10000*VLOOKUP(A92,[1]kcal!$A$2:$C$49,3,FALSE)/1000000000000*IFERROR(VLOOKUP(A92,'Kategorisering af kcal'!$A$2:$E$18,MATCH('Produktion &amp; forbrug'!F92,'Kategorisering af kcal'!$A$1:$E$1,0),FALSE),0)</f>
        <v>0</v>
      </c>
      <c r="AE92">
        <f>IF(C92&lt;&gt;"",AC92*(1-VLOOKUP(A92,'Kategorisering af kcal'!$A$2:$E$18,MATCH('Produktion &amp; forbrug'!F92,'Kategorisering af kcal'!$A$1:$E$1,0),FALSE)),'Produktion &amp; forbrug'!AC92)</f>
        <v>93919.791144701536</v>
      </c>
      <c r="AF92" s="94">
        <f t="shared" si="24"/>
        <v>0</v>
      </c>
    </row>
    <row r="93" spans="1:32" x14ac:dyDescent="0.25">
      <c r="A93" s="171" t="str">
        <f t="shared" si="12"/>
        <v>Spildevandsslam</v>
      </c>
      <c r="B93" s="171" t="str">
        <f t="shared" si="13"/>
        <v>Bionedbrydeligt affald</v>
      </c>
      <c r="C93" s="171" t="str">
        <f>IFERROR(VLOOKUP(A93,'Kategorisering af kcal'!$A$2:$B$18,2,FALSE),"")</f>
        <v/>
      </c>
      <c r="D93" s="171">
        <f>IF(COUNTIFS('Resultater - Danmark'!$D$3:$D$504,'Produktion &amp; forbrug'!A93,'Resultater - Danmark'!$A$3:$A$504,"Til energi")+COUNTIFS('Resultater - Danmark'!$D$3:$D$504,'Produktion &amp; forbrug'!A93,'Resultater - Danmark'!$A$3:$A$504,"Biogasanlæg")&gt;0,1,0)</f>
        <v>1</v>
      </c>
      <c r="E93" s="171">
        <f t="shared" si="15"/>
        <v>0</v>
      </c>
      <c r="F93" s="171">
        <f t="shared" si="14"/>
        <v>2030</v>
      </c>
      <c r="G93" s="94">
        <f>SUMIFS('Resultat-Produktion &amp; forbrug'!G$4:G$291,'Resultat-Produktion &amp; forbrug'!$A$4:$A$291,'Produktion &amp; forbrug'!$A93,'Resultat-Produktion &amp; forbrug'!$E$4:$E$291,'Produktion &amp; forbrug'!$F93)</f>
        <v>7244400.4966166709</v>
      </c>
      <c r="H93" s="94">
        <f>SUMIFS('Resultat-Produktion &amp; forbrug'!H$4:H$291,'Resultat-Produktion &amp; forbrug'!$A$4:$A$291,'Produktion &amp; forbrug'!$A93,'Resultat-Produktion &amp; forbrug'!$E$4:$E$291,'Produktion &amp; forbrug'!$F93)</f>
        <v>0</v>
      </c>
      <c r="I93" s="94">
        <f>SUMIFS('Resultat-Produktion &amp; forbrug'!I$4:I$291,'Resultat-Produktion &amp; forbrug'!$A$4:$A$291,'Produktion &amp; forbrug'!$A93,'Resultat-Produktion &amp; forbrug'!$E$4:$E$291,'Produktion &amp; forbrug'!$F93)</f>
        <v>0</v>
      </c>
      <c r="J93" s="94">
        <f>SUMIFS('Resultat-Produktion &amp; forbrug'!J$4:J$291,'Resultat-Produktion &amp; forbrug'!$A$4:$A$291,'Produktion &amp; forbrug'!$A93,'Resultat-Produktion &amp; forbrug'!$E$4:$E$291,'Produktion &amp; forbrug'!$F93)</f>
        <v>0</v>
      </c>
      <c r="K93" s="94">
        <f>SUMIFS('Resultat-Produktion &amp; forbrug'!K$4:K$291,'Resultat-Produktion &amp; forbrug'!$A$4:$A$291,'Produktion &amp; forbrug'!$A93,'Resultat-Produktion &amp; forbrug'!$E$4:$E$291,'Produktion &amp; forbrug'!$F93)</f>
        <v>2747430.5145796794</v>
      </c>
      <c r="L93" s="94">
        <f>SUMIFS('Resultat-Produktion &amp; forbrug'!L$4:L$291,'Resultat-Produktion &amp; forbrug'!$A$4:$A$291,'Produktion &amp; forbrug'!$A93,'Resultat-Produktion &amp; forbrug'!$E$4:$E$291,'Produktion &amp; forbrug'!$F93)</f>
        <v>0</v>
      </c>
      <c r="M93" s="94">
        <f>SUMIFS('Resultat-Produktion &amp; forbrug'!M$4:M$291,'Resultat-Produktion &amp; forbrug'!$A$4:$A$291,'Produktion &amp; forbrug'!$A93,'Resultat-Produktion &amp; forbrug'!$E$4:$E$291,'Produktion &amp; forbrug'!$F93)</f>
        <v>0</v>
      </c>
      <c r="N93" s="94">
        <f>SUMIFS('Resultat-Produktion &amp; forbrug'!N$4:N$291,'Resultat-Produktion &amp; forbrug'!$A$4:$A$291,'Produktion &amp; forbrug'!$A93,'Resultat-Produktion &amp; forbrug'!$E$4:$E$291,'Produktion &amp; forbrug'!$F93)</f>
        <v>0</v>
      </c>
      <c r="O93" s="179">
        <f t="shared" si="18"/>
        <v>4496969.982036991</v>
      </c>
      <c r="P93" s="94">
        <f t="shared" si="19"/>
        <v>4496969.982036991</v>
      </c>
      <c r="Q93" s="180">
        <f t="shared" si="20"/>
        <v>2747430.5145796794</v>
      </c>
      <c r="R93">
        <f>IFERROR(VLOOKUP(A93,[1]Energiindhold!$A$2:$C$11,3,FALSE),IFERROR(VLOOKUP(A93,[1]Biogasudbytte!$A$2:$B$18,2,FALSE)*[1]Energiindhold!$C$10,0))*P93</f>
        <v>2.244032990736279</v>
      </c>
      <c r="S93">
        <f>IF(A93&lt;&gt;"Biogas",IFERROR(VLOOKUP(A93,[1]Biogasudbytte!$A$2:$B$18,2,FALSE)*[1]Energiindhold!$C$10,0)*K93*IFERROR(VLOOKUP(A93,Biogasanlæg!$F$3:$G$8,2,FALSE),1)+IFERROR(VLOOKUP(A93,[1]Energiindhold!$A$2:$C$11,3,FALSE),0)*M93+IF(F93&lt;&gt;År1,R93,0),0)</f>
        <v>3.6150282918166852</v>
      </c>
      <c r="T93">
        <f>IFERROR(VLOOKUP(A93,[1]Biogasudbytte!$A$2:$B$18,2,FALSE)*[1]Energiindhold!$C$10,0)*K93*IFERROR(VLOOKUP(A93,Biogasanlæg!$F$3:$G$8,2,FALSE),1)</f>
        <v>1.3709953010804059</v>
      </c>
      <c r="U93" s="170">
        <f t="shared" si="21"/>
        <v>2.2440329907362795</v>
      </c>
      <c r="V93" s="169">
        <f>P93*IFERROR(VLOOKUP(A93,[1]Tørstofindhold!A$2:B$24,2,FALSE),0)</f>
        <v>269818.19892221945</v>
      </c>
      <c r="W93">
        <f>IF(F93=År1,Q93,SUM(P93,Q93))*IFERROR(VLOOKUP(A93,[1]Tørstofindhold!A$2:B$24,2,FALSE),0)</f>
        <v>434664.02979700023</v>
      </c>
      <c r="X93">
        <f>K93*IFERROR(VLOOKUP(A93,[1]Tørstofindhold!A$2:B$24,2,FALSE),0)</f>
        <v>164845.83087478075</v>
      </c>
      <c r="Y93" s="170">
        <f t="shared" si="22"/>
        <v>269818.19892221945</v>
      </c>
      <c r="Z93">
        <f t="shared" si="16"/>
        <v>0</v>
      </c>
      <c r="AA93">
        <f t="shared" si="17"/>
        <v>1</v>
      </c>
      <c r="AC93" s="94">
        <f t="shared" si="23"/>
        <v>4496969.982036991</v>
      </c>
      <c r="AD93">
        <f>AC93*E93*10000*VLOOKUP(A93,[1]kcal!$A$2:$C$49,3,FALSE)/1000000000000*IFERROR(VLOOKUP(A93,'Kategorisering af kcal'!$A$2:$E$18,MATCH('Produktion &amp; forbrug'!F93,'Kategorisering af kcal'!$A$1:$E$1,0),FALSE),0)</f>
        <v>0</v>
      </c>
      <c r="AE93">
        <f>IF(C93&lt;&gt;"",AC93*(1-VLOOKUP(A93,'Kategorisering af kcal'!$A$2:$E$18,MATCH('Produktion &amp; forbrug'!F93,'Kategorisering af kcal'!$A$1:$E$1,0),FALSE)),'Produktion &amp; forbrug'!AC93)</f>
        <v>4496969.982036991</v>
      </c>
      <c r="AF93" s="94">
        <f t="shared" si="24"/>
        <v>0</v>
      </c>
    </row>
    <row r="94" spans="1:32" x14ac:dyDescent="0.25">
      <c r="A94" s="171" t="str">
        <f t="shared" si="12"/>
        <v>Svinegylle</v>
      </c>
      <c r="B94" s="171" t="str">
        <f t="shared" si="13"/>
        <v>Husdyrgødning</v>
      </c>
      <c r="C94" s="171" t="str">
        <f>IFERROR(VLOOKUP(A94,'Kategorisering af kcal'!$A$2:$B$18,2,FALSE),"")</f>
        <v/>
      </c>
      <c r="D94" s="171">
        <f>IF(COUNTIFS('Resultater - Danmark'!$D$3:$D$504,'Produktion &amp; forbrug'!A94,'Resultater - Danmark'!$A$3:$A$504,"Til energi")+COUNTIFS('Resultater - Danmark'!$D$3:$D$504,'Produktion &amp; forbrug'!A94,'Resultater - Danmark'!$A$3:$A$504,"Biogasanlæg")&gt;0,1,0)</f>
        <v>1</v>
      </c>
      <c r="E94" s="171">
        <f t="shared" si="15"/>
        <v>0</v>
      </c>
      <c r="F94" s="171">
        <f t="shared" si="14"/>
        <v>2030</v>
      </c>
      <c r="G94" s="94">
        <f>SUMIFS('Resultat-Produktion &amp; forbrug'!G$4:G$291,'Resultat-Produktion &amp; forbrug'!$A$4:$A$291,'Produktion &amp; forbrug'!$A94,'Resultat-Produktion &amp; forbrug'!$E$4:$E$291,'Produktion &amp; forbrug'!$F94)</f>
        <v>16403922.580645163</v>
      </c>
      <c r="H94" s="94">
        <f>SUMIFS('Resultat-Produktion &amp; forbrug'!H$4:H$291,'Resultat-Produktion &amp; forbrug'!$A$4:$A$291,'Produktion &amp; forbrug'!$A94,'Resultat-Produktion &amp; forbrug'!$E$4:$E$291,'Produktion &amp; forbrug'!$F94)</f>
        <v>0</v>
      </c>
      <c r="I94" s="94">
        <f>SUMIFS('Resultat-Produktion &amp; forbrug'!I$4:I$291,'Resultat-Produktion &amp; forbrug'!$A$4:$A$291,'Produktion &amp; forbrug'!$A94,'Resultat-Produktion &amp; forbrug'!$E$4:$E$291,'Produktion &amp; forbrug'!$F94)</f>
        <v>0</v>
      </c>
      <c r="J94" s="94">
        <f>SUMIFS('Resultat-Produktion &amp; forbrug'!J$4:J$291,'Resultat-Produktion &amp; forbrug'!$A$4:$A$291,'Produktion &amp; forbrug'!$A94,'Resultat-Produktion &amp; forbrug'!$E$4:$E$291,'Produktion &amp; forbrug'!$F94)</f>
        <v>0</v>
      </c>
      <c r="K94" s="94">
        <f>SUMIFS('Resultat-Produktion &amp; forbrug'!K$4:K$291,'Resultat-Produktion &amp; forbrug'!$A$4:$A$291,'Produktion &amp; forbrug'!$A94,'Resultat-Produktion &amp; forbrug'!$E$4:$E$291,'Produktion &amp; forbrug'!$F94)</f>
        <v>12302941.935483871</v>
      </c>
      <c r="L94" s="94">
        <f>SUMIFS('Resultat-Produktion &amp; forbrug'!L$4:L$291,'Resultat-Produktion &amp; forbrug'!$A$4:$A$291,'Produktion &amp; forbrug'!$A94,'Resultat-Produktion &amp; forbrug'!$E$4:$E$291,'Produktion &amp; forbrug'!$F94)</f>
        <v>4100980.6451612907</v>
      </c>
      <c r="M94" s="94">
        <f>SUMIFS('Resultat-Produktion &amp; forbrug'!M$4:M$291,'Resultat-Produktion &amp; forbrug'!$A$4:$A$291,'Produktion &amp; forbrug'!$A94,'Resultat-Produktion &amp; forbrug'!$E$4:$E$291,'Produktion &amp; forbrug'!$F94)</f>
        <v>0</v>
      </c>
      <c r="N94" s="94">
        <f>SUMIFS('Resultat-Produktion &amp; forbrug'!N$4:N$291,'Resultat-Produktion &amp; forbrug'!$A$4:$A$291,'Produktion &amp; forbrug'!$A94,'Resultat-Produktion &amp; forbrug'!$E$4:$E$291,'Produktion &amp; forbrug'!$F94)</f>
        <v>0</v>
      </c>
      <c r="O94" s="179">
        <f t="shared" si="18"/>
        <v>0</v>
      </c>
      <c r="P94" s="94">
        <f t="shared" si="19"/>
        <v>0</v>
      </c>
      <c r="Q94" s="180">
        <f t="shared" si="20"/>
        <v>12302941.935483871</v>
      </c>
      <c r="R94">
        <f>IFERROR(VLOOKUP(A94,[1]Energiindhold!$A$2:$C$11,3,FALSE),IFERROR(VLOOKUP(A94,[1]Biogasudbytte!$A$2:$B$18,2,FALSE)*[1]Energiindhold!$C$10,0))*P94</f>
        <v>0</v>
      </c>
      <c r="S94">
        <f>IF(A94&lt;&gt;"Biogas",IFERROR(VLOOKUP(A94,[1]Biogasudbytte!$A$2:$B$18,2,FALSE)*[1]Energiindhold!$C$10,0)*K94*IFERROR(VLOOKUP(A94,Biogasanlæg!$F$3:$G$8,2,FALSE),1)+IFERROR(VLOOKUP(A94,[1]Energiindhold!$A$2:$C$11,3,FALSE),0)*M94+IF(F94&lt;&gt;År1,R94,0),0)</f>
        <v>5.3001073858064522</v>
      </c>
      <c r="T94">
        <f>IFERROR(VLOOKUP(A94,[1]Biogasudbytte!$A$2:$B$18,2,FALSE)*[1]Energiindhold!$C$10,0)*K94*IFERROR(VLOOKUP(A94,Biogasanlæg!$F$3:$G$8,2,FALSE),1)</f>
        <v>5.3001073858064522</v>
      </c>
      <c r="U94" s="170">
        <f t="shared" si="21"/>
        <v>0</v>
      </c>
      <c r="V94" s="169">
        <f>P94*IFERROR(VLOOKUP(A94,[1]Tørstofindhold!A$2:B$24,2,FALSE),0)</f>
        <v>0</v>
      </c>
      <c r="W94">
        <f>IF(F94=År1,Q94,SUM(P94,Q94))*IFERROR(VLOOKUP(A94,[1]Tørstofindhold!A$2:B$24,2,FALSE),0)</f>
        <v>615147.09677419357</v>
      </c>
      <c r="X94">
        <f>K94*IFERROR(VLOOKUP(A94,[1]Tørstofindhold!A$2:B$24,2,FALSE),0)</f>
        <v>615147.09677419357</v>
      </c>
      <c r="Y94" s="170">
        <f t="shared" si="22"/>
        <v>0</v>
      </c>
      <c r="Z94">
        <f t="shared" si="16"/>
        <v>0</v>
      </c>
      <c r="AA94">
        <f t="shared" si="17"/>
        <v>0</v>
      </c>
      <c r="AC94" s="94">
        <f t="shared" si="23"/>
        <v>0</v>
      </c>
      <c r="AD94">
        <f>AC94*E94*10000*VLOOKUP(A94,[1]kcal!$A$2:$C$49,3,FALSE)/1000000000000*IFERROR(VLOOKUP(A94,'Kategorisering af kcal'!$A$2:$E$18,MATCH('Produktion &amp; forbrug'!F94,'Kategorisering af kcal'!$A$1:$E$1,0),FALSE),0)</f>
        <v>0</v>
      </c>
      <c r="AE94">
        <f>IF(C94&lt;&gt;"",AC94*(1-VLOOKUP(A94,'Kategorisering af kcal'!$A$2:$E$18,MATCH('Produktion &amp; forbrug'!F94,'Kategorisering af kcal'!$A$1:$E$1,0),FALSE)),'Produktion &amp; forbrug'!AC94)</f>
        <v>0</v>
      </c>
      <c r="AF94" s="94">
        <f t="shared" si="24"/>
        <v>0</v>
      </c>
    </row>
    <row r="95" spans="1:32" x14ac:dyDescent="0.25">
      <c r="A95" s="171" t="str">
        <f t="shared" si="12"/>
        <v>Svinekød</v>
      </c>
      <c r="B95" s="171" t="str">
        <f t="shared" si="13"/>
        <v/>
      </c>
      <c r="C95" s="171" t="str">
        <f>IFERROR(VLOOKUP(A95,'Kategorisering af kcal'!$A$2:$B$18,2,FALSE),"")</f>
        <v>Kød</v>
      </c>
      <c r="D95" s="171">
        <f>IF(COUNTIFS('Resultater - Danmark'!$D$3:$D$504,'Produktion &amp; forbrug'!A95,'Resultater - Danmark'!$A$3:$A$504,"Til energi")+COUNTIFS('Resultater - Danmark'!$D$3:$D$504,'Produktion &amp; forbrug'!A95,'Resultater - Danmark'!$A$3:$A$504,"Biogasanlæg")&gt;0,1,0)</f>
        <v>0</v>
      </c>
      <c r="E95" s="171">
        <f t="shared" si="15"/>
        <v>1</v>
      </c>
      <c r="F95" s="171">
        <f t="shared" si="14"/>
        <v>2030</v>
      </c>
      <c r="G95" s="94">
        <f>SUMIFS('Resultat-Produktion &amp; forbrug'!G$4:G$291,'Resultat-Produktion &amp; forbrug'!$A$4:$A$291,'Produktion &amp; forbrug'!$A95,'Resultat-Produktion &amp; forbrug'!$E$4:$E$291,'Produktion &amp; forbrug'!$F95)</f>
        <v>1487499.2794831963</v>
      </c>
      <c r="H95" s="94">
        <f>SUMIFS('Resultat-Produktion &amp; forbrug'!H$4:H$291,'Resultat-Produktion &amp; forbrug'!$A$4:$A$291,'Produktion &amp; forbrug'!$A95,'Resultat-Produktion &amp; forbrug'!$E$4:$E$291,'Produktion &amp; forbrug'!$F95)</f>
        <v>0</v>
      </c>
      <c r="I95" s="94">
        <f>SUMIFS('Resultat-Produktion &amp; forbrug'!I$4:I$291,'Resultat-Produktion &amp; forbrug'!$A$4:$A$291,'Produktion &amp; forbrug'!$A95,'Resultat-Produktion &amp; forbrug'!$E$4:$E$291,'Produktion &amp; forbrug'!$F95)</f>
        <v>0</v>
      </c>
      <c r="J95" s="94">
        <f>SUMIFS('Resultat-Produktion &amp; forbrug'!J$4:J$291,'Resultat-Produktion &amp; forbrug'!$A$4:$A$291,'Produktion &amp; forbrug'!$A95,'Resultat-Produktion &amp; forbrug'!$E$4:$E$291,'Produktion &amp; forbrug'!$F95)</f>
        <v>0</v>
      </c>
      <c r="K95" s="94">
        <f>SUMIFS('Resultat-Produktion &amp; forbrug'!K$4:K$291,'Resultat-Produktion &amp; forbrug'!$A$4:$A$291,'Produktion &amp; forbrug'!$A95,'Resultat-Produktion &amp; forbrug'!$E$4:$E$291,'Produktion &amp; forbrug'!$F95)</f>
        <v>0</v>
      </c>
      <c r="L95" s="94">
        <f>SUMIFS('Resultat-Produktion &amp; forbrug'!L$4:L$291,'Resultat-Produktion &amp; forbrug'!$A$4:$A$291,'Produktion &amp; forbrug'!$A95,'Resultat-Produktion &amp; forbrug'!$E$4:$E$291,'Produktion &amp; forbrug'!$F95)</f>
        <v>0</v>
      </c>
      <c r="M95" s="94">
        <f>SUMIFS('Resultat-Produktion &amp; forbrug'!M$4:M$291,'Resultat-Produktion &amp; forbrug'!$A$4:$A$291,'Produktion &amp; forbrug'!$A95,'Resultat-Produktion &amp; forbrug'!$E$4:$E$291,'Produktion &amp; forbrug'!$F95)</f>
        <v>0</v>
      </c>
      <c r="N95" s="94">
        <f>SUMIFS('Resultat-Produktion &amp; forbrug'!N$4:N$291,'Resultat-Produktion &amp; forbrug'!$A$4:$A$291,'Produktion &amp; forbrug'!$A95,'Resultat-Produktion &amp; forbrug'!$E$4:$E$291,'Produktion &amp; forbrug'!$F95)</f>
        <v>0</v>
      </c>
      <c r="O95" s="179">
        <f t="shared" si="18"/>
        <v>1487499.2794831963</v>
      </c>
      <c r="P95" s="94">
        <f t="shared" si="19"/>
        <v>0</v>
      </c>
      <c r="Q95" s="180">
        <f t="shared" si="20"/>
        <v>0</v>
      </c>
      <c r="R95">
        <f>IFERROR(VLOOKUP(A95,[1]Energiindhold!$A$2:$C$11,3,FALSE),IFERROR(VLOOKUP(A95,[1]Biogasudbytte!$A$2:$B$18,2,FALSE)*[1]Energiindhold!$C$10,0))*P95</f>
        <v>0</v>
      </c>
      <c r="S95">
        <f>IF(A95&lt;&gt;"Biogas",IFERROR(VLOOKUP(A95,[1]Biogasudbytte!$A$2:$B$18,2,FALSE)*[1]Energiindhold!$C$10,0)*K95*IFERROR(VLOOKUP(A95,Biogasanlæg!$F$3:$G$8,2,FALSE),1)+IFERROR(VLOOKUP(A95,[1]Energiindhold!$A$2:$C$11,3,FALSE),0)*M95+IF(F95&lt;&gt;År1,R95,0),0)</f>
        <v>0</v>
      </c>
      <c r="T95">
        <f>IFERROR(VLOOKUP(A95,[1]Biogasudbytte!$A$2:$B$18,2,FALSE)*[1]Energiindhold!$C$10,0)*K95*IFERROR(VLOOKUP(A95,Biogasanlæg!$F$3:$G$8,2,FALSE),1)</f>
        <v>0</v>
      </c>
      <c r="U95" s="170">
        <f t="shared" si="21"/>
        <v>0</v>
      </c>
      <c r="V95" s="169">
        <f>P95*IFERROR(VLOOKUP(A95,[1]Tørstofindhold!A$2:B$24,2,FALSE),0)</f>
        <v>0</v>
      </c>
      <c r="W95">
        <f>IF(F95=År1,Q95,SUM(P95,Q95))*IFERROR(VLOOKUP(A95,[1]Tørstofindhold!A$2:B$24,2,FALSE),0)</f>
        <v>0</v>
      </c>
      <c r="X95">
        <f>K95*IFERROR(VLOOKUP(A95,[1]Tørstofindhold!A$2:B$24,2,FALSE),0)</f>
        <v>0</v>
      </c>
      <c r="Y95" s="170">
        <f t="shared" si="22"/>
        <v>0</v>
      </c>
      <c r="Z95">
        <f t="shared" si="16"/>
        <v>0</v>
      </c>
      <c r="AA95">
        <f t="shared" si="17"/>
        <v>1</v>
      </c>
      <c r="AC95" s="94">
        <f t="shared" si="23"/>
        <v>1487499.2794831963</v>
      </c>
      <c r="AD95">
        <f>AC95*E95*10000*VLOOKUP(A95,[1]kcal!$A$2:$C$49,3,FALSE)/1000000000000*IFERROR(VLOOKUP(A95,'Kategorisering af kcal'!$A$2:$E$18,MATCH('Produktion &amp; forbrug'!F95,'Kategorisering af kcal'!$A$1:$E$1,0),FALSE),0)</f>
        <v>2.9006235949922328</v>
      </c>
      <c r="AE95">
        <f>IF(C95&lt;&gt;"",AC95*(1-VLOOKUP(A95,'Kategorisering af kcal'!$A$2:$E$18,MATCH('Produktion &amp; forbrug'!F95,'Kategorisering af kcal'!$A$1:$E$1,0),FALSE)),'Produktion &amp; forbrug'!AC95)</f>
        <v>0</v>
      </c>
      <c r="AF95" s="94">
        <f t="shared" si="24"/>
        <v>1487499.2794831963</v>
      </c>
    </row>
    <row r="96" spans="1:32" x14ac:dyDescent="0.25">
      <c r="A96" s="171" t="str">
        <f t="shared" si="12"/>
        <v>Tang</v>
      </c>
      <c r="B96" s="171" t="str">
        <f t="shared" si="13"/>
        <v>Havbiomasse</v>
      </c>
      <c r="C96" s="171" t="str">
        <f>IFERROR(VLOOKUP(A96,'Kategorisering af kcal'!$A$2:$B$18,2,FALSE),"")</f>
        <v>Fisk mm</v>
      </c>
      <c r="D96" s="171">
        <f>IF(COUNTIFS('Resultater - Danmark'!$D$3:$D$504,'Produktion &amp; forbrug'!A96,'Resultater - Danmark'!$A$3:$A$504,"Til energi")+COUNTIFS('Resultater - Danmark'!$D$3:$D$504,'Produktion &amp; forbrug'!A96,'Resultater - Danmark'!$A$3:$A$504,"Biogasanlæg")&gt;0,1,0)</f>
        <v>1</v>
      </c>
      <c r="E96" s="171">
        <f t="shared" si="15"/>
        <v>1</v>
      </c>
      <c r="F96" s="171">
        <f t="shared" si="14"/>
        <v>2030</v>
      </c>
      <c r="G96" s="94">
        <f>SUMIFS('Resultat-Produktion &amp; forbrug'!G$4:G$291,'Resultat-Produktion &amp; forbrug'!$A$4:$A$291,'Produktion &amp; forbrug'!$A96,'Resultat-Produktion &amp; forbrug'!$E$4:$E$291,'Produktion &amp; forbrug'!$F96)</f>
        <v>76.5</v>
      </c>
      <c r="H96" s="94">
        <f>SUMIFS('Resultat-Produktion &amp; forbrug'!H$4:H$291,'Resultat-Produktion &amp; forbrug'!$A$4:$A$291,'Produktion &amp; forbrug'!$A96,'Resultat-Produktion &amp; forbrug'!$E$4:$E$291,'Produktion &amp; forbrug'!$F96)</f>
        <v>0</v>
      </c>
      <c r="I96" s="94">
        <f>SUMIFS('Resultat-Produktion &amp; forbrug'!I$4:I$291,'Resultat-Produktion &amp; forbrug'!$A$4:$A$291,'Produktion &amp; forbrug'!$A96,'Resultat-Produktion &amp; forbrug'!$E$4:$E$291,'Produktion &amp; forbrug'!$F96)</f>
        <v>0</v>
      </c>
      <c r="J96" s="94">
        <f>SUMIFS('Resultat-Produktion &amp; forbrug'!J$4:J$291,'Resultat-Produktion &amp; forbrug'!$A$4:$A$291,'Produktion &amp; forbrug'!$A96,'Resultat-Produktion &amp; forbrug'!$E$4:$E$291,'Produktion &amp; forbrug'!$F96)</f>
        <v>0</v>
      </c>
      <c r="K96" s="94">
        <f>SUMIFS('Resultat-Produktion &amp; forbrug'!K$4:K$291,'Resultat-Produktion &amp; forbrug'!$A$4:$A$291,'Produktion &amp; forbrug'!$A96,'Resultat-Produktion &amp; forbrug'!$E$4:$E$291,'Produktion &amp; forbrug'!$F96)</f>
        <v>0</v>
      </c>
      <c r="L96" s="94">
        <f>SUMIFS('Resultat-Produktion &amp; forbrug'!L$4:L$291,'Resultat-Produktion &amp; forbrug'!$A$4:$A$291,'Produktion &amp; forbrug'!$A96,'Resultat-Produktion &amp; forbrug'!$E$4:$E$291,'Produktion &amp; forbrug'!$F96)</f>
        <v>0</v>
      </c>
      <c r="M96" s="94">
        <f>SUMIFS('Resultat-Produktion &amp; forbrug'!M$4:M$291,'Resultat-Produktion &amp; forbrug'!$A$4:$A$291,'Produktion &amp; forbrug'!$A96,'Resultat-Produktion &amp; forbrug'!$E$4:$E$291,'Produktion &amp; forbrug'!$F96)</f>
        <v>0</v>
      </c>
      <c r="N96" s="94">
        <f>SUMIFS('Resultat-Produktion &amp; forbrug'!N$4:N$291,'Resultat-Produktion &amp; forbrug'!$A$4:$A$291,'Produktion &amp; forbrug'!$A96,'Resultat-Produktion &amp; forbrug'!$E$4:$E$291,'Produktion &amp; forbrug'!$F96)</f>
        <v>0</v>
      </c>
      <c r="O96" s="179">
        <f t="shared" si="18"/>
        <v>76.5</v>
      </c>
      <c r="P96" s="94">
        <f t="shared" si="19"/>
        <v>76.5</v>
      </c>
      <c r="Q96" s="180">
        <f t="shared" si="20"/>
        <v>0</v>
      </c>
      <c r="R96">
        <f>IFERROR(VLOOKUP(A96,[1]Energiindhold!$A$2:$C$11,3,FALSE),IFERROR(VLOOKUP(A96,[1]Biogasudbytte!$A$2:$B$18,2,FALSE)*[1]Energiindhold!$C$10,0))*P96</f>
        <v>6.8658750000000004E-5</v>
      </c>
      <c r="S96">
        <f>IF(A96&lt;&gt;"Biogas",IFERROR(VLOOKUP(A96,[1]Biogasudbytte!$A$2:$B$18,2,FALSE)*[1]Energiindhold!$C$10,0)*K96*IFERROR(VLOOKUP(A96,Biogasanlæg!$F$3:$G$8,2,FALSE),1)+IFERROR(VLOOKUP(A96,[1]Energiindhold!$A$2:$C$11,3,FALSE),0)*M96+IF(F96&lt;&gt;År1,R96,0),0)</f>
        <v>6.8658750000000004E-5</v>
      </c>
      <c r="T96">
        <f>IFERROR(VLOOKUP(A96,[1]Biogasudbytte!$A$2:$B$18,2,FALSE)*[1]Energiindhold!$C$10,0)*K96*IFERROR(VLOOKUP(A96,Biogasanlæg!$F$3:$G$8,2,FALSE),1)</f>
        <v>0</v>
      </c>
      <c r="U96" s="170">
        <f t="shared" si="21"/>
        <v>6.8658750000000004E-5</v>
      </c>
      <c r="V96" s="169">
        <f>P96*IFERROR(VLOOKUP(A96,[1]Tørstofindhold!A$2:B$24,2,FALSE),0)</f>
        <v>11.475</v>
      </c>
      <c r="W96">
        <f>IF(F96=År1,Q96,SUM(P96,Q96))*IFERROR(VLOOKUP(A96,[1]Tørstofindhold!A$2:B$24,2,FALSE),0)</f>
        <v>11.475</v>
      </c>
      <c r="X96">
        <f>K96*IFERROR(VLOOKUP(A96,[1]Tørstofindhold!A$2:B$24,2,FALSE),0)</f>
        <v>0</v>
      </c>
      <c r="Y96" s="170">
        <f t="shared" si="22"/>
        <v>11.475</v>
      </c>
      <c r="Z96">
        <f t="shared" si="16"/>
        <v>0</v>
      </c>
      <c r="AA96">
        <f t="shared" si="17"/>
        <v>1</v>
      </c>
      <c r="AC96" s="94">
        <f t="shared" si="23"/>
        <v>76.5</v>
      </c>
      <c r="AD96">
        <f>AC96*E96*10000*VLOOKUP(A96,[1]kcal!$A$2:$C$49,3,FALSE)/1000000000000*IFERROR(VLOOKUP(A96,'Kategorisering af kcal'!$A$2:$E$18,MATCH('Produktion &amp; forbrug'!F96,'Kategorisering af kcal'!$A$1:$E$1,0),FALSE),0)</f>
        <v>3.1211999999999999E-5</v>
      </c>
      <c r="AE96">
        <f>IF(C96&lt;&gt;"",AC96*(1-VLOOKUP(A96,'Kategorisering af kcal'!$A$2:$E$18,MATCH('Produktion &amp; forbrug'!F96,'Kategorisering af kcal'!$A$1:$E$1,0),FALSE)),'Produktion &amp; forbrug'!AC96)</f>
        <v>0</v>
      </c>
      <c r="AF96" s="94">
        <f t="shared" si="24"/>
        <v>76.5</v>
      </c>
    </row>
    <row r="97" spans="1:32" x14ac:dyDescent="0.25">
      <c r="A97" s="171" t="str">
        <f t="shared" si="12"/>
        <v>Total til biogas</v>
      </c>
      <c r="B97" s="171" t="str">
        <f t="shared" si="13"/>
        <v/>
      </c>
      <c r="C97" s="171" t="str">
        <f>IFERROR(VLOOKUP(A97,'Kategorisering af kcal'!$A$2:$B$18,2,FALSE),"")</f>
        <v/>
      </c>
      <c r="D97" s="171">
        <f>IF(COUNTIFS('Resultater - Danmark'!$D$3:$D$504,'Produktion &amp; forbrug'!A97,'Resultater - Danmark'!$A$3:$A$504,"Til energi")+COUNTIFS('Resultater - Danmark'!$D$3:$D$504,'Produktion &amp; forbrug'!A97,'Resultater - Danmark'!$A$3:$A$504,"Biogasanlæg")&gt;0,1,0)</f>
        <v>1</v>
      </c>
      <c r="E97" s="171">
        <f t="shared" si="15"/>
        <v>0</v>
      </c>
      <c r="F97" s="171">
        <f t="shared" si="14"/>
        <v>2030</v>
      </c>
      <c r="G97" s="94">
        <f>SUMIFS('Resultat-Produktion &amp; forbrug'!G$4:G$291,'Resultat-Produktion &amp; forbrug'!$A$4:$A$291,'Produktion &amp; forbrug'!$A97,'Resultat-Produktion &amp; forbrug'!$E$4:$E$291,'Produktion &amp; forbrug'!$F97)</f>
        <v>0</v>
      </c>
      <c r="H97" s="94">
        <f>SUMIFS('Resultat-Produktion &amp; forbrug'!H$4:H$291,'Resultat-Produktion &amp; forbrug'!$A$4:$A$291,'Produktion &amp; forbrug'!$A97,'Resultat-Produktion &amp; forbrug'!$E$4:$E$291,'Produktion &amp; forbrug'!$F97)</f>
        <v>0</v>
      </c>
      <c r="I97" s="94">
        <f>SUMIFS('Resultat-Produktion &amp; forbrug'!I$4:I$291,'Resultat-Produktion &amp; forbrug'!$A$4:$A$291,'Produktion &amp; forbrug'!$A97,'Resultat-Produktion &amp; forbrug'!$E$4:$E$291,'Produktion &amp; forbrug'!$F97)</f>
        <v>0</v>
      </c>
      <c r="J97" s="94">
        <f>SUMIFS('Resultat-Produktion &amp; forbrug'!J$4:J$291,'Resultat-Produktion &amp; forbrug'!$A$4:$A$291,'Produktion &amp; forbrug'!$A97,'Resultat-Produktion &amp; forbrug'!$E$4:$E$291,'Produktion &amp; forbrug'!$F97)</f>
        <v>0</v>
      </c>
      <c r="K97" s="94">
        <f>SUMIFS('Resultat-Produktion &amp; forbrug'!K$4:K$291,'Resultat-Produktion &amp; forbrug'!$A$4:$A$291,'Produktion &amp; forbrug'!$A97,'Resultat-Produktion &amp; forbrug'!$E$4:$E$291,'Produktion &amp; forbrug'!$F97)</f>
        <v>0</v>
      </c>
      <c r="L97" s="94">
        <f>SUMIFS('Resultat-Produktion &amp; forbrug'!L$4:L$291,'Resultat-Produktion &amp; forbrug'!$A$4:$A$291,'Produktion &amp; forbrug'!$A97,'Resultat-Produktion &amp; forbrug'!$E$4:$E$291,'Produktion &amp; forbrug'!$F97)</f>
        <v>0</v>
      </c>
      <c r="M97" s="94">
        <f>SUMIFS('Resultat-Produktion &amp; forbrug'!M$4:M$291,'Resultat-Produktion &amp; forbrug'!$A$4:$A$291,'Produktion &amp; forbrug'!$A97,'Resultat-Produktion &amp; forbrug'!$E$4:$E$291,'Produktion &amp; forbrug'!$F97)</f>
        <v>0</v>
      </c>
      <c r="N97" s="94">
        <f>SUMIFS('Resultat-Produktion &amp; forbrug'!N$4:N$291,'Resultat-Produktion &amp; forbrug'!$A$4:$A$291,'Produktion &amp; forbrug'!$A97,'Resultat-Produktion &amp; forbrug'!$E$4:$E$291,'Produktion &amp; forbrug'!$F97)</f>
        <v>0</v>
      </c>
      <c r="O97" s="179">
        <f t="shared" si="18"/>
        <v>0</v>
      </c>
      <c r="P97" s="94">
        <f t="shared" si="19"/>
        <v>0</v>
      </c>
      <c r="Q97" s="180">
        <f t="shared" si="20"/>
        <v>0</v>
      </c>
      <c r="R97">
        <f>IFERROR(VLOOKUP(A97,[1]Energiindhold!$A$2:$C$11,3,FALSE),IFERROR(VLOOKUP(A97,[1]Biogasudbytte!$A$2:$B$18,2,FALSE)*[1]Energiindhold!$C$10,0))*P97</f>
        <v>0</v>
      </c>
      <c r="S97">
        <f>IF(A97&lt;&gt;"Biogas",IFERROR(VLOOKUP(A97,[1]Biogasudbytte!$A$2:$B$18,2,FALSE)*[1]Energiindhold!$C$10,0)*K97*IFERROR(VLOOKUP(A97,Biogasanlæg!$F$3:$G$8,2,FALSE),1)+IFERROR(VLOOKUP(A97,[1]Energiindhold!$A$2:$C$11,3,FALSE),0)*M97+IF(F97&lt;&gt;År1,R97,0),0)</f>
        <v>0</v>
      </c>
      <c r="T97">
        <f>IFERROR(VLOOKUP(A97,[1]Biogasudbytte!$A$2:$B$18,2,FALSE)*[1]Energiindhold!$C$10,0)*K97*IFERROR(VLOOKUP(A97,Biogasanlæg!$F$3:$G$8,2,FALSE),1)</f>
        <v>0</v>
      </c>
      <c r="U97" s="170">
        <f t="shared" si="21"/>
        <v>0</v>
      </c>
      <c r="V97" s="169">
        <f>P97*IFERROR(VLOOKUP(A97,[1]Tørstofindhold!A$2:B$24,2,FALSE),0)</f>
        <v>0</v>
      </c>
      <c r="W97">
        <f>IF(F97=År1,Q97,SUM(P97,Q97))*IFERROR(VLOOKUP(A97,[1]Tørstofindhold!A$2:B$24,2,FALSE),0)</f>
        <v>0</v>
      </c>
      <c r="X97">
        <f>K97*IFERROR(VLOOKUP(A97,[1]Tørstofindhold!A$2:B$24,2,FALSE),0)</f>
        <v>0</v>
      </c>
      <c r="Y97" s="170">
        <f t="shared" si="22"/>
        <v>0</v>
      </c>
      <c r="Z97">
        <f t="shared" si="16"/>
        <v>0</v>
      </c>
      <c r="AA97">
        <f t="shared" si="17"/>
        <v>0</v>
      </c>
      <c r="AC97" s="94">
        <f t="shared" si="23"/>
        <v>0</v>
      </c>
      <c r="AD97">
        <f>AC97*E97*10000*VLOOKUP(A97,[1]kcal!$A$2:$C$49,3,FALSE)/1000000000000*IFERROR(VLOOKUP(A97,'Kategorisering af kcal'!$A$2:$E$18,MATCH('Produktion &amp; forbrug'!F97,'Kategorisering af kcal'!$A$1:$E$1,0),FALSE),0)</f>
        <v>0</v>
      </c>
      <c r="AE97">
        <f>IF(C97&lt;&gt;"",AC97*(1-VLOOKUP(A97,'Kategorisering af kcal'!$A$2:$E$18,MATCH('Produktion &amp; forbrug'!F97,'Kategorisering af kcal'!$A$1:$E$1,0),FALSE)),'Produktion &amp; forbrug'!AC97)</f>
        <v>0</v>
      </c>
      <c r="AF97" s="94">
        <f t="shared" si="24"/>
        <v>0</v>
      </c>
    </row>
    <row r="98" spans="1:32" x14ac:dyDescent="0.25">
      <c r="A98" s="171" t="str">
        <f t="shared" si="12"/>
        <v>Træ til energi</v>
      </c>
      <c r="B98" s="171" t="str">
        <f t="shared" si="13"/>
        <v>Vedmasse</v>
      </c>
      <c r="C98" s="171" t="str">
        <f>IFERROR(VLOOKUP(A98,'Kategorisering af kcal'!$A$2:$B$18,2,FALSE),"")</f>
        <v/>
      </c>
      <c r="D98" s="171">
        <f>IF(COUNTIFS('Resultater - Danmark'!$D$3:$D$504,'Produktion &amp; forbrug'!A98,'Resultater - Danmark'!$A$3:$A$504,"Til energi")+COUNTIFS('Resultater - Danmark'!$D$3:$D$504,'Produktion &amp; forbrug'!A98,'Resultater - Danmark'!$A$3:$A$504,"Biogasanlæg")&gt;0,1,0)</f>
        <v>1</v>
      </c>
      <c r="E98" s="171">
        <f t="shared" si="15"/>
        <v>0</v>
      </c>
      <c r="F98" s="171">
        <f t="shared" si="14"/>
        <v>2030</v>
      </c>
      <c r="G98" s="94">
        <f ca="1">SUMIFS('Resultat-Produktion &amp; forbrug'!G$4:G$291,'Resultat-Produktion &amp; forbrug'!$A$4:$A$291,'Produktion &amp; forbrug'!$A98,'Resultat-Produktion &amp; forbrug'!$E$4:$E$291,'Produktion &amp; forbrug'!$F98)</f>
        <v>2858758.2285455461</v>
      </c>
      <c r="H98" s="94">
        <f>SUMIFS('Resultat-Produktion &amp; forbrug'!H$4:H$291,'Resultat-Produktion &amp; forbrug'!$A$4:$A$291,'Produktion &amp; forbrug'!$A98,'Resultat-Produktion &amp; forbrug'!$E$4:$E$291,'Produktion &amp; forbrug'!$F98)</f>
        <v>0</v>
      </c>
      <c r="I98" s="94">
        <f>SUMIFS('Resultat-Produktion &amp; forbrug'!I$4:I$291,'Resultat-Produktion &amp; forbrug'!$A$4:$A$291,'Produktion &amp; forbrug'!$A98,'Resultat-Produktion &amp; forbrug'!$E$4:$E$291,'Produktion &amp; forbrug'!$F98)</f>
        <v>0</v>
      </c>
      <c r="J98" s="94">
        <f>SUMIFS('Resultat-Produktion &amp; forbrug'!J$4:J$291,'Resultat-Produktion &amp; forbrug'!$A$4:$A$291,'Produktion &amp; forbrug'!$A98,'Resultat-Produktion &amp; forbrug'!$E$4:$E$291,'Produktion &amp; forbrug'!$F98)</f>
        <v>0</v>
      </c>
      <c r="K98" s="94">
        <f>SUMIFS('Resultat-Produktion &amp; forbrug'!K$4:K$291,'Resultat-Produktion &amp; forbrug'!$A$4:$A$291,'Produktion &amp; forbrug'!$A98,'Resultat-Produktion &amp; forbrug'!$E$4:$E$291,'Produktion &amp; forbrug'!$F98)</f>
        <v>0</v>
      </c>
      <c r="L98" s="94">
        <f>SUMIFS('Resultat-Produktion &amp; forbrug'!L$4:L$291,'Resultat-Produktion &amp; forbrug'!$A$4:$A$291,'Produktion &amp; forbrug'!$A98,'Resultat-Produktion &amp; forbrug'!$E$4:$E$291,'Produktion &amp; forbrug'!$F98)</f>
        <v>0</v>
      </c>
      <c r="M98" s="94">
        <f ca="1">SUMIFS('Resultat-Produktion &amp; forbrug'!M$4:M$291,'Resultat-Produktion &amp; forbrug'!$A$4:$A$291,'Produktion &amp; forbrug'!$A98,'Resultat-Produktion &amp; forbrug'!$E$4:$E$291,'Produktion &amp; forbrug'!$F98)</f>
        <v>2858758.2285455461</v>
      </c>
      <c r="N98" s="94">
        <f>SUMIFS('Resultat-Produktion &amp; forbrug'!N$4:N$291,'Resultat-Produktion &amp; forbrug'!$A$4:$A$291,'Produktion &amp; forbrug'!$A98,'Resultat-Produktion &amp; forbrug'!$E$4:$E$291,'Produktion &amp; forbrug'!$F98)</f>
        <v>0</v>
      </c>
      <c r="O98" s="179">
        <f t="shared" ca="1" si="18"/>
        <v>0</v>
      </c>
      <c r="P98" s="94">
        <f t="shared" ca="1" si="19"/>
        <v>0</v>
      </c>
      <c r="Q98" s="180">
        <f t="shared" ca="1" si="20"/>
        <v>2858758.2285455461</v>
      </c>
      <c r="R98">
        <f ca="1">IFERROR(VLOOKUP(A98,[1]Energiindhold!$A$2:$C$11,3,FALSE),IFERROR(VLOOKUP(A98,[1]Biogasudbytte!$A$2:$B$18,2,FALSE)*[1]Energiindhold!$C$10,0))*P98</f>
        <v>0</v>
      </c>
      <c r="S98">
        <f ca="1">IF(A98&lt;&gt;"Biogas",IFERROR(VLOOKUP(A98,[1]Biogasudbytte!$A$2:$B$18,2,FALSE)*[1]Energiindhold!$C$10,0)*K98*IFERROR(VLOOKUP(A98,Biogasanlæg!$F$3:$G$8,2,FALSE),1)+IFERROR(VLOOKUP(A98,[1]Energiindhold!$A$2:$C$11,3,FALSE),0)*M98+IF(F98&lt;&gt;År1,R98,0),0)</f>
        <v>41.433609356083267</v>
      </c>
      <c r="T98">
        <f>IFERROR(VLOOKUP(A98,[1]Biogasudbytte!$A$2:$B$18,2,FALSE)*[1]Energiindhold!$C$10,0)*K98*IFERROR(VLOOKUP(A98,Biogasanlæg!$F$3:$G$8,2,FALSE),1)</f>
        <v>0</v>
      </c>
      <c r="U98" s="170">
        <f t="shared" ca="1" si="21"/>
        <v>41.433609356083267</v>
      </c>
      <c r="V98" s="169">
        <f ca="1">P98*IFERROR(VLOOKUP(A98,[1]Tørstofindhold!A$2:B$24,2,FALSE),0)</f>
        <v>0</v>
      </c>
      <c r="W98">
        <f ca="1">IF(F98=År1,Q98,SUM(P98,Q98))*IFERROR(VLOOKUP(A98,[1]Tørstofindhold!A$2:B$24,2,FALSE),0)</f>
        <v>1413894.1738681514</v>
      </c>
      <c r="X98">
        <f>K98*IFERROR(VLOOKUP(A98,[1]Tørstofindhold!A$2:B$24,2,FALSE),0)</f>
        <v>0</v>
      </c>
      <c r="Y98" s="170">
        <f t="shared" ca="1" si="22"/>
        <v>1413894.1738681514</v>
      </c>
      <c r="Z98">
        <f t="shared" ca="1" si="16"/>
        <v>0</v>
      </c>
      <c r="AA98">
        <f t="shared" ca="1" si="17"/>
        <v>0</v>
      </c>
      <c r="AC98" s="94">
        <f t="shared" ca="1" si="23"/>
        <v>2858758.2285455461</v>
      </c>
      <c r="AD98">
        <f ca="1">AC98*E98*10000*VLOOKUP(A98,[1]kcal!$A$2:$C$49,3,FALSE)/1000000000000*IFERROR(VLOOKUP(A98,'Kategorisering af kcal'!$A$2:$E$18,MATCH('Produktion &amp; forbrug'!F98,'Kategorisering af kcal'!$A$1:$E$1,0),FALSE),0)</f>
        <v>0</v>
      </c>
      <c r="AE98">
        <f ca="1">IF(C98&lt;&gt;"",AC98*(1-VLOOKUP(A98,'Kategorisering af kcal'!$A$2:$E$18,MATCH('Produktion &amp; forbrug'!F98,'Kategorisering af kcal'!$A$1:$E$1,0),FALSE)),'Produktion &amp; forbrug'!AC98)</f>
        <v>2858758.2285455461</v>
      </c>
      <c r="AF98" s="94">
        <f t="shared" ca="1" si="24"/>
        <v>0</v>
      </c>
    </row>
    <row r="99" spans="1:32" x14ac:dyDescent="0.25">
      <c r="A99" s="171" t="str">
        <f t="shared" si="12"/>
        <v>Træmaterialer</v>
      </c>
      <c r="B99" s="171" t="str">
        <f t="shared" si="13"/>
        <v/>
      </c>
      <c r="C99" s="171" t="str">
        <f>IFERROR(VLOOKUP(A99,'Kategorisering af kcal'!$A$2:$B$18,2,FALSE),"")</f>
        <v/>
      </c>
      <c r="D99" s="171">
        <f>IF(COUNTIFS('Resultater - Danmark'!$D$3:$D$504,'Produktion &amp; forbrug'!A99,'Resultater - Danmark'!$A$3:$A$504,"Til energi")+COUNTIFS('Resultater - Danmark'!$D$3:$D$504,'Produktion &amp; forbrug'!A99,'Resultater - Danmark'!$A$3:$A$504,"Biogasanlæg")&gt;0,1,0)</f>
        <v>0</v>
      </c>
      <c r="E99" s="171">
        <f t="shared" si="15"/>
        <v>0</v>
      </c>
      <c r="F99" s="171">
        <f t="shared" si="14"/>
        <v>2030</v>
      </c>
      <c r="G99" s="94">
        <f ca="1">SUMIFS('Resultat-Produktion &amp; forbrug'!G$4:G$291,'Resultat-Produktion &amp; forbrug'!$A$4:$A$291,'Produktion &amp; forbrug'!$A99,'Resultat-Produktion &amp; forbrug'!$E$4:$E$291,'Produktion &amp; forbrug'!$F99)</f>
        <v>789510.6267450063</v>
      </c>
      <c r="H99" s="94">
        <f>SUMIFS('Resultat-Produktion &amp; forbrug'!H$4:H$291,'Resultat-Produktion &amp; forbrug'!$A$4:$A$291,'Produktion &amp; forbrug'!$A99,'Resultat-Produktion &amp; forbrug'!$E$4:$E$291,'Produktion &amp; forbrug'!$F99)</f>
        <v>0</v>
      </c>
      <c r="I99" s="94">
        <f>SUMIFS('Resultat-Produktion &amp; forbrug'!I$4:I$291,'Resultat-Produktion &amp; forbrug'!$A$4:$A$291,'Produktion &amp; forbrug'!$A99,'Resultat-Produktion &amp; forbrug'!$E$4:$E$291,'Produktion &amp; forbrug'!$F99)</f>
        <v>0</v>
      </c>
      <c r="J99" s="94">
        <f>SUMIFS('Resultat-Produktion &amp; forbrug'!J$4:J$291,'Resultat-Produktion &amp; forbrug'!$A$4:$A$291,'Produktion &amp; forbrug'!$A99,'Resultat-Produktion &amp; forbrug'!$E$4:$E$291,'Produktion &amp; forbrug'!$F99)</f>
        <v>0</v>
      </c>
      <c r="K99" s="94">
        <f>SUMIFS('Resultat-Produktion &amp; forbrug'!K$4:K$291,'Resultat-Produktion &amp; forbrug'!$A$4:$A$291,'Produktion &amp; forbrug'!$A99,'Resultat-Produktion &amp; forbrug'!$E$4:$E$291,'Produktion &amp; forbrug'!$F99)</f>
        <v>0</v>
      </c>
      <c r="L99" s="94">
        <f>SUMIFS('Resultat-Produktion &amp; forbrug'!L$4:L$291,'Resultat-Produktion &amp; forbrug'!$A$4:$A$291,'Produktion &amp; forbrug'!$A99,'Resultat-Produktion &amp; forbrug'!$E$4:$E$291,'Produktion &amp; forbrug'!$F99)</f>
        <v>0</v>
      </c>
      <c r="M99" s="94">
        <f>SUMIFS('Resultat-Produktion &amp; forbrug'!M$4:M$291,'Resultat-Produktion &amp; forbrug'!$A$4:$A$291,'Produktion &amp; forbrug'!$A99,'Resultat-Produktion &amp; forbrug'!$E$4:$E$291,'Produktion &amp; forbrug'!$F99)</f>
        <v>0</v>
      </c>
      <c r="N99" s="94">
        <f ca="1">SUMIFS('Resultat-Produktion &amp; forbrug'!N$4:N$291,'Resultat-Produktion &amp; forbrug'!$A$4:$A$291,'Produktion &amp; forbrug'!$A99,'Resultat-Produktion &amp; forbrug'!$E$4:$E$291,'Produktion &amp; forbrug'!$F99)</f>
        <v>789510.6267450063</v>
      </c>
      <c r="O99" s="179">
        <f t="shared" ca="1" si="18"/>
        <v>0</v>
      </c>
      <c r="P99" s="94">
        <f t="shared" si="19"/>
        <v>0</v>
      </c>
      <c r="Q99" s="180">
        <f t="shared" si="20"/>
        <v>0</v>
      </c>
      <c r="R99">
        <f>IFERROR(VLOOKUP(A99,[1]Energiindhold!$A$2:$C$11,3,FALSE),IFERROR(VLOOKUP(A99,[1]Biogasudbytte!$A$2:$B$18,2,FALSE)*[1]Energiindhold!$C$10,0))*P99</f>
        <v>0</v>
      </c>
      <c r="S99">
        <f>IF(A99&lt;&gt;"Biogas",IFERROR(VLOOKUP(A99,[1]Biogasudbytte!$A$2:$B$18,2,FALSE)*[1]Energiindhold!$C$10,0)*K99*IFERROR(VLOOKUP(A99,Biogasanlæg!$F$3:$G$8,2,FALSE),1)+IFERROR(VLOOKUP(A99,[1]Energiindhold!$A$2:$C$11,3,FALSE),0)*M99+IF(F99&lt;&gt;År1,R99,0),0)</f>
        <v>0</v>
      </c>
      <c r="T99">
        <f>IFERROR(VLOOKUP(A99,[1]Biogasudbytte!$A$2:$B$18,2,FALSE)*[1]Energiindhold!$C$10,0)*K99*IFERROR(VLOOKUP(A99,Biogasanlæg!$F$3:$G$8,2,FALSE),1)</f>
        <v>0</v>
      </c>
      <c r="U99" s="170">
        <f t="shared" si="21"/>
        <v>0</v>
      </c>
      <c r="V99" s="169">
        <f>P99*IFERROR(VLOOKUP(A99,[1]Tørstofindhold!A$2:B$24,2,FALSE),0)</f>
        <v>0</v>
      </c>
      <c r="W99">
        <f>IF(F99=År1,Q99,SUM(P99,Q99))*IFERROR(VLOOKUP(A99,[1]Tørstofindhold!A$2:B$24,2,FALSE),0)</f>
        <v>0</v>
      </c>
      <c r="X99">
        <f>K99*IFERROR(VLOOKUP(A99,[1]Tørstofindhold!A$2:B$24,2,FALSE),0)</f>
        <v>0</v>
      </c>
      <c r="Y99" s="170">
        <f t="shared" si="22"/>
        <v>0</v>
      </c>
      <c r="Z99">
        <f t="shared" ca="1" si="16"/>
        <v>0</v>
      </c>
      <c r="AA99">
        <f t="shared" ca="1" si="17"/>
        <v>0</v>
      </c>
      <c r="AC99" s="94">
        <f t="shared" ca="1" si="23"/>
        <v>0</v>
      </c>
      <c r="AD99">
        <f ca="1">AC99*E99*10000*VLOOKUP(A99,[1]kcal!$A$2:$C$49,3,FALSE)/1000000000000*IFERROR(VLOOKUP(A99,'Kategorisering af kcal'!$A$2:$E$18,MATCH('Produktion &amp; forbrug'!F99,'Kategorisering af kcal'!$A$1:$E$1,0),FALSE),0)</f>
        <v>0</v>
      </c>
      <c r="AE99">
        <f ca="1">IF(C99&lt;&gt;"",AC99*(1-VLOOKUP(A99,'Kategorisering af kcal'!$A$2:$E$18,MATCH('Produktion &amp; forbrug'!F99,'Kategorisering af kcal'!$A$1:$E$1,0),FALSE)),'Produktion &amp; forbrug'!AC99)</f>
        <v>0</v>
      </c>
      <c r="AF99" s="94">
        <f t="shared" ca="1" si="24"/>
        <v>0</v>
      </c>
    </row>
    <row r="100" spans="1:32" x14ac:dyDescent="0.25">
      <c r="A100" s="171" t="str">
        <f t="shared" si="12"/>
        <v>Æg</v>
      </c>
      <c r="B100" s="171" t="str">
        <f t="shared" si="13"/>
        <v/>
      </c>
      <c r="C100" s="171" t="str">
        <f>IFERROR(VLOOKUP(A100,'Kategorisering af kcal'!$A$2:$B$18,2,FALSE),"")</f>
        <v>Æg</v>
      </c>
      <c r="D100" s="171">
        <f>IF(COUNTIFS('Resultater - Danmark'!$D$3:$D$504,'Produktion &amp; forbrug'!A100,'Resultater - Danmark'!$A$3:$A$504,"Til energi")+COUNTIFS('Resultater - Danmark'!$D$3:$D$504,'Produktion &amp; forbrug'!A100,'Resultater - Danmark'!$A$3:$A$504,"Biogasanlæg")&gt;0,1,0)</f>
        <v>0</v>
      </c>
      <c r="E100" s="171">
        <f t="shared" si="15"/>
        <v>1</v>
      </c>
      <c r="F100" s="171">
        <f t="shared" ref="F100:F147" si="25">År3</f>
        <v>2050</v>
      </c>
      <c r="G100" s="94">
        <f>SUMIFS('Resultat-Produktion &amp; forbrug'!G$4:G$291,'Resultat-Produktion &amp; forbrug'!$A$4:$A$291,'Produktion &amp; forbrug'!$A100,'Resultat-Produktion &amp; forbrug'!$E$4:$E$291,'Produktion &amp; forbrug'!$F100)</f>
        <v>105544.07197172538</v>
      </c>
      <c r="H100" s="94">
        <f>SUMIFS('Resultat-Produktion &amp; forbrug'!H$4:H$291,'Resultat-Produktion &amp; forbrug'!$A$4:$A$291,'Produktion &amp; forbrug'!$A100,'Resultat-Produktion &amp; forbrug'!$E$4:$E$291,'Produktion &amp; forbrug'!$F100)</f>
        <v>0</v>
      </c>
      <c r="I100" s="94">
        <f>SUMIFS('Resultat-Produktion &amp; forbrug'!I$4:I$291,'Resultat-Produktion &amp; forbrug'!$A$4:$A$291,'Produktion &amp; forbrug'!$A100,'Resultat-Produktion &amp; forbrug'!$E$4:$E$291,'Produktion &amp; forbrug'!$F100)</f>
        <v>0</v>
      </c>
      <c r="J100" s="94">
        <f>SUMIFS('Resultat-Produktion &amp; forbrug'!J$4:J$291,'Resultat-Produktion &amp; forbrug'!$A$4:$A$291,'Produktion &amp; forbrug'!$A100,'Resultat-Produktion &amp; forbrug'!$E$4:$E$291,'Produktion &amp; forbrug'!$F100)</f>
        <v>0</v>
      </c>
      <c r="K100" s="94">
        <f>SUMIFS('Resultat-Produktion &amp; forbrug'!K$4:K$291,'Resultat-Produktion &amp; forbrug'!$A$4:$A$291,'Produktion &amp; forbrug'!$A100,'Resultat-Produktion &amp; forbrug'!$E$4:$E$291,'Produktion &amp; forbrug'!$F100)</f>
        <v>0</v>
      </c>
      <c r="L100" s="94">
        <f>SUMIFS('Resultat-Produktion &amp; forbrug'!L$4:L$291,'Resultat-Produktion &amp; forbrug'!$A$4:$A$291,'Produktion &amp; forbrug'!$A100,'Resultat-Produktion &amp; forbrug'!$E$4:$E$291,'Produktion &amp; forbrug'!$F100)</f>
        <v>0</v>
      </c>
      <c r="M100" s="94">
        <f>SUMIFS('Resultat-Produktion &amp; forbrug'!M$4:M$291,'Resultat-Produktion &amp; forbrug'!$A$4:$A$291,'Produktion &amp; forbrug'!$A100,'Resultat-Produktion &amp; forbrug'!$E$4:$E$291,'Produktion &amp; forbrug'!$F100)</f>
        <v>0</v>
      </c>
      <c r="N100" s="94">
        <f>SUMIFS('Resultat-Produktion &amp; forbrug'!N$4:N$291,'Resultat-Produktion &amp; forbrug'!$A$4:$A$291,'Produktion &amp; forbrug'!$A100,'Resultat-Produktion &amp; forbrug'!$E$4:$E$291,'Produktion &amp; forbrug'!$F100)</f>
        <v>0</v>
      </c>
      <c r="O100" s="179">
        <f t="shared" si="18"/>
        <v>105544.07197172538</v>
      </c>
      <c r="P100" s="94">
        <f t="shared" si="19"/>
        <v>0</v>
      </c>
      <c r="Q100" s="180">
        <f t="shared" si="20"/>
        <v>0</v>
      </c>
      <c r="R100">
        <f>IFERROR(VLOOKUP(A100,[1]Energiindhold!$A$2:$C$11,3,FALSE),IFERROR(VLOOKUP(A100,[1]Biogasudbytte!$A$2:$B$18,2,FALSE)*[1]Energiindhold!$C$10,0))*P100</f>
        <v>0</v>
      </c>
      <c r="S100">
        <f>IF(A100&lt;&gt;"Biogas",IFERROR(VLOOKUP(A100,[1]Biogasudbytte!$A$2:$B$18,2,FALSE)*[1]Energiindhold!$C$10,0)*K100*IFERROR(VLOOKUP(A100,Biogasanlæg!$F$3:$G$8,2,FALSE),1)+IFERROR(VLOOKUP(A100,[1]Energiindhold!$A$2:$C$11,3,FALSE),0)*M100+IF(F100&lt;&gt;År1,R100,0),0)</f>
        <v>0</v>
      </c>
      <c r="T100">
        <f>IFERROR(VLOOKUP(A100,[1]Biogasudbytte!$A$2:$B$18,2,FALSE)*[1]Energiindhold!$C$10,0)*K100*IFERROR(VLOOKUP(A100,Biogasanlæg!$F$3:$G$8,2,FALSE),1)</f>
        <v>0</v>
      </c>
      <c r="U100" s="170">
        <f t="shared" si="21"/>
        <v>0</v>
      </c>
      <c r="V100" s="169">
        <f>P100*IFERROR(VLOOKUP(A100,[1]Tørstofindhold!A$2:B$24,2,FALSE),0)</f>
        <v>0</v>
      </c>
      <c r="W100">
        <f>IF(F100=År1,Q100,SUM(P100,Q100))*IFERROR(VLOOKUP(A100,[1]Tørstofindhold!A$2:B$24,2,FALSE),0)</f>
        <v>0</v>
      </c>
      <c r="X100">
        <f>K100*IFERROR(VLOOKUP(A100,[1]Tørstofindhold!A$2:B$24,2,FALSE),0)</f>
        <v>0</v>
      </c>
      <c r="Y100" s="170">
        <f t="shared" si="22"/>
        <v>0</v>
      </c>
      <c r="Z100">
        <f t="shared" ref="Z100:Z131" si="26">IF(SUMIFS($O$4:$O$147,$A$4:$A$147,A100,$F$4:$F$147,F100)&lt;0,1,0)</f>
        <v>0</v>
      </c>
      <c r="AA100">
        <f t="shared" ref="AA100:AA131" si="27">IF(SUMIFS($O$4:$O$147,$A$4:$A$147,A100,$F$4:$F$147,F100)&gt;0,1,0)</f>
        <v>1</v>
      </c>
      <c r="AC100" s="94">
        <f t="shared" si="23"/>
        <v>105544.07197172538</v>
      </c>
      <c r="AD100">
        <f>AC100*E100*10000*VLOOKUP(A100,[1]kcal!$A$2:$C$49,3,FALSE)/1000000000000*IFERROR(VLOOKUP(A100,'Kategorisering af kcal'!$A$2:$E$18,MATCH('Produktion &amp; forbrug'!F100,'Kategorisering af kcal'!$A$1:$E$1,0),FALSE),0)</f>
        <v>0.14565081932098101</v>
      </c>
      <c r="AE100">
        <f>IF(C100&lt;&gt;"",AC100*(1-VLOOKUP(A100,'Kategorisering af kcal'!$A$2:$E$18,MATCH('Produktion &amp; forbrug'!F100,'Kategorisering af kcal'!$A$1:$E$1,0),FALSE)),'Produktion &amp; forbrug'!AC100)</f>
        <v>0</v>
      </c>
      <c r="AF100" s="94">
        <f t="shared" si="24"/>
        <v>105544.07197172538</v>
      </c>
    </row>
    <row r="101" spans="1:32" x14ac:dyDescent="0.25">
      <c r="A101" s="171" t="str">
        <f t="shared" si="12"/>
        <v>Bælgsæd</v>
      </c>
      <c r="B101" s="171" t="str">
        <f t="shared" si="13"/>
        <v/>
      </c>
      <c r="C101" s="171" t="str">
        <f>IFERROR(VLOOKUP(A101,'Kategorisering af kcal'!$A$2:$B$18,2,FALSE),"")</f>
        <v>Bælgsæd</v>
      </c>
      <c r="D101" s="171">
        <f>IF(COUNTIFS('Resultater - Danmark'!$D$3:$D$504,'Produktion &amp; forbrug'!A101,'Resultater - Danmark'!$A$3:$A$504,"Til energi")+COUNTIFS('Resultater - Danmark'!$D$3:$D$504,'Produktion &amp; forbrug'!A101,'Resultater - Danmark'!$A$3:$A$504,"Biogasanlæg")&gt;0,1,0)</f>
        <v>0</v>
      </c>
      <c r="E101" s="171">
        <f t="shared" si="15"/>
        <v>1</v>
      </c>
      <c r="F101" s="171">
        <f t="shared" si="25"/>
        <v>2050</v>
      </c>
      <c r="G101" s="94">
        <f>SUMIFS('Resultat-Produktion &amp; forbrug'!G$4:G$291,'Resultat-Produktion &amp; forbrug'!$A$4:$A$291,'Produktion &amp; forbrug'!$A101,'Resultat-Produktion &amp; forbrug'!$E$4:$E$291,'Produktion &amp; forbrug'!$F101)</f>
        <v>891576.46333224361</v>
      </c>
      <c r="H101" s="94">
        <f>SUMIFS('Resultat-Produktion &amp; forbrug'!H$4:H$291,'Resultat-Produktion &amp; forbrug'!$A$4:$A$291,'Produktion &amp; forbrug'!$A101,'Resultat-Produktion &amp; forbrug'!$E$4:$E$291,'Produktion &amp; forbrug'!$F101)</f>
        <v>43284.262732188727</v>
      </c>
      <c r="I101" s="94">
        <f>SUMIFS('Resultat-Produktion &amp; forbrug'!I$4:I$291,'Resultat-Produktion &amp; forbrug'!$A$4:$A$291,'Produktion &amp; forbrug'!$A101,'Resultat-Produktion &amp; forbrug'!$E$4:$E$291,'Produktion &amp; forbrug'!$F101)</f>
        <v>0</v>
      </c>
      <c r="J101" s="94">
        <f>SUMIFS('Resultat-Produktion &amp; forbrug'!J$4:J$291,'Resultat-Produktion &amp; forbrug'!$A$4:$A$291,'Produktion &amp; forbrug'!$A101,'Resultat-Produktion &amp; forbrug'!$E$4:$E$291,'Produktion &amp; forbrug'!$F101)</f>
        <v>0</v>
      </c>
      <c r="K101" s="94">
        <f>SUMIFS('Resultat-Produktion &amp; forbrug'!K$4:K$291,'Resultat-Produktion &amp; forbrug'!$A$4:$A$291,'Produktion &amp; forbrug'!$A101,'Resultat-Produktion &amp; forbrug'!$E$4:$E$291,'Produktion &amp; forbrug'!$F101)</f>
        <v>0</v>
      </c>
      <c r="L101" s="94">
        <f>SUMIFS('Resultat-Produktion &amp; forbrug'!L$4:L$291,'Resultat-Produktion &amp; forbrug'!$A$4:$A$291,'Produktion &amp; forbrug'!$A101,'Resultat-Produktion &amp; forbrug'!$E$4:$E$291,'Produktion &amp; forbrug'!$F101)</f>
        <v>0</v>
      </c>
      <c r="M101" s="94">
        <f>SUMIFS('Resultat-Produktion &amp; forbrug'!M$4:M$291,'Resultat-Produktion &amp; forbrug'!$A$4:$A$291,'Produktion &amp; forbrug'!$A101,'Resultat-Produktion &amp; forbrug'!$E$4:$E$291,'Produktion &amp; forbrug'!$F101)</f>
        <v>0</v>
      </c>
      <c r="N101" s="94">
        <f>SUMIFS('Resultat-Produktion &amp; forbrug'!N$4:N$291,'Resultat-Produktion &amp; forbrug'!$A$4:$A$291,'Produktion &amp; forbrug'!$A101,'Resultat-Produktion &amp; forbrug'!$E$4:$E$291,'Produktion &amp; forbrug'!$F101)</f>
        <v>0</v>
      </c>
      <c r="O101" s="179">
        <f t="shared" si="18"/>
        <v>848292.20060005493</v>
      </c>
      <c r="P101" s="94">
        <f t="shared" si="19"/>
        <v>0</v>
      </c>
      <c r="Q101" s="180">
        <f t="shared" si="20"/>
        <v>0</v>
      </c>
      <c r="R101">
        <f>IFERROR(VLOOKUP(A101,[1]Energiindhold!$A$2:$C$11,3,FALSE),IFERROR(VLOOKUP(A101,[1]Biogasudbytte!$A$2:$B$18,2,FALSE)*[1]Energiindhold!$C$10,0))*P101</f>
        <v>0</v>
      </c>
      <c r="S101">
        <f>IF(A101&lt;&gt;"Biogas",IFERROR(VLOOKUP(A101,[1]Biogasudbytte!$A$2:$B$18,2,FALSE)*[1]Energiindhold!$C$10,0)*K101*IFERROR(VLOOKUP(A101,Biogasanlæg!$F$3:$G$8,2,FALSE),1)+IFERROR(VLOOKUP(A101,[1]Energiindhold!$A$2:$C$11,3,FALSE),0)*M101+IF(F101&lt;&gt;År1,R101,0),0)</f>
        <v>0</v>
      </c>
      <c r="T101">
        <f>IFERROR(VLOOKUP(A101,[1]Biogasudbytte!$A$2:$B$18,2,FALSE)*[1]Energiindhold!$C$10,0)*K101*IFERROR(VLOOKUP(A101,Biogasanlæg!$F$3:$G$8,2,FALSE),1)</f>
        <v>0</v>
      </c>
      <c r="U101" s="170">
        <f t="shared" si="21"/>
        <v>0</v>
      </c>
      <c r="V101" s="169">
        <f>P101*IFERROR(VLOOKUP(A101,[1]Tørstofindhold!A$2:B$24,2,FALSE),0)</f>
        <v>0</v>
      </c>
      <c r="W101">
        <f>IF(F101=År1,Q101,SUM(P101,Q101))*IFERROR(VLOOKUP(A101,[1]Tørstofindhold!A$2:B$24,2,FALSE),0)</f>
        <v>0</v>
      </c>
      <c r="X101">
        <f>K101*IFERROR(VLOOKUP(A101,[1]Tørstofindhold!A$2:B$24,2,FALSE),0)</f>
        <v>0</v>
      </c>
      <c r="Y101" s="170">
        <f t="shared" si="22"/>
        <v>0</v>
      </c>
      <c r="Z101">
        <f t="shared" si="26"/>
        <v>0</v>
      </c>
      <c r="AA101">
        <f t="shared" si="27"/>
        <v>1</v>
      </c>
      <c r="AC101" s="94">
        <f t="shared" si="23"/>
        <v>848292.20060005493</v>
      </c>
      <c r="AD101">
        <f>AC101*E101*10000*VLOOKUP(A101,[1]kcal!$A$2:$C$49,3,FALSE)/1000000000000*IFERROR(VLOOKUP(A101,'Kategorisering af kcal'!$A$2:$E$18,MATCH('Produktion &amp; forbrug'!F101,'Kategorisering af kcal'!$A$1:$E$1,0),FALSE),0)</f>
        <v>5.8913893331673819</v>
      </c>
      <c r="AE101">
        <f>IF(C101&lt;&gt;"",AC101*(1-VLOOKUP(A101,'Kategorisering af kcal'!$A$2:$E$18,MATCH('Produktion &amp; forbrug'!F101,'Kategorisering af kcal'!$A$1:$E$1,0),FALSE)),'Produktion &amp; forbrug'!AC101)</f>
        <v>0</v>
      </c>
      <c r="AF101" s="94">
        <f t="shared" si="24"/>
        <v>848292.20060005493</v>
      </c>
    </row>
    <row r="102" spans="1:32" x14ac:dyDescent="0.25">
      <c r="A102" s="171" t="str">
        <f t="shared" si="12"/>
        <v>Bioaffald</v>
      </c>
      <c r="B102" s="171" t="str">
        <f t="shared" si="13"/>
        <v>Bionedbrydeligt affald</v>
      </c>
      <c r="C102" s="171" t="str">
        <f>IFERROR(VLOOKUP(A102,'Kategorisering af kcal'!$A$2:$B$18,2,FALSE),"")</f>
        <v/>
      </c>
      <c r="D102" s="171">
        <f>IF(COUNTIFS('Resultater - Danmark'!$D$3:$D$504,'Produktion &amp; forbrug'!A102,'Resultater - Danmark'!$A$3:$A$504,"Til energi")+COUNTIFS('Resultater - Danmark'!$D$3:$D$504,'Produktion &amp; forbrug'!A102,'Resultater - Danmark'!$A$3:$A$504,"Biogasanlæg")&gt;0,1,0)</f>
        <v>1</v>
      </c>
      <c r="E102" s="171">
        <f t="shared" si="15"/>
        <v>0</v>
      </c>
      <c r="F102" s="171">
        <f t="shared" si="25"/>
        <v>2050</v>
      </c>
      <c r="G102" s="94">
        <f ca="1">SUMIFS('Resultat-Produktion &amp; forbrug'!G$4:G$291,'Resultat-Produktion &amp; forbrug'!$A$4:$A$291,'Produktion &amp; forbrug'!$A102,'Resultat-Produktion &amp; forbrug'!$E$4:$E$291,'Produktion &amp; forbrug'!$F102)</f>
        <v>369776.8151095995</v>
      </c>
      <c r="H102" s="94">
        <f>SUMIFS('Resultat-Produktion &amp; forbrug'!H$4:H$291,'Resultat-Produktion &amp; forbrug'!$A$4:$A$291,'Produktion &amp; forbrug'!$A102,'Resultat-Produktion &amp; forbrug'!$E$4:$E$291,'Produktion &amp; forbrug'!$F102)</f>
        <v>0</v>
      </c>
      <c r="I102" s="94">
        <f>SUMIFS('Resultat-Produktion &amp; forbrug'!I$4:I$291,'Resultat-Produktion &amp; forbrug'!$A$4:$A$291,'Produktion &amp; forbrug'!$A102,'Resultat-Produktion &amp; forbrug'!$E$4:$E$291,'Produktion &amp; forbrug'!$F102)</f>
        <v>0</v>
      </c>
      <c r="J102" s="94">
        <f>SUMIFS('Resultat-Produktion &amp; forbrug'!J$4:J$291,'Resultat-Produktion &amp; forbrug'!$A$4:$A$291,'Produktion &amp; forbrug'!$A102,'Resultat-Produktion &amp; forbrug'!$E$4:$E$291,'Produktion &amp; forbrug'!$F102)</f>
        <v>0</v>
      </c>
      <c r="K102" s="94">
        <f ca="1">SUMIFS('Resultat-Produktion &amp; forbrug'!K$4:K$291,'Resultat-Produktion &amp; forbrug'!$A$4:$A$291,'Produktion &amp; forbrug'!$A102,'Resultat-Produktion &amp; forbrug'!$E$4:$E$291,'Produktion &amp; forbrug'!$F102)</f>
        <v>0</v>
      </c>
      <c r="L102" s="94">
        <f>SUMIFS('Resultat-Produktion &amp; forbrug'!L$4:L$291,'Resultat-Produktion &amp; forbrug'!$A$4:$A$291,'Produktion &amp; forbrug'!$A102,'Resultat-Produktion &amp; forbrug'!$E$4:$E$291,'Produktion &amp; forbrug'!$F102)</f>
        <v>0</v>
      </c>
      <c r="M102" s="94">
        <f ca="1">SUMIFS('Resultat-Produktion &amp; forbrug'!M$4:M$291,'Resultat-Produktion &amp; forbrug'!$A$4:$A$291,'Produktion &amp; forbrug'!$A102,'Resultat-Produktion &amp; forbrug'!$E$4:$E$291,'Produktion &amp; forbrug'!$F102)</f>
        <v>369776.8151095995</v>
      </c>
      <c r="N102" s="94">
        <f ca="1">SUMIFS('Resultat-Produktion &amp; forbrug'!N$4:N$291,'Resultat-Produktion &amp; forbrug'!$A$4:$A$291,'Produktion &amp; forbrug'!$A102,'Resultat-Produktion &amp; forbrug'!$E$4:$E$291,'Produktion &amp; forbrug'!$F102)</f>
        <v>0</v>
      </c>
      <c r="O102" s="179">
        <f t="shared" ca="1" si="18"/>
        <v>0</v>
      </c>
      <c r="P102" s="94">
        <f t="shared" ca="1" si="19"/>
        <v>0</v>
      </c>
      <c r="Q102" s="180">
        <f t="shared" ca="1" si="20"/>
        <v>369776.8151095995</v>
      </c>
      <c r="R102">
        <f ca="1">IFERROR(VLOOKUP(A102,[1]Energiindhold!$A$2:$C$11,3,FALSE),IFERROR(VLOOKUP(A102,[1]Biogasudbytte!$A$2:$B$18,2,FALSE)*[1]Energiindhold!$C$10,0))*P102</f>
        <v>0</v>
      </c>
      <c r="S102">
        <f ca="1">IF(A102&lt;&gt;"Biogas",IFERROR(VLOOKUP(A102,[1]Biogasudbytte!$A$2:$B$18,2,FALSE)*[1]Energiindhold!$C$10,0)*K102*IFERROR(VLOOKUP(A102,Biogasanlæg!$F$3:$G$8,2,FALSE),1)+IFERROR(VLOOKUP(A102,[1]Energiindhold!$A$2:$C$11,3,FALSE),0)*M102+IF(F102&lt;&gt;År1,R102,0),0)</f>
        <v>6.6013372467689999</v>
      </c>
      <c r="T102">
        <f ca="1">IFERROR(VLOOKUP(A102,[1]Biogasudbytte!$A$2:$B$18,2,FALSE)*[1]Energiindhold!$C$10,0)*K102*IFERROR(VLOOKUP(A102,Biogasanlæg!$F$3:$G$8,2,FALSE),1)</f>
        <v>0</v>
      </c>
      <c r="U102" s="170">
        <f t="shared" ca="1" si="21"/>
        <v>6.6013372467689999</v>
      </c>
      <c r="V102" s="169">
        <f ca="1">P102*IFERROR(VLOOKUP(A102,[1]Tørstofindhold!A$2:B$24,2,FALSE),0)</f>
        <v>0</v>
      </c>
      <c r="W102">
        <f ca="1">IF(F102=År1,Q102,SUM(P102,Q102))*IFERROR(VLOOKUP(A102,[1]Tørstofindhold!A$2:B$24,2,FALSE),0)</f>
        <v>103537.50823068788</v>
      </c>
      <c r="X102">
        <f ca="1">K102*IFERROR(VLOOKUP(A102,[1]Tørstofindhold!A$2:B$24,2,FALSE),0)</f>
        <v>0</v>
      </c>
      <c r="Y102" s="170">
        <f t="shared" ca="1" si="22"/>
        <v>103537.50823068788</v>
      </c>
      <c r="Z102">
        <f t="shared" ca="1" si="26"/>
        <v>0</v>
      </c>
      <c r="AA102">
        <f t="shared" ca="1" si="27"/>
        <v>0</v>
      </c>
      <c r="AC102" s="94">
        <f t="shared" ca="1" si="23"/>
        <v>369776.8151095995</v>
      </c>
      <c r="AD102">
        <f ca="1">AC102*E102*10000*VLOOKUP(A102,[1]kcal!$A$2:$C$49,3,FALSE)/1000000000000*IFERROR(VLOOKUP(A102,'Kategorisering af kcal'!$A$2:$E$18,MATCH('Produktion &amp; forbrug'!F102,'Kategorisering af kcal'!$A$1:$E$1,0),FALSE),0)</f>
        <v>0</v>
      </c>
      <c r="AE102">
        <f ca="1">IF(C102&lt;&gt;"",AC102*(1-VLOOKUP(A102,'Kategorisering af kcal'!$A$2:$E$18,MATCH('Produktion &amp; forbrug'!F102,'Kategorisering af kcal'!$A$1:$E$1,0),FALSE)),'Produktion &amp; forbrug'!AC102)</f>
        <v>369776.8151095995</v>
      </c>
      <c r="AF102" s="94">
        <f t="shared" ca="1" si="24"/>
        <v>0</v>
      </c>
    </row>
    <row r="103" spans="1:32" x14ac:dyDescent="0.25">
      <c r="A103" s="171" t="str">
        <f t="shared" si="12"/>
        <v>Biogas</v>
      </c>
      <c r="B103" s="171" t="str">
        <f t="shared" si="13"/>
        <v/>
      </c>
      <c r="C103" s="171" t="str">
        <f>IFERROR(VLOOKUP(A103,'Kategorisering af kcal'!$A$2:$B$18,2,FALSE),"")</f>
        <v/>
      </c>
      <c r="D103" s="171">
        <f>IF(COUNTIFS('Resultater - Danmark'!$D$3:$D$504,'Produktion &amp; forbrug'!A103,'Resultater - Danmark'!$A$3:$A$504,"Til energi")+COUNTIFS('Resultater - Danmark'!$D$3:$D$504,'Produktion &amp; forbrug'!A103,'Resultater - Danmark'!$A$3:$A$504,"Biogasanlæg")&gt;0,1,0)</f>
        <v>1</v>
      </c>
      <c r="E103" s="171">
        <f t="shared" si="15"/>
        <v>0</v>
      </c>
      <c r="F103" s="171">
        <f t="shared" si="25"/>
        <v>2050</v>
      </c>
      <c r="G103" s="94">
        <f ca="1">SUMIFS('Resultat-Produktion &amp; forbrug'!G$4:G$291,'Resultat-Produktion &amp; forbrug'!$A$4:$A$291,'Produktion &amp; forbrug'!$A103,'Resultat-Produktion &amp; forbrug'!$E$4:$E$291,'Produktion &amp; forbrug'!$F103)</f>
        <v>487895767.34052682</v>
      </c>
      <c r="H103" s="94">
        <f>SUMIFS('Resultat-Produktion &amp; forbrug'!H$4:H$291,'Resultat-Produktion &amp; forbrug'!$A$4:$A$291,'Produktion &amp; forbrug'!$A103,'Resultat-Produktion &amp; forbrug'!$E$4:$E$291,'Produktion &amp; forbrug'!$F103)</f>
        <v>0</v>
      </c>
      <c r="I103" s="94">
        <f>SUMIFS('Resultat-Produktion &amp; forbrug'!I$4:I$291,'Resultat-Produktion &amp; forbrug'!$A$4:$A$291,'Produktion &amp; forbrug'!$A103,'Resultat-Produktion &amp; forbrug'!$E$4:$E$291,'Produktion &amp; forbrug'!$F103)</f>
        <v>0</v>
      </c>
      <c r="J103" s="94">
        <f>SUMIFS('Resultat-Produktion &amp; forbrug'!J$4:J$291,'Resultat-Produktion &amp; forbrug'!$A$4:$A$291,'Produktion &amp; forbrug'!$A103,'Resultat-Produktion &amp; forbrug'!$E$4:$E$291,'Produktion &amp; forbrug'!$F103)</f>
        <v>0</v>
      </c>
      <c r="K103" s="94">
        <f>SUMIFS('Resultat-Produktion &amp; forbrug'!K$4:K$291,'Resultat-Produktion &amp; forbrug'!$A$4:$A$291,'Produktion &amp; forbrug'!$A103,'Resultat-Produktion &amp; forbrug'!$E$4:$E$291,'Produktion &amp; forbrug'!$F103)</f>
        <v>0</v>
      </c>
      <c r="L103" s="94">
        <f>SUMIFS('Resultat-Produktion &amp; forbrug'!L$4:L$291,'Resultat-Produktion &amp; forbrug'!$A$4:$A$291,'Produktion &amp; forbrug'!$A103,'Resultat-Produktion &amp; forbrug'!$E$4:$E$291,'Produktion &amp; forbrug'!$F103)</f>
        <v>0</v>
      </c>
      <c r="M103" s="94">
        <f ca="1">SUMIFS('Resultat-Produktion &amp; forbrug'!M$4:M$291,'Resultat-Produktion &amp; forbrug'!$A$4:$A$291,'Produktion &amp; forbrug'!$A103,'Resultat-Produktion &amp; forbrug'!$E$4:$E$291,'Produktion &amp; forbrug'!$F103)</f>
        <v>487895767.34052682</v>
      </c>
      <c r="N103" s="94">
        <f>SUMIFS('Resultat-Produktion &amp; forbrug'!N$4:N$291,'Resultat-Produktion &amp; forbrug'!$A$4:$A$291,'Produktion &amp; forbrug'!$A103,'Resultat-Produktion &amp; forbrug'!$E$4:$E$291,'Produktion &amp; forbrug'!$F103)</f>
        <v>0</v>
      </c>
      <c r="O103" s="179">
        <f t="shared" ca="1" si="18"/>
        <v>0</v>
      </c>
      <c r="P103" s="94">
        <f t="shared" ca="1" si="19"/>
        <v>0</v>
      </c>
      <c r="Q103" s="180">
        <f t="shared" ca="1" si="20"/>
        <v>487895767.34052682</v>
      </c>
      <c r="R103">
        <f ca="1">IFERROR(VLOOKUP(A103,[1]Energiindhold!$A$2:$C$11,3,FALSE),IFERROR(VLOOKUP(A103,[1]Biogasudbytte!$A$2:$B$18,2,FALSE)*[1]Energiindhold!$C$10,0))*P103</f>
        <v>0</v>
      </c>
      <c r="S103">
        <f>IF(A103&lt;&gt;"Biogas",IFERROR(VLOOKUP(A103,[1]Biogasudbytte!$A$2:$B$18,2,FALSE)*[1]Energiindhold!$C$10,0)*K103*IFERROR(VLOOKUP(A103,Biogasanlæg!$F$3:$G$8,2,FALSE),1)+IFERROR(VLOOKUP(A103,[1]Energiindhold!$A$2:$C$11,3,FALSE),0)*M103+IF(F103&lt;&gt;År1,R103,0),0)</f>
        <v>0</v>
      </c>
      <c r="T103">
        <f>IFERROR(VLOOKUP(A103,[1]Biogasudbytte!$A$2:$B$18,2,FALSE)*[1]Energiindhold!$C$10,0)*K103*IFERROR(VLOOKUP(A103,Biogasanlæg!$F$3:$G$8,2,FALSE),1)</f>
        <v>0</v>
      </c>
      <c r="U103" s="170">
        <f t="shared" si="21"/>
        <v>0</v>
      </c>
      <c r="V103" s="169">
        <f ca="1">P103*IFERROR(VLOOKUP(A103,[1]Tørstofindhold!A$2:B$24,2,FALSE),0)</f>
        <v>0</v>
      </c>
      <c r="W103">
        <f ca="1">IF(F103=År1,Q103,SUM(P103,Q103))*IFERROR(VLOOKUP(A103,[1]Tørstofindhold!A$2:B$24,2,FALSE),0)</f>
        <v>0</v>
      </c>
      <c r="X103">
        <f>K103*IFERROR(VLOOKUP(A103,[1]Tørstofindhold!A$2:B$24,2,FALSE),0)</f>
        <v>0</v>
      </c>
      <c r="Y103" s="170">
        <f t="shared" ca="1" si="22"/>
        <v>0</v>
      </c>
      <c r="Z103">
        <f t="shared" ca="1" si="26"/>
        <v>0</v>
      </c>
      <c r="AA103">
        <f t="shared" ca="1" si="27"/>
        <v>0</v>
      </c>
      <c r="AC103" s="94">
        <f t="shared" ca="1" si="23"/>
        <v>487895767.34052682</v>
      </c>
      <c r="AD103">
        <f ca="1">AC103*E103*10000*VLOOKUP(A103,[1]kcal!$A$2:$C$49,3,FALSE)/1000000000000*IFERROR(VLOOKUP(A103,'Kategorisering af kcal'!$A$2:$E$18,MATCH('Produktion &amp; forbrug'!F103,'Kategorisering af kcal'!$A$1:$E$1,0),FALSE),0)</f>
        <v>0</v>
      </c>
      <c r="AE103">
        <f ca="1">IF(C103&lt;&gt;"",AC103*(1-VLOOKUP(A103,'Kategorisering af kcal'!$A$2:$E$18,MATCH('Produktion &amp; forbrug'!F103,'Kategorisering af kcal'!$A$1:$E$1,0),FALSE)),'Produktion &amp; forbrug'!AC103)</f>
        <v>487895767.34052682</v>
      </c>
      <c r="AF103" s="94">
        <f t="shared" ca="1" si="24"/>
        <v>0</v>
      </c>
    </row>
    <row r="104" spans="1:32" x14ac:dyDescent="0.25">
      <c r="A104" s="171" t="str">
        <f t="shared" si="12"/>
        <v>Biogasgylle</v>
      </c>
      <c r="B104" s="171" t="str">
        <f t="shared" si="13"/>
        <v/>
      </c>
      <c r="C104" s="171" t="str">
        <f>IFERROR(VLOOKUP(A104,'Kategorisering af kcal'!$A$2:$B$18,2,FALSE),"")</f>
        <v/>
      </c>
      <c r="D104" s="171">
        <f>IF(COUNTIFS('Resultater - Danmark'!$D$3:$D$504,'Produktion &amp; forbrug'!A104,'Resultater - Danmark'!$A$3:$A$504,"Til energi")+COUNTIFS('Resultater - Danmark'!$D$3:$D$504,'Produktion &amp; forbrug'!A104,'Resultater - Danmark'!$A$3:$A$504,"Biogasanlæg")&gt;0,1,0)</f>
        <v>0</v>
      </c>
      <c r="E104" s="171">
        <f t="shared" si="15"/>
        <v>0</v>
      </c>
      <c r="F104" s="171">
        <f t="shared" si="25"/>
        <v>2050</v>
      </c>
      <c r="G104" s="94">
        <f ca="1">SUMIFS('Resultat-Produktion &amp; forbrug'!G$4:G$291,'Resultat-Produktion &amp; forbrug'!$A$4:$A$291,'Produktion &amp; forbrug'!$A104,'Resultat-Produktion &amp; forbrug'!$E$4:$E$291,'Produktion &amp; forbrug'!$F104)</f>
        <v>16886064.477759119</v>
      </c>
      <c r="H104" s="94">
        <f>SUMIFS('Resultat-Produktion &amp; forbrug'!H$4:H$291,'Resultat-Produktion &amp; forbrug'!$A$4:$A$291,'Produktion &amp; forbrug'!$A104,'Resultat-Produktion &amp; forbrug'!$E$4:$E$291,'Produktion &amp; forbrug'!$F104)</f>
        <v>0</v>
      </c>
      <c r="I104" s="94">
        <f>SUMIFS('Resultat-Produktion &amp; forbrug'!I$4:I$291,'Resultat-Produktion &amp; forbrug'!$A$4:$A$291,'Produktion &amp; forbrug'!$A104,'Resultat-Produktion &amp; forbrug'!$E$4:$E$291,'Produktion &amp; forbrug'!$F104)</f>
        <v>0</v>
      </c>
      <c r="J104" s="94">
        <f>SUMIFS('Resultat-Produktion &amp; forbrug'!J$4:J$291,'Resultat-Produktion &amp; forbrug'!$A$4:$A$291,'Produktion &amp; forbrug'!$A104,'Resultat-Produktion &amp; forbrug'!$E$4:$E$291,'Produktion &amp; forbrug'!$F104)</f>
        <v>0</v>
      </c>
      <c r="K104" s="94">
        <f>SUMIFS('Resultat-Produktion &amp; forbrug'!K$4:K$291,'Resultat-Produktion &amp; forbrug'!$A$4:$A$291,'Produktion &amp; forbrug'!$A104,'Resultat-Produktion &amp; forbrug'!$E$4:$E$291,'Produktion &amp; forbrug'!$F104)</f>
        <v>0</v>
      </c>
      <c r="L104" s="94">
        <f ca="1">SUMIFS('Resultat-Produktion &amp; forbrug'!L$4:L$291,'Resultat-Produktion &amp; forbrug'!$A$4:$A$291,'Produktion &amp; forbrug'!$A104,'Resultat-Produktion &amp; forbrug'!$E$4:$E$291,'Produktion &amp; forbrug'!$F104)</f>
        <v>462125.73369646654</v>
      </c>
      <c r="M104" s="94">
        <f>SUMIFS('Resultat-Produktion &amp; forbrug'!M$4:M$291,'Resultat-Produktion &amp; forbrug'!$A$4:$A$291,'Produktion &amp; forbrug'!$A104,'Resultat-Produktion &amp; forbrug'!$E$4:$E$291,'Produktion &amp; forbrug'!$F104)</f>
        <v>0</v>
      </c>
      <c r="N104" s="94">
        <f>SUMIFS('Resultat-Produktion &amp; forbrug'!N$4:N$291,'Resultat-Produktion &amp; forbrug'!$A$4:$A$291,'Produktion &amp; forbrug'!$A104,'Resultat-Produktion &amp; forbrug'!$E$4:$E$291,'Produktion &amp; forbrug'!$F104)</f>
        <v>0</v>
      </c>
      <c r="O104" s="179">
        <f t="shared" ca="1" si="18"/>
        <v>16423938.744062653</v>
      </c>
      <c r="P104" s="94">
        <f t="shared" si="19"/>
        <v>0</v>
      </c>
      <c r="Q104" s="180">
        <f t="shared" si="20"/>
        <v>0</v>
      </c>
      <c r="R104">
        <f>IFERROR(VLOOKUP(A104,[1]Energiindhold!$A$2:$C$11,3,FALSE),IFERROR(VLOOKUP(A104,[1]Biogasudbytte!$A$2:$B$18,2,FALSE)*[1]Energiindhold!$C$10,0))*P104</f>
        <v>0</v>
      </c>
      <c r="S104">
        <f>IF(A104&lt;&gt;"Biogas",IFERROR(VLOOKUP(A104,[1]Biogasudbytte!$A$2:$B$18,2,FALSE)*[1]Energiindhold!$C$10,0)*K104*IFERROR(VLOOKUP(A104,Biogasanlæg!$F$3:$G$8,2,FALSE),1)+IFERROR(VLOOKUP(A104,[1]Energiindhold!$A$2:$C$11,3,FALSE),0)*M104+IF(F104&lt;&gt;År1,R104,0),0)</f>
        <v>0</v>
      </c>
      <c r="T104">
        <f>IFERROR(VLOOKUP(A104,[1]Biogasudbytte!$A$2:$B$18,2,FALSE)*[1]Energiindhold!$C$10,0)*K104*IFERROR(VLOOKUP(A104,Biogasanlæg!$F$3:$G$8,2,FALSE),1)</f>
        <v>0</v>
      </c>
      <c r="U104" s="170">
        <f t="shared" si="21"/>
        <v>0</v>
      </c>
      <c r="V104" s="169">
        <f>P104*IFERROR(VLOOKUP(A104,[1]Tørstofindhold!A$2:B$24,2,FALSE),0)</f>
        <v>0</v>
      </c>
      <c r="W104">
        <f>IF(F104=År1,Q104,SUM(P104,Q104))*IFERROR(VLOOKUP(A104,[1]Tørstofindhold!A$2:B$24,2,FALSE),0)</f>
        <v>0</v>
      </c>
      <c r="X104">
        <f>K104*IFERROR(VLOOKUP(A104,[1]Tørstofindhold!A$2:B$24,2,FALSE),0)</f>
        <v>0</v>
      </c>
      <c r="Y104" s="170">
        <f t="shared" si="22"/>
        <v>0</v>
      </c>
      <c r="Z104">
        <f t="shared" ca="1" si="26"/>
        <v>0</v>
      </c>
      <c r="AA104">
        <f t="shared" ca="1" si="27"/>
        <v>1</v>
      </c>
      <c r="AC104" s="94">
        <f t="shared" ca="1" si="23"/>
        <v>16423938.744062653</v>
      </c>
      <c r="AD104">
        <f ca="1">AC104*E104*10000*VLOOKUP(A104,[1]kcal!$A$2:$C$49,3,FALSE)/1000000000000*IFERROR(VLOOKUP(A104,'Kategorisering af kcal'!$A$2:$E$18,MATCH('Produktion &amp; forbrug'!F104,'Kategorisering af kcal'!$A$1:$E$1,0),FALSE),0)</f>
        <v>0</v>
      </c>
      <c r="AE104">
        <f ca="1">IF(C104&lt;&gt;"",AC104*(1-VLOOKUP(A104,'Kategorisering af kcal'!$A$2:$E$18,MATCH('Produktion &amp; forbrug'!F104,'Kategorisering af kcal'!$A$1:$E$1,0),FALSE)),'Produktion &amp; forbrug'!AC104)</f>
        <v>16423938.744062653</v>
      </c>
      <c r="AF104" s="94">
        <f t="shared" ca="1" si="24"/>
        <v>0</v>
      </c>
    </row>
    <row r="105" spans="1:32" x14ac:dyDescent="0.25">
      <c r="A105" s="171" t="str">
        <f t="shared" si="12"/>
        <v>Brun saft</v>
      </c>
      <c r="B105" s="171" t="str">
        <f t="shared" si="13"/>
        <v>Bionedbrydeligt affald</v>
      </c>
      <c r="C105" s="171" t="str">
        <f>IFERROR(VLOOKUP(A105,'Kategorisering af kcal'!$A$2:$B$18,2,FALSE),"")</f>
        <v/>
      </c>
      <c r="D105" s="171">
        <f>IF(COUNTIFS('Resultater - Danmark'!$D$3:$D$504,'Produktion &amp; forbrug'!A105,'Resultater - Danmark'!$A$3:$A$504,"Til energi")+COUNTIFS('Resultater - Danmark'!$D$3:$D$504,'Produktion &amp; forbrug'!A105,'Resultater - Danmark'!$A$3:$A$504,"Biogasanlæg")&gt;0,1,0)</f>
        <v>1</v>
      </c>
      <c r="E105" s="171">
        <f t="shared" si="15"/>
        <v>0</v>
      </c>
      <c r="F105" s="171">
        <f t="shared" si="25"/>
        <v>2050</v>
      </c>
      <c r="G105" s="94">
        <f>SUMIFS('Resultat-Produktion &amp; forbrug'!G$4:G$291,'Resultat-Produktion &amp; forbrug'!$A$4:$A$291,'Produktion &amp; forbrug'!$A105,'Resultat-Produktion &amp; forbrug'!$E$4:$E$291,'Produktion &amp; forbrug'!$F105)</f>
        <v>12059947.820016803</v>
      </c>
      <c r="H105" s="94">
        <f>SUMIFS('Resultat-Produktion &amp; forbrug'!H$4:H$291,'Resultat-Produktion &amp; forbrug'!$A$4:$A$291,'Produktion &amp; forbrug'!$A105,'Resultat-Produktion &amp; forbrug'!$E$4:$E$291,'Produktion &amp; forbrug'!$F105)</f>
        <v>0</v>
      </c>
      <c r="I105" s="94">
        <f>SUMIFS('Resultat-Produktion &amp; forbrug'!I$4:I$291,'Resultat-Produktion &amp; forbrug'!$A$4:$A$291,'Produktion &amp; forbrug'!$A105,'Resultat-Produktion &amp; forbrug'!$E$4:$E$291,'Produktion &amp; forbrug'!$F105)</f>
        <v>0</v>
      </c>
      <c r="J105" s="94">
        <f>SUMIFS('Resultat-Produktion &amp; forbrug'!J$4:J$291,'Resultat-Produktion &amp; forbrug'!$A$4:$A$291,'Produktion &amp; forbrug'!$A105,'Resultat-Produktion &amp; forbrug'!$E$4:$E$291,'Produktion &amp; forbrug'!$F105)</f>
        <v>0</v>
      </c>
      <c r="K105" s="94">
        <f>SUMIFS('Resultat-Produktion &amp; forbrug'!K$4:K$291,'Resultat-Produktion &amp; forbrug'!$A$4:$A$291,'Produktion &amp; forbrug'!$A105,'Resultat-Produktion &amp; forbrug'!$E$4:$E$291,'Produktion &amp; forbrug'!$F105)</f>
        <v>10853953.038015123</v>
      </c>
      <c r="L105" s="94">
        <f>SUMIFS('Resultat-Produktion &amp; forbrug'!L$4:L$291,'Resultat-Produktion &amp; forbrug'!$A$4:$A$291,'Produktion &amp; forbrug'!$A105,'Resultat-Produktion &amp; forbrug'!$E$4:$E$291,'Produktion &amp; forbrug'!$F105)</f>
        <v>0</v>
      </c>
      <c r="M105" s="94">
        <f>SUMIFS('Resultat-Produktion &amp; forbrug'!M$4:M$291,'Resultat-Produktion &amp; forbrug'!$A$4:$A$291,'Produktion &amp; forbrug'!$A105,'Resultat-Produktion &amp; forbrug'!$E$4:$E$291,'Produktion &amp; forbrug'!$F105)</f>
        <v>0</v>
      </c>
      <c r="N105" s="94">
        <f>SUMIFS('Resultat-Produktion &amp; forbrug'!N$4:N$291,'Resultat-Produktion &amp; forbrug'!$A$4:$A$291,'Produktion &amp; forbrug'!$A105,'Resultat-Produktion &amp; forbrug'!$E$4:$E$291,'Produktion &amp; forbrug'!$F105)</f>
        <v>0</v>
      </c>
      <c r="O105" s="179">
        <f t="shared" si="18"/>
        <v>1205994.7820016798</v>
      </c>
      <c r="P105" s="94">
        <f t="shared" si="19"/>
        <v>1205994.7820016798</v>
      </c>
      <c r="Q105" s="180">
        <f t="shared" si="20"/>
        <v>10853953.038015123</v>
      </c>
      <c r="R105">
        <f>IFERROR(VLOOKUP(A105,[1]Energiindhold!$A$2:$C$11,3,FALSE),IFERROR(VLOOKUP(A105,[1]Biogasudbytte!$A$2:$B$18,2,FALSE)*[1]Energiindhold!$C$10,0))*P105</f>
        <v>0.68503648482954638</v>
      </c>
      <c r="S105">
        <f>IF(A105&lt;&gt;"Biogas",IFERROR(VLOOKUP(A105,[1]Biogasudbytte!$A$2:$B$18,2,FALSE)*[1]Energiindhold!$C$10,0)*K105*IFERROR(VLOOKUP(A105,Biogasanlæg!$F$3:$G$8,2,FALSE),1)+IFERROR(VLOOKUP(A105,[1]Energiindhold!$A$2:$C$11,3,FALSE),0)*M105+IF(F105&lt;&gt;År1,R105,0),0)</f>
        <v>6.8503648482954667</v>
      </c>
      <c r="T105">
        <f>IFERROR(VLOOKUP(A105,[1]Biogasudbytte!$A$2:$B$18,2,FALSE)*[1]Energiindhold!$C$10,0)*K105*IFERROR(VLOOKUP(A105,Biogasanlæg!$F$3:$G$8,2,FALSE),1)</f>
        <v>6.1653283634659202</v>
      </c>
      <c r="U105" s="170">
        <f t="shared" si="21"/>
        <v>0.68503648482954649</v>
      </c>
      <c r="V105" s="169">
        <f>P105*IFERROR(VLOOKUP(A105,[1]Tørstofindhold!A$2:B$24,2,FALSE),0)</f>
        <v>51572.422256233251</v>
      </c>
      <c r="W105">
        <f>IF(F105=År1,Q105,SUM(P105,Q105))*IFERROR(VLOOKUP(A105,[1]Tørstofindhold!A$2:B$24,2,FALSE),0)</f>
        <v>515724.22256233275</v>
      </c>
      <c r="X105">
        <f>K105*IFERROR(VLOOKUP(A105,[1]Tørstofindhold!A$2:B$24,2,FALSE),0)</f>
        <v>464151.80030609947</v>
      </c>
      <c r="Y105" s="170">
        <f t="shared" si="22"/>
        <v>51572.422256233287</v>
      </c>
      <c r="Z105">
        <f t="shared" si="26"/>
        <v>0</v>
      </c>
      <c r="AA105">
        <f t="shared" si="27"/>
        <v>1</v>
      </c>
      <c r="AC105" s="94">
        <f t="shared" si="23"/>
        <v>1205994.7820016798</v>
      </c>
      <c r="AD105">
        <f>AC105*E105*10000*VLOOKUP(A105,[1]kcal!$A$2:$C$49,3,FALSE)/1000000000000*IFERROR(VLOOKUP(A105,'Kategorisering af kcal'!$A$2:$E$18,MATCH('Produktion &amp; forbrug'!F105,'Kategorisering af kcal'!$A$1:$E$1,0),FALSE),0)</f>
        <v>0</v>
      </c>
      <c r="AE105">
        <f>IF(C105&lt;&gt;"",AC105*(1-VLOOKUP(A105,'Kategorisering af kcal'!$A$2:$E$18,MATCH('Produktion &amp; forbrug'!F105,'Kategorisering af kcal'!$A$1:$E$1,0),FALSE)),'Produktion &amp; forbrug'!AC105)</f>
        <v>1205994.7820016798</v>
      </c>
      <c r="AF105" s="94">
        <f t="shared" si="24"/>
        <v>0</v>
      </c>
    </row>
    <row r="106" spans="1:32" x14ac:dyDescent="0.25">
      <c r="A106" s="171" t="str">
        <f t="shared" si="12"/>
        <v>Dybstrøelse</v>
      </c>
      <c r="B106" s="171" t="str">
        <f t="shared" si="13"/>
        <v>Husdyrgødning</v>
      </c>
      <c r="C106" s="171" t="str">
        <f>IFERROR(VLOOKUP(A106,'Kategorisering af kcal'!$A$2:$B$18,2,FALSE),"")</f>
        <v/>
      </c>
      <c r="D106" s="171">
        <f>IF(COUNTIFS('Resultater - Danmark'!$D$3:$D$504,'Produktion &amp; forbrug'!A106,'Resultater - Danmark'!$A$3:$A$504,"Til energi")+COUNTIFS('Resultater - Danmark'!$D$3:$D$504,'Produktion &amp; forbrug'!A106,'Resultater - Danmark'!$A$3:$A$504,"Biogasanlæg")&gt;0,1,0)</f>
        <v>1</v>
      </c>
      <c r="E106" s="171">
        <f t="shared" si="15"/>
        <v>0</v>
      </c>
      <c r="F106" s="171">
        <f t="shared" si="25"/>
        <v>2050</v>
      </c>
      <c r="G106" s="94">
        <f>SUMIFS('Resultat-Produktion &amp; forbrug'!G$4:G$291,'Resultat-Produktion &amp; forbrug'!$A$4:$A$291,'Produktion &amp; forbrug'!$A106,'Resultat-Produktion &amp; forbrug'!$E$4:$E$291,'Produktion &amp; forbrug'!$F106)</f>
        <v>5102592.966132828</v>
      </c>
      <c r="H106" s="94">
        <f>SUMIFS('Resultat-Produktion &amp; forbrug'!H$4:H$291,'Resultat-Produktion &amp; forbrug'!$A$4:$A$291,'Produktion &amp; forbrug'!$A106,'Resultat-Produktion &amp; forbrug'!$E$4:$E$291,'Produktion &amp; forbrug'!$F106)</f>
        <v>0</v>
      </c>
      <c r="I106" s="94">
        <f>SUMIFS('Resultat-Produktion &amp; forbrug'!I$4:I$291,'Resultat-Produktion &amp; forbrug'!$A$4:$A$291,'Produktion &amp; forbrug'!$A106,'Resultat-Produktion &amp; forbrug'!$E$4:$E$291,'Produktion &amp; forbrug'!$F106)</f>
        <v>0</v>
      </c>
      <c r="J106" s="94">
        <f>SUMIFS('Resultat-Produktion &amp; forbrug'!J$4:J$291,'Resultat-Produktion &amp; forbrug'!$A$4:$A$291,'Produktion &amp; forbrug'!$A106,'Resultat-Produktion &amp; forbrug'!$E$4:$E$291,'Produktion &amp; forbrug'!$F106)</f>
        <v>0</v>
      </c>
      <c r="K106" s="94">
        <f>SUMIFS('Resultat-Produktion &amp; forbrug'!K$4:K$291,'Resultat-Produktion &amp; forbrug'!$A$4:$A$291,'Produktion &amp; forbrug'!$A106,'Resultat-Produktion &amp; forbrug'!$E$4:$E$291,'Produktion &amp; forbrug'!$F106)</f>
        <v>4592333.6695195455</v>
      </c>
      <c r="L106" s="94">
        <f>SUMIFS('Resultat-Produktion &amp; forbrug'!L$4:L$291,'Resultat-Produktion &amp; forbrug'!$A$4:$A$291,'Produktion &amp; forbrug'!$A106,'Resultat-Produktion &amp; forbrug'!$E$4:$E$291,'Produktion &amp; forbrug'!$F106)</f>
        <v>193169.59086074273</v>
      </c>
      <c r="M106" s="94">
        <f>SUMIFS('Resultat-Produktion &amp; forbrug'!M$4:M$291,'Resultat-Produktion &amp; forbrug'!$A$4:$A$291,'Produktion &amp; forbrug'!$A106,'Resultat-Produktion &amp; forbrug'!$E$4:$E$291,'Produktion &amp; forbrug'!$F106)</f>
        <v>0</v>
      </c>
      <c r="N106" s="94">
        <f>SUMIFS('Resultat-Produktion &amp; forbrug'!N$4:N$291,'Resultat-Produktion &amp; forbrug'!$A$4:$A$291,'Produktion &amp; forbrug'!$A106,'Resultat-Produktion &amp; forbrug'!$E$4:$E$291,'Produktion &amp; forbrug'!$F106)</f>
        <v>0</v>
      </c>
      <c r="O106" s="179">
        <f t="shared" si="18"/>
        <v>317089.70575253945</v>
      </c>
      <c r="P106" s="94">
        <f t="shared" si="19"/>
        <v>317089.70575253945</v>
      </c>
      <c r="Q106" s="180">
        <f t="shared" si="20"/>
        <v>4592333.6695195455</v>
      </c>
      <c r="R106">
        <f>IFERROR(VLOOKUP(A106,[1]Energiindhold!$A$2:$C$11,3,FALSE),IFERROR(VLOOKUP(A106,[1]Biogasudbytte!$A$2:$B$18,2,FALSE)*[1]Energiindhold!$C$10,0))*P106</f>
        <v>0.68301122619096999</v>
      </c>
      <c r="S106">
        <f>IF(A106&lt;&gt;"Biogas",IFERROR(VLOOKUP(A106,[1]Biogasudbytte!$A$2:$B$18,2,FALSE)*[1]Energiindhold!$C$10,0)*K106*IFERROR(VLOOKUP(A106,Biogasanlæg!$F$3:$G$8,2,FALSE),1)+IFERROR(VLOOKUP(A106,[1]Energiindhold!$A$2:$C$11,3,FALSE),0)*M106+IF(F106&lt;&gt;År1,R106,0),0)</f>
        <v>10.574897950336071</v>
      </c>
      <c r="T106">
        <f>IFERROR(VLOOKUP(A106,[1]Biogasudbytte!$A$2:$B$18,2,FALSE)*[1]Energiindhold!$C$10,0)*K106*IFERROR(VLOOKUP(A106,Biogasanlæg!$F$3:$G$8,2,FALSE),1)</f>
        <v>9.8918867241451007</v>
      </c>
      <c r="U106" s="170">
        <f t="shared" si="21"/>
        <v>0.68301122619097043</v>
      </c>
      <c r="V106" s="169">
        <f>P106*IFERROR(VLOOKUP(A106,[1]Tørstofindhold!A$2:B$24,2,FALSE),0)</f>
        <v>95126.911725761835</v>
      </c>
      <c r="W106">
        <f>IF(F106=År1,Q106,SUM(P106,Q106))*IFERROR(VLOOKUP(A106,[1]Tørstofindhold!A$2:B$24,2,FALSE),0)</f>
        <v>1472827.0125816255</v>
      </c>
      <c r="X106">
        <f>K106*IFERROR(VLOOKUP(A106,[1]Tørstofindhold!A$2:B$24,2,FALSE),0)</f>
        <v>1377700.1008558637</v>
      </c>
      <c r="Y106" s="170">
        <f t="shared" si="22"/>
        <v>95126.911725761835</v>
      </c>
      <c r="Z106">
        <f t="shared" si="26"/>
        <v>0</v>
      </c>
      <c r="AA106">
        <f t="shared" si="27"/>
        <v>1</v>
      </c>
      <c r="AC106" s="94">
        <f t="shared" si="23"/>
        <v>317089.70575253945</v>
      </c>
      <c r="AD106">
        <f>AC106*E106*10000*VLOOKUP(A106,[1]kcal!$A$2:$C$49,3,FALSE)/1000000000000*IFERROR(VLOOKUP(A106,'Kategorisering af kcal'!$A$2:$E$18,MATCH('Produktion &amp; forbrug'!F106,'Kategorisering af kcal'!$A$1:$E$1,0),FALSE),0)</f>
        <v>0</v>
      </c>
      <c r="AE106">
        <f>IF(C106&lt;&gt;"",AC106*(1-VLOOKUP(A106,'Kategorisering af kcal'!$A$2:$E$18,MATCH('Produktion &amp; forbrug'!F106,'Kategorisering af kcal'!$A$1:$E$1,0),FALSE)),'Produktion &amp; forbrug'!AC106)</f>
        <v>317089.70575253945</v>
      </c>
      <c r="AF106" s="94">
        <f t="shared" si="24"/>
        <v>0</v>
      </c>
    </row>
    <row r="107" spans="1:32" x14ac:dyDescent="0.25">
      <c r="A107" s="171" t="str">
        <f t="shared" si="12"/>
        <v>Fiberfraktion</v>
      </c>
      <c r="B107" s="171" t="str">
        <f t="shared" si="13"/>
        <v/>
      </c>
      <c r="C107" s="171" t="str">
        <f>IFERROR(VLOOKUP(A107,'Kategorisering af kcal'!$A$2:$B$18,2,FALSE),"")</f>
        <v/>
      </c>
      <c r="D107" s="171">
        <f>IF(COUNTIFS('Resultater - Danmark'!$D$3:$D$504,'Produktion &amp; forbrug'!A107,'Resultater - Danmark'!$A$3:$A$504,"Til energi")+COUNTIFS('Resultater - Danmark'!$D$3:$D$504,'Produktion &amp; forbrug'!A107,'Resultater - Danmark'!$A$3:$A$504,"Biogasanlæg")&gt;0,1,0)</f>
        <v>0</v>
      </c>
      <c r="E107" s="171">
        <f t="shared" si="15"/>
        <v>0</v>
      </c>
      <c r="F107" s="171">
        <f t="shared" si="25"/>
        <v>2050</v>
      </c>
      <c r="G107" s="94">
        <f>SUMIFS('Resultat-Produktion &amp; forbrug'!G$4:G$291,'Resultat-Produktion &amp; forbrug'!$A$4:$A$291,'Produktion &amp; forbrug'!$A107,'Resultat-Produktion &amp; forbrug'!$E$4:$E$291,'Produktion &amp; forbrug'!$F107)</f>
        <v>8494281.3127913643</v>
      </c>
      <c r="H107" s="94">
        <f>SUMIFS('Resultat-Produktion &amp; forbrug'!H$4:H$291,'Resultat-Produktion &amp; forbrug'!$A$4:$A$291,'Produktion &amp; forbrug'!$A107,'Resultat-Produktion &amp; forbrug'!$E$4:$E$291,'Produktion &amp; forbrug'!$F107)</f>
        <v>8493001.5755765792</v>
      </c>
      <c r="I107" s="94">
        <f>SUMIFS('Resultat-Produktion &amp; forbrug'!I$4:I$291,'Resultat-Produktion &amp; forbrug'!$A$4:$A$291,'Produktion &amp; forbrug'!$A107,'Resultat-Produktion &amp; forbrug'!$E$4:$E$291,'Produktion &amp; forbrug'!$F107)</f>
        <v>0</v>
      </c>
      <c r="J107" s="94">
        <f>SUMIFS('Resultat-Produktion &amp; forbrug'!J$4:J$291,'Resultat-Produktion &amp; forbrug'!$A$4:$A$291,'Produktion &amp; forbrug'!$A107,'Resultat-Produktion &amp; forbrug'!$E$4:$E$291,'Produktion &amp; forbrug'!$F107)</f>
        <v>0</v>
      </c>
      <c r="K107" s="94">
        <f>SUMIFS('Resultat-Produktion &amp; forbrug'!K$4:K$291,'Resultat-Produktion &amp; forbrug'!$A$4:$A$291,'Produktion &amp; forbrug'!$A107,'Resultat-Produktion &amp; forbrug'!$E$4:$E$291,'Produktion &amp; forbrug'!$F107)</f>
        <v>0</v>
      </c>
      <c r="L107" s="94">
        <f>SUMIFS('Resultat-Produktion &amp; forbrug'!L$4:L$291,'Resultat-Produktion &amp; forbrug'!$A$4:$A$291,'Produktion &amp; forbrug'!$A107,'Resultat-Produktion &amp; forbrug'!$E$4:$E$291,'Produktion &amp; forbrug'!$F107)</f>
        <v>0</v>
      </c>
      <c r="M107" s="94">
        <f>SUMIFS('Resultat-Produktion &amp; forbrug'!M$4:M$291,'Resultat-Produktion &amp; forbrug'!$A$4:$A$291,'Produktion &amp; forbrug'!$A107,'Resultat-Produktion &amp; forbrug'!$E$4:$E$291,'Produktion &amp; forbrug'!$F107)</f>
        <v>0</v>
      </c>
      <c r="N107" s="94">
        <f>SUMIFS('Resultat-Produktion &amp; forbrug'!N$4:N$291,'Resultat-Produktion &amp; forbrug'!$A$4:$A$291,'Produktion &amp; forbrug'!$A107,'Resultat-Produktion &amp; forbrug'!$E$4:$E$291,'Produktion &amp; forbrug'!$F107)</f>
        <v>0</v>
      </c>
      <c r="O107" s="179">
        <f t="shared" si="18"/>
        <v>1279.7372147850692</v>
      </c>
      <c r="P107" s="94">
        <f t="shared" si="19"/>
        <v>0</v>
      </c>
      <c r="Q107" s="180">
        <f t="shared" si="20"/>
        <v>0</v>
      </c>
      <c r="R107">
        <f>IFERROR(VLOOKUP(A107,[1]Energiindhold!$A$2:$C$11,3,FALSE),IFERROR(VLOOKUP(A107,[1]Biogasudbytte!$A$2:$B$18,2,FALSE)*[1]Energiindhold!$C$10,0))*P107</f>
        <v>0</v>
      </c>
      <c r="S107">
        <f>IF(A107&lt;&gt;"Biogas",IFERROR(VLOOKUP(A107,[1]Biogasudbytte!$A$2:$B$18,2,FALSE)*[1]Energiindhold!$C$10,0)*K107*IFERROR(VLOOKUP(A107,Biogasanlæg!$F$3:$G$8,2,FALSE),1)+IFERROR(VLOOKUP(A107,[1]Energiindhold!$A$2:$C$11,3,FALSE),0)*M107+IF(F107&lt;&gt;År1,R107,0),0)</f>
        <v>0</v>
      </c>
      <c r="T107">
        <f>IFERROR(VLOOKUP(A107,[1]Biogasudbytte!$A$2:$B$18,2,FALSE)*[1]Energiindhold!$C$10,0)*K107*IFERROR(VLOOKUP(A107,Biogasanlæg!$F$3:$G$8,2,FALSE),1)</f>
        <v>0</v>
      </c>
      <c r="U107" s="170">
        <f t="shared" si="21"/>
        <v>0</v>
      </c>
      <c r="V107" s="169">
        <f>P107*IFERROR(VLOOKUP(A107,[1]Tørstofindhold!A$2:B$24,2,FALSE),0)</f>
        <v>0</v>
      </c>
      <c r="W107">
        <f>IF(F107=År1,Q107,SUM(P107,Q107))*IFERROR(VLOOKUP(A107,[1]Tørstofindhold!A$2:B$24,2,FALSE),0)</f>
        <v>0</v>
      </c>
      <c r="X107">
        <f>K107*IFERROR(VLOOKUP(A107,[1]Tørstofindhold!A$2:B$24,2,FALSE),0)</f>
        <v>0</v>
      </c>
      <c r="Y107" s="170">
        <f t="shared" si="22"/>
        <v>0</v>
      </c>
      <c r="Z107">
        <f t="shared" si="26"/>
        <v>0</v>
      </c>
      <c r="AA107">
        <f t="shared" si="27"/>
        <v>1</v>
      </c>
      <c r="AC107" s="94">
        <f t="shared" si="23"/>
        <v>1279.7372147850692</v>
      </c>
      <c r="AD107">
        <f>AC107*E107*10000*VLOOKUP(A107,[1]kcal!$A$2:$C$49,3,FALSE)/1000000000000*IFERROR(VLOOKUP(A107,'Kategorisering af kcal'!$A$2:$E$18,MATCH('Produktion &amp; forbrug'!F107,'Kategorisering af kcal'!$A$1:$E$1,0),FALSE),0)</f>
        <v>0</v>
      </c>
      <c r="AE107">
        <f>IF(C107&lt;&gt;"",AC107*(1-VLOOKUP(A107,'Kategorisering af kcal'!$A$2:$E$18,MATCH('Produktion &amp; forbrug'!F107,'Kategorisering af kcal'!$A$1:$E$1,0),FALSE)),'Produktion &amp; forbrug'!AC107)</f>
        <v>1279.7372147850692</v>
      </c>
      <c r="AF107" s="94">
        <f t="shared" si="24"/>
        <v>0</v>
      </c>
    </row>
    <row r="108" spans="1:32" x14ac:dyDescent="0.25">
      <c r="A108" s="171" t="str">
        <f t="shared" si="12"/>
        <v>Fjerkrægylle</v>
      </c>
      <c r="B108" s="171" t="str">
        <f t="shared" si="13"/>
        <v>Husdyrgødning</v>
      </c>
      <c r="C108" s="171" t="str">
        <f>IFERROR(VLOOKUP(A108,'Kategorisering af kcal'!$A$2:$B$18,2,FALSE),"")</f>
        <v/>
      </c>
      <c r="D108" s="171">
        <f>IF(COUNTIFS('Resultater - Danmark'!$D$3:$D$504,'Produktion &amp; forbrug'!A108,'Resultater - Danmark'!$A$3:$A$504,"Til energi")+COUNTIFS('Resultater - Danmark'!$D$3:$D$504,'Produktion &amp; forbrug'!A108,'Resultater - Danmark'!$A$3:$A$504,"Biogasanlæg")&gt;0,1,0)</f>
        <v>1</v>
      </c>
      <c r="E108" s="171">
        <f t="shared" si="15"/>
        <v>0</v>
      </c>
      <c r="F108" s="171">
        <f t="shared" si="25"/>
        <v>2050</v>
      </c>
      <c r="G108" s="94">
        <f>SUMIFS('Resultat-Produktion &amp; forbrug'!G$4:G$291,'Resultat-Produktion &amp; forbrug'!$A$4:$A$291,'Produktion &amp; forbrug'!$A108,'Resultat-Produktion &amp; forbrug'!$E$4:$E$291,'Produktion &amp; forbrug'!$F108)</f>
        <v>15224.916705013127</v>
      </c>
      <c r="H108" s="94">
        <f>SUMIFS('Resultat-Produktion &amp; forbrug'!H$4:H$291,'Resultat-Produktion &amp; forbrug'!$A$4:$A$291,'Produktion &amp; forbrug'!$A108,'Resultat-Produktion &amp; forbrug'!$E$4:$E$291,'Produktion &amp; forbrug'!$F108)</f>
        <v>0</v>
      </c>
      <c r="I108" s="94">
        <f>SUMIFS('Resultat-Produktion &amp; forbrug'!I$4:I$291,'Resultat-Produktion &amp; forbrug'!$A$4:$A$291,'Produktion &amp; forbrug'!$A108,'Resultat-Produktion &amp; forbrug'!$E$4:$E$291,'Produktion &amp; forbrug'!$F108)</f>
        <v>0</v>
      </c>
      <c r="J108" s="94">
        <f>SUMIFS('Resultat-Produktion &amp; forbrug'!J$4:J$291,'Resultat-Produktion &amp; forbrug'!$A$4:$A$291,'Produktion &amp; forbrug'!$A108,'Resultat-Produktion &amp; forbrug'!$E$4:$E$291,'Produktion &amp; forbrug'!$F108)</f>
        <v>0</v>
      </c>
      <c r="K108" s="94">
        <f>SUMIFS('Resultat-Produktion &amp; forbrug'!K$4:K$291,'Resultat-Produktion &amp; forbrug'!$A$4:$A$291,'Produktion &amp; forbrug'!$A108,'Resultat-Produktion &amp; forbrug'!$E$4:$E$291,'Produktion &amp; forbrug'!$F108)</f>
        <v>13702.425034511814</v>
      </c>
      <c r="L108" s="94">
        <f>SUMIFS('Resultat-Produktion &amp; forbrug'!L$4:L$291,'Resultat-Produktion &amp; forbrug'!$A$4:$A$291,'Produktion &amp; forbrug'!$A108,'Resultat-Produktion &amp; forbrug'!$E$4:$E$291,'Produktion &amp; forbrug'!$F108)</f>
        <v>1522.4916705013122</v>
      </c>
      <c r="M108" s="94">
        <f>SUMIFS('Resultat-Produktion &amp; forbrug'!M$4:M$291,'Resultat-Produktion &amp; forbrug'!$A$4:$A$291,'Produktion &amp; forbrug'!$A108,'Resultat-Produktion &amp; forbrug'!$E$4:$E$291,'Produktion &amp; forbrug'!$F108)</f>
        <v>0</v>
      </c>
      <c r="N108" s="94">
        <f>SUMIFS('Resultat-Produktion &amp; forbrug'!N$4:N$291,'Resultat-Produktion &amp; forbrug'!$A$4:$A$291,'Produktion &amp; forbrug'!$A108,'Resultat-Produktion &amp; forbrug'!$E$4:$E$291,'Produktion &amp; forbrug'!$F108)</f>
        <v>0</v>
      </c>
      <c r="O108" s="179">
        <f t="shared" si="18"/>
        <v>0</v>
      </c>
      <c r="P108" s="94">
        <f t="shared" si="19"/>
        <v>0</v>
      </c>
      <c r="Q108" s="180">
        <f t="shared" si="20"/>
        <v>13702.425034511814</v>
      </c>
      <c r="R108">
        <f>IFERROR(VLOOKUP(A108,[1]Energiindhold!$A$2:$C$11,3,FALSE),IFERROR(VLOOKUP(A108,[1]Biogasudbytte!$A$2:$B$18,2,FALSE)*[1]Energiindhold!$C$10,0))*P108</f>
        <v>0</v>
      </c>
      <c r="S108">
        <f>IF(A108&lt;&gt;"Biogas",IFERROR(VLOOKUP(A108,[1]Biogasudbytte!$A$2:$B$18,2,FALSE)*[1]Energiindhold!$C$10,0)*K108*IFERROR(VLOOKUP(A108,Biogasanlæg!$F$3:$G$8,2,FALSE),1)+IFERROR(VLOOKUP(A108,[1]Energiindhold!$A$2:$C$11,3,FALSE),0)*M108+IF(F108&lt;&gt;År1,R108,0),0)</f>
        <v>6.4441134694805616E-3</v>
      </c>
      <c r="T108">
        <f>IFERROR(VLOOKUP(A108,[1]Biogasudbytte!$A$2:$B$18,2,FALSE)*[1]Energiindhold!$C$10,0)*K108*IFERROR(VLOOKUP(A108,Biogasanlæg!$F$3:$G$8,2,FALSE),1)</f>
        <v>6.4441134694805616E-3</v>
      </c>
      <c r="U108" s="170">
        <f t="shared" si="21"/>
        <v>0</v>
      </c>
      <c r="V108" s="169">
        <f>P108*IFERROR(VLOOKUP(A108,[1]Tørstofindhold!A$2:B$24,2,FALSE),0)</f>
        <v>0</v>
      </c>
      <c r="W108">
        <f>IF(F108=År1,Q108,SUM(P108,Q108))*IFERROR(VLOOKUP(A108,[1]Tørstofindhold!A$2:B$24,2,FALSE),0)</f>
        <v>863.25277717424433</v>
      </c>
      <c r="X108">
        <f>K108*IFERROR(VLOOKUP(A108,[1]Tørstofindhold!A$2:B$24,2,FALSE),0)</f>
        <v>863.25277717424433</v>
      </c>
      <c r="Y108" s="170">
        <f t="shared" si="22"/>
        <v>0</v>
      </c>
      <c r="Z108">
        <f t="shared" si="26"/>
        <v>0</v>
      </c>
      <c r="AA108">
        <f t="shared" si="27"/>
        <v>0</v>
      </c>
      <c r="AC108" s="94">
        <f t="shared" si="23"/>
        <v>0</v>
      </c>
      <c r="AD108">
        <f>AC108*E108*10000*VLOOKUP(A108,[1]kcal!$A$2:$C$49,3,FALSE)/1000000000000*IFERROR(VLOOKUP(A108,'Kategorisering af kcal'!$A$2:$E$18,MATCH('Produktion &amp; forbrug'!F108,'Kategorisering af kcal'!$A$1:$E$1,0),FALSE),0)</f>
        <v>0</v>
      </c>
      <c r="AE108">
        <f>IF(C108&lt;&gt;"",AC108*(1-VLOOKUP(A108,'Kategorisering af kcal'!$A$2:$E$18,MATCH('Produktion &amp; forbrug'!F108,'Kategorisering af kcal'!$A$1:$E$1,0),FALSE)),'Produktion &amp; forbrug'!AC108)</f>
        <v>0</v>
      </c>
      <c r="AF108" s="94">
        <f t="shared" si="24"/>
        <v>0</v>
      </c>
    </row>
    <row r="109" spans="1:32" x14ac:dyDescent="0.25">
      <c r="A109" s="171" t="str">
        <f t="shared" si="12"/>
        <v>Fjerkrækød</v>
      </c>
      <c r="B109" s="171" t="str">
        <f t="shared" si="13"/>
        <v/>
      </c>
      <c r="C109" s="171" t="str">
        <f>IFERROR(VLOOKUP(A109,'Kategorisering af kcal'!$A$2:$B$18,2,FALSE),"")</f>
        <v>Kød</v>
      </c>
      <c r="D109" s="171">
        <f>IF(COUNTIFS('Resultater - Danmark'!$D$3:$D$504,'Produktion &amp; forbrug'!A109,'Resultater - Danmark'!$A$3:$A$504,"Til energi")+COUNTIFS('Resultater - Danmark'!$D$3:$D$504,'Produktion &amp; forbrug'!A109,'Resultater - Danmark'!$A$3:$A$504,"Biogasanlæg")&gt;0,1,0)</f>
        <v>0</v>
      </c>
      <c r="E109" s="171">
        <f t="shared" si="15"/>
        <v>1</v>
      </c>
      <c r="F109" s="171">
        <f t="shared" si="25"/>
        <v>2050</v>
      </c>
      <c r="G109" s="94">
        <f>SUMIFS('Resultat-Produktion &amp; forbrug'!G$4:G$291,'Resultat-Produktion &amp; forbrug'!$A$4:$A$291,'Produktion &amp; forbrug'!$A109,'Resultat-Produktion &amp; forbrug'!$E$4:$E$291,'Produktion &amp; forbrug'!$F109)</f>
        <v>16263.347635785858</v>
      </c>
      <c r="H109" s="94">
        <f>SUMIFS('Resultat-Produktion &amp; forbrug'!H$4:H$291,'Resultat-Produktion &amp; forbrug'!$A$4:$A$291,'Produktion &amp; forbrug'!$A109,'Resultat-Produktion &amp; forbrug'!$E$4:$E$291,'Produktion &amp; forbrug'!$F109)</f>
        <v>0</v>
      </c>
      <c r="I109" s="94">
        <f>SUMIFS('Resultat-Produktion &amp; forbrug'!I$4:I$291,'Resultat-Produktion &amp; forbrug'!$A$4:$A$291,'Produktion &amp; forbrug'!$A109,'Resultat-Produktion &amp; forbrug'!$E$4:$E$291,'Produktion &amp; forbrug'!$F109)</f>
        <v>0</v>
      </c>
      <c r="J109" s="94">
        <f>SUMIFS('Resultat-Produktion &amp; forbrug'!J$4:J$291,'Resultat-Produktion &amp; forbrug'!$A$4:$A$291,'Produktion &amp; forbrug'!$A109,'Resultat-Produktion &amp; forbrug'!$E$4:$E$291,'Produktion &amp; forbrug'!$F109)</f>
        <v>0</v>
      </c>
      <c r="K109" s="94">
        <f>SUMIFS('Resultat-Produktion &amp; forbrug'!K$4:K$291,'Resultat-Produktion &amp; forbrug'!$A$4:$A$291,'Produktion &amp; forbrug'!$A109,'Resultat-Produktion &amp; forbrug'!$E$4:$E$291,'Produktion &amp; forbrug'!$F109)</f>
        <v>0</v>
      </c>
      <c r="L109" s="94">
        <f>SUMIFS('Resultat-Produktion &amp; forbrug'!L$4:L$291,'Resultat-Produktion &amp; forbrug'!$A$4:$A$291,'Produktion &amp; forbrug'!$A109,'Resultat-Produktion &amp; forbrug'!$E$4:$E$291,'Produktion &amp; forbrug'!$F109)</f>
        <v>0</v>
      </c>
      <c r="M109" s="94">
        <f>SUMIFS('Resultat-Produktion &amp; forbrug'!M$4:M$291,'Resultat-Produktion &amp; forbrug'!$A$4:$A$291,'Produktion &amp; forbrug'!$A109,'Resultat-Produktion &amp; forbrug'!$E$4:$E$291,'Produktion &amp; forbrug'!$F109)</f>
        <v>0</v>
      </c>
      <c r="N109" s="94">
        <f>SUMIFS('Resultat-Produktion &amp; forbrug'!N$4:N$291,'Resultat-Produktion &amp; forbrug'!$A$4:$A$291,'Produktion &amp; forbrug'!$A109,'Resultat-Produktion &amp; forbrug'!$E$4:$E$291,'Produktion &amp; forbrug'!$F109)</f>
        <v>0</v>
      </c>
      <c r="O109" s="179">
        <f t="shared" si="18"/>
        <v>16263.347635785858</v>
      </c>
      <c r="P109" s="94">
        <f t="shared" si="19"/>
        <v>0</v>
      </c>
      <c r="Q109" s="180">
        <f t="shared" si="20"/>
        <v>0</v>
      </c>
      <c r="R109">
        <f>IFERROR(VLOOKUP(A109,[1]Energiindhold!$A$2:$C$11,3,FALSE),IFERROR(VLOOKUP(A109,[1]Biogasudbytte!$A$2:$B$18,2,FALSE)*[1]Energiindhold!$C$10,0))*P109</f>
        <v>0</v>
      </c>
      <c r="S109">
        <f>IF(A109&lt;&gt;"Biogas",IFERROR(VLOOKUP(A109,[1]Biogasudbytte!$A$2:$B$18,2,FALSE)*[1]Energiindhold!$C$10,0)*K109*IFERROR(VLOOKUP(A109,Biogasanlæg!$F$3:$G$8,2,FALSE),1)+IFERROR(VLOOKUP(A109,[1]Energiindhold!$A$2:$C$11,3,FALSE),0)*M109+IF(F109&lt;&gt;År1,R109,0),0)</f>
        <v>0</v>
      </c>
      <c r="T109">
        <f>IFERROR(VLOOKUP(A109,[1]Biogasudbytte!$A$2:$B$18,2,FALSE)*[1]Energiindhold!$C$10,0)*K109*IFERROR(VLOOKUP(A109,Biogasanlæg!$F$3:$G$8,2,FALSE),1)</f>
        <v>0</v>
      </c>
      <c r="U109" s="170">
        <f t="shared" si="21"/>
        <v>0</v>
      </c>
      <c r="V109" s="169">
        <f>P109*IFERROR(VLOOKUP(A109,[1]Tørstofindhold!A$2:B$24,2,FALSE),0)</f>
        <v>0</v>
      </c>
      <c r="W109">
        <f>IF(F109=År1,Q109,SUM(P109,Q109))*IFERROR(VLOOKUP(A109,[1]Tørstofindhold!A$2:B$24,2,FALSE),0)</f>
        <v>0</v>
      </c>
      <c r="X109">
        <f>K109*IFERROR(VLOOKUP(A109,[1]Tørstofindhold!A$2:B$24,2,FALSE),0)</f>
        <v>0</v>
      </c>
      <c r="Y109" s="170">
        <f t="shared" si="22"/>
        <v>0</v>
      </c>
      <c r="Z109">
        <f t="shared" si="26"/>
        <v>0</v>
      </c>
      <c r="AA109">
        <f t="shared" si="27"/>
        <v>1</v>
      </c>
      <c r="AC109" s="94">
        <f t="shared" si="23"/>
        <v>16263.347635785858</v>
      </c>
      <c r="AD109">
        <f>AC109*E109*10000*VLOOKUP(A109,[1]kcal!$A$2:$C$49,3,FALSE)/1000000000000*IFERROR(VLOOKUP(A109,'Kategorisering af kcal'!$A$2:$E$18,MATCH('Produktion &amp; forbrug'!F109,'Kategorisering af kcal'!$A$1:$E$1,0),FALSE),0)</f>
        <v>2.4720288406394501E-2</v>
      </c>
      <c r="AE109">
        <f>IF(C109&lt;&gt;"",AC109*(1-VLOOKUP(A109,'Kategorisering af kcal'!$A$2:$E$18,MATCH('Produktion &amp; forbrug'!F109,'Kategorisering af kcal'!$A$1:$E$1,0),FALSE)),'Produktion &amp; forbrug'!AC109)</f>
        <v>0</v>
      </c>
      <c r="AF109" s="94">
        <f t="shared" si="24"/>
        <v>16263.347635785858</v>
      </c>
    </row>
    <row r="110" spans="1:32" x14ac:dyDescent="0.25">
      <c r="A110" s="171" t="str">
        <f t="shared" si="12"/>
        <v>Frø</v>
      </c>
      <c r="B110" s="171" t="str">
        <f t="shared" si="13"/>
        <v/>
      </c>
      <c r="C110" s="171" t="str">
        <f>IFERROR(VLOOKUP(A110,'Kategorisering af kcal'!$A$2:$B$18,2,FALSE),"")</f>
        <v/>
      </c>
      <c r="D110" s="171">
        <f>IF(COUNTIFS('Resultater - Danmark'!$D$3:$D$504,'Produktion &amp; forbrug'!A110,'Resultater - Danmark'!$A$3:$A$504,"Til energi")+COUNTIFS('Resultater - Danmark'!$D$3:$D$504,'Produktion &amp; forbrug'!A110,'Resultater - Danmark'!$A$3:$A$504,"Biogasanlæg")&gt;0,1,0)</f>
        <v>0</v>
      </c>
      <c r="E110" s="171">
        <f t="shared" si="15"/>
        <v>0</v>
      </c>
      <c r="F110" s="171">
        <f t="shared" si="25"/>
        <v>2050</v>
      </c>
      <c r="G110" s="94">
        <f>SUMIFS('Resultat-Produktion &amp; forbrug'!G$4:G$291,'Resultat-Produktion &amp; forbrug'!$A$4:$A$291,'Produktion &amp; forbrug'!$A110,'Resultat-Produktion &amp; forbrug'!$E$4:$E$291,'Produktion &amp; forbrug'!$F110)</f>
        <v>83716.319006591395</v>
      </c>
      <c r="H110" s="94">
        <f>SUMIFS('Resultat-Produktion &amp; forbrug'!H$4:H$291,'Resultat-Produktion &amp; forbrug'!$A$4:$A$291,'Produktion &amp; forbrug'!$A110,'Resultat-Produktion &amp; forbrug'!$E$4:$E$291,'Produktion &amp; forbrug'!$F110)</f>
        <v>0</v>
      </c>
      <c r="I110" s="94">
        <f>SUMIFS('Resultat-Produktion &amp; forbrug'!I$4:I$291,'Resultat-Produktion &amp; forbrug'!$A$4:$A$291,'Produktion &amp; forbrug'!$A110,'Resultat-Produktion &amp; forbrug'!$E$4:$E$291,'Produktion &amp; forbrug'!$F110)</f>
        <v>0</v>
      </c>
      <c r="J110" s="94">
        <f>SUMIFS('Resultat-Produktion &amp; forbrug'!J$4:J$291,'Resultat-Produktion &amp; forbrug'!$A$4:$A$291,'Produktion &amp; forbrug'!$A110,'Resultat-Produktion &amp; forbrug'!$E$4:$E$291,'Produktion &amp; forbrug'!$F110)</f>
        <v>0</v>
      </c>
      <c r="K110" s="94">
        <f>SUMIFS('Resultat-Produktion &amp; forbrug'!K$4:K$291,'Resultat-Produktion &amp; forbrug'!$A$4:$A$291,'Produktion &amp; forbrug'!$A110,'Resultat-Produktion &amp; forbrug'!$E$4:$E$291,'Produktion &amp; forbrug'!$F110)</f>
        <v>0</v>
      </c>
      <c r="L110" s="94">
        <f>SUMIFS('Resultat-Produktion &amp; forbrug'!L$4:L$291,'Resultat-Produktion &amp; forbrug'!$A$4:$A$291,'Produktion &amp; forbrug'!$A110,'Resultat-Produktion &amp; forbrug'!$E$4:$E$291,'Produktion &amp; forbrug'!$F110)</f>
        <v>0</v>
      </c>
      <c r="M110" s="94">
        <f>SUMIFS('Resultat-Produktion &amp; forbrug'!M$4:M$291,'Resultat-Produktion &amp; forbrug'!$A$4:$A$291,'Produktion &amp; forbrug'!$A110,'Resultat-Produktion &amp; forbrug'!$E$4:$E$291,'Produktion &amp; forbrug'!$F110)</f>
        <v>0</v>
      </c>
      <c r="N110" s="94">
        <f>SUMIFS('Resultat-Produktion &amp; forbrug'!N$4:N$291,'Resultat-Produktion &amp; forbrug'!$A$4:$A$291,'Produktion &amp; forbrug'!$A110,'Resultat-Produktion &amp; forbrug'!$E$4:$E$291,'Produktion &amp; forbrug'!$F110)</f>
        <v>0</v>
      </c>
      <c r="O110" s="179">
        <f t="shared" si="18"/>
        <v>83716.319006591395</v>
      </c>
      <c r="P110" s="94">
        <f t="shared" si="19"/>
        <v>0</v>
      </c>
      <c r="Q110" s="180">
        <f t="shared" si="20"/>
        <v>0</v>
      </c>
      <c r="R110">
        <f>IFERROR(VLOOKUP(A110,[1]Energiindhold!$A$2:$C$11,3,FALSE),IFERROR(VLOOKUP(A110,[1]Biogasudbytte!$A$2:$B$18,2,FALSE)*[1]Energiindhold!$C$10,0))*P110</f>
        <v>0</v>
      </c>
      <c r="S110">
        <f>IF(A110&lt;&gt;"Biogas",IFERROR(VLOOKUP(A110,[1]Biogasudbytte!$A$2:$B$18,2,FALSE)*[1]Energiindhold!$C$10,0)*K110*IFERROR(VLOOKUP(A110,Biogasanlæg!$F$3:$G$8,2,FALSE),1)+IFERROR(VLOOKUP(A110,[1]Energiindhold!$A$2:$C$11,3,FALSE),0)*M110+IF(F110&lt;&gt;År1,R110,0),0)</f>
        <v>0</v>
      </c>
      <c r="T110">
        <f>IFERROR(VLOOKUP(A110,[1]Biogasudbytte!$A$2:$B$18,2,FALSE)*[1]Energiindhold!$C$10,0)*K110*IFERROR(VLOOKUP(A110,Biogasanlæg!$F$3:$G$8,2,FALSE),1)</f>
        <v>0</v>
      </c>
      <c r="U110" s="170">
        <f t="shared" si="21"/>
        <v>0</v>
      </c>
      <c r="V110" s="169">
        <f>P110*IFERROR(VLOOKUP(A110,[1]Tørstofindhold!A$2:B$24,2,FALSE),0)</f>
        <v>0</v>
      </c>
      <c r="W110">
        <f>IF(F110=År1,Q110,SUM(P110,Q110))*IFERROR(VLOOKUP(A110,[1]Tørstofindhold!A$2:B$24,2,FALSE),0)</f>
        <v>0</v>
      </c>
      <c r="X110">
        <f>K110*IFERROR(VLOOKUP(A110,[1]Tørstofindhold!A$2:B$24,2,FALSE),0)</f>
        <v>0</v>
      </c>
      <c r="Y110" s="170">
        <f t="shared" si="22"/>
        <v>0</v>
      </c>
      <c r="Z110">
        <f t="shared" si="26"/>
        <v>0</v>
      </c>
      <c r="AA110">
        <f t="shared" si="27"/>
        <v>1</v>
      </c>
      <c r="AC110" s="94">
        <f t="shared" si="23"/>
        <v>83716.319006591395</v>
      </c>
      <c r="AD110">
        <f>AC110*E110*10000*VLOOKUP(A110,[1]kcal!$A$2:$C$49,3,FALSE)/1000000000000*IFERROR(VLOOKUP(A110,'Kategorisering af kcal'!$A$2:$E$18,MATCH('Produktion &amp; forbrug'!F110,'Kategorisering af kcal'!$A$1:$E$1,0),FALSE),0)</f>
        <v>0</v>
      </c>
      <c r="AE110">
        <f>IF(C110&lt;&gt;"",AC110*(1-VLOOKUP(A110,'Kategorisering af kcal'!$A$2:$E$18,MATCH('Produktion &amp; forbrug'!F110,'Kategorisering af kcal'!$A$1:$E$1,0),FALSE)),'Produktion &amp; forbrug'!AC110)</f>
        <v>83716.319006591395</v>
      </c>
      <c r="AF110" s="94">
        <f t="shared" si="24"/>
        <v>0</v>
      </c>
    </row>
    <row r="111" spans="1:32" x14ac:dyDescent="0.25">
      <c r="A111" s="171" t="str">
        <f t="shared" si="12"/>
        <v>Frugt</v>
      </c>
      <c r="B111" s="171" t="str">
        <f t="shared" si="13"/>
        <v/>
      </c>
      <c r="C111" s="171" t="str">
        <f>IFERROR(VLOOKUP(A111,'Kategorisering af kcal'!$A$2:$B$18,2,FALSE),"")</f>
        <v>Frugt</v>
      </c>
      <c r="D111" s="171">
        <f>IF(COUNTIFS('Resultater - Danmark'!$D$3:$D$504,'Produktion &amp; forbrug'!A111,'Resultater - Danmark'!$A$3:$A$504,"Til energi")+COUNTIFS('Resultater - Danmark'!$D$3:$D$504,'Produktion &amp; forbrug'!A111,'Resultater - Danmark'!$A$3:$A$504,"Biogasanlæg")&gt;0,1,0)</f>
        <v>0</v>
      </c>
      <c r="E111" s="171">
        <f t="shared" si="15"/>
        <v>1</v>
      </c>
      <c r="F111" s="171">
        <f t="shared" si="25"/>
        <v>2050</v>
      </c>
      <c r="G111" s="94">
        <f>SUMIFS('Resultat-Produktion &amp; forbrug'!G$4:G$291,'Resultat-Produktion &amp; forbrug'!$A$4:$A$291,'Produktion &amp; forbrug'!$A111,'Resultat-Produktion &amp; forbrug'!$E$4:$E$291,'Produktion &amp; forbrug'!$F111)</f>
        <v>1032360.8523594537</v>
      </c>
      <c r="H111" s="94">
        <f>SUMIFS('Resultat-Produktion &amp; forbrug'!H$4:H$291,'Resultat-Produktion &amp; forbrug'!$A$4:$A$291,'Produktion &amp; forbrug'!$A111,'Resultat-Produktion &amp; forbrug'!$E$4:$E$291,'Produktion &amp; forbrug'!$F111)</f>
        <v>0</v>
      </c>
      <c r="I111" s="94">
        <f>SUMIFS('Resultat-Produktion &amp; forbrug'!I$4:I$291,'Resultat-Produktion &amp; forbrug'!$A$4:$A$291,'Produktion &amp; forbrug'!$A111,'Resultat-Produktion &amp; forbrug'!$E$4:$E$291,'Produktion &amp; forbrug'!$F111)</f>
        <v>0</v>
      </c>
      <c r="J111" s="94">
        <f>SUMIFS('Resultat-Produktion &amp; forbrug'!J$4:J$291,'Resultat-Produktion &amp; forbrug'!$A$4:$A$291,'Produktion &amp; forbrug'!$A111,'Resultat-Produktion &amp; forbrug'!$E$4:$E$291,'Produktion &amp; forbrug'!$F111)</f>
        <v>0</v>
      </c>
      <c r="K111" s="94">
        <f>SUMIFS('Resultat-Produktion &amp; forbrug'!K$4:K$291,'Resultat-Produktion &amp; forbrug'!$A$4:$A$291,'Produktion &amp; forbrug'!$A111,'Resultat-Produktion &amp; forbrug'!$E$4:$E$291,'Produktion &amp; forbrug'!$F111)</f>
        <v>0</v>
      </c>
      <c r="L111" s="94">
        <f>SUMIFS('Resultat-Produktion &amp; forbrug'!L$4:L$291,'Resultat-Produktion &amp; forbrug'!$A$4:$A$291,'Produktion &amp; forbrug'!$A111,'Resultat-Produktion &amp; forbrug'!$E$4:$E$291,'Produktion &amp; forbrug'!$F111)</f>
        <v>0</v>
      </c>
      <c r="M111" s="94">
        <f>SUMIFS('Resultat-Produktion &amp; forbrug'!M$4:M$291,'Resultat-Produktion &amp; forbrug'!$A$4:$A$291,'Produktion &amp; forbrug'!$A111,'Resultat-Produktion &amp; forbrug'!$E$4:$E$291,'Produktion &amp; forbrug'!$F111)</f>
        <v>0</v>
      </c>
      <c r="N111" s="94">
        <f>SUMIFS('Resultat-Produktion &amp; forbrug'!N$4:N$291,'Resultat-Produktion &amp; forbrug'!$A$4:$A$291,'Produktion &amp; forbrug'!$A111,'Resultat-Produktion &amp; forbrug'!$E$4:$E$291,'Produktion &amp; forbrug'!$F111)</f>
        <v>0</v>
      </c>
      <c r="O111" s="179">
        <f t="shared" si="18"/>
        <v>1032360.8523594537</v>
      </c>
      <c r="P111" s="94">
        <f t="shared" si="19"/>
        <v>0</v>
      </c>
      <c r="Q111" s="180">
        <f t="shared" si="20"/>
        <v>0</v>
      </c>
      <c r="R111">
        <f>IFERROR(VLOOKUP(A111,[1]Energiindhold!$A$2:$C$11,3,FALSE),IFERROR(VLOOKUP(A111,[1]Biogasudbytte!$A$2:$B$18,2,FALSE)*[1]Energiindhold!$C$10,0))*P111</f>
        <v>0</v>
      </c>
      <c r="S111">
        <f>IF(A111&lt;&gt;"Biogas",IFERROR(VLOOKUP(A111,[1]Biogasudbytte!$A$2:$B$18,2,FALSE)*[1]Energiindhold!$C$10,0)*K111*IFERROR(VLOOKUP(A111,Biogasanlæg!$F$3:$G$8,2,FALSE),1)+IFERROR(VLOOKUP(A111,[1]Energiindhold!$A$2:$C$11,3,FALSE),0)*M111+IF(F111&lt;&gt;År1,R111,0),0)</f>
        <v>0</v>
      </c>
      <c r="T111">
        <f>IFERROR(VLOOKUP(A111,[1]Biogasudbytte!$A$2:$B$18,2,FALSE)*[1]Energiindhold!$C$10,0)*K111*IFERROR(VLOOKUP(A111,Biogasanlæg!$F$3:$G$8,2,FALSE),1)</f>
        <v>0</v>
      </c>
      <c r="U111" s="170">
        <f t="shared" si="21"/>
        <v>0</v>
      </c>
      <c r="V111" s="169">
        <f>P111*IFERROR(VLOOKUP(A111,[1]Tørstofindhold!A$2:B$24,2,FALSE),0)</f>
        <v>0</v>
      </c>
      <c r="W111">
        <f>IF(F111=År1,Q111,SUM(P111,Q111))*IFERROR(VLOOKUP(A111,[1]Tørstofindhold!A$2:B$24,2,FALSE),0)</f>
        <v>0</v>
      </c>
      <c r="X111">
        <f>K111*IFERROR(VLOOKUP(A111,[1]Tørstofindhold!A$2:B$24,2,FALSE),0)</f>
        <v>0</v>
      </c>
      <c r="Y111" s="170">
        <f t="shared" si="22"/>
        <v>0</v>
      </c>
      <c r="Z111">
        <f t="shared" si="26"/>
        <v>0</v>
      </c>
      <c r="AA111">
        <f t="shared" si="27"/>
        <v>1</v>
      </c>
      <c r="AC111" s="94">
        <f t="shared" si="23"/>
        <v>1032360.8523594537</v>
      </c>
      <c r="AD111">
        <f>AC111*E111*10000*VLOOKUP(A111,[1]kcal!$A$2:$C$49,3,FALSE)/1000000000000*IFERROR(VLOOKUP(A111,'Kategorisering af kcal'!$A$2:$E$18,MATCH('Produktion &amp; forbrug'!F111,'Kategorisering af kcal'!$A$1:$E$1,0),FALSE),0)</f>
        <v>0.53682764322691601</v>
      </c>
      <c r="AE111">
        <f>IF(C111&lt;&gt;"",AC111*(1-VLOOKUP(A111,'Kategorisering af kcal'!$A$2:$E$18,MATCH('Produktion &amp; forbrug'!F111,'Kategorisering af kcal'!$A$1:$E$1,0),FALSE)),'Produktion &amp; forbrug'!AC111)</f>
        <v>0</v>
      </c>
      <c r="AF111" s="94">
        <f t="shared" si="24"/>
        <v>1032360.8523594537</v>
      </c>
    </row>
    <row r="112" spans="1:32" x14ac:dyDescent="0.25">
      <c r="A112" s="171" t="str">
        <f t="shared" si="12"/>
        <v>Glycerin</v>
      </c>
      <c r="B112" s="171" t="str">
        <f t="shared" si="13"/>
        <v>Glycerin</v>
      </c>
      <c r="C112" s="171" t="str">
        <f>IFERROR(VLOOKUP(A112,'Kategorisering af kcal'!$A$2:$B$18,2,FALSE),"")</f>
        <v/>
      </c>
      <c r="D112" s="171">
        <f>IF(COUNTIFS('Resultater - Danmark'!$D$3:$D$504,'Produktion &amp; forbrug'!A112,'Resultater - Danmark'!$A$3:$A$504,"Til energi")+COUNTIFS('Resultater - Danmark'!$D$3:$D$504,'Produktion &amp; forbrug'!A112,'Resultater - Danmark'!$A$3:$A$504,"Biogasanlæg")&gt;0,1,0)</f>
        <v>1</v>
      </c>
      <c r="E112" s="171">
        <f t="shared" si="15"/>
        <v>0</v>
      </c>
      <c r="F112" s="171">
        <f t="shared" si="25"/>
        <v>2050</v>
      </c>
      <c r="G112" s="94">
        <f>SUMIFS('Resultat-Produktion &amp; forbrug'!G$4:G$291,'Resultat-Produktion &amp; forbrug'!$A$4:$A$291,'Produktion &amp; forbrug'!$A112,'Resultat-Produktion &amp; forbrug'!$E$4:$E$291,'Produktion &amp; forbrug'!$F112)</f>
        <v>0</v>
      </c>
      <c r="H112" s="94">
        <f>SUMIFS('Resultat-Produktion &amp; forbrug'!H$4:H$291,'Resultat-Produktion &amp; forbrug'!$A$4:$A$291,'Produktion &amp; forbrug'!$A112,'Resultat-Produktion &amp; forbrug'!$E$4:$E$291,'Produktion &amp; forbrug'!$F112)</f>
        <v>0</v>
      </c>
      <c r="I112" s="94">
        <f>SUMIFS('Resultat-Produktion &amp; forbrug'!I$4:I$291,'Resultat-Produktion &amp; forbrug'!$A$4:$A$291,'Produktion &amp; forbrug'!$A112,'Resultat-Produktion &amp; forbrug'!$E$4:$E$291,'Produktion &amp; forbrug'!$F112)</f>
        <v>0</v>
      </c>
      <c r="J112" s="94">
        <f>SUMIFS('Resultat-Produktion &amp; forbrug'!J$4:J$291,'Resultat-Produktion &amp; forbrug'!$A$4:$A$291,'Produktion &amp; forbrug'!$A112,'Resultat-Produktion &amp; forbrug'!$E$4:$E$291,'Produktion &amp; forbrug'!$F112)</f>
        <v>0</v>
      </c>
      <c r="K112" s="94">
        <f>SUMIFS('Resultat-Produktion &amp; forbrug'!K$4:K$291,'Resultat-Produktion &amp; forbrug'!$A$4:$A$291,'Produktion &amp; forbrug'!$A112,'Resultat-Produktion &amp; forbrug'!$E$4:$E$291,'Produktion &amp; forbrug'!$F112)</f>
        <v>0</v>
      </c>
      <c r="L112" s="94">
        <f>SUMIFS('Resultat-Produktion &amp; forbrug'!L$4:L$291,'Resultat-Produktion &amp; forbrug'!$A$4:$A$291,'Produktion &amp; forbrug'!$A112,'Resultat-Produktion &amp; forbrug'!$E$4:$E$291,'Produktion &amp; forbrug'!$F112)</f>
        <v>0</v>
      </c>
      <c r="M112" s="94">
        <f>SUMIFS('Resultat-Produktion &amp; forbrug'!M$4:M$291,'Resultat-Produktion &amp; forbrug'!$A$4:$A$291,'Produktion &amp; forbrug'!$A112,'Resultat-Produktion &amp; forbrug'!$E$4:$E$291,'Produktion &amp; forbrug'!$F112)</f>
        <v>0</v>
      </c>
      <c r="N112" s="94">
        <f>SUMIFS('Resultat-Produktion &amp; forbrug'!N$4:N$291,'Resultat-Produktion &amp; forbrug'!$A$4:$A$291,'Produktion &amp; forbrug'!$A112,'Resultat-Produktion &amp; forbrug'!$E$4:$E$291,'Produktion &amp; forbrug'!$F112)</f>
        <v>0</v>
      </c>
      <c r="O112" s="179">
        <f t="shared" si="18"/>
        <v>0</v>
      </c>
      <c r="P112" s="94">
        <f t="shared" si="19"/>
        <v>0</v>
      </c>
      <c r="Q112" s="180">
        <f t="shared" si="20"/>
        <v>0</v>
      </c>
      <c r="R112">
        <f>IFERROR(VLOOKUP(A112,[1]Energiindhold!$A$2:$C$11,3,FALSE),IFERROR(VLOOKUP(A112,[1]Biogasudbytte!$A$2:$B$18,2,FALSE)*[1]Energiindhold!$C$10,0))*P112</f>
        <v>0</v>
      </c>
      <c r="S112">
        <f>IF(A112&lt;&gt;"Biogas",IFERROR(VLOOKUP(A112,[1]Biogasudbytte!$A$2:$B$18,2,FALSE)*[1]Energiindhold!$C$10,0)*K112*IFERROR(VLOOKUP(A112,Biogasanlæg!$F$3:$G$8,2,FALSE),1)+IFERROR(VLOOKUP(A112,[1]Energiindhold!$A$2:$C$11,3,FALSE),0)*M112+IF(F112&lt;&gt;År1,R112,0),0)</f>
        <v>0</v>
      </c>
      <c r="T112">
        <f>IFERROR(VLOOKUP(A112,[1]Biogasudbytte!$A$2:$B$18,2,FALSE)*[1]Energiindhold!$C$10,0)*K112*IFERROR(VLOOKUP(A112,Biogasanlæg!$F$3:$G$8,2,FALSE),1)</f>
        <v>0</v>
      </c>
      <c r="U112" s="170">
        <f t="shared" si="21"/>
        <v>0</v>
      </c>
      <c r="V112" s="169">
        <f>P112*IFERROR(VLOOKUP(A112,[1]Tørstofindhold!A$2:B$24,2,FALSE),0)</f>
        <v>0</v>
      </c>
      <c r="W112">
        <f>IF(F112=År1,Q112,SUM(P112,Q112))*IFERROR(VLOOKUP(A112,[1]Tørstofindhold!A$2:B$24,2,FALSE),0)</f>
        <v>0</v>
      </c>
      <c r="X112">
        <f>K112*IFERROR(VLOOKUP(A112,[1]Tørstofindhold!A$2:B$24,2,FALSE),0)</f>
        <v>0</v>
      </c>
      <c r="Y112" s="170">
        <f t="shared" si="22"/>
        <v>0</v>
      </c>
      <c r="Z112">
        <f t="shared" si="26"/>
        <v>0</v>
      </c>
      <c r="AA112">
        <f t="shared" si="27"/>
        <v>0</v>
      </c>
      <c r="AC112" s="94">
        <f t="shared" si="23"/>
        <v>0</v>
      </c>
      <c r="AD112">
        <f>AC112*E112*10000*VLOOKUP(A112,[1]kcal!$A$2:$C$49,3,FALSE)/1000000000000*IFERROR(VLOOKUP(A112,'Kategorisering af kcal'!$A$2:$E$18,MATCH('Produktion &amp; forbrug'!F112,'Kategorisering af kcal'!$A$1:$E$1,0),FALSE),0)</f>
        <v>0</v>
      </c>
      <c r="AE112">
        <f>IF(C112&lt;&gt;"",AC112*(1-VLOOKUP(A112,'Kategorisering af kcal'!$A$2:$E$18,MATCH('Produktion &amp; forbrug'!F112,'Kategorisering af kcal'!$A$1:$E$1,0),FALSE)),'Produktion &amp; forbrug'!AC112)</f>
        <v>0</v>
      </c>
      <c r="AF112" s="94">
        <f t="shared" si="24"/>
        <v>0</v>
      </c>
    </row>
    <row r="113" spans="1:32" x14ac:dyDescent="0.25">
      <c r="A113" s="171" t="str">
        <f t="shared" si="12"/>
        <v>Græs</v>
      </c>
      <c r="B113" s="171" t="str">
        <f t="shared" si="13"/>
        <v>Græs og urter</v>
      </c>
      <c r="C113" s="171" t="str">
        <f>IFERROR(VLOOKUP(A113,'Kategorisering af kcal'!$A$2:$B$18,2,FALSE),"")</f>
        <v>Græs</v>
      </c>
      <c r="D113" s="171">
        <f>IF(COUNTIFS('Resultater - Danmark'!$D$3:$D$504,'Produktion &amp; forbrug'!A113,'Resultater - Danmark'!$A$3:$A$504,"Til energi")+COUNTIFS('Resultater - Danmark'!$D$3:$D$504,'Produktion &amp; forbrug'!A113,'Resultater - Danmark'!$A$3:$A$504,"Biogasanlæg")&gt;0,1,0)</f>
        <v>1</v>
      </c>
      <c r="E113" s="171">
        <f t="shared" si="15"/>
        <v>1</v>
      </c>
      <c r="F113" s="171">
        <f t="shared" si="25"/>
        <v>2050</v>
      </c>
      <c r="G113" s="94">
        <f>SUMIFS('Resultat-Produktion &amp; forbrug'!G$4:G$291,'Resultat-Produktion &amp; forbrug'!$A$4:$A$291,'Produktion &amp; forbrug'!$A113,'Resultat-Produktion &amp; forbrug'!$E$4:$E$291,'Produktion &amp; forbrug'!$F113)</f>
        <v>45842153.116651788</v>
      </c>
      <c r="H113" s="94">
        <f>SUMIFS('Resultat-Produktion &amp; forbrug'!H$4:H$291,'Resultat-Produktion &amp; forbrug'!$A$4:$A$291,'Produktion &amp; forbrug'!$A113,'Resultat-Produktion &amp; forbrug'!$E$4:$E$291,'Produktion &amp; forbrug'!$F113)</f>
        <v>8212587.6831170851</v>
      </c>
      <c r="I113" s="94">
        <f>SUMIFS('Resultat-Produktion &amp; forbrug'!I$4:I$291,'Resultat-Produktion &amp; forbrug'!$A$4:$A$291,'Produktion &amp; forbrug'!$A113,'Resultat-Produktion &amp; forbrug'!$E$4:$E$291,'Produktion &amp; forbrug'!$F113)</f>
        <v>0</v>
      </c>
      <c r="J113" s="94">
        <f>SUMIFS('Resultat-Produktion &amp; forbrug'!J$4:J$291,'Resultat-Produktion &amp; forbrug'!$A$4:$A$291,'Produktion &amp; forbrug'!$A113,'Resultat-Produktion &amp; forbrug'!$E$4:$E$291,'Produktion &amp; forbrug'!$F113)</f>
        <v>0</v>
      </c>
      <c r="K113" s="94">
        <f>SUMIFS('Resultat-Produktion &amp; forbrug'!K$4:K$291,'Resultat-Produktion &amp; forbrug'!$A$4:$A$291,'Produktion &amp; forbrug'!$A113,'Resultat-Produktion &amp; forbrug'!$E$4:$E$291,'Produktion &amp; forbrug'!$F113)</f>
        <v>0</v>
      </c>
      <c r="L113" s="94">
        <f>SUMIFS('Resultat-Produktion &amp; forbrug'!L$4:L$291,'Resultat-Produktion &amp; forbrug'!$A$4:$A$291,'Produktion &amp; forbrug'!$A113,'Resultat-Produktion &amp; forbrug'!$E$4:$E$291,'Produktion &amp; forbrug'!$F113)</f>
        <v>0</v>
      </c>
      <c r="M113" s="94">
        <f>SUMIFS('Resultat-Produktion &amp; forbrug'!M$4:M$291,'Resultat-Produktion &amp; forbrug'!$A$4:$A$291,'Produktion &amp; forbrug'!$A113,'Resultat-Produktion &amp; forbrug'!$E$4:$E$291,'Produktion &amp; forbrug'!$F113)</f>
        <v>0</v>
      </c>
      <c r="N113" s="94">
        <f>SUMIFS('Resultat-Produktion &amp; forbrug'!N$4:N$291,'Resultat-Produktion &amp; forbrug'!$A$4:$A$291,'Produktion &amp; forbrug'!$A113,'Resultat-Produktion &amp; forbrug'!$E$4:$E$291,'Produktion &amp; forbrug'!$F113)</f>
        <v>24680022.913306832</v>
      </c>
      <c r="O113" s="179">
        <f t="shared" si="18"/>
        <v>12949542.520227872</v>
      </c>
      <c r="P113" s="94">
        <f t="shared" si="19"/>
        <v>12949542.520227872</v>
      </c>
      <c r="Q113" s="180">
        <f t="shared" si="20"/>
        <v>0</v>
      </c>
      <c r="R113">
        <f>IFERROR(VLOOKUP(A113,[1]Energiindhold!$A$2:$C$11,3,FALSE),IFERROR(VLOOKUP(A113,[1]Biogasudbytte!$A$2:$B$18,2,FALSE)*[1]Energiindhold!$C$10,0))*P113</f>
        <v>23.825539544404258</v>
      </c>
      <c r="S113">
        <f>IF(A113&lt;&gt;"Biogas",IFERROR(VLOOKUP(A113,[1]Biogasudbytte!$A$2:$B$18,2,FALSE)*[1]Energiindhold!$C$10,0)*K113*IFERROR(VLOOKUP(A113,Biogasanlæg!$F$3:$G$8,2,FALSE),1)+IFERROR(VLOOKUP(A113,[1]Energiindhold!$A$2:$C$11,3,FALSE),0)*M113+IF(F113&lt;&gt;År1,R113,0),0)</f>
        <v>23.825539544404258</v>
      </c>
      <c r="T113">
        <f>IFERROR(VLOOKUP(A113,[1]Biogasudbytte!$A$2:$B$18,2,FALSE)*[1]Energiindhold!$C$10,0)*K113*IFERROR(VLOOKUP(A113,Biogasanlæg!$F$3:$G$8,2,FALSE),1)</f>
        <v>0</v>
      </c>
      <c r="U113" s="170">
        <f t="shared" si="21"/>
        <v>23.825539544404258</v>
      </c>
      <c r="V113" s="169">
        <f>P113*IFERROR(VLOOKUP(A113,[1]Tørstofindhold!A$2:B$24,2,FALSE),0)</f>
        <v>3625871.9056638046</v>
      </c>
      <c r="W113">
        <f>IF(F113=År1,Q113,SUM(P113,Q113))*IFERROR(VLOOKUP(A113,[1]Tørstofindhold!A$2:B$24,2,FALSE),0)</f>
        <v>3625871.9056638046</v>
      </c>
      <c r="X113">
        <f>K113*IFERROR(VLOOKUP(A113,[1]Tørstofindhold!A$2:B$24,2,FALSE),0)</f>
        <v>0</v>
      </c>
      <c r="Y113" s="170">
        <f t="shared" si="22"/>
        <v>3625871.9056638046</v>
      </c>
      <c r="Z113">
        <f t="shared" si="26"/>
        <v>0</v>
      </c>
      <c r="AA113">
        <f t="shared" si="27"/>
        <v>1</v>
      </c>
      <c r="AC113" s="94">
        <f>G113-SUMPRODUCT($H$2:$N$2,H113:N113)</f>
        <v>12949542.520227872</v>
      </c>
      <c r="AD113">
        <f>AC113*E113*10000*VLOOKUP(A113,[1]kcal!$A$2:$C$49,3,FALSE)/1000000000000*IFERROR(VLOOKUP(A113,'Kategorisering af kcal'!$A$2:$E$18,MATCH('Produktion &amp; forbrug'!F113,'Kategorisering af kcal'!$A$1:$E$1,0),FALSE),0)</f>
        <v>3.5611241930626654</v>
      </c>
      <c r="AE113">
        <f>IF(C113&lt;&gt;"",AC113*(1-VLOOKUP(A113,'Kategorisering af kcal'!$A$2:$E$18,MATCH('Produktion &amp; forbrug'!F113,'Kategorisering af kcal'!$A$1:$E$1,0),FALSE)),'Produktion &amp; forbrug'!AC113)</f>
        <v>2158257.0867046448</v>
      </c>
      <c r="AF113" s="94">
        <f>AC113-AE113</f>
        <v>10791285.433523227</v>
      </c>
    </row>
    <row r="114" spans="1:32" x14ac:dyDescent="0.25">
      <c r="A114" s="171" t="str">
        <f t="shared" si="12"/>
        <v>Græsprotein</v>
      </c>
      <c r="B114" s="171" t="str">
        <f t="shared" si="13"/>
        <v/>
      </c>
      <c r="C114" s="171" t="str">
        <f>IFERROR(VLOOKUP(A114,'Kategorisering af kcal'!$A$2:$B$18,2,FALSE),"")</f>
        <v/>
      </c>
      <c r="D114" s="171">
        <f>IF(COUNTIFS('Resultater - Danmark'!$D$3:$D$504,'Produktion &amp; forbrug'!A114,'Resultater - Danmark'!$A$3:$A$504,"Til energi")+COUNTIFS('Resultater - Danmark'!$D$3:$D$504,'Produktion &amp; forbrug'!A114,'Resultater - Danmark'!$A$3:$A$504,"Biogasanlæg")&gt;0,1,0)</f>
        <v>0</v>
      </c>
      <c r="E114" s="171">
        <f t="shared" si="15"/>
        <v>0</v>
      </c>
      <c r="F114" s="171">
        <f t="shared" si="25"/>
        <v>2050</v>
      </c>
      <c r="G114" s="94">
        <f>SUMIFS('Resultat-Produktion &amp; forbrug'!G$4:G$291,'Resultat-Produktion &amp; forbrug'!$A$4:$A$291,'Produktion &amp; forbrug'!$A114,'Resultat-Produktion &amp; forbrug'!$E$4:$E$291,'Produktion &amp; forbrug'!$F114)</f>
        <v>4125793.780498662</v>
      </c>
      <c r="H114" s="94">
        <f>SUMIFS('Resultat-Produktion &amp; forbrug'!H$4:H$291,'Resultat-Produktion &amp; forbrug'!$A$4:$A$291,'Produktion &amp; forbrug'!$A114,'Resultat-Produktion &amp; forbrug'!$E$4:$E$291,'Produktion &amp; forbrug'!$F114)</f>
        <v>4125793.780498662</v>
      </c>
      <c r="I114" s="94">
        <f>SUMIFS('Resultat-Produktion &amp; forbrug'!I$4:I$291,'Resultat-Produktion &amp; forbrug'!$A$4:$A$291,'Produktion &amp; forbrug'!$A114,'Resultat-Produktion &amp; forbrug'!$E$4:$E$291,'Produktion &amp; forbrug'!$F114)</f>
        <v>0</v>
      </c>
      <c r="J114" s="94">
        <f>SUMIFS('Resultat-Produktion &amp; forbrug'!J$4:J$291,'Resultat-Produktion &amp; forbrug'!$A$4:$A$291,'Produktion &amp; forbrug'!$A114,'Resultat-Produktion &amp; forbrug'!$E$4:$E$291,'Produktion &amp; forbrug'!$F114)</f>
        <v>0</v>
      </c>
      <c r="K114" s="94">
        <f>SUMIFS('Resultat-Produktion &amp; forbrug'!K$4:K$291,'Resultat-Produktion &amp; forbrug'!$A$4:$A$291,'Produktion &amp; forbrug'!$A114,'Resultat-Produktion &amp; forbrug'!$E$4:$E$291,'Produktion &amp; forbrug'!$F114)</f>
        <v>0</v>
      </c>
      <c r="L114" s="94">
        <f>SUMIFS('Resultat-Produktion &amp; forbrug'!L$4:L$291,'Resultat-Produktion &amp; forbrug'!$A$4:$A$291,'Produktion &amp; forbrug'!$A114,'Resultat-Produktion &amp; forbrug'!$E$4:$E$291,'Produktion &amp; forbrug'!$F114)</f>
        <v>0</v>
      </c>
      <c r="M114" s="94">
        <f>SUMIFS('Resultat-Produktion &amp; forbrug'!M$4:M$291,'Resultat-Produktion &amp; forbrug'!$A$4:$A$291,'Produktion &amp; forbrug'!$A114,'Resultat-Produktion &amp; forbrug'!$E$4:$E$291,'Produktion &amp; forbrug'!$F114)</f>
        <v>0</v>
      </c>
      <c r="N114" s="94">
        <f>SUMIFS('Resultat-Produktion &amp; forbrug'!N$4:N$291,'Resultat-Produktion &amp; forbrug'!$A$4:$A$291,'Produktion &amp; forbrug'!$A114,'Resultat-Produktion &amp; forbrug'!$E$4:$E$291,'Produktion &amp; forbrug'!$F114)</f>
        <v>0</v>
      </c>
      <c r="O114" s="179">
        <f t="shared" si="18"/>
        <v>0</v>
      </c>
      <c r="P114" s="94">
        <f t="shared" si="19"/>
        <v>0</v>
      </c>
      <c r="Q114" s="180">
        <f t="shared" si="20"/>
        <v>0</v>
      </c>
      <c r="R114">
        <f>IFERROR(VLOOKUP(A114,[1]Energiindhold!$A$2:$C$11,3,FALSE),IFERROR(VLOOKUP(A114,[1]Biogasudbytte!$A$2:$B$18,2,FALSE)*[1]Energiindhold!$C$10,0))*P114</f>
        <v>0</v>
      </c>
      <c r="S114">
        <f>IF(A114&lt;&gt;"Biogas",IFERROR(VLOOKUP(A114,[1]Biogasudbytte!$A$2:$B$18,2,FALSE)*[1]Energiindhold!$C$10,0)*K114*IFERROR(VLOOKUP(A114,Biogasanlæg!$F$3:$G$8,2,FALSE),1)+IFERROR(VLOOKUP(A114,[1]Energiindhold!$A$2:$C$11,3,FALSE),0)*M114+IF(F114&lt;&gt;År1,R114,0),0)</f>
        <v>0</v>
      </c>
      <c r="T114">
        <f>IFERROR(VLOOKUP(A114,[1]Biogasudbytte!$A$2:$B$18,2,FALSE)*[1]Energiindhold!$C$10,0)*K114*IFERROR(VLOOKUP(A114,Biogasanlæg!$F$3:$G$8,2,FALSE),1)</f>
        <v>0</v>
      </c>
      <c r="U114" s="170">
        <f t="shared" si="21"/>
        <v>0</v>
      </c>
      <c r="V114" s="169">
        <f>P114*IFERROR(VLOOKUP(A114,[1]Tørstofindhold!A$2:B$24,2,FALSE),0)</f>
        <v>0</v>
      </c>
      <c r="W114">
        <f>IF(F114=År1,Q114,SUM(P114,Q114))*IFERROR(VLOOKUP(A114,[1]Tørstofindhold!A$2:B$24,2,FALSE),0)</f>
        <v>0</v>
      </c>
      <c r="X114">
        <f>K114*IFERROR(VLOOKUP(A114,[1]Tørstofindhold!A$2:B$24,2,FALSE),0)</f>
        <v>0</v>
      </c>
      <c r="Y114" s="170">
        <f t="shared" si="22"/>
        <v>0</v>
      </c>
      <c r="Z114">
        <f t="shared" si="26"/>
        <v>0</v>
      </c>
      <c r="AA114">
        <f t="shared" si="27"/>
        <v>0</v>
      </c>
      <c r="AC114" s="94">
        <f t="shared" si="23"/>
        <v>0</v>
      </c>
      <c r="AD114">
        <f>AC114*E114*10000*VLOOKUP(A114,[1]kcal!$A$2:$C$49,3,FALSE)/1000000000000*IFERROR(VLOOKUP(A114,'Kategorisering af kcal'!$A$2:$E$18,MATCH('Produktion &amp; forbrug'!F114,'Kategorisering af kcal'!$A$1:$E$1,0),FALSE),0)</f>
        <v>0</v>
      </c>
      <c r="AE114">
        <f>IF(C114&lt;&gt;"",AC114*(1-VLOOKUP(A114,'Kategorisering af kcal'!$A$2:$E$18,MATCH('Produktion &amp; forbrug'!F114,'Kategorisering af kcal'!$A$1:$E$1,0),FALSE)),'Produktion &amp; forbrug'!AC114)</f>
        <v>0</v>
      </c>
      <c r="AF114" s="94">
        <f t="shared" si="24"/>
        <v>0</v>
      </c>
    </row>
    <row r="115" spans="1:32" x14ac:dyDescent="0.25">
      <c r="A115" s="171" t="str">
        <f t="shared" si="12"/>
        <v>Grøntsager</v>
      </c>
      <c r="B115" s="171" t="str">
        <f t="shared" si="13"/>
        <v/>
      </c>
      <c r="C115" s="171" t="str">
        <f>IFERROR(VLOOKUP(A115,'Kategorisering af kcal'!$A$2:$B$18,2,FALSE),"")</f>
        <v>Grøntsager</v>
      </c>
      <c r="D115" s="171">
        <f>IF(COUNTIFS('Resultater - Danmark'!$D$3:$D$504,'Produktion &amp; forbrug'!A115,'Resultater - Danmark'!$A$3:$A$504,"Til energi")+COUNTIFS('Resultater - Danmark'!$D$3:$D$504,'Produktion &amp; forbrug'!A115,'Resultater - Danmark'!$A$3:$A$504,"Biogasanlæg")&gt;0,1,0)</f>
        <v>0</v>
      </c>
      <c r="E115" s="171">
        <f t="shared" si="15"/>
        <v>1</v>
      </c>
      <c r="F115" s="171">
        <f t="shared" si="25"/>
        <v>2050</v>
      </c>
      <c r="G115" s="94">
        <f>SUMIFS('Resultat-Produktion &amp; forbrug'!G$4:G$291,'Resultat-Produktion &amp; forbrug'!$A$4:$A$291,'Produktion &amp; forbrug'!$A115,'Resultat-Produktion &amp; forbrug'!$E$4:$E$291,'Produktion &amp; forbrug'!$F115)</f>
        <v>402131.52042787225</v>
      </c>
      <c r="H115" s="94">
        <f>SUMIFS('Resultat-Produktion &amp; forbrug'!H$4:H$291,'Resultat-Produktion &amp; forbrug'!$A$4:$A$291,'Produktion &amp; forbrug'!$A115,'Resultat-Produktion &amp; forbrug'!$E$4:$E$291,'Produktion &amp; forbrug'!$F115)</f>
        <v>0</v>
      </c>
      <c r="I115" s="94">
        <f>SUMIFS('Resultat-Produktion &amp; forbrug'!I$4:I$291,'Resultat-Produktion &amp; forbrug'!$A$4:$A$291,'Produktion &amp; forbrug'!$A115,'Resultat-Produktion &amp; forbrug'!$E$4:$E$291,'Produktion &amp; forbrug'!$F115)</f>
        <v>0</v>
      </c>
      <c r="J115" s="94">
        <f>SUMIFS('Resultat-Produktion &amp; forbrug'!J$4:J$291,'Resultat-Produktion &amp; forbrug'!$A$4:$A$291,'Produktion &amp; forbrug'!$A115,'Resultat-Produktion &amp; forbrug'!$E$4:$E$291,'Produktion &amp; forbrug'!$F115)</f>
        <v>0</v>
      </c>
      <c r="K115" s="94">
        <f>SUMIFS('Resultat-Produktion &amp; forbrug'!K$4:K$291,'Resultat-Produktion &amp; forbrug'!$A$4:$A$291,'Produktion &amp; forbrug'!$A115,'Resultat-Produktion &amp; forbrug'!$E$4:$E$291,'Produktion &amp; forbrug'!$F115)</f>
        <v>0</v>
      </c>
      <c r="L115" s="94">
        <f>SUMIFS('Resultat-Produktion &amp; forbrug'!L$4:L$291,'Resultat-Produktion &amp; forbrug'!$A$4:$A$291,'Produktion &amp; forbrug'!$A115,'Resultat-Produktion &amp; forbrug'!$E$4:$E$291,'Produktion &amp; forbrug'!$F115)</f>
        <v>0</v>
      </c>
      <c r="M115" s="94">
        <f>SUMIFS('Resultat-Produktion &amp; forbrug'!M$4:M$291,'Resultat-Produktion &amp; forbrug'!$A$4:$A$291,'Produktion &amp; forbrug'!$A115,'Resultat-Produktion &amp; forbrug'!$E$4:$E$291,'Produktion &amp; forbrug'!$F115)</f>
        <v>0</v>
      </c>
      <c r="N115" s="94">
        <f>SUMIFS('Resultat-Produktion &amp; forbrug'!N$4:N$291,'Resultat-Produktion &amp; forbrug'!$A$4:$A$291,'Produktion &amp; forbrug'!$A115,'Resultat-Produktion &amp; forbrug'!$E$4:$E$291,'Produktion &amp; forbrug'!$F115)</f>
        <v>0</v>
      </c>
      <c r="O115" s="179">
        <f t="shared" si="18"/>
        <v>402131.52042787225</v>
      </c>
      <c r="P115" s="94">
        <f t="shared" si="19"/>
        <v>0</v>
      </c>
      <c r="Q115" s="180">
        <f t="shared" si="20"/>
        <v>0</v>
      </c>
      <c r="R115">
        <f>IFERROR(VLOOKUP(A115,[1]Energiindhold!$A$2:$C$11,3,FALSE),IFERROR(VLOOKUP(A115,[1]Biogasudbytte!$A$2:$B$18,2,FALSE)*[1]Energiindhold!$C$10,0))*P115</f>
        <v>0</v>
      </c>
      <c r="S115">
        <f>IF(A115&lt;&gt;"Biogas",IFERROR(VLOOKUP(A115,[1]Biogasudbytte!$A$2:$B$18,2,FALSE)*[1]Energiindhold!$C$10,0)*K115*IFERROR(VLOOKUP(A115,Biogasanlæg!$F$3:$G$8,2,FALSE),1)+IFERROR(VLOOKUP(A115,[1]Energiindhold!$A$2:$C$11,3,FALSE),0)*M115+IF(F115&lt;&gt;År1,R115,0),0)</f>
        <v>0</v>
      </c>
      <c r="T115">
        <f>IFERROR(VLOOKUP(A115,[1]Biogasudbytte!$A$2:$B$18,2,FALSE)*[1]Energiindhold!$C$10,0)*K115*IFERROR(VLOOKUP(A115,Biogasanlæg!$F$3:$G$8,2,FALSE),1)</f>
        <v>0</v>
      </c>
      <c r="U115" s="170">
        <f t="shared" si="21"/>
        <v>0</v>
      </c>
      <c r="V115" s="169">
        <f>P115*IFERROR(VLOOKUP(A115,[1]Tørstofindhold!A$2:B$24,2,FALSE),0)</f>
        <v>0</v>
      </c>
      <c r="W115">
        <f>IF(F115=År1,Q115,SUM(P115,Q115))*IFERROR(VLOOKUP(A115,[1]Tørstofindhold!A$2:B$24,2,FALSE),0)</f>
        <v>0</v>
      </c>
      <c r="X115">
        <f>K115*IFERROR(VLOOKUP(A115,[1]Tørstofindhold!A$2:B$24,2,FALSE),0)</f>
        <v>0</v>
      </c>
      <c r="Y115" s="170">
        <f t="shared" si="22"/>
        <v>0</v>
      </c>
      <c r="Z115">
        <f t="shared" si="26"/>
        <v>0</v>
      </c>
      <c r="AA115">
        <f t="shared" si="27"/>
        <v>1</v>
      </c>
      <c r="AC115" s="94">
        <f t="shared" si="23"/>
        <v>402131.52042787225</v>
      </c>
      <c r="AD115">
        <f>AC115*E115*10000*VLOOKUP(A115,[1]kcal!$A$2:$C$49,3,FALSE)/1000000000000*IFERROR(VLOOKUP(A115,'Kategorisering af kcal'!$A$2:$E$18,MATCH('Produktion &amp; forbrug'!F115,'Kategorisering af kcal'!$A$1:$E$1,0),FALSE),0)</f>
        <v>0.15683129296687018</v>
      </c>
      <c r="AE115">
        <f>IF(C115&lt;&gt;"",AC115*(1-VLOOKUP(A115,'Kategorisering af kcal'!$A$2:$E$18,MATCH('Produktion &amp; forbrug'!F115,'Kategorisering af kcal'!$A$1:$E$1,0),FALSE)),'Produktion &amp; forbrug'!AC115)</f>
        <v>0</v>
      </c>
      <c r="AF115" s="94">
        <f t="shared" si="24"/>
        <v>402131.52042787225</v>
      </c>
    </row>
    <row r="116" spans="1:32" x14ac:dyDescent="0.25">
      <c r="A116" s="171" t="str">
        <f t="shared" ref="A116:A147" si="28">A68</f>
        <v>Halm</v>
      </c>
      <c r="B116" s="171" t="str">
        <f t="shared" ref="B116:B147" si="29">IF(B68&lt;&gt;"",B68,"")</f>
        <v>Halm og strå</v>
      </c>
      <c r="C116" s="171" t="str">
        <f>IFERROR(VLOOKUP(A116,'Kategorisering af kcal'!$A$2:$B$18,2,FALSE),"")</f>
        <v/>
      </c>
      <c r="D116" s="171">
        <f>IF(COUNTIFS('Resultater - Danmark'!$D$3:$D$504,'Produktion &amp; forbrug'!A116,'Resultater - Danmark'!$A$3:$A$504,"Til energi")+COUNTIFS('Resultater - Danmark'!$D$3:$D$504,'Produktion &amp; forbrug'!A116,'Resultater - Danmark'!$A$3:$A$504,"Biogasanlæg")&gt;0,1,0)</f>
        <v>1</v>
      </c>
      <c r="E116" s="171">
        <f t="shared" si="15"/>
        <v>0</v>
      </c>
      <c r="F116" s="171">
        <f t="shared" si="25"/>
        <v>2050</v>
      </c>
      <c r="G116" s="94">
        <f>SUMIFS('Resultat-Produktion &amp; forbrug'!G$4:G$291,'Resultat-Produktion &amp; forbrug'!$A$4:$A$291,'Produktion &amp; forbrug'!$A116,'Resultat-Produktion &amp; forbrug'!$E$4:$E$291,'Produktion &amp; forbrug'!$F116)</f>
        <v>950423.01385351282</v>
      </c>
      <c r="H116" s="94">
        <f>SUMIFS('Resultat-Produktion &amp; forbrug'!H$4:H$291,'Resultat-Produktion &amp; forbrug'!$A$4:$A$291,'Produktion &amp; forbrug'!$A116,'Resultat-Produktion &amp; forbrug'!$E$4:$E$291,'Produktion &amp; forbrug'!$F116)</f>
        <v>233575.21375434336</v>
      </c>
      <c r="I116" s="94">
        <f>SUMIFS('Resultat-Produktion &amp; forbrug'!I$4:I$291,'Resultat-Produktion &amp; forbrug'!$A$4:$A$291,'Produktion &amp; forbrug'!$A116,'Resultat-Produktion &amp; forbrug'!$E$4:$E$291,'Produktion &amp; forbrug'!$F116)</f>
        <v>588557.83222500014</v>
      </c>
      <c r="J116" s="94">
        <f>SUMIFS('Resultat-Produktion &amp; forbrug'!J$4:J$291,'Resultat-Produktion &amp; forbrug'!$A$4:$A$291,'Produktion &amp; forbrug'!$A116,'Resultat-Produktion &amp; forbrug'!$E$4:$E$291,'Produktion &amp; forbrug'!$F116)</f>
        <v>0</v>
      </c>
      <c r="K116" s="94">
        <f>SUMIFS('Resultat-Produktion &amp; forbrug'!K$4:K$291,'Resultat-Produktion &amp; forbrug'!$A$4:$A$291,'Produktion &amp; forbrug'!$A116,'Resultat-Produktion &amp; forbrug'!$E$4:$E$291,'Produktion &amp; forbrug'!$F116)</f>
        <v>0</v>
      </c>
      <c r="L116" s="94">
        <f>SUMIFS('Resultat-Produktion &amp; forbrug'!L$4:L$291,'Resultat-Produktion &amp; forbrug'!$A$4:$A$291,'Produktion &amp; forbrug'!$A116,'Resultat-Produktion &amp; forbrug'!$E$4:$E$291,'Produktion &amp; forbrug'!$F116)</f>
        <v>0</v>
      </c>
      <c r="M116" s="94">
        <f>SUMIFS('Resultat-Produktion &amp; forbrug'!M$4:M$291,'Resultat-Produktion &amp; forbrug'!$A$4:$A$291,'Produktion &amp; forbrug'!$A116,'Resultat-Produktion &amp; forbrug'!$E$4:$E$291,'Produktion &amp; forbrug'!$F116)</f>
        <v>128289.96787416932</v>
      </c>
      <c r="N116" s="94">
        <f>SUMIFS('Resultat-Produktion &amp; forbrug'!N$4:N$291,'Resultat-Produktion &amp; forbrug'!$A$4:$A$291,'Produktion &amp; forbrug'!$A116,'Resultat-Produktion &amp; forbrug'!$E$4:$E$291,'Produktion &amp; forbrug'!$F116)</f>
        <v>0</v>
      </c>
      <c r="O116" s="179">
        <f t="shared" si="18"/>
        <v>0</v>
      </c>
      <c r="P116" s="94">
        <f t="shared" si="19"/>
        <v>0</v>
      </c>
      <c r="Q116" s="180">
        <f t="shared" si="20"/>
        <v>128289.96787416932</v>
      </c>
      <c r="R116">
        <f>IFERROR(VLOOKUP(A116,[1]Energiindhold!$A$2:$C$11,3,FALSE),IFERROR(VLOOKUP(A116,[1]Biogasudbytte!$A$2:$B$18,2,FALSE)*[1]Energiindhold!$C$10,0))*P116</f>
        <v>0</v>
      </c>
      <c r="S116">
        <f>IF(A116&lt;&gt;"Biogas",IFERROR(VLOOKUP(A116,[1]Biogasudbytte!$A$2:$B$18,2,FALSE)*[1]Energiindhold!$C$10,0)*K116*IFERROR(VLOOKUP(A116,Biogasanlæg!$F$3:$G$8,2,FALSE),1)+IFERROR(VLOOKUP(A116,[1]Energiindhold!$A$2:$C$11,3,FALSE),0)*M116+IF(F116&lt;&gt;År1,R116,0),0)</f>
        <v>1.3259802632011832</v>
      </c>
      <c r="T116">
        <f>IFERROR(VLOOKUP(A116,[1]Biogasudbytte!$A$2:$B$18,2,FALSE)*[1]Energiindhold!$C$10,0)*K116*IFERROR(VLOOKUP(A116,Biogasanlæg!$F$3:$G$8,2,FALSE),1)</f>
        <v>0</v>
      </c>
      <c r="U116" s="170">
        <f t="shared" si="21"/>
        <v>1.3259802632011832</v>
      </c>
      <c r="V116" s="169">
        <f>P116*IFERROR(VLOOKUP(A116,[1]Tørstofindhold!A$2:B$24,2,FALSE),0)</f>
        <v>0</v>
      </c>
      <c r="W116">
        <f>IF(F116=År1,Q116,SUM(P116,Q116))*IFERROR(VLOOKUP(A116,[1]Tørstofindhold!A$2:B$24,2,FALSE),0)</f>
        <v>109046.47269304392</v>
      </c>
      <c r="X116">
        <f>K116*IFERROR(VLOOKUP(A116,[1]Tørstofindhold!A$2:B$24,2,FALSE),0)</f>
        <v>0</v>
      </c>
      <c r="Y116" s="170">
        <f t="shared" si="22"/>
        <v>109046.47269304392</v>
      </c>
      <c r="Z116">
        <f t="shared" si="26"/>
        <v>0</v>
      </c>
      <c r="AA116">
        <f t="shared" si="27"/>
        <v>0</v>
      </c>
      <c r="AC116" s="94">
        <f t="shared" si="23"/>
        <v>128289.96787416935</v>
      </c>
      <c r="AD116">
        <f>AC116*E116*10000*VLOOKUP(A116,[1]kcal!$A$2:$C$49,3,FALSE)/1000000000000*IFERROR(VLOOKUP(A116,'Kategorisering af kcal'!$A$2:$E$18,MATCH('Produktion &amp; forbrug'!F116,'Kategorisering af kcal'!$A$1:$E$1,0),FALSE),0)</f>
        <v>0</v>
      </c>
      <c r="AE116">
        <f>IF(C116&lt;&gt;"",AC116*(1-VLOOKUP(A116,'Kategorisering af kcal'!$A$2:$E$18,MATCH('Produktion &amp; forbrug'!F116,'Kategorisering af kcal'!$A$1:$E$1,0),FALSE)),'Produktion &amp; forbrug'!AC116)</f>
        <v>128289.96787416935</v>
      </c>
      <c r="AF116" s="94">
        <f t="shared" si="24"/>
        <v>0</v>
      </c>
    </row>
    <row r="117" spans="1:32" x14ac:dyDescent="0.25">
      <c r="A117" s="171" t="str">
        <f t="shared" si="28"/>
        <v>Have/parkaffald</v>
      </c>
      <c r="B117" s="171" t="str">
        <f t="shared" si="29"/>
        <v>Bionedbrydeligt affald</v>
      </c>
      <c r="C117" s="171" t="str">
        <f>IFERROR(VLOOKUP(A117,'Kategorisering af kcal'!$A$2:$B$18,2,FALSE),"")</f>
        <v/>
      </c>
      <c r="D117" s="171">
        <f>IF(COUNTIFS('Resultater - Danmark'!$D$3:$D$504,'Produktion &amp; forbrug'!A117,'Resultater - Danmark'!$A$3:$A$504,"Til energi")+COUNTIFS('Resultater - Danmark'!$D$3:$D$504,'Produktion &amp; forbrug'!A117,'Resultater - Danmark'!$A$3:$A$504,"Biogasanlæg")&gt;0,1,0)</f>
        <v>1</v>
      </c>
      <c r="E117" s="171">
        <f t="shared" ref="E117:E147" si="30">E69</f>
        <v>0</v>
      </c>
      <c r="F117" s="171">
        <f t="shared" si="25"/>
        <v>2050</v>
      </c>
      <c r="G117" s="94">
        <f>SUMIFS('Resultat-Produktion &amp; forbrug'!G$4:G$291,'Resultat-Produktion &amp; forbrug'!$A$4:$A$291,'Produktion &amp; forbrug'!$A117,'Resultat-Produktion &amp; forbrug'!$E$4:$E$291,'Produktion &amp; forbrug'!$F117)</f>
        <v>982809</v>
      </c>
      <c r="H117" s="94">
        <f>SUMIFS('Resultat-Produktion &amp; forbrug'!H$4:H$291,'Resultat-Produktion &amp; forbrug'!$A$4:$A$291,'Produktion &amp; forbrug'!$A117,'Resultat-Produktion &amp; forbrug'!$E$4:$E$291,'Produktion &amp; forbrug'!$F117)</f>
        <v>0</v>
      </c>
      <c r="I117" s="94">
        <f>SUMIFS('Resultat-Produktion &amp; forbrug'!I$4:I$291,'Resultat-Produktion &amp; forbrug'!$A$4:$A$291,'Produktion &amp; forbrug'!$A117,'Resultat-Produktion &amp; forbrug'!$E$4:$E$291,'Produktion &amp; forbrug'!$F117)</f>
        <v>0</v>
      </c>
      <c r="J117" s="94">
        <f>SUMIFS('Resultat-Produktion &amp; forbrug'!J$4:J$291,'Resultat-Produktion &amp; forbrug'!$A$4:$A$291,'Produktion &amp; forbrug'!$A117,'Resultat-Produktion &amp; forbrug'!$E$4:$E$291,'Produktion &amp; forbrug'!$F117)</f>
        <v>0</v>
      </c>
      <c r="K117" s="94">
        <f>SUMIFS('Resultat-Produktion &amp; forbrug'!K$4:K$291,'Resultat-Produktion &amp; forbrug'!$A$4:$A$291,'Produktion &amp; forbrug'!$A117,'Resultat-Produktion &amp; forbrug'!$E$4:$E$291,'Produktion &amp; forbrug'!$F117)</f>
        <v>0</v>
      </c>
      <c r="L117" s="94">
        <f>SUMIFS('Resultat-Produktion &amp; forbrug'!L$4:L$291,'Resultat-Produktion &amp; forbrug'!$A$4:$A$291,'Produktion &amp; forbrug'!$A117,'Resultat-Produktion &amp; forbrug'!$E$4:$E$291,'Produktion &amp; forbrug'!$F117)</f>
        <v>0</v>
      </c>
      <c r="M117" s="94">
        <f>SUMIFS('Resultat-Produktion &amp; forbrug'!M$4:M$291,'Resultat-Produktion &amp; forbrug'!$A$4:$A$291,'Produktion &amp; forbrug'!$A117,'Resultat-Produktion &amp; forbrug'!$E$4:$E$291,'Produktion &amp; forbrug'!$F117)</f>
        <v>982809</v>
      </c>
      <c r="N117" s="94">
        <f>SUMIFS('Resultat-Produktion &amp; forbrug'!N$4:N$291,'Resultat-Produktion &amp; forbrug'!$A$4:$A$291,'Produktion &amp; forbrug'!$A117,'Resultat-Produktion &amp; forbrug'!$E$4:$E$291,'Produktion &amp; forbrug'!$F117)</f>
        <v>0</v>
      </c>
      <c r="O117" s="179">
        <f t="shared" si="18"/>
        <v>0</v>
      </c>
      <c r="P117" s="94">
        <f t="shared" si="19"/>
        <v>0</v>
      </c>
      <c r="Q117" s="180">
        <f t="shared" si="20"/>
        <v>982809</v>
      </c>
      <c r="R117">
        <f>IFERROR(VLOOKUP(A117,[1]Energiindhold!$A$2:$C$11,3,FALSE),IFERROR(VLOOKUP(A117,[1]Biogasudbytte!$A$2:$B$18,2,FALSE)*[1]Energiindhold!$C$10,0))*P117</f>
        <v>0</v>
      </c>
      <c r="S117">
        <f>IF(A117&lt;&gt;"Biogas",IFERROR(VLOOKUP(A117,[1]Biogasudbytte!$A$2:$B$18,2,FALSE)*[1]Energiindhold!$C$10,0)*K117*IFERROR(VLOOKUP(A117,Biogasanlæg!$F$3:$G$8,2,FALSE),1)+IFERROR(VLOOKUP(A117,[1]Energiindhold!$A$2:$C$11,3,FALSE),0)*M117+IF(F117&lt;&gt;År1,R117,0),0)</f>
        <v>17.545322997702911</v>
      </c>
      <c r="T117">
        <f>IFERROR(VLOOKUP(A117,[1]Biogasudbytte!$A$2:$B$18,2,FALSE)*[1]Energiindhold!$C$10,0)*K117*IFERROR(VLOOKUP(A117,Biogasanlæg!$F$3:$G$8,2,FALSE),1)</f>
        <v>0</v>
      </c>
      <c r="U117" s="170">
        <f t="shared" si="21"/>
        <v>17.545322997702911</v>
      </c>
      <c r="V117" s="169">
        <f>P117*IFERROR(VLOOKUP(A117,[1]Tørstofindhold!A$2:B$24,2,FALSE),0)</f>
        <v>0</v>
      </c>
      <c r="W117">
        <f>IF(F117=År1,Q117,SUM(P117,Q117))*IFERROR(VLOOKUP(A117,[1]Tørstofindhold!A$2:B$24,2,FALSE),0)</f>
        <v>294842.7</v>
      </c>
      <c r="X117">
        <f>K117*IFERROR(VLOOKUP(A117,[1]Tørstofindhold!A$2:B$24,2,FALSE),0)</f>
        <v>0</v>
      </c>
      <c r="Y117" s="170">
        <f t="shared" si="22"/>
        <v>294842.7</v>
      </c>
      <c r="Z117">
        <f t="shared" si="26"/>
        <v>0</v>
      </c>
      <c r="AA117">
        <f t="shared" si="27"/>
        <v>0</v>
      </c>
      <c r="AC117" s="94">
        <f t="shared" si="23"/>
        <v>982809</v>
      </c>
      <c r="AD117">
        <f>AC117*E117*10000*VLOOKUP(A117,[1]kcal!$A$2:$C$49,3,FALSE)/1000000000000*IFERROR(VLOOKUP(A117,'Kategorisering af kcal'!$A$2:$E$18,MATCH('Produktion &amp; forbrug'!F117,'Kategorisering af kcal'!$A$1:$E$1,0),FALSE),0)</f>
        <v>0</v>
      </c>
      <c r="AE117">
        <f>IF(C117&lt;&gt;"",AC117*(1-VLOOKUP(A117,'Kategorisering af kcal'!$A$2:$E$18,MATCH('Produktion &amp; forbrug'!F117,'Kategorisering af kcal'!$A$1:$E$1,0),FALSE)),'Produktion &amp; forbrug'!AC117)</f>
        <v>982809</v>
      </c>
      <c r="AF117" s="94">
        <f t="shared" si="24"/>
        <v>0</v>
      </c>
    </row>
    <row r="118" spans="1:32" x14ac:dyDescent="0.25">
      <c r="A118" s="171" t="str">
        <f t="shared" si="28"/>
        <v>Import af foder</v>
      </c>
      <c r="B118" s="171" t="str">
        <f t="shared" si="29"/>
        <v/>
      </c>
      <c r="C118" s="171" t="str">
        <f>IFERROR(VLOOKUP(A118,'Kategorisering af kcal'!$A$2:$B$18,2,FALSE),"")</f>
        <v>Olieafgrøder</v>
      </c>
      <c r="D118" s="171">
        <f>IF(COUNTIFS('Resultater - Danmark'!$D$3:$D$504,'Produktion &amp; forbrug'!A118,'Resultater - Danmark'!$A$3:$A$504,"Til energi")+COUNTIFS('Resultater - Danmark'!$D$3:$D$504,'Produktion &amp; forbrug'!A118,'Resultater - Danmark'!$A$3:$A$504,"Biogasanlæg")&gt;0,1,0)</f>
        <v>0</v>
      </c>
      <c r="E118" s="171">
        <f t="shared" si="30"/>
        <v>1</v>
      </c>
      <c r="F118" s="171">
        <f t="shared" si="25"/>
        <v>2050</v>
      </c>
      <c r="G118" s="94">
        <f>SUMIFS('Resultat-Produktion &amp; forbrug'!G$4:G$291,'Resultat-Produktion &amp; forbrug'!$A$4:$A$291,'Produktion &amp; forbrug'!$A118,'Resultat-Produktion &amp; forbrug'!$E$4:$E$291,'Produktion &amp; forbrug'!$F118)</f>
        <v>0</v>
      </c>
      <c r="H118" s="94">
        <f>SUMIFS('Resultat-Produktion &amp; forbrug'!H$4:H$291,'Resultat-Produktion &amp; forbrug'!$A$4:$A$291,'Produktion &amp; forbrug'!$A118,'Resultat-Produktion &amp; forbrug'!$E$4:$E$291,'Produktion &amp; forbrug'!$F118)</f>
        <v>0</v>
      </c>
      <c r="I118" s="94">
        <f>SUMIFS('Resultat-Produktion &amp; forbrug'!I$4:I$291,'Resultat-Produktion &amp; forbrug'!$A$4:$A$291,'Produktion &amp; forbrug'!$A118,'Resultat-Produktion &amp; forbrug'!$E$4:$E$291,'Produktion &amp; forbrug'!$F118)</f>
        <v>0</v>
      </c>
      <c r="J118" s="94">
        <f>SUMIFS('Resultat-Produktion &amp; forbrug'!J$4:J$291,'Resultat-Produktion &amp; forbrug'!$A$4:$A$291,'Produktion &amp; forbrug'!$A118,'Resultat-Produktion &amp; forbrug'!$E$4:$E$291,'Produktion &amp; forbrug'!$F118)</f>
        <v>0</v>
      </c>
      <c r="K118" s="94">
        <f>SUMIFS('Resultat-Produktion &amp; forbrug'!K$4:K$291,'Resultat-Produktion &amp; forbrug'!$A$4:$A$291,'Produktion &amp; forbrug'!$A118,'Resultat-Produktion &amp; forbrug'!$E$4:$E$291,'Produktion &amp; forbrug'!$F118)</f>
        <v>0</v>
      </c>
      <c r="L118" s="94">
        <f>SUMIFS('Resultat-Produktion &amp; forbrug'!L$4:L$291,'Resultat-Produktion &amp; forbrug'!$A$4:$A$291,'Produktion &amp; forbrug'!$A118,'Resultat-Produktion &amp; forbrug'!$E$4:$E$291,'Produktion &amp; forbrug'!$F118)</f>
        <v>0</v>
      </c>
      <c r="M118" s="94">
        <f>SUMIFS('Resultat-Produktion &amp; forbrug'!M$4:M$291,'Resultat-Produktion &amp; forbrug'!$A$4:$A$291,'Produktion &amp; forbrug'!$A118,'Resultat-Produktion &amp; forbrug'!$E$4:$E$291,'Produktion &amp; forbrug'!$F118)</f>
        <v>0</v>
      </c>
      <c r="N118" s="94">
        <f>SUMIFS('Resultat-Produktion &amp; forbrug'!N$4:N$291,'Resultat-Produktion &amp; forbrug'!$A$4:$A$291,'Produktion &amp; forbrug'!$A118,'Resultat-Produktion &amp; forbrug'!$E$4:$E$291,'Produktion &amp; forbrug'!$F118)</f>
        <v>0</v>
      </c>
      <c r="O118" s="179">
        <f t="shared" si="18"/>
        <v>0</v>
      </c>
      <c r="P118" s="94">
        <f t="shared" si="19"/>
        <v>0</v>
      </c>
      <c r="Q118" s="180">
        <f t="shared" si="20"/>
        <v>0</v>
      </c>
      <c r="R118">
        <f>IFERROR(VLOOKUP(A118,[1]Energiindhold!$A$2:$C$11,3,FALSE),IFERROR(VLOOKUP(A118,[1]Biogasudbytte!$A$2:$B$18,2,FALSE)*[1]Energiindhold!$C$10,0))*P118</f>
        <v>0</v>
      </c>
      <c r="S118">
        <f>IF(A118&lt;&gt;"Biogas",IFERROR(VLOOKUP(A118,[1]Biogasudbytte!$A$2:$B$18,2,FALSE)*[1]Energiindhold!$C$10,0)*K118*IFERROR(VLOOKUP(A118,Biogasanlæg!$F$3:$G$8,2,FALSE),1)+IFERROR(VLOOKUP(A118,[1]Energiindhold!$A$2:$C$11,3,FALSE),0)*M118+IF(F118&lt;&gt;År1,R118,0),0)</f>
        <v>0</v>
      </c>
      <c r="T118">
        <f>IFERROR(VLOOKUP(A118,[1]Biogasudbytte!$A$2:$B$18,2,FALSE)*[1]Energiindhold!$C$10,0)*K118*IFERROR(VLOOKUP(A118,Biogasanlæg!$F$3:$G$8,2,FALSE),1)</f>
        <v>0</v>
      </c>
      <c r="U118" s="170">
        <f t="shared" si="21"/>
        <v>0</v>
      </c>
      <c r="V118" s="169">
        <f>P118*IFERROR(VLOOKUP(A118,[1]Tørstofindhold!A$2:B$24,2,FALSE),0)</f>
        <v>0</v>
      </c>
      <c r="W118">
        <f>IF(F118=År1,Q118,SUM(P118,Q118))*IFERROR(VLOOKUP(A118,[1]Tørstofindhold!A$2:B$24,2,FALSE),0)</f>
        <v>0</v>
      </c>
      <c r="X118">
        <f>K118*IFERROR(VLOOKUP(A118,[1]Tørstofindhold!A$2:B$24,2,FALSE),0)</f>
        <v>0</v>
      </c>
      <c r="Y118" s="170">
        <f t="shared" si="22"/>
        <v>0</v>
      </c>
      <c r="Z118">
        <f t="shared" si="26"/>
        <v>0</v>
      </c>
      <c r="AA118">
        <f t="shared" si="27"/>
        <v>0</v>
      </c>
      <c r="AC118" s="94">
        <f t="shared" si="23"/>
        <v>0</v>
      </c>
      <c r="AD118">
        <f>AC118*E118*10000*VLOOKUP(A118,[1]kcal!$A$2:$C$49,3,FALSE)/1000000000000*IFERROR(VLOOKUP(A118,'Kategorisering af kcal'!$A$2:$E$18,MATCH('Produktion &amp; forbrug'!F118,'Kategorisering af kcal'!$A$1:$E$1,0),FALSE),0)</f>
        <v>0</v>
      </c>
      <c r="AE118">
        <f>IF(C118&lt;&gt;"",AC118*(1-VLOOKUP(A118,'Kategorisering af kcal'!$A$2:$E$18,MATCH('Produktion &amp; forbrug'!F118,'Kategorisering af kcal'!$A$1:$E$1,0),FALSE)),'Produktion &amp; forbrug'!AC118)</f>
        <v>0</v>
      </c>
      <c r="AF118" s="94">
        <f t="shared" si="24"/>
        <v>0</v>
      </c>
    </row>
    <row r="119" spans="1:32" x14ac:dyDescent="0.25">
      <c r="A119" s="171" t="str">
        <f t="shared" si="28"/>
        <v>Industriaffald</v>
      </c>
      <c r="B119" s="171" t="str">
        <f t="shared" si="29"/>
        <v>Bionedbrydeligt affald</v>
      </c>
      <c r="C119" s="171" t="str">
        <f>IFERROR(VLOOKUP(A119,'Kategorisering af kcal'!$A$2:$B$18,2,FALSE),"")</f>
        <v/>
      </c>
      <c r="D119" s="171">
        <f>IF(COUNTIFS('Resultater - Danmark'!$D$3:$D$504,'Produktion &amp; forbrug'!A119,'Resultater - Danmark'!$A$3:$A$504,"Til energi")+COUNTIFS('Resultater - Danmark'!$D$3:$D$504,'Produktion &amp; forbrug'!A119,'Resultater - Danmark'!$A$3:$A$504,"Biogasanlæg")&gt;0,1,0)</f>
        <v>1</v>
      </c>
      <c r="E119" s="171">
        <f t="shared" si="30"/>
        <v>0</v>
      </c>
      <c r="F119" s="171">
        <f t="shared" si="25"/>
        <v>2050</v>
      </c>
      <c r="G119" s="94">
        <f>SUMIFS('Resultat-Produktion &amp; forbrug'!G$4:G$291,'Resultat-Produktion &amp; forbrug'!$A$4:$A$291,'Produktion &amp; forbrug'!$A119,'Resultat-Produktion &amp; forbrug'!$E$4:$E$291,'Produktion &amp; forbrug'!$F119)</f>
        <v>535001.3750734583</v>
      </c>
      <c r="H119" s="94">
        <f>SUMIFS('Resultat-Produktion &amp; forbrug'!H$4:H$291,'Resultat-Produktion &amp; forbrug'!$A$4:$A$291,'Produktion &amp; forbrug'!$A119,'Resultat-Produktion &amp; forbrug'!$E$4:$E$291,'Produktion &amp; forbrug'!$F119)</f>
        <v>0</v>
      </c>
      <c r="I119" s="94">
        <f>SUMIFS('Resultat-Produktion &amp; forbrug'!I$4:I$291,'Resultat-Produktion &amp; forbrug'!$A$4:$A$291,'Produktion &amp; forbrug'!$A119,'Resultat-Produktion &amp; forbrug'!$E$4:$E$291,'Produktion &amp; forbrug'!$F119)</f>
        <v>0</v>
      </c>
      <c r="J119" s="94">
        <f>SUMIFS('Resultat-Produktion &amp; forbrug'!J$4:J$291,'Resultat-Produktion &amp; forbrug'!$A$4:$A$291,'Produktion &amp; forbrug'!$A119,'Resultat-Produktion &amp; forbrug'!$E$4:$E$291,'Produktion &amp; forbrug'!$F119)</f>
        <v>0</v>
      </c>
      <c r="K119" s="94">
        <f>SUMIFS('Resultat-Produktion &amp; forbrug'!K$4:K$291,'Resultat-Produktion &amp; forbrug'!$A$4:$A$291,'Produktion &amp; forbrug'!$A119,'Resultat-Produktion &amp; forbrug'!$E$4:$E$291,'Produktion &amp; forbrug'!$F119)</f>
        <v>0</v>
      </c>
      <c r="L119" s="94">
        <f>SUMIFS('Resultat-Produktion &amp; forbrug'!L$4:L$291,'Resultat-Produktion &amp; forbrug'!$A$4:$A$291,'Produktion &amp; forbrug'!$A119,'Resultat-Produktion &amp; forbrug'!$E$4:$E$291,'Produktion &amp; forbrug'!$F119)</f>
        <v>0</v>
      </c>
      <c r="M119" s="94">
        <f>SUMIFS('Resultat-Produktion &amp; forbrug'!M$4:M$291,'Resultat-Produktion &amp; forbrug'!$A$4:$A$291,'Produktion &amp; forbrug'!$A119,'Resultat-Produktion &amp; forbrug'!$E$4:$E$291,'Produktion &amp; forbrug'!$F119)</f>
        <v>0</v>
      </c>
      <c r="N119" s="94">
        <f>SUMIFS('Resultat-Produktion &amp; forbrug'!N$4:N$291,'Resultat-Produktion &amp; forbrug'!$A$4:$A$291,'Produktion &amp; forbrug'!$A119,'Resultat-Produktion &amp; forbrug'!$E$4:$E$291,'Produktion &amp; forbrug'!$F119)</f>
        <v>0</v>
      </c>
      <c r="O119" s="179">
        <f t="shared" si="18"/>
        <v>535001.3750734583</v>
      </c>
      <c r="P119" s="94">
        <f t="shared" si="19"/>
        <v>535001.3750734583</v>
      </c>
      <c r="Q119" s="180">
        <f t="shared" si="20"/>
        <v>0</v>
      </c>
      <c r="R119">
        <f>IFERROR(VLOOKUP(A119,[1]Energiindhold!$A$2:$C$11,3,FALSE),IFERROR(VLOOKUP(A119,[1]Biogasudbytte!$A$2:$B$18,2,FALSE)*[1]Energiindhold!$C$10,0))*P119</f>
        <v>2.3182305083720545</v>
      </c>
      <c r="S119">
        <f>IF(A119&lt;&gt;"Biogas",IFERROR(VLOOKUP(A119,[1]Biogasudbytte!$A$2:$B$18,2,FALSE)*[1]Energiindhold!$C$10,0)*K119*IFERROR(VLOOKUP(A119,Biogasanlæg!$F$3:$G$8,2,FALSE),1)+IFERROR(VLOOKUP(A119,[1]Energiindhold!$A$2:$C$11,3,FALSE),0)*M119+IF(F119&lt;&gt;År1,R119,0),0)</f>
        <v>2.3182305083720545</v>
      </c>
      <c r="T119">
        <f>IFERROR(VLOOKUP(A119,[1]Biogasudbytte!$A$2:$B$18,2,FALSE)*[1]Energiindhold!$C$10,0)*K119*IFERROR(VLOOKUP(A119,Biogasanlæg!$F$3:$G$8,2,FALSE),1)</f>
        <v>0</v>
      </c>
      <c r="U119" s="170">
        <f t="shared" si="21"/>
        <v>2.3182305083720545</v>
      </c>
      <c r="V119" s="169">
        <f>P119*IFERROR(VLOOKUP(A119,[1]Tørstofindhold!A$2:B$24,2,FALSE),0)</f>
        <v>224700.57753085249</v>
      </c>
      <c r="W119">
        <f>IF(F119=År1,Q119,SUM(P119,Q119))*IFERROR(VLOOKUP(A119,[1]Tørstofindhold!A$2:B$24,2,FALSE),0)</f>
        <v>224700.57753085249</v>
      </c>
      <c r="X119">
        <f>K119*IFERROR(VLOOKUP(A119,[1]Tørstofindhold!A$2:B$24,2,FALSE),0)</f>
        <v>0</v>
      </c>
      <c r="Y119" s="170">
        <f t="shared" si="22"/>
        <v>224700.57753085249</v>
      </c>
      <c r="Z119">
        <f t="shared" si="26"/>
        <v>0</v>
      </c>
      <c r="AA119">
        <f t="shared" si="27"/>
        <v>1</v>
      </c>
      <c r="AC119" s="94">
        <f t="shared" si="23"/>
        <v>535001.3750734583</v>
      </c>
      <c r="AD119">
        <f>AC119*E119*10000*VLOOKUP(A119,[1]kcal!$A$2:$C$49,3,FALSE)/1000000000000*IFERROR(VLOOKUP(A119,'Kategorisering af kcal'!$A$2:$E$18,MATCH('Produktion &amp; forbrug'!F119,'Kategorisering af kcal'!$A$1:$E$1,0),FALSE),0)</f>
        <v>0</v>
      </c>
      <c r="AE119">
        <f>IF(C119&lt;&gt;"",AC119*(1-VLOOKUP(A119,'Kategorisering af kcal'!$A$2:$E$18,MATCH('Produktion &amp; forbrug'!F119,'Kategorisering af kcal'!$A$1:$E$1,0),FALSE)),'Produktion &amp; forbrug'!AC119)</f>
        <v>535001.3750734583</v>
      </c>
      <c r="AF119" s="94">
        <f t="shared" si="24"/>
        <v>0</v>
      </c>
    </row>
    <row r="120" spans="1:32" x14ac:dyDescent="0.25">
      <c r="A120" s="171" t="str">
        <f t="shared" si="28"/>
        <v>Juletræer</v>
      </c>
      <c r="B120" s="171" t="str">
        <f t="shared" si="29"/>
        <v/>
      </c>
      <c r="C120" s="171" t="str">
        <f>IFERROR(VLOOKUP(A120,'Kategorisering af kcal'!$A$2:$B$18,2,FALSE),"")</f>
        <v/>
      </c>
      <c r="D120" s="171">
        <f>IF(COUNTIFS('Resultater - Danmark'!$D$3:$D$504,'Produktion &amp; forbrug'!A120,'Resultater - Danmark'!$A$3:$A$504,"Til energi")+COUNTIFS('Resultater - Danmark'!$D$3:$D$504,'Produktion &amp; forbrug'!A120,'Resultater - Danmark'!$A$3:$A$504,"Biogasanlæg")&gt;0,1,0)</f>
        <v>0</v>
      </c>
      <c r="E120" s="171">
        <f t="shared" si="30"/>
        <v>0</v>
      </c>
      <c r="F120" s="171">
        <f t="shared" si="25"/>
        <v>2050</v>
      </c>
      <c r="G120" s="94">
        <f>SUMIFS('Resultat-Produktion &amp; forbrug'!G$4:G$291,'Resultat-Produktion &amp; forbrug'!$A$4:$A$291,'Produktion &amp; forbrug'!$A120,'Resultat-Produktion &amp; forbrug'!$E$4:$E$291,'Produktion &amp; forbrug'!$F120)</f>
        <v>515416.99573239626</v>
      </c>
      <c r="H120" s="94">
        <f>SUMIFS('Resultat-Produktion &amp; forbrug'!H$4:H$291,'Resultat-Produktion &amp; forbrug'!$A$4:$A$291,'Produktion &amp; forbrug'!$A120,'Resultat-Produktion &amp; forbrug'!$E$4:$E$291,'Produktion &amp; forbrug'!$F120)</f>
        <v>0</v>
      </c>
      <c r="I120" s="94">
        <f>SUMIFS('Resultat-Produktion &amp; forbrug'!I$4:I$291,'Resultat-Produktion &amp; forbrug'!$A$4:$A$291,'Produktion &amp; forbrug'!$A120,'Resultat-Produktion &amp; forbrug'!$E$4:$E$291,'Produktion &amp; forbrug'!$F120)</f>
        <v>0</v>
      </c>
      <c r="J120" s="94">
        <f>SUMIFS('Resultat-Produktion &amp; forbrug'!J$4:J$291,'Resultat-Produktion &amp; forbrug'!$A$4:$A$291,'Produktion &amp; forbrug'!$A120,'Resultat-Produktion &amp; forbrug'!$E$4:$E$291,'Produktion &amp; forbrug'!$F120)</f>
        <v>0</v>
      </c>
      <c r="K120" s="94">
        <f>SUMIFS('Resultat-Produktion &amp; forbrug'!K$4:K$291,'Resultat-Produktion &amp; forbrug'!$A$4:$A$291,'Produktion &amp; forbrug'!$A120,'Resultat-Produktion &amp; forbrug'!$E$4:$E$291,'Produktion &amp; forbrug'!$F120)</f>
        <v>0</v>
      </c>
      <c r="L120" s="94">
        <f>SUMIFS('Resultat-Produktion &amp; forbrug'!L$4:L$291,'Resultat-Produktion &amp; forbrug'!$A$4:$A$291,'Produktion &amp; forbrug'!$A120,'Resultat-Produktion &amp; forbrug'!$E$4:$E$291,'Produktion &amp; forbrug'!$F120)</f>
        <v>0</v>
      </c>
      <c r="M120" s="94">
        <f>SUMIFS('Resultat-Produktion &amp; forbrug'!M$4:M$291,'Resultat-Produktion &amp; forbrug'!$A$4:$A$291,'Produktion &amp; forbrug'!$A120,'Resultat-Produktion &amp; forbrug'!$E$4:$E$291,'Produktion &amp; forbrug'!$F120)</f>
        <v>0</v>
      </c>
      <c r="N120" s="94">
        <f>SUMIFS('Resultat-Produktion &amp; forbrug'!N$4:N$291,'Resultat-Produktion &amp; forbrug'!$A$4:$A$291,'Produktion &amp; forbrug'!$A120,'Resultat-Produktion &amp; forbrug'!$E$4:$E$291,'Produktion &amp; forbrug'!$F120)</f>
        <v>0</v>
      </c>
      <c r="O120" s="179">
        <f t="shared" si="18"/>
        <v>515416.99573239626</v>
      </c>
      <c r="P120" s="94">
        <f t="shared" si="19"/>
        <v>0</v>
      </c>
      <c r="Q120" s="180">
        <f t="shared" si="20"/>
        <v>0</v>
      </c>
      <c r="R120">
        <f>IFERROR(VLOOKUP(A120,[1]Energiindhold!$A$2:$C$11,3,FALSE),IFERROR(VLOOKUP(A120,[1]Biogasudbytte!$A$2:$B$18,2,FALSE)*[1]Energiindhold!$C$10,0))*P120</f>
        <v>0</v>
      </c>
      <c r="S120">
        <f>IF(A120&lt;&gt;"Biogas",IFERROR(VLOOKUP(A120,[1]Biogasudbytte!$A$2:$B$18,2,FALSE)*[1]Energiindhold!$C$10,0)*K120*IFERROR(VLOOKUP(A120,Biogasanlæg!$F$3:$G$8,2,FALSE),1)+IFERROR(VLOOKUP(A120,[1]Energiindhold!$A$2:$C$11,3,FALSE),0)*M120+IF(F120&lt;&gt;År1,R120,0),0)</f>
        <v>0</v>
      </c>
      <c r="T120">
        <f>IFERROR(VLOOKUP(A120,[1]Biogasudbytte!$A$2:$B$18,2,FALSE)*[1]Energiindhold!$C$10,0)*K120*IFERROR(VLOOKUP(A120,Biogasanlæg!$F$3:$G$8,2,FALSE),1)</f>
        <v>0</v>
      </c>
      <c r="U120" s="170">
        <f t="shared" si="21"/>
        <v>0</v>
      </c>
      <c r="V120" s="169">
        <f>P120*IFERROR(VLOOKUP(A120,[1]Tørstofindhold!A$2:B$24,2,FALSE),0)</f>
        <v>0</v>
      </c>
      <c r="W120">
        <f>IF(F120=År1,Q120,SUM(P120,Q120))*IFERROR(VLOOKUP(A120,[1]Tørstofindhold!A$2:B$24,2,FALSE),0)</f>
        <v>0</v>
      </c>
      <c r="X120">
        <f>K120*IFERROR(VLOOKUP(A120,[1]Tørstofindhold!A$2:B$24,2,FALSE),0)</f>
        <v>0</v>
      </c>
      <c r="Y120" s="170">
        <f t="shared" si="22"/>
        <v>0</v>
      </c>
      <c r="Z120">
        <f t="shared" si="26"/>
        <v>0</v>
      </c>
      <c r="AA120">
        <f t="shared" si="27"/>
        <v>1</v>
      </c>
      <c r="AC120" s="94">
        <f t="shared" si="23"/>
        <v>515416.99573239626</v>
      </c>
      <c r="AD120">
        <f>AC120*E120*10000*VLOOKUP(A120,[1]kcal!$A$2:$C$49,3,FALSE)/1000000000000*IFERROR(VLOOKUP(A120,'Kategorisering af kcal'!$A$2:$E$18,MATCH('Produktion &amp; forbrug'!F120,'Kategorisering af kcal'!$A$1:$E$1,0),FALSE),0)</f>
        <v>0</v>
      </c>
      <c r="AE120">
        <f>IF(C120&lt;&gt;"",AC120*(1-VLOOKUP(A120,'Kategorisering af kcal'!$A$2:$E$18,MATCH('Produktion &amp; forbrug'!F120,'Kategorisering af kcal'!$A$1:$E$1,0),FALSE)),'Produktion &amp; forbrug'!AC120)</f>
        <v>515416.99573239626</v>
      </c>
      <c r="AF120" s="94">
        <f t="shared" si="24"/>
        <v>0</v>
      </c>
    </row>
    <row r="121" spans="1:32" x14ac:dyDescent="0.25">
      <c r="A121" s="171" t="str">
        <f t="shared" si="28"/>
        <v>Kartofler</v>
      </c>
      <c r="B121" s="171" t="str">
        <f t="shared" si="29"/>
        <v/>
      </c>
      <c r="C121" s="171" t="str">
        <f>IFERROR(VLOOKUP(A121,'Kategorisering af kcal'!$A$2:$B$18,2,FALSE),"")</f>
        <v>Kartofler</v>
      </c>
      <c r="D121" s="171">
        <f>IF(COUNTIFS('Resultater - Danmark'!$D$3:$D$504,'Produktion &amp; forbrug'!A121,'Resultater - Danmark'!$A$3:$A$504,"Til energi")+COUNTIFS('Resultater - Danmark'!$D$3:$D$504,'Produktion &amp; forbrug'!A121,'Resultater - Danmark'!$A$3:$A$504,"Biogasanlæg")&gt;0,1,0)</f>
        <v>0</v>
      </c>
      <c r="E121" s="171">
        <f t="shared" si="30"/>
        <v>1</v>
      </c>
      <c r="F121" s="171">
        <f t="shared" si="25"/>
        <v>2050</v>
      </c>
      <c r="G121" s="94">
        <f>SUMIFS('Resultat-Produktion &amp; forbrug'!G$4:G$291,'Resultat-Produktion &amp; forbrug'!$A$4:$A$291,'Produktion &amp; forbrug'!$A121,'Resultat-Produktion &amp; forbrug'!$E$4:$E$291,'Produktion &amp; forbrug'!$F121)</f>
        <v>3114555.2534101894</v>
      </c>
      <c r="H121" s="94">
        <f>SUMIFS('Resultat-Produktion &amp; forbrug'!H$4:H$291,'Resultat-Produktion &amp; forbrug'!$A$4:$A$291,'Produktion &amp; forbrug'!$A121,'Resultat-Produktion &amp; forbrug'!$E$4:$E$291,'Produktion &amp; forbrug'!$F121)</f>
        <v>1775496.4104617527</v>
      </c>
      <c r="I121" s="94">
        <f>SUMIFS('Resultat-Produktion &amp; forbrug'!I$4:I$291,'Resultat-Produktion &amp; forbrug'!$A$4:$A$291,'Produktion &amp; forbrug'!$A121,'Resultat-Produktion &amp; forbrug'!$E$4:$E$291,'Produktion &amp; forbrug'!$F121)</f>
        <v>0</v>
      </c>
      <c r="J121" s="94">
        <f>SUMIFS('Resultat-Produktion &amp; forbrug'!J$4:J$291,'Resultat-Produktion &amp; forbrug'!$A$4:$A$291,'Produktion &amp; forbrug'!$A121,'Resultat-Produktion &amp; forbrug'!$E$4:$E$291,'Produktion &amp; forbrug'!$F121)</f>
        <v>0</v>
      </c>
      <c r="K121" s="94">
        <f>SUMIFS('Resultat-Produktion &amp; forbrug'!K$4:K$291,'Resultat-Produktion &amp; forbrug'!$A$4:$A$291,'Produktion &amp; forbrug'!$A121,'Resultat-Produktion &amp; forbrug'!$E$4:$E$291,'Produktion &amp; forbrug'!$F121)</f>
        <v>0</v>
      </c>
      <c r="L121" s="94">
        <f>SUMIFS('Resultat-Produktion &amp; forbrug'!L$4:L$291,'Resultat-Produktion &amp; forbrug'!$A$4:$A$291,'Produktion &amp; forbrug'!$A121,'Resultat-Produktion &amp; forbrug'!$E$4:$E$291,'Produktion &amp; forbrug'!$F121)</f>
        <v>0</v>
      </c>
      <c r="M121" s="94">
        <f>SUMIFS('Resultat-Produktion &amp; forbrug'!M$4:M$291,'Resultat-Produktion &amp; forbrug'!$A$4:$A$291,'Produktion &amp; forbrug'!$A121,'Resultat-Produktion &amp; forbrug'!$E$4:$E$291,'Produktion &amp; forbrug'!$F121)</f>
        <v>0</v>
      </c>
      <c r="N121" s="94">
        <f>SUMIFS('Resultat-Produktion &amp; forbrug'!N$4:N$291,'Resultat-Produktion &amp; forbrug'!$A$4:$A$291,'Produktion &amp; forbrug'!$A121,'Resultat-Produktion &amp; forbrug'!$E$4:$E$291,'Produktion &amp; forbrug'!$F121)</f>
        <v>0</v>
      </c>
      <c r="O121" s="179">
        <f t="shared" si="18"/>
        <v>1339058.8429484367</v>
      </c>
      <c r="P121" s="94">
        <f t="shared" si="19"/>
        <v>0</v>
      </c>
      <c r="Q121" s="180">
        <f t="shared" si="20"/>
        <v>0</v>
      </c>
      <c r="R121">
        <f>IFERROR(VLOOKUP(A121,[1]Energiindhold!$A$2:$C$11,3,FALSE),IFERROR(VLOOKUP(A121,[1]Biogasudbytte!$A$2:$B$18,2,FALSE)*[1]Energiindhold!$C$10,0))*P121</f>
        <v>0</v>
      </c>
      <c r="S121">
        <f>IF(A121&lt;&gt;"Biogas",IFERROR(VLOOKUP(A121,[1]Biogasudbytte!$A$2:$B$18,2,FALSE)*[1]Energiindhold!$C$10,0)*K121*IFERROR(VLOOKUP(A121,Biogasanlæg!$F$3:$G$8,2,FALSE),1)+IFERROR(VLOOKUP(A121,[1]Energiindhold!$A$2:$C$11,3,FALSE),0)*M121+IF(F121&lt;&gt;År1,R121,0),0)</f>
        <v>0</v>
      </c>
      <c r="T121">
        <f>IFERROR(VLOOKUP(A121,[1]Biogasudbytte!$A$2:$B$18,2,FALSE)*[1]Energiindhold!$C$10,0)*K121*IFERROR(VLOOKUP(A121,Biogasanlæg!$F$3:$G$8,2,FALSE),1)</f>
        <v>0</v>
      </c>
      <c r="U121" s="170">
        <f t="shared" si="21"/>
        <v>0</v>
      </c>
      <c r="V121" s="169">
        <f>P121*IFERROR(VLOOKUP(A121,[1]Tørstofindhold!A$2:B$24,2,FALSE),0)</f>
        <v>0</v>
      </c>
      <c r="W121">
        <f>IF(F121=År1,Q121,SUM(P121,Q121))*IFERROR(VLOOKUP(A121,[1]Tørstofindhold!A$2:B$24,2,FALSE),0)</f>
        <v>0</v>
      </c>
      <c r="X121">
        <f>K121*IFERROR(VLOOKUP(A121,[1]Tørstofindhold!A$2:B$24,2,FALSE),0)</f>
        <v>0</v>
      </c>
      <c r="Y121" s="170">
        <f t="shared" si="22"/>
        <v>0</v>
      </c>
      <c r="Z121">
        <f t="shared" si="26"/>
        <v>0</v>
      </c>
      <c r="AA121">
        <f t="shared" si="27"/>
        <v>1</v>
      </c>
      <c r="AC121" s="94">
        <f t="shared" si="23"/>
        <v>1339058.8429484367</v>
      </c>
      <c r="AD121">
        <f>AC121*E121*10000*VLOOKUP(A121,[1]kcal!$A$2:$C$49,3,FALSE)/1000000000000*IFERROR(VLOOKUP(A121,'Kategorisering af kcal'!$A$2:$E$18,MATCH('Produktion &amp; forbrug'!F121,'Kategorisering af kcal'!$A$1:$E$1,0),FALSE),0)</f>
        <v>1.0444658974997807</v>
      </c>
      <c r="AE121">
        <f>IF(C121&lt;&gt;"",AC121*(1-VLOOKUP(A121,'Kategorisering af kcal'!$A$2:$E$18,MATCH('Produktion &amp; forbrug'!F121,'Kategorisering af kcal'!$A$1:$E$1,0),FALSE)),'Produktion &amp; forbrug'!AC121)</f>
        <v>0</v>
      </c>
      <c r="AF121" s="94">
        <f t="shared" si="24"/>
        <v>1339058.8429484367</v>
      </c>
    </row>
    <row r="122" spans="1:32" x14ac:dyDescent="0.25">
      <c r="A122" s="171" t="str">
        <f t="shared" si="28"/>
        <v>Korn</v>
      </c>
      <c r="B122" s="171" t="str">
        <f t="shared" si="29"/>
        <v>Halm og strå</v>
      </c>
      <c r="C122" s="171" t="str">
        <f>IFERROR(VLOOKUP(A122,'Kategorisering af kcal'!$A$2:$B$18,2,FALSE),"")</f>
        <v>Korn</v>
      </c>
      <c r="D122" s="171">
        <f>IF(COUNTIFS('Resultater - Danmark'!$D$3:$D$504,'Produktion &amp; forbrug'!A122,'Resultater - Danmark'!$A$3:$A$504,"Til energi")+COUNTIFS('Resultater - Danmark'!$D$3:$D$504,'Produktion &amp; forbrug'!A122,'Resultater - Danmark'!$A$3:$A$504,"Biogasanlæg")&gt;0,1,0)</f>
        <v>1</v>
      </c>
      <c r="E122" s="171">
        <f t="shared" si="30"/>
        <v>1</v>
      </c>
      <c r="F122" s="171">
        <f t="shared" si="25"/>
        <v>2050</v>
      </c>
      <c r="G122" s="94">
        <f>SUMIFS('Resultat-Produktion &amp; forbrug'!G$4:G$291,'Resultat-Produktion &amp; forbrug'!$A$4:$A$291,'Produktion &amp; forbrug'!$A122,'Resultat-Produktion &amp; forbrug'!$E$4:$E$291,'Produktion &amp; forbrug'!$F122)</f>
        <v>642399.17873835156</v>
      </c>
      <c r="H122" s="94">
        <f>SUMIFS('Resultat-Produktion &amp; forbrug'!H$4:H$291,'Resultat-Produktion &amp; forbrug'!$A$4:$A$291,'Produktion &amp; forbrug'!$A122,'Resultat-Produktion &amp; forbrug'!$E$4:$E$291,'Produktion &amp; forbrug'!$F122)</f>
        <v>399534.04092901241</v>
      </c>
      <c r="I122" s="94">
        <f>SUMIFS('Resultat-Produktion &amp; forbrug'!I$4:I$291,'Resultat-Produktion &amp; forbrug'!$A$4:$A$291,'Produktion &amp; forbrug'!$A122,'Resultat-Produktion &amp; forbrug'!$E$4:$E$291,'Produktion &amp; forbrug'!$F122)</f>
        <v>0</v>
      </c>
      <c r="J122" s="94">
        <f>SUMIFS('Resultat-Produktion &amp; forbrug'!J$4:J$291,'Resultat-Produktion &amp; forbrug'!$A$4:$A$291,'Produktion &amp; forbrug'!$A122,'Resultat-Produktion &amp; forbrug'!$E$4:$E$291,'Produktion &amp; forbrug'!$F122)</f>
        <v>0</v>
      </c>
      <c r="K122" s="94">
        <f>SUMIFS('Resultat-Produktion &amp; forbrug'!K$4:K$291,'Resultat-Produktion &amp; forbrug'!$A$4:$A$291,'Produktion &amp; forbrug'!$A122,'Resultat-Produktion &amp; forbrug'!$E$4:$E$291,'Produktion &amp; forbrug'!$F122)</f>
        <v>0</v>
      </c>
      <c r="L122" s="94">
        <f>SUMIFS('Resultat-Produktion &amp; forbrug'!L$4:L$291,'Resultat-Produktion &amp; forbrug'!$A$4:$A$291,'Produktion &amp; forbrug'!$A122,'Resultat-Produktion &amp; forbrug'!$E$4:$E$291,'Produktion &amp; forbrug'!$F122)</f>
        <v>0</v>
      </c>
      <c r="M122" s="94">
        <f>SUMIFS('Resultat-Produktion &amp; forbrug'!M$4:M$291,'Resultat-Produktion &amp; forbrug'!$A$4:$A$291,'Produktion &amp; forbrug'!$A122,'Resultat-Produktion &amp; forbrug'!$E$4:$E$291,'Produktion &amp; forbrug'!$F122)</f>
        <v>0</v>
      </c>
      <c r="N122" s="94">
        <f>SUMIFS('Resultat-Produktion &amp; forbrug'!N$4:N$291,'Resultat-Produktion &amp; forbrug'!$A$4:$A$291,'Produktion &amp; forbrug'!$A122,'Resultat-Produktion &amp; forbrug'!$E$4:$E$291,'Produktion &amp; forbrug'!$F122)</f>
        <v>0</v>
      </c>
      <c r="O122" s="179">
        <f t="shared" si="18"/>
        <v>242865.13780933915</v>
      </c>
      <c r="P122" s="94">
        <f t="shared" si="19"/>
        <v>242865.13780933915</v>
      </c>
      <c r="Q122" s="180">
        <f t="shared" si="20"/>
        <v>0</v>
      </c>
      <c r="R122">
        <f>IFERROR(VLOOKUP(A122,[1]Energiindhold!$A$2:$C$11,3,FALSE),IFERROR(VLOOKUP(A122,[1]Biogasudbytte!$A$2:$B$18,2,FALSE)*[1]Energiindhold!$C$10,0))*P122</f>
        <v>0.8317790958776935</v>
      </c>
      <c r="S122">
        <f>IF(A122&lt;&gt;"Biogas",IFERROR(VLOOKUP(A122,[1]Biogasudbytte!$A$2:$B$18,2,FALSE)*[1]Energiindhold!$C$10,0)*K122*IFERROR(VLOOKUP(A122,Biogasanlæg!$F$3:$G$8,2,FALSE),1)+IFERROR(VLOOKUP(A122,[1]Energiindhold!$A$2:$C$11,3,FALSE),0)*M122+IF(F122&lt;&gt;År1,R122,0),0)</f>
        <v>0.8317790958776935</v>
      </c>
      <c r="T122">
        <f>IFERROR(VLOOKUP(A122,[1]Biogasudbytte!$A$2:$B$18,2,FALSE)*[1]Energiindhold!$C$10,0)*K122*IFERROR(VLOOKUP(A122,Biogasanlæg!$F$3:$G$8,2,FALSE),1)</f>
        <v>0</v>
      </c>
      <c r="U122" s="170">
        <f t="shared" si="21"/>
        <v>0.8317790958776935</v>
      </c>
      <c r="V122" s="169">
        <f>P122*IFERROR(VLOOKUP(A122,[1]Tørstofindhold!A$2:B$24,2,FALSE),0)</f>
        <v>75288.192720895138</v>
      </c>
      <c r="W122">
        <f>IF(F122=År1,Q122,SUM(P122,Q122))*IFERROR(VLOOKUP(A122,[1]Tørstofindhold!A$2:B$24,2,FALSE),0)</f>
        <v>75288.192720895138</v>
      </c>
      <c r="X122">
        <f>K122*IFERROR(VLOOKUP(A122,[1]Tørstofindhold!A$2:B$24,2,FALSE),0)</f>
        <v>0</v>
      </c>
      <c r="Y122" s="170">
        <f t="shared" si="22"/>
        <v>75288.192720895138</v>
      </c>
      <c r="Z122">
        <f t="shared" si="26"/>
        <v>0</v>
      </c>
      <c r="AA122">
        <f t="shared" si="27"/>
        <v>1</v>
      </c>
      <c r="AC122" s="94">
        <f t="shared" si="23"/>
        <v>242865.13780933915</v>
      </c>
      <c r="AD122">
        <f>AC122*E122*10000*VLOOKUP(A122,[1]kcal!$A$2:$C$49,3,FALSE)/1000000000000*IFERROR(VLOOKUP(A122,'Kategorisering af kcal'!$A$2:$E$18,MATCH('Produktion &amp; forbrug'!F122,'Kategorisering af kcal'!$A$1:$E$1,0),FALSE),0)</f>
        <v>0.56445230876066521</v>
      </c>
      <c r="AE122">
        <f>IF(C122&lt;&gt;"",AC122*(1-VLOOKUP(A122,'Kategorisering af kcal'!$A$2:$E$18,MATCH('Produktion &amp; forbrug'!F122,'Kategorisering af kcal'!$A$1:$E$1,0),FALSE)),'Produktion &amp; forbrug'!AC122)</f>
        <v>0</v>
      </c>
      <c r="AF122" s="94">
        <f t="shared" si="24"/>
        <v>242865.13780933915</v>
      </c>
    </row>
    <row r="123" spans="1:32" x14ac:dyDescent="0.25">
      <c r="A123" s="171" t="str">
        <f t="shared" si="28"/>
        <v>Kunstgødning</v>
      </c>
      <c r="B123" s="171" t="str">
        <f t="shared" si="29"/>
        <v/>
      </c>
      <c r="C123" s="171" t="str">
        <f>IFERROR(VLOOKUP(A123,'Kategorisering af kcal'!$A$2:$B$18,2,FALSE),"")</f>
        <v/>
      </c>
      <c r="D123" s="171">
        <f>IF(COUNTIFS('Resultater - Danmark'!$D$3:$D$504,'Produktion &amp; forbrug'!A123,'Resultater - Danmark'!$A$3:$A$504,"Til energi")+COUNTIFS('Resultater - Danmark'!$D$3:$D$504,'Produktion &amp; forbrug'!A123,'Resultater - Danmark'!$A$3:$A$504,"Biogasanlæg")&gt;0,1,0)</f>
        <v>0</v>
      </c>
      <c r="E123" s="171">
        <f t="shared" si="30"/>
        <v>0</v>
      </c>
      <c r="F123" s="171">
        <f t="shared" si="25"/>
        <v>2050</v>
      </c>
      <c r="G123" s="94">
        <f>SUMIFS('Resultat-Produktion &amp; forbrug'!G$4:G$291,'Resultat-Produktion &amp; forbrug'!$A$4:$A$291,'Produktion &amp; forbrug'!$A123,'Resultat-Produktion &amp; forbrug'!$E$4:$E$291,'Produktion &amp; forbrug'!$F123)</f>
        <v>0</v>
      </c>
      <c r="H123" s="94">
        <f>SUMIFS('Resultat-Produktion &amp; forbrug'!H$4:H$291,'Resultat-Produktion &amp; forbrug'!$A$4:$A$291,'Produktion &amp; forbrug'!$A123,'Resultat-Produktion &amp; forbrug'!$E$4:$E$291,'Produktion &amp; forbrug'!$F123)</f>
        <v>0</v>
      </c>
      <c r="I123" s="94">
        <f>SUMIFS('Resultat-Produktion &amp; forbrug'!I$4:I$291,'Resultat-Produktion &amp; forbrug'!$A$4:$A$291,'Produktion &amp; forbrug'!$A123,'Resultat-Produktion &amp; forbrug'!$E$4:$E$291,'Produktion &amp; forbrug'!$F123)</f>
        <v>0</v>
      </c>
      <c r="J123" s="94">
        <f>SUMIFS('Resultat-Produktion &amp; forbrug'!J$4:J$291,'Resultat-Produktion &amp; forbrug'!$A$4:$A$291,'Produktion &amp; forbrug'!$A123,'Resultat-Produktion &amp; forbrug'!$E$4:$E$291,'Produktion &amp; forbrug'!$F123)</f>
        <v>0</v>
      </c>
      <c r="K123" s="94">
        <f>SUMIFS('Resultat-Produktion &amp; forbrug'!K$4:K$291,'Resultat-Produktion &amp; forbrug'!$A$4:$A$291,'Produktion &amp; forbrug'!$A123,'Resultat-Produktion &amp; forbrug'!$E$4:$E$291,'Produktion &amp; forbrug'!$F123)</f>
        <v>0</v>
      </c>
      <c r="L123" s="94">
        <f ca="1">SUMIFS('Resultat-Produktion &amp; forbrug'!L$4:L$291,'Resultat-Produktion &amp; forbrug'!$A$4:$A$291,'Produktion &amp; forbrug'!$A123,'Resultat-Produktion &amp; forbrug'!$E$4:$E$291,'Produktion &amp; forbrug'!$F123)</f>
        <v>1394877.7111216788</v>
      </c>
      <c r="M123" s="94">
        <f>SUMIFS('Resultat-Produktion &amp; forbrug'!M$4:M$291,'Resultat-Produktion &amp; forbrug'!$A$4:$A$291,'Produktion &amp; forbrug'!$A123,'Resultat-Produktion &amp; forbrug'!$E$4:$E$291,'Produktion &amp; forbrug'!$F123)</f>
        <v>0</v>
      </c>
      <c r="N123" s="94">
        <f>SUMIFS('Resultat-Produktion &amp; forbrug'!N$4:N$291,'Resultat-Produktion &amp; forbrug'!$A$4:$A$291,'Produktion &amp; forbrug'!$A123,'Resultat-Produktion &amp; forbrug'!$E$4:$E$291,'Produktion &amp; forbrug'!$F123)</f>
        <v>0</v>
      </c>
      <c r="O123" s="179">
        <f t="shared" ca="1" si="18"/>
        <v>-1394877.7111216788</v>
      </c>
      <c r="P123" s="94">
        <f t="shared" si="19"/>
        <v>0</v>
      </c>
      <c r="Q123" s="180">
        <f t="shared" si="20"/>
        <v>0</v>
      </c>
      <c r="R123">
        <f>IFERROR(VLOOKUP(A123,[1]Energiindhold!$A$2:$C$11,3,FALSE),IFERROR(VLOOKUP(A123,[1]Biogasudbytte!$A$2:$B$18,2,FALSE)*[1]Energiindhold!$C$10,0))*P123</f>
        <v>0</v>
      </c>
      <c r="S123">
        <f>IF(A123&lt;&gt;"Biogas",IFERROR(VLOOKUP(A123,[1]Biogasudbytte!$A$2:$B$18,2,FALSE)*[1]Energiindhold!$C$10,0)*K123*IFERROR(VLOOKUP(A123,Biogasanlæg!$F$3:$G$8,2,FALSE),1)+IFERROR(VLOOKUP(A123,[1]Energiindhold!$A$2:$C$11,3,FALSE),0)*M123+IF(F123&lt;&gt;År1,R123,0),0)</f>
        <v>0</v>
      </c>
      <c r="T123">
        <f>IFERROR(VLOOKUP(A123,[1]Biogasudbytte!$A$2:$B$18,2,FALSE)*[1]Energiindhold!$C$10,0)*K123*IFERROR(VLOOKUP(A123,Biogasanlæg!$F$3:$G$8,2,FALSE),1)</f>
        <v>0</v>
      </c>
      <c r="U123" s="170">
        <f t="shared" si="21"/>
        <v>0</v>
      </c>
      <c r="V123" s="169">
        <f>P123*IFERROR(VLOOKUP(A123,[1]Tørstofindhold!A$2:B$24,2,FALSE),0)</f>
        <v>0</v>
      </c>
      <c r="W123">
        <f>IF(F123=År1,Q123,SUM(P123,Q123))*IFERROR(VLOOKUP(A123,[1]Tørstofindhold!A$2:B$24,2,FALSE),0)</f>
        <v>0</v>
      </c>
      <c r="X123">
        <f>K123*IFERROR(VLOOKUP(A123,[1]Tørstofindhold!A$2:B$24,2,FALSE),0)</f>
        <v>0</v>
      </c>
      <c r="Y123" s="170">
        <f t="shared" si="22"/>
        <v>0</v>
      </c>
      <c r="Z123">
        <f t="shared" ca="1" si="26"/>
        <v>1</v>
      </c>
      <c r="AA123">
        <f t="shared" ca="1" si="27"/>
        <v>0</v>
      </c>
      <c r="AC123" s="94">
        <f t="shared" ca="1" si="23"/>
        <v>-1394877.7111216788</v>
      </c>
      <c r="AD123">
        <f ca="1">AC123*E123*10000*VLOOKUP(A123,[1]kcal!$A$2:$C$49,3,FALSE)/1000000000000*IFERROR(VLOOKUP(A123,'Kategorisering af kcal'!$A$2:$E$18,MATCH('Produktion &amp; forbrug'!F123,'Kategorisering af kcal'!$A$1:$E$1,0),FALSE),0)</f>
        <v>0</v>
      </c>
      <c r="AE123">
        <f ca="1">IF(C123&lt;&gt;"",AC123*(1-VLOOKUP(A123,'Kategorisering af kcal'!$A$2:$E$18,MATCH('Produktion &amp; forbrug'!F123,'Kategorisering af kcal'!$A$1:$E$1,0),FALSE)),'Produktion &amp; forbrug'!AC123)</f>
        <v>-1394877.7111216788</v>
      </c>
      <c r="AF123" s="94">
        <f t="shared" ca="1" si="24"/>
        <v>0</v>
      </c>
    </row>
    <row r="124" spans="1:32" x14ac:dyDescent="0.25">
      <c r="A124" s="171" t="str">
        <f t="shared" si="28"/>
        <v>Kvæggylle</v>
      </c>
      <c r="B124" s="171" t="str">
        <f t="shared" si="29"/>
        <v>Husdyrgødning</v>
      </c>
      <c r="C124" s="171" t="str">
        <f>IFERROR(VLOOKUP(A124,'Kategorisering af kcal'!$A$2:$B$18,2,FALSE),"")</f>
        <v/>
      </c>
      <c r="D124" s="171">
        <f>IF(COUNTIFS('Resultater - Danmark'!$D$3:$D$504,'Produktion &amp; forbrug'!A124,'Resultater - Danmark'!$A$3:$A$504,"Til energi")+COUNTIFS('Resultater - Danmark'!$D$3:$D$504,'Produktion &amp; forbrug'!A124,'Resultater - Danmark'!$A$3:$A$504,"Biogasanlæg")&gt;0,1,0)</f>
        <v>1</v>
      </c>
      <c r="E124" s="171">
        <f t="shared" si="30"/>
        <v>0</v>
      </c>
      <c r="F124" s="171">
        <f t="shared" si="25"/>
        <v>2050</v>
      </c>
      <c r="G124" s="94">
        <f>SUMIFS('Resultat-Produktion &amp; forbrug'!G$4:G$291,'Resultat-Produktion &amp; forbrug'!$A$4:$A$291,'Produktion &amp; forbrug'!$A124,'Resultat-Produktion &amp; forbrug'!$E$4:$E$291,'Produktion &amp; forbrug'!$F124)</f>
        <v>73630.792601451292</v>
      </c>
      <c r="H124" s="94">
        <f>SUMIFS('Resultat-Produktion &amp; forbrug'!H$4:H$291,'Resultat-Produktion &amp; forbrug'!$A$4:$A$291,'Produktion &amp; forbrug'!$A124,'Resultat-Produktion &amp; forbrug'!$E$4:$E$291,'Produktion &amp; forbrug'!$F124)</f>
        <v>0</v>
      </c>
      <c r="I124" s="94">
        <f>SUMIFS('Resultat-Produktion &amp; forbrug'!I$4:I$291,'Resultat-Produktion &amp; forbrug'!$A$4:$A$291,'Produktion &amp; forbrug'!$A124,'Resultat-Produktion &amp; forbrug'!$E$4:$E$291,'Produktion &amp; forbrug'!$F124)</f>
        <v>0</v>
      </c>
      <c r="J124" s="94">
        <f>SUMIFS('Resultat-Produktion &amp; forbrug'!J$4:J$291,'Resultat-Produktion &amp; forbrug'!$A$4:$A$291,'Produktion &amp; forbrug'!$A124,'Resultat-Produktion &amp; forbrug'!$E$4:$E$291,'Produktion &amp; forbrug'!$F124)</f>
        <v>0</v>
      </c>
      <c r="K124" s="94">
        <f>SUMIFS('Resultat-Produktion &amp; forbrug'!K$4:K$291,'Resultat-Produktion &amp; forbrug'!$A$4:$A$291,'Produktion &amp; forbrug'!$A124,'Resultat-Produktion &amp; forbrug'!$E$4:$E$291,'Produktion &amp; forbrug'!$F124)</f>
        <v>66267.713341306167</v>
      </c>
      <c r="L124" s="94">
        <f>SUMIFS('Resultat-Produktion &amp; forbrug'!L$4:L$291,'Resultat-Produktion &amp; forbrug'!$A$4:$A$291,'Produktion &amp; forbrug'!$A124,'Resultat-Produktion &amp; forbrug'!$E$4:$E$291,'Produktion &amp; forbrug'!$F124)</f>
        <v>7363.0792601451285</v>
      </c>
      <c r="M124" s="94">
        <f>SUMIFS('Resultat-Produktion &amp; forbrug'!M$4:M$291,'Resultat-Produktion &amp; forbrug'!$A$4:$A$291,'Produktion &amp; forbrug'!$A124,'Resultat-Produktion &amp; forbrug'!$E$4:$E$291,'Produktion &amp; forbrug'!$F124)</f>
        <v>0</v>
      </c>
      <c r="N124" s="94">
        <f>SUMIFS('Resultat-Produktion &amp; forbrug'!N$4:N$291,'Resultat-Produktion &amp; forbrug'!$A$4:$A$291,'Produktion &amp; forbrug'!$A124,'Resultat-Produktion &amp; forbrug'!$E$4:$E$291,'Produktion &amp; forbrug'!$F124)</f>
        <v>0</v>
      </c>
      <c r="O124" s="179">
        <f t="shared" si="18"/>
        <v>0</v>
      </c>
      <c r="P124" s="94">
        <f t="shared" si="19"/>
        <v>0</v>
      </c>
      <c r="Q124" s="180">
        <f t="shared" si="20"/>
        <v>66267.713341306167</v>
      </c>
      <c r="R124">
        <f>IFERROR(VLOOKUP(A124,[1]Energiindhold!$A$2:$C$11,3,FALSE),IFERROR(VLOOKUP(A124,[1]Biogasudbytte!$A$2:$B$18,2,FALSE)*[1]Energiindhold!$C$10,0))*P124</f>
        <v>0</v>
      </c>
      <c r="S124">
        <f>IF(A124&lt;&gt;"Biogas",IFERROR(VLOOKUP(A124,[1]Biogasudbytte!$A$2:$B$18,2,FALSE)*[1]Energiindhold!$C$10,0)*K124*IFERROR(VLOOKUP(A124,Biogasanlæg!$F$3:$G$8,2,FALSE),1)+IFERROR(VLOOKUP(A124,[1]Energiindhold!$A$2:$C$11,3,FALSE),0)*M124+IF(F124&lt;&gt;År1,R124,0),0)</f>
        <v>3.3544053816235771E-2</v>
      </c>
      <c r="T124">
        <f>IFERROR(VLOOKUP(A124,[1]Biogasudbytte!$A$2:$B$18,2,FALSE)*[1]Energiindhold!$C$10,0)*K124*IFERROR(VLOOKUP(A124,Biogasanlæg!$F$3:$G$8,2,FALSE),1)</f>
        <v>3.3544053816235771E-2</v>
      </c>
      <c r="U124" s="170">
        <f t="shared" si="21"/>
        <v>0</v>
      </c>
      <c r="V124" s="169">
        <f>P124*IFERROR(VLOOKUP(A124,[1]Tørstofindhold!A$2:B$24,2,FALSE),0)</f>
        <v>0</v>
      </c>
      <c r="W124">
        <f>IF(F124=År1,Q124,SUM(P124,Q124))*IFERROR(VLOOKUP(A124,[1]Tørstofindhold!A$2:B$24,2,FALSE),0)</f>
        <v>5036.3462139392686</v>
      </c>
      <c r="X124">
        <f>K124*IFERROR(VLOOKUP(A124,[1]Tørstofindhold!A$2:B$24,2,FALSE),0)</f>
        <v>5036.3462139392686</v>
      </c>
      <c r="Y124" s="170">
        <f t="shared" si="22"/>
        <v>0</v>
      </c>
      <c r="Z124">
        <f t="shared" si="26"/>
        <v>0</v>
      </c>
      <c r="AA124">
        <f t="shared" si="27"/>
        <v>0</v>
      </c>
      <c r="AC124" s="94">
        <f t="shared" si="23"/>
        <v>0</v>
      </c>
      <c r="AD124">
        <f>AC124*E124*10000*VLOOKUP(A124,[1]kcal!$A$2:$C$49,3,FALSE)/1000000000000*IFERROR(VLOOKUP(A124,'Kategorisering af kcal'!$A$2:$E$18,MATCH('Produktion &amp; forbrug'!F124,'Kategorisering af kcal'!$A$1:$E$1,0),FALSE),0)</f>
        <v>0</v>
      </c>
      <c r="AE124">
        <f>IF(C124&lt;&gt;"",AC124*(1-VLOOKUP(A124,'Kategorisering af kcal'!$A$2:$E$18,MATCH('Produktion &amp; forbrug'!F124,'Kategorisering af kcal'!$A$1:$E$1,0),FALSE)),'Produktion &amp; forbrug'!AC124)</f>
        <v>0</v>
      </c>
      <c r="AF124" s="94">
        <f t="shared" si="24"/>
        <v>0</v>
      </c>
    </row>
    <row r="125" spans="1:32" x14ac:dyDescent="0.25">
      <c r="A125" s="171" t="str">
        <f t="shared" si="28"/>
        <v>Mælk til foder</v>
      </c>
      <c r="B125" s="171" t="str">
        <f t="shared" si="29"/>
        <v/>
      </c>
      <c r="C125" s="171" t="str">
        <f>IFERROR(VLOOKUP(A125,'Kategorisering af kcal'!$A$2:$B$18,2,FALSE),"")</f>
        <v/>
      </c>
      <c r="D125" s="171">
        <f>IF(COUNTIFS('Resultater - Danmark'!$D$3:$D$504,'Produktion &amp; forbrug'!A125,'Resultater - Danmark'!$A$3:$A$504,"Til energi")+COUNTIFS('Resultater - Danmark'!$D$3:$D$504,'Produktion &amp; forbrug'!A125,'Resultater - Danmark'!$A$3:$A$504,"Biogasanlæg")&gt;0,1,0)</f>
        <v>0</v>
      </c>
      <c r="E125" s="171">
        <f t="shared" si="30"/>
        <v>0</v>
      </c>
      <c r="F125" s="171">
        <f t="shared" si="25"/>
        <v>2050</v>
      </c>
      <c r="G125" s="94">
        <f>SUMIFS('Resultat-Produktion &amp; forbrug'!G$4:G$291,'Resultat-Produktion &amp; forbrug'!$A$4:$A$291,'Produktion &amp; forbrug'!$A125,'Resultat-Produktion &amp; forbrug'!$E$4:$E$291,'Produktion &amp; forbrug'!$F125)</f>
        <v>0</v>
      </c>
      <c r="H125" s="94">
        <f>SUMIFS('Resultat-Produktion &amp; forbrug'!H$4:H$291,'Resultat-Produktion &amp; forbrug'!$A$4:$A$291,'Produktion &amp; forbrug'!$A125,'Resultat-Produktion &amp; forbrug'!$E$4:$E$291,'Produktion &amp; forbrug'!$F125)</f>
        <v>0</v>
      </c>
      <c r="I125" s="94">
        <f>SUMIFS('Resultat-Produktion &amp; forbrug'!I$4:I$291,'Resultat-Produktion &amp; forbrug'!$A$4:$A$291,'Produktion &amp; forbrug'!$A125,'Resultat-Produktion &amp; forbrug'!$E$4:$E$291,'Produktion &amp; forbrug'!$F125)</f>
        <v>0</v>
      </c>
      <c r="J125" s="94">
        <f>SUMIFS('Resultat-Produktion &amp; forbrug'!J$4:J$291,'Resultat-Produktion &amp; forbrug'!$A$4:$A$291,'Produktion &amp; forbrug'!$A125,'Resultat-Produktion &amp; forbrug'!$E$4:$E$291,'Produktion &amp; forbrug'!$F125)</f>
        <v>0</v>
      </c>
      <c r="K125" s="94">
        <f>SUMIFS('Resultat-Produktion &amp; forbrug'!K$4:K$291,'Resultat-Produktion &amp; forbrug'!$A$4:$A$291,'Produktion &amp; forbrug'!$A125,'Resultat-Produktion &amp; forbrug'!$E$4:$E$291,'Produktion &amp; forbrug'!$F125)</f>
        <v>0</v>
      </c>
      <c r="L125" s="94">
        <f>SUMIFS('Resultat-Produktion &amp; forbrug'!L$4:L$291,'Resultat-Produktion &amp; forbrug'!$A$4:$A$291,'Produktion &amp; forbrug'!$A125,'Resultat-Produktion &amp; forbrug'!$E$4:$E$291,'Produktion &amp; forbrug'!$F125)</f>
        <v>0</v>
      </c>
      <c r="M125" s="94">
        <f>SUMIFS('Resultat-Produktion &amp; forbrug'!M$4:M$291,'Resultat-Produktion &amp; forbrug'!$A$4:$A$291,'Produktion &amp; forbrug'!$A125,'Resultat-Produktion &amp; forbrug'!$E$4:$E$291,'Produktion &amp; forbrug'!$F125)</f>
        <v>0</v>
      </c>
      <c r="N125" s="94">
        <f>SUMIFS('Resultat-Produktion &amp; forbrug'!N$4:N$291,'Resultat-Produktion &amp; forbrug'!$A$4:$A$291,'Produktion &amp; forbrug'!$A125,'Resultat-Produktion &amp; forbrug'!$E$4:$E$291,'Produktion &amp; forbrug'!$F125)</f>
        <v>0</v>
      </c>
      <c r="O125" s="179">
        <f t="shared" si="18"/>
        <v>0</v>
      </c>
      <c r="P125" s="94">
        <f t="shared" si="19"/>
        <v>0</v>
      </c>
      <c r="Q125" s="180">
        <f t="shared" si="20"/>
        <v>0</v>
      </c>
      <c r="R125">
        <f>IFERROR(VLOOKUP(A125,[1]Energiindhold!$A$2:$C$11,3,FALSE),IFERROR(VLOOKUP(A125,[1]Biogasudbytte!$A$2:$B$18,2,FALSE)*[1]Energiindhold!$C$10,0))*P125</f>
        <v>0</v>
      </c>
      <c r="S125">
        <f>IF(A125&lt;&gt;"Biogas",IFERROR(VLOOKUP(A125,[1]Biogasudbytte!$A$2:$B$18,2,FALSE)*[1]Energiindhold!$C$10,0)*K125*IFERROR(VLOOKUP(A125,Biogasanlæg!$F$3:$G$8,2,FALSE),1)+IFERROR(VLOOKUP(A125,[1]Energiindhold!$A$2:$C$11,3,FALSE),0)*M125+IF(F125&lt;&gt;År1,R125,0),0)</f>
        <v>0</v>
      </c>
      <c r="T125">
        <f>IFERROR(VLOOKUP(A125,[1]Biogasudbytte!$A$2:$B$18,2,FALSE)*[1]Energiindhold!$C$10,0)*K125*IFERROR(VLOOKUP(A125,Biogasanlæg!$F$3:$G$8,2,FALSE),1)</f>
        <v>0</v>
      </c>
      <c r="U125" s="170">
        <f t="shared" si="21"/>
        <v>0</v>
      </c>
      <c r="V125" s="169">
        <f>P125*IFERROR(VLOOKUP(A125,[1]Tørstofindhold!A$2:B$24,2,FALSE),0)</f>
        <v>0</v>
      </c>
      <c r="W125">
        <f>IF(F125=År1,Q125,SUM(P125,Q125))*IFERROR(VLOOKUP(A125,[1]Tørstofindhold!A$2:B$24,2,FALSE),0)</f>
        <v>0</v>
      </c>
      <c r="X125">
        <f>K125*IFERROR(VLOOKUP(A125,[1]Tørstofindhold!A$2:B$24,2,FALSE),0)</f>
        <v>0</v>
      </c>
      <c r="Y125" s="170">
        <f t="shared" si="22"/>
        <v>0</v>
      </c>
      <c r="Z125">
        <f t="shared" si="26"/>
        <v>0</v>
      </c>
      <c r="AA125">
        <f t="shared" si="27"/>
        <v>0</v>
      </c>
      <c r="AC125" s="94">
        <f t="shared" si="23"/>
        <v>0</v>
      </c>
      <c r="AD125">
        <f>AC125*E125*10000*VLOOKUP(A125,[1]kcal!$A$2:$C$49,3,FALSE)/1000000000000*IFERROR(VLOOKUP(A125,'Kategorisering af kcal'!$A$2:$E$18,MATCH('Produktion &amp; forbrug'!F125,'Kategorisering af kcal'!$A$1:$E$1,0),FALSE),0)</f>
        <v>0</v>
      </c>
      <c r="AE125">
        <f>IF(C125&lt;&gt;"",AC125*(1-VLOOKUP(A125,'Kategorisering af kcal'!$A$2:$E$18,MATCH('Produktion &amp; forbrug'!F125,'Kategorisering af kcal'!$A$1:$E$1,0),FALSE)),'Produktion &amp; forbrug'!AC125)</f>
        <v>0</v>
      </c>
      <c r="AF125" s="94">
        <f t="shared" si="24"/>
        <v>0</v>
      </c>
    </row>
    <row r="126" spans="1:32" x14ac:dyDescent="0.25">
      <c r="A126" s="171" t="str">
        <f t="shared" si="28"/>
        <v>Majs</v>
      </c>
      <c r="B126" s="171" t="str">
        <f t="shared" si="29"/>
        <v>Græs og urter</v>
      </c>
      <c r="C126" s="171" t="str">
        <f>IFERROR(VLOOKUP(A126,'Kategorisering af kcal'!$A$2:$B$18,2,FALSE),"")</f>
        <v>Korn</v>
      </c>
      <c r="D126" s="171">
        <f>IF(COUNTIFS('Resultater - Danmark'!$D$3:$D$504,'Produktion &amp; forbrug'!A126,'Resultater - Danmark'!$A$3:$A$504,"Til energi")+COUNTIFS('Resultater - Danmark'!$D$3:$D$504,'Produktion &amp; forbrug'!A126,'Resultater - Danmark'!$A$3:$A$504,"Biogasanlæg")&gt;0,1,0)</f>
        <v>1</v>
      </c>
      <c r="E126" s="171">
        <f t="shared" si="30"/>
        <v>1</v>
      </c>
      <c r="F126" s="171">
        <f t="shared" si="25"/>
        <v>2050</v>
      </c>
      <c r="G126" s="94">
        <f>SUMIFS('Resultat-Produktion &amp; forbrug'!G$4:G$291,'Resultat-Produktion &amp; forbrug'!$A$4:$A$291,'Produktion &amp; forbrug'!$A126,'Resultat-Produktion &amp; forbrug'!$E$4:$E$291,'Produktion &amp; forbrug'!$F126)</f>
        <v>683960.2634967803</v>
      </c>
      <c r="H126" s="94">
        <f>SUMIFS('Resultat-Produktion &amp; forbrug'!H$4:H$291,'Resultat-Produktion &amp; forbrug'!$A$4:$A$291,'Produktion &amp; forbrug'!$A126,'Resultat-Produktion &amp; forbrug'!$E$4:$E$291,'Produktion &amp; forbrug'!$F126)</f>
        <v>418868.04513097607</v>
      </c>
      <c r="I126" s="94">
        <f>SUMIFS('Resultat-Produktion &amp; forbrug'!I$4:I$291,'Resultat-Produktion &amp; forbrug'!$A$4:$A$291,'Produktion &amp; forbrug'!$A126,'Resultat-Produktion &amp; forbrug'!$E$4:$E$291,'Produktion &amp; forbrug'!$F126)</f>
        <v>0</v>
      </c>
      <c r="J126" s="94">
        <f>SUMIFS('Resultat-Produktion &amp; forbrug'!J$4:J$291,'Resultat-Produktion &amp; forbrug'!$A$4:$A$291,'Produktion &amp; forbrug'!$A126,'Resultat-Produktion &amp; forbrug'!$E$4:$E$291,'Produktion &amp; forbrug'!$F126)</f>
        <v>0</v>
      </c>
      <c r="K126" s="94">
        <f>SUMIFS('Resultat-Produktion &amp; forbrug'!K$4:K$291,'Resultat-Produktion &amp; forbrug'!$A$4:$A$291,'Produktion &amp; forbrug'!$A126,'Resultat-Produktion &amp; forbrug'!$E$4:$E$291,'Produktion &amp; forbrug'!$F126)</f>
        <v>0</v>
      </c>
      <c r="L126" s="94">
        <f>SUMIFS('Resultat-Produktion &amp; forbrug'!L$4:L$291,'Resultat-Produktion &amp; forbrug'!$A$4:$A$291,'Produktion &amp; forbrug'!$A126,'Resultat-Produktion &amp; forbrug'!$E$4:$E$291,'Produktion &amp; forbrug'!$F126)</f>
        <v>0</v>
      </c>
      <c r="M126" s="94">
        <f>SUMIFS('Resultat-Produktion &amp; forbrug'!M$4:M$291,'Resultat-Produktion &amp; forbrug'!$A$4:$A$291,'Produktion &amp; forbrug'!$A126,'Resultat-Produktion &amp; forbrug'!$E$4:$E$291,'Produktion &amp; forbrug'!$F126)</f>
        <v>0</v>
      </c>
      <c r="N126" s="94">
        <f>SUMIFS('Resultat-Produktion &amp; forbrug'!N$4:N$291,'Resultat-Produktion &amp; forbrug'!$A$4:$A$291,'Produktion &amp; forbrug'!$A126,'Resultat-Produktion &amp; forbrug'!$E$4:$E$291,'Produktion &amp; forbrug'!$F126)</f>
        <v>0</v>
      </c>
      <c r="O126" s="179">
        <f t="shared" si="18"/>
        <v>265092.21836580423</v>
      </c>
      <c r="P126" s="94">
        <f t="shared" si="19"/>
        <v>265092.21836580423</v>
      </c>
      <c r="Q126" s="180">
        <f t="shared" si="20"/>
        <v>0</v>
      </c>
      <c r="R126">
        <f>IFERROR(VLOOKUP(A126,[1]Energiindhold!$A$2:$C$11,3,FALSE),IFERROR(VLOOKUP(A126,[1]Biogasudbytte!$A$2:$B$18,2,FALSE)*[1]Energiindhold!$C$10,0))*P126</f>
        <v>0.95168106393323726</v>
      </c>
      <c r="S126">
        <f>IF(A126&lt;&gt;"Biogas",IFERROR(VLOOKUP(A126,[1]Biogasudbytte!$A$2:$B$18,2,FALSE)*[1]Energiindhold!$C$10,0)*K126*IFERROR(VLOOKUP(A126,Biogasanlæg!$F$3:$G$8,2,FALSE),1)+IFERROR(VLOOKUP(A126,[1]Energiindhold!$A$2:$C$11,3,FALSE),0)*M126+IF(F126&lt;&gt;År1,R126,0),0)</f>
        <v>0.95168106393323726</v>
      </c>
      <c r="T126">
        <f>IFERROR(VLOOKUP(A126,[1]Biogasudbytte!$A$2:$B$18,2,FALSE)*[1]Energiindhold!$C$10,0)*K126*IFERROR(VLOOKUP(A126,Biogasanlæg!$F$3:$G$8,2,FALSE),1)</f>
        <v>0</v>
      </c>
      <c r="U126" s="170">
        <f t="shared" si="21"/>
        <v>0.95168106393323726</v>
      </c>
      <c r="V126" s="169">
        <f>P126*IFERROR(VLOOKUP(A126,[1]Tørstofindhold!A$2:B$24,2,FALSE),0)</f>
        <v>79527.665509741273</v>
      </c>
      <c r="W126">
        <f>IF(F126=År1,Q126,SUM(P126,Q126))*IFERROR(VLOOKUP(A126,[1]Tørstofindhold!A$2:B$24,2,FALSE),0)</f>
        <v>79527.665509741273</v>
      </c>
      <c r="X126">
        <f>K126*IFERROR(VLOOKUP(A126,[1]Tørstofindhold!A$2:B$24,2,FALSE),0)</f>
        <v>0</v>
      </c>
      <c r="Y126" s="170">
        <f t="shared" si="22"/>
        <v>79527.665509741273</v>
      </c>
      <c r="Z126">
        <f t="shared" si="26"/>
        <v>0</v>
      </c>
      <c r="AA126">
        <f t="shared" si="27"/>
        <v>1</v>
      </c>
      <c r="AC126" s="94">
        <f t="shared" si="23"/>
        <v>265092.21836580423</v>
      </c>
      <c r="AD126">
        <f>AC126*E126*10000*VLOOKUP(A126,[1]kcal!$A$2:$C$49,3,FALSE)/1000000000000*IFERROR(VLOOKUP(A126,'Kategorisering af kcal'!$A$2:$E$18,MATCH('Produktion &amp; forbrug'!F126,'Kategorisering af kcal'!$A$1:$E$1,0),FALSE),0)</f>
        <v>0.24123391871288186</v>
      </c>
      <c r="AE126">
        <f>IF(C126&lt;&gt;"",AC126*(1-VLOOKUP(A126,'Kategorisering af kcal'!$A$2:$E$18,MATCH('Produktion &amp; forbrug'!F126,'Kategorisering af kcal'!$A$1:$E$1,0),FALSE)),'Produktion &amp; forbrug'!AC126)</f>
        <v>0</v>
      </c>
      <c r="AF126" s="94">
        <f t="shared" si="24"/>
        <v>265092.21836580423</v>
      </c>
    </row>
    <row r="127" spans="1:32" x14ac:dyDescent="0.25">
      <c r="A127" s="171" t="str">
        <f t="shared" si="28"/>
        <v>Mejeriprodukter</v>
      </c>
      <c r="B127" s="171" t="str">
        <f t="shared" si="29"/>
        <v/>
      </c>
      <c r="C127" s="171" t="str">
        <f>IFERROR(VLOOKUP(A127,'Kategorisering af kcal'!$A$2:$B$18,2,FALSE),"")</f>
        <v>Mejeriprodukter</v>
      </c>
      <c r="D127" s="171">
        <f>IF(COUNTIFS('Resultater - Danmark'!$D$3:$D$504,'Produktion &amp; forbrug'!A127,'Resultater - Danmark'!$A$3:$A$504,"Til energi")+COUNTIFS('Resultater - Danmark'!$D$3:$D$504,'Produktion &amp; forbrug'!A127,'Resultater - Danmark'!$A$3:$A$504,"Biogasanlæg")&gt;0,1,0)</f>
        <v>0</v>
      </c>
      <c r="E127" s="171">
        <f t="shared" si="30"/>
        <v>1</v>
      </c>
      <c r="F127" s="171">
        <f t="shared" si="25"/>
        <v>2050</v>
      </c>
      <c r="G127" s="94">
        <f>SUMIFS('Resultat-Produktion &amp; forbrug'!G$4:G$291,'Resultat-Produktion &amp; forbrug'!$A$4:$A$291,'Produktion &amp; forbrug'!$A127,'Resultat-Produktion &amp; forbrug'!$E$4:$E$291,'Produktion &amp; forbrug'!$F127)</f>
        <v>0</v>
      </c>
      <c r="H127" s="94">
        <f>SUMIFS('Resultat-Produktion &amp; forbrug'!H$4:H$291,'Resultat-Produktion &amp; forbrug'!$A$4:$A$291,'Produktion &amp; forbrug'!$A127,'Resultat-Produktion &amp; forbrug'!$E$4:$E$291,'Produktion &amp; forbrug'!$F127)</f>
        <v>0</v>
      </c>
      <c r="I127" s="94">
        <f>SUMIFS('Resultat-Produktion &amp; forbrug'!I$4:I$291,'Resultat-Produktion &amp; forbrug'!$A$4:$A$291,'Produktion &amp; forbrug'!$A127,'Resultat-Produktion &amp; forbrug'!$E$4:$E$291,'Produktion &amp; forbrug'!$F127)</f>
        <v>0</v>
      </c>
      <c r="J127" s="94">
        <f>SUMIFS('Resultat-Produktion &amp; forbrug'!J$4:J$291,'Resultat-Produktion &amp; forbrug'!$A$4:$A$291,'Produktion &amp; forbrug'!$A127,'Resultat-Produktion &amp; forbrug'!$E$4:$E$291,'Produktion &amp; forbrug'!$F127)</f>
        <v>0</v>
      </c>
      <c r="K127" s="94">
        <f>SUMIFS('Resultat-Produktion &amp; forbrug'!K$4:K$291,'Resultat-Produktion &amp; forbrug'!$A$4:$A$291,'Produktion &amp; forbrug'!$A127,'Resultat-Produktion &amp; forbrug'!$E$4:$E$291,'Produktion &amp; forbrug'!$F127)</f>
        <v>0</v>
      </c>
      <c r="L127" s="94">
        <f>SUMIFS('Resultat-Produktion &amp; forbrug'!L$4:L$291,'Resultat-Produktion &amp; forbrug'!$A$4:$A$291,'Produktion &amp; forbrug'!$A127,'Resultat-Produktion &amp; forbrug'!$E$4:$E$291,'Produktion &amp; forbrug'!$F127)</f>
        <v>0</v>
      </c>
      <c r="M127" s="94">
        <f>SUMIFS('Resultat-Produktion &amp; forbrug'!M$4:M$291,'Resultat-Produktion &amp; forbrug'!$A$4:$A$291,'Produktion &amp; forbrug'!$A127,'Resultat-Produktion &amp; forbrug'!$E$4:$E$291,'Produktion &amp; forbrug'!$F127)</f>
        <v>0</v>
      </c>
      <c r="N127" s="94">
        <f>SUMIFS('Resultat-Produktion &amp; forbrug'!N$4:N$291,'Resultat-Produktion &amp; forbrug'!$A$4:$A$291,'Produktion &amp; forbrug'!$A127,'Resultat-Produktion &amp; forbrug'!$E$4:$E$291,'Produktion &amp; forbrug'!$F127)</f>
        <v>0</v>
      </c>
      <c r="O127" s="179">
        <f t="shared" si="18"/>
        <v>0</v>
      </c>
      <c r="P127" s="94">
        <f t="shared" si="19"/>
        <v>0</v>
      </c>
      <c r="Q127" s="180">
        <f t="shared" si="20"/>
        <v>0</v>
      </c>
      <c r="R127">
        <f>IFERROR(VLOOKUP(A127,[1]Energiindhold!$A$2:$C$11,3,FALSE),IFERROR(VLOOKUP(A127,[1]Biogasudbytte!$A$2:$B$18,2,FALSE)*[1]Energiindhold!$C$10,0))*P127</f>
        <v>0</v>
      </c>
      <c r="S127">
        <f>IF(A127&lt;&gt;"Biogas",IFERROR(VLOOKUP(A127,[1]Biogasudbytte!$A$2:$B$18,2,FALSE)*[1]Energiindhold!$C$10,0)*K127*IFERROR(VLOOKUP(A127,Biogasanlæg!$F$3:$G$8,2,FALSE),1)+IFERROR(VLOOKUP(A127,[1]Energiindhold!$A$2:$C$11,3,FALSE),0)*M127+IF(F127&lt;&gt;År1,R127,0),0)</f>
        <v>0</v>
      </c>
      <c r="T127">
        <f>IFERROR(VLOOKUP(A127,[1]Biogasudbytte!$A$2:$B$18,2,FALSE)*[1]Energiindhold!$C$10,0)*K127*IFERROR(VLOOKUP(A127,Biogasanlæg!$F$3:$G$8,2,FALSE),1)</f>
        <v>0</v>
      </c>
      <c r="U127" s="170">
        <f t="shared" si="21"/>
        <v>0</v>
      </c>
      <c r="V127" s="169">
        <f>P127*IFERROR(VLOOKUP(A127,[1]Tørstofindhold!A$2:B$24,2,FALSE),0)</f>
        <v>0</v>
      </c>
      <c r="W127">
        <f>IF(F127=År1,Q127,SUM(P127,Q127))*IFERROR(VLOOKUP(A127,[1]Tørstofindhold!A$2:B$24,2,FALSE),0)</f>
        <v>0</v>
      </c>
      <c r="X127">
        <f>K127*IFERROR(VLOOKUP(A127,[1]Tørstofindhold!A$2:B$24,2,FALSE),0)</f>
        <v>0</v>
      </c>
      <c r="Y127" s="170">
        <f t="shared" si="22"/>
        <v>0</v>
      </c>
      <c r="Z127">
        <f t="shared" si="26"/>
        <v>0</v>
      </c>
      <c r="AA127">
        <f t="shared" si="27"/>
        <v>0</v>
      </c>
      <c r="AC127" s="94">
        <f t="shared" si="23"/>
        <v>0</v>
      </c>
      <c r="AD127">
        <f>AC127*E127*10000*VLOOKUP(A127,[1]kcal!$A$2:$C$49,3,FALSE)/1000000000000*IFERROR(VLOOKUP(A127,'Kategorisering af kcal'!$A$2:$E$18,MATCH('Produktion &amp; forbrug'!F127,'Kategorisering af kcal'!$A$1:$E$1,0),FALSE),0)</f>
        <v>0</v>
      </c>
      <c r="AE127">
        <f>IF(C127&lt;&gt;"",AC127*(1-VLOOKUP(A127,'Kategorisering af kcal'!$A$2:$E$18,MATCH('Produktion &amp; forbrug'!F127,'Kategorisering af kcal'!$A$1:$E$1,0),FALSE)),'Produktion &amp; forbrug'!AC127)</f>
        <v>0</v>
      </c>
      <c r="AF127" s="94">
        <f t="shared" si="24"/>
        <v>0</v>
      </c>
    </row>
    <row r="128" spans="1:32" x14ac:dyDescent="0.25">
      <c r="A128" s="171" t="str">
        <f t="shared" si="28"/>
        <v>Muslinger</v>
      </c>
      <c r="B128" s="171" t="str">
        <f t="shared" si="29"/>
        <v>Havbiomasse</v>
      </c>
      <c r="C128" s="171" t="str">
        <f>IFERROR(VLOOKUP(A128,'Kategorisering af kcal'!$A$2:$B$18,2,FALSE),"")</f>
        <v>Fisk mm</v>
      </c>
      <c r="D128" s="171">
        <f>IF(COUNTIFS('Resultater - Danmark'!$D$3:$D$504,'Produktion &amp; forbrug'!A128,'Resultater - Danmark'!$A$3:$A$504,"Til energi")+COUNTIFS('Resultater - Danmark'!$D$3:$D$504,'Produktion &amp; forbrug'!A128,'Resultater - Danmark'!$A$3:$A$504,"Biogasanlæg")&gt;0,1,0)</f>
        <v>1</v>
      </c>
      <c r="E128" s="171">
        <f t="shared" si="30"/>
        <v>1</v>
      </c>
      <c r="F128" s="171">
        <f t="shared" si="25"/>
        <v>2050</v>
      </c>
      <c r="G128" s="94">
        <f>SUMIFS('Resultat-Produktion &amp; forbrug'!G$4:G$291,'Resultat-Produktion &amp; forbrug'!$A$4:$A$291,'Produktion &amp; forbrug'!$A128,'Resultat-Produktion &amp; forbrug'!$E$4:$E$291,'Produktion &amp; forbrug'!$F128)</f>
        <v>880.09999999999991</v>
      </c>
      <c r="H128" s="94">
        <f>SUMIFS('Resultat-Produktion &amp; forbrug'!H$4:H$291,'Resultat-Produktion &amp; forbrug'!$A$4:$A$291,'Produktion &amp; forbrug'!$A128,'Resultat-Produktion &amp; forbrug'!$E$4:$E$291,'Produktion &amp; forbrug'!$F128)</f>
        <v>0</v>
      </c>
      <c r="I128" s="94">
        <f>SUMIFS('Resultat-Produktion &amp; forbrug'!I$4:I$291,'Resultat-Produktion &amp; forbrug'!$A$4:$A$291,'Produktion &amp; forbrug'!$A128,'Resultat-Produktion &amp; forbrug'!$E$4:$E$291,'Produktion &amp; forbrug'!$F128)</f>
        <v>0</v>
      </c>
      <c r="J128" s="94">
        <f>SUMIFS('Resultat-Produktion &amp; forbrug'!J$4:J$291,'Resultat-Produktion &amp; forbrug'!$A$4:$A$291,'Produktion &amp; forbrug'!$A128,'Resultat-Produktion &amp; forbrug'!$E$4:$E$291,'Produktion &amp; forbrug'!$F128)</f>
        <v>0</v>
      </c>
      <c r="K128" s="94">
        <f>SUMIFS('Resultat-Produktion &amp; forbrug'!K$4:K$291,'Resultat-Produktion &amp; forbrug'!$A$4:$A$291,'Produktion &amp; forbrug'!$A128,'Resultat-Produktion &amp; forbrug'!$E$4:$E$291,'Produktion &amp; forbrug'!$F128)</f>
        <v>0</v>
      </c>
      <c r="L128" s="94">
        <f>SUMIFS('Resultat-Produktion &amp; forbrug'!L$4:L$291,'Resultat-Produktion &amp; forbrug'!$A$4:$A$291,'Produktion &amp; forbrug'!$A128,'Resultat-Produktion &amp; forbrug'!$E$4:$E$291,'Produktion &amp; forbrug'!$F128)</f>
        <v>0</v>
      </c>
      <c r="M128" s="94">
        <f>SUMIFS('Resultat-Produktion &amp; forbrug'!M$4:M$291,'Resultat-Produktion &amp; forbrug'!$A$4:$A$291,'Produktion &amp; forbrug'!$A128,'Resultat-Produktion &amp; forbrug'!$E$4:$E$291,'Produktion &amp; forbrug'!$F128)</f>
        <v>0</v>
      </c>
      <c r="N128" s="94">
        <f>SUMIFS('Resultat-Produktion &amp; forbrug'!N$4:N$291,'Resultat-Produktion &amp; forbrug'!$A$4:$A$291,'Produktion &amp; forbrug'!$A128,'Resultat-Produktion &amp; forbrug'!$E$4:$E$291,'Produktion &amp; forbrug'!$F128)</f>
        <v>0</v>
      </c>
      <c r="O128" s="179">
        <f t="shared" si="18"/>
        <v>880.09999999999991</v>
      </c>
      <c r="P128" s="94">
        <f t="shared" si="19"/>
        <v>880.09999999999991</v>
      </c>
      <c r="Q128" s="180">
        <f t="shared" si="20"/>
        <v>0</v>
      </c>
      <c r="R128">
        <f>IFERROR(VLOOKUP(A128,[1]Energiindhold!$A$2:$C$11,3,FALSE),IFERROR(VLOOKUP(A128,[1]Biogasudbytte!$A$2:$B$18,2,FALSE)*[1]Energiindhold!$C$10,0))*P128</f>
        <v>7.8988975000000004E-4</v>
      </c>
      <c r="S128">
        <f>IF(A128&lt;&gt;"Biogas",IFERROR(VLOOKUP(A128,[1]Biogasudbytte!$A$2:$B$18,2,FALSE)*[1]Energiindhold!$C$10,0)*K128*IFERROR(VLOOKUP(A128,Biogasanlæg!$F$3:$G$8,2,FALSE),1)+IFERROR(VLOOKUP(A128,[1]Energiindhold!$A$2:$C$11,3,FALSE),0)*M128+IF(F128&lt;&gt;År1,R128,0),0)</f>
        <v>7.8988975000000004E-4</v>
      </c>
      <c r="T128">
        <f>IFERROR(VLOOKUP(A128,[1]Biogasudbytte!$A$2:$B$18,2,FALSE)*[1]Energiindhold!$C$10,0)*K128*IFERROR(VLOOKUP(A128,Biogasanlæg!$F$3:$G$8,2,FALSE),1)</f>
        <v>0</v>
      </c>
      <c r="U128" s="170">
        <f t="shared" si="21"/>
        <v>7.8988975000000004E-4</v>
      </c>
      <c r="V128" s="169">
        <f>P128*IFERROR(VLOOKUP(A128,[1]Tørstofindhold!A$2:B$24,2,FALSE),0)</f>
        <v>132.01499999999999</v>
      </c>
      <c r="W128">
        <f>IF(F128=År1,Q128,SUM(P128,Q128))*IFERROR(VLOOKUP(A128,[1]Tørstofindhold!A$2:B$24,2,FALSE),0)</f>
        <v>132.01499999999999</v>
      </c>
      <c r="X128">
        <f>K128*IFERROR(VLOOKUP(A128,[1]Tørstofindhold!A$2:B$24,2,FALSE),0)</f>
        <v>0</v>
      </c>
      <c r="Y128" s="170">
        <f t="shared" si="22"/>
        <v>132.01499999999999</v>
      </c>
      <c r="Z128">
        <f t="shared" si="26"/>
        <v>0</v>
      </c>
      <c r="AA128">
        <f t="shared" si="27"/>
        <v>1</v>
      </c>
      <c r="AC128" s="94">
        <f t="shared" si="23"/>
        <v>880.09999999999991</v>
      </c>
      <c r="AD128">
        <f>AC128*E128*10000*VLOOKUP(A128,[1]kcal!$A$2:$C$49,3,FALSE)/1000000000000*IFERROR(VLOOKUP(A128,'Kategorisering af kcal'!$A$2:$E$18,MATCH('Produktion &amp; forbrug'!F128,'Kategorisering af kcal'!$A$1:$E$1,0),FALSE),0)</f>
        <v>7.3048299999999998E-4</v>
      </c>
      <c r="AE128">
        <f>IF(C128&lt;&gt;"",AC128*(1-VLOOKUP(A128,'Kategorisering af kcal'!$A$2:$E$18,MATCH('Produktion &amp; forbrug'!F128,'Kategorisering af kcal'!$A$1:$E$1,0),FALSE)),'Produktion &amp; forbrug'!AC128)</f>
        <v>0</v>
      </c>
      <c r="AF128" s="94">
        <f t="shared" si="24"/>
        <v>880.09999999999991</v>
      </c>
    </row>
    <row r="129" spans="1:32" x14ac:dyDescent="0.25">
      <c r="A129" s="171" t="str">
        <f t="shared" si="28"/>
        <v>Oksekød</v>
      </c>
      <c r="B129" s="171" t="str">
        <f t="shared" si="29"/>
        <v/>
      </c>
      <c r="C129" s="171" t="str">
        <f>IFERROR(VLOOKUP(A129,'Kategorisering af kcal'!$A$2:$B$18,2,FALSE),"")</f>
        <v>Kød</v>
      </c>
      <c r="D129" s="171">
        <f>IF(COUNTIFS('Resultater - Danmark'!$D$3:$D$504,'Produktion &amp; forbrug'!A129,'Resultater - Danmark'!$A$3:$A$504,"Til energi")+COUNTIFS('Resultater - Danmark'!$D$3:$D$504,'Produktion &amp; forbrug'!A129,'Resultater - Danmark'!$A$3:$A$504,"Biogasanlæg")&gt;0,1,0)</f>
        <v>0</v>
      </c>
      <c r="E129" s="171">
        <f t="shared" si="30"/>
        <v>1</v>
      </c>
      <c r="F129" s="171">
        <f t="shared" si="25"/>
        <v>2050</v>
      </c>
      <c r="G129" s="94">
        <f>SUMIFS('Resultat-Produktion &amp; forbrug'!G$4:G$291,'Resultat-Produktion &amp; forbrug'!$A$4:$A$291,'Produktion &amp; forbrug'!$A129,'Resultat-Produktion &amp; forbrug'!$E$4:$E$291,'Produktion &amp; forbrug'!$F129)</f>
        <v>4193.3637747548428</v>
      </c>
      <c r="H129" s="94">
        <f>SUMIFS('Resultat-Produktion &amp; forbrug'!H$4:H$291,'Resultat-Produktion &amp; forbrug'!$A$4:$A$291,'Produktion &amp; forbrug'!$A129,'Resultat-Produktion &amp; forbrug'!$E$4:$E$291,'Produktion &amp; forbrug'!$F129)</f>
        <v>0</v>
      </c>
      <c r="I129" s="94">
        <f>SUMIFS('Resultat-Produktion &amp; forbrug'!I$4:I$291,'Resultat-Produktion &amp; forbrug'!$A$4:$A$291,'Produktion &amp; forbrug'!$A129,'Resultat-Produktion &amp; forbrug'!$E$4:$E$291,'Produktion &amp; forbrug'!$F129)</f>
        <v>0</v>
      </c>
      <c r="J129" s="94">
        <f>SUMIFS('Resultat-Produktion &amp; forbrug'!J$4:J$291,'Resultat-Produktion &amp; forbrug'!$A$4:$A$291,'Produktion &amp; forbrug'!$A129,'Resultat-Produktion &amp; forbrug'!$E$4:$E$291,'Produktion &amp; forbrug'!$F129)</f>
        <v>0</v>
      </c>
      <c r="K129" s="94">
        <f>SUMIFS('Resultat-Produktion &amp; forbrug'!K$4:K$291,'Resultat-Produktion &amp; forbrug'!$A$4:$A$291,'Produktion &amp; forbrug'!$A129,'Resultat-Produktion &amp; forbrug'!$E$4:$E$291,'Produktion &amp; forbrug'!$F129)</f>
        <v>0</v>
      </c>
      <c r="L129" s="94">
        <f>SUMIFS('Resultat-Produktion &amp; forbrug'!L$4:L$291,'Resultat-Produktion &amp; forbrug'!$A$4:$A$291,'Produktion &amp; forbrug'!$A129,'Resultat-Produktion &amp; forbrug'!$E$4:$E$291,'Produktion &amp; forbrug'!$F129)</f>
        <v>0</v>
      </c>
      <c r="M129" s="94">
        <f>SUMIFS('Resultat-Produktion &amp; forbrug'!M$4:M$291,'Resultat-Produktion &amp; forbrug'!$A$4:$A$291,'Produktion &amp; forbrug'!$A129,'Resultat-Produktion &amp; forbrug'!$E$4:$E$291,'Produktion &amp; forbrug'!$F129)</f>
        <v>0</v>
      </c>
      <c r="N129" s="94">
        <f>SUMIFS('Resultat-Produktion &amp; forbrug'!N$4:N$291,'Resultat-Produktion &amp; forbrug'!$A$4:$A$291,'Produktion &amp; forbrug'!$A129,'Resultat-Produktion &amp; forbrug'!$E$4:$E$291,'Produktion &amp; forbrug'!$F129)</f>
        <v>0</v>
      </c>
      <c r="O129" s="179">
        <f t="shared" si="18"/>
        <v>4193.3637747548428</v>
      </c>
      <c r="P129" s="94">
        <f t="shared" si="19"/>
        <v>0</v>
      </c>
      <c r="Q129" s="180">
        <f t="shared" si="20"/>
        <v>0</v>
      </c>
      <c r="R129">
        <f>IFERROR(VLOOKUP(A129,[1]Energiindhold!$A$2:$C$11,3,FALSE),IFERROR(VLOOKUP(A129,[1]Biogasudbytte!$A$2:$B$18,2,FALSE)*[1]Energiindhold!$C$10,0))*P129</f>
        <v>0</v>
      </c>
      <c r="S129">
        <f>IF(A129&lt;&gt;"Biogas",IFERROR(VLOOKUP(A129,[1]Biogasudbytte!$A$2:$B$18,2,FALSE)*[1]Energiindhold!$C$10,0)*K129*IFERROR(VLOOKUP(A129,Biogasanlæg!$F$3:$G$8,2,FALSE),1)+IFERROR(VLOOKUP(A129,[1]Energiindhold!$A$2:$C$11,3,FALSE),0)*M129+IF(F129&lt;&gt;År1,R129,0),0)</f>
        <v>0</v>
      </c>
      <c r="T129">
        <f>IFERROR(VLOOKUP(A129,[1]Biogasudbytte!$A$2:$B$18,2,FALSE)*[1]Energiindhold!$C$10,0)*K129*IFERROR(VLOOKUP(A129,Biogasanlæg!$F$3:$G$8,2,FALSE),1)</f>
        <v>0</v>
      </c>
      <c r="U129" s="170">
        <f t="shared" si="21"/>
        <v>0</v>
      </c>
      <c r="V129" s="169">
        <f>P129*IFERROR(VLOOKUP(A129,[1]Tørstofindhold!A$2:B$24,2,FALSE),0)</f>
        <v>0</v>
      </c>
      <c r="W129">
        <f>IF(F129=År1,Q129,SUM(P129,Q129))*IFERROR(VLOOKUP(A129,[1]Tørstofindhold!A$2:B$24,2,FALSE),0)</f>
        <v>0</v>
      </c>
      <c r="X129">
        <f>K129*IFERROR(VLOOKUP(A129,[1]Tørstofindhold!A$2:B$24,2,FALSE),0)</f>
        <v>0</v>
      </c>
      <c r="Y129" s="170">
        <f t="shared" si="22"/>
        <v>0</v>
      </c>
      <c r="Z129">
        <f t="shared" si="26"/>
        <v>0</v>
      </c>
      <c r="AA129">
        <f t="shared" si="27"/>
        <v>1</v>
      </c>
      <c r="AC129" s="94">
        <f t="shared" si="23"/>
        <v>4193.3637747548428</v>
      </c>
      <c r="AD129">
        <f>AC129*E129*10000*VLOOKUP(A129,[1]kcal!$A$2:$C$49,3,FALSE)/1000000000000*IFERROR(VLOOKUP(A129,'Kategorisering af kcal'!$A$2:$E$18,MATCH('Produktion &amp; forbrug'!F129,'Kategorisering af kcal'!$A$1:$E$1,0),FALSE),0)</f>
        <v>8.177059360771944E-3</v>
      </c>
      <c r="AE129">
        <f>IF(C129&lt;&gt;"",AC129*(1-VLOOKUP(A129,'Kategorisering af kcal'!$A$2:$E$18,MATCH('Produktion &amp; forbrug'!F129,'Kategorisering af kcal'!$A$1:$E$1,0),FALSE)),'Produktion &amp; forbrug'!AC129)</f>
        <v>0</v>
      </c>
      <c r="AF129" s="94">
        <f t="shared" si="24"/>
        <v>4193.3637747548428</v>
      </c>
    </row>
    <row r="130" spans="1:32" x14ac:dyDescent="0.25">
      <c r="A130" s="171" t="str">
        <f t="shared" si="28"/>
        <v>Øvrige</v>
      </c>
      <c r="B130" s="171" t="str">
        <f t="shared" si="29"/>
        <v/>
      </c>
      <c r="C130" s="171" t="str">
        <f>IFERROR(VLOOKUP(A130,'Kategorisering af kcal'!$A$2:$B$18,2,FALSE),"")</f>
        <v/>
      </c>
      <c r="D130" s="171">
        <f>IF(COUNTIFS('Resultater - Danmark'!$D$3:$D$504,'Produktion &amp; forbrug'!A130,'Resultater - Danmark'!$A$3:$A$504,"Til energi")+COUNTIFS('Resultater - Danmark'!$D$3:$D$504,'Produktion &amp; forbrug'!A130,'Resultater - Danmark'!$A$3:$A$504,"Biogasanlæg")&gt;0,1,0)</f>
        <v>0</v>
      </c>
      <c r="E130" s="171">
        <f t="shared" si="30"/>
        <v>1</v>
      </c>
      <c r="F130" s="171">
        <f t="shared" si="25"/>
        <v>2050</v>
      </c>
      <c r="G130" s="94">
        <f>SUMIFS('Resultat-Produktion &amp; forbrug'!G$4:G$291,'Resultat-Produktion &amp; forbrug'!$A$4:$A$291,'Produktion &amp; forbrug'!$A130,'Resultat-Produktion &amp; forbrug'!$E$4:$E$291,'Produktion &amp; forbrug'!$F130)</f>
        <v>120867.78516734685</v>
      </c>
      <c r="H130" s="94">
        <f>SUMIFS('Resultat-Produktion &amp; forbrug'!H$4:H$291,'Resultat-Produktion &amp; forbrug'!$A$4:$A$291,'Produktion &amp; forbrug'!$A130,'Resultat-Produktion &amp; forbrug'!$E$4:$E$291,'Produktion &amp; forbrug'!$F130)</f>
        <v>0</v>
      </c>
      <c r="I130" s="94">
        <f>SUMIFS('Resultat-Produktion &amp; forbrug'!I$4:I$291,'Resultat-Produktion &amp; forbrug'!$A$4:$A$291,'Produktion &amp; forbrug'!$A130,'Resultat-Produktion &amp; forbrug'!$E$4:$E$291,'Produktion &amp; forbrug'!$F130)</f>
        <v>0</v>
      </c>
      <c r="J130" s="94">
        <f>SUMIFS('Resultat-Produktion &amp; forbrug'!J$4:J$291,'Resultat-Produktion &amp; forbrug'!$A$4:$A$291,'Produktion &amp; forbrug'!$A130,'Resultat-Produktion &amp; forbrug'!$E$4:$E$291,'Produktion &amp; forbrug'!$F130)</f>
        <v>0</v>
      </c>
      <c r="K130" s="94">
        <f>SUMIFS('Resultat-Produktion &amp; forbrug'!K$4:K$291,'Resultat-Produktion &amp; forbrug'!$A$4:$A$291,'Produktion &amp; forbrug'!$A130,'Resultat-Produktion &amp; forbrug'!$E$4:$E$291,'Produktion &amp; forbrug'!$F130)</f>
        <v>0</v>
      </c>
      <c r="L130" s="94">
        <f>SUMIFS('Resultat-Produktion &amp; forbrug'!L$4:L$291,'Resultat-Produktion &amp; forbrug'!$A$4:$A$291,'Produktion &amp; forbrug'!$A130,'Resultat-Produktion &amp; forbrug'!$E$4:$E$291,'Produktion &amp; forbrug'!$F130)</f>
        <v>0</v>
      </c>
      <c r="M130" s="94">
        <f>SUMIFS('Resultat-Produktion &amp; forbrug'!M$4:M$291,'Resultat-Produktion &amp; forbrug'!$A$4:$A$291,'Produktion &amp; forbrug'!$A130,'Resultat-Produktion &amp; forbrug'!$E$4:$E$291,'Produktion &amp; forbrug'!$F130)</f>
        <v>0</v>
      </c>
      <c r="N130" s="94">
        <f>SUMIFS('Resultat-Produktion &amp; forbrug'!N$4:N$291,'Resultat-Produktion &amp; forbrug'!$A$4:$A$291,'Produktion &amp; forbrug'!$A130,'Resultat-Produktion &amp; forbrug'!$E$4:$E$291,'Produktion &amp; forbrug'!$F130)</f>
        <v>0</v>
      </c>
      <c r="O130" s="179">
        <f t="shared" si="18"/>
        <v>120867.78516734685</v>
      </c>
      <c r="P130" s="94">
        <f t="shared" si="19"/>
        <v>0</v>
      </c>
      <c r="Q130" s="180">
        <f t="shared" si="20"/>
        <v>0</v>
      </c>
      <c r="R130">
        <f>IFERROR(VLOOKUP(A130,[1]Energiindhold!$A$2:$C$11,3,FALSE),IFERROR(VLOOKUP(A130,[1]Biogasudbytte!$A$2:$B$18,2,FALSE)*[1]Energiindhold!$C$10,0))*P130</f>
        <v>0</v>
      </c>
      <c r="S130">
        <f>IF(A130&lt;&gt;"Biogas",IFERROR(VLOOKUP(A130,[1]Biogasudbytte!$A$2:$B$18,2,FALSE)*[1]Energiindhold!$C$10,0)*K130*IFERROR(VLOOKUP(A130,Biogasanlæg!$F$3:$G$8,2,FALSE),1)+IFERROR(VLOOKUP(A130,[1]Energiindhold!$A$2:$C$11,3,FALSE),0)*M130+IF(F130&lt;&gt;År1,R130,0),0)</f>
        <v>0</v>
      </c>
      <c r="T130">
        <f>IFERROR(VLOOKUP(A130,[1]Biogasudbytte!$A$2:$B$18,2,FALSE)*[1]Energiindhold!$C$10,0)*K130*IFERROR(VLOOKUP(A130,Biogasanlæg!$F$3:$G$8,2,FALSE),1)</f>
        <v>0</v>
      </c>
      <c r="U130" s="170">
        <f t="shared" si="21"/>
        <v>0</v>
      </c>
      <c r="V130" s="169">
        <f>P130*IFERROR(VLOOKUP(A130,[1]Tørstofindhold!A$2:B$24,2,FALSE),0)</f>
        <v>0</v>
      </c>
      <c r="W130">
        <f>IF(F130=År1,Q130,SUM(P130,Q130))*IFERROR(VLOOKUP(A130,[1]Tørstofindhold!A$2:B$24,2,FALSE),0)</f>
        <v>0</v>
      </c>
      <c r="X130">
        <f>K130*IFERROR(VLOOKUP(A130,[1]Tørstofindhold!A$2:B$24,2,FALSE),0)</f>
        <v>0</v>
      </c>
      <c r="Y130" s="170">
        <f t="shared" si="22"/>
        <v>0</v>
      </c>
      <c r="Z130">
        <f t="shared" si="26"/>
        <v>0</v>
      </c>
      <c r="AA130">
        <f t="shared" si="27"/>
        <v>1</v>
      </c>
      <c r="AC130" s="94">
        <f t="shared" si="23"/>
        <v>120867.78516734685</v>
      </c>
      <c r="AD130">
        <f>AC130*E130*10000*VLOOKUP(A130,[1]kcal!$A$2:$C$49,3,FALSE)/1000000000000*IFERROR(VLOOKUP(A130,'Kategorisering af kcal'!$A$2:$E$18,MATCH('Produktion &amp; forbrug'!F130,'Kategorisering af kcal'!$A$1:$E$1,0),FALSE),0)</f>
        <v>0</v>
      </c>
      <c r="AE130">
        <f>IF(C130&lt;&gt;"",AC130*(1-VLOOKUP(A130,'Kategorisering af kcal'!$A$2:$E$18,MATCH('Produktion &amp; forbrug'!F130,'Kategorisering af kcal'!$A$1:$E$1,0),FALSE)),'Produktion &amp; forbrug'!AC130)</f>
        <v>120867.78516734685</v>
      </c>
      <c r="AF130" s="94">
        <f t="shared" si="24"/>
        <v>0</v>
      </c>
    </row>
    <row r="131" spans="1:32" x14ac:dyDescent="0.25">
      <c r="A131" s="171" t="str">
        <f t="shared" si="28"/>
        <v>Pil &amp; poppel</v>
      </c>
      <c r="B131" s="171" t="str">
        <f t="shared" si="29"/>
        <v>Vedmasse</v>
      </c>
      <c r="C131" s="171" t="str">
        <f>IFERROR(VLOOKUP(A131,'Kategorisering af kcal'!$A$2:$B$18,2,FALSE),"")</f>
        <v/>
      </c>
      <c r="D131" s="171">
        <f>IF(COUNTIFS('Resultater - Danmark'!$D$3:$D$504,'Produktion &amp; forbrug'!A131,'Resultater - Danmark'!$A$3:$A$504,"Til energi")+COUNTIFS('Resultater - Danmark'!$D$3:$D$504,'Produktion &amp; forbrug'!A131,'Resultater - Danmark'!$A$3:$A$504,"Biogasanlæg")&gt;0,1,0)</f>
        <v>1</v>
      </c>
      <c r="E131" s="171">
        <f t="shared" si="30"/>
        <v>0</v>
      </c>
      <c r="F131" s="171">
        <f t="shared" si="25"/>
        <v>2050</v>
      </c>
      <c r="G131" s="94">
        <f>SUMIFS('Resultat-Produktion &amp; forbrug'!G$4:G$291,'Resultat-Produktion &amp; forbrug'!$A$4:$A$291,'Produktion &amp; forbrug'!$A131,'Resultat-Produktion &amp; forbrug'!$E$4:$E$291,'Produktion &amp; forbrug'!$F131)</f>
        <v>1753629.766003873</v>
      </c>
      <c r="H131" s="94">
        <f>SUMIFS('Resultat-Produktion &amp; forbrug'!H$4:H$291,'Resultat-Produktion &amp; forbrug'!$A$4:$A$291,'Produktion &amp; forbrug'!$A131,'Resultat-Produktion &amp; forbrug'!$E$4:$E$291,'Produktion &amp; forbrug'!$F131)</f>
        <v>0</v>
      </c>
      <c r="I131" s="94">
        <f>SUMIFS('Resultat-Produktion &amp; forbrug'!I$4:I$291,'Resultat-Produktion &amp; forbrug'!$A$4:$A$291,'Produktion &amp; forbrug'!$A131,'Resultat-Produktion &amp; forbrug'!$E$4:$E$291,'Produktion &amp; forbrug'!$F131)</f>
        <v>0</v>
      </c>
      <c r="J131" s="94">
        <f>SUMIFS('Resultat-Produktion &amp; forbrug'!J$4:J$291,'Resultat-Produktion &amp; forbrug'!$A$4:$A$291,'Produktion &amp; forbrug'!$A131,'Resultat-Produktion &amp; forbrug'!$E$4:$E$291,'Produktion &amp; forbrug'!$F131)</f>
        <v>0</v>
      </c>
      <c r="K131" s="94">
        <f>SUMIFS('Resultat-Produktion &amp; forbrug'!K$4:K$291,'Resultat-Produktion &amp; forbrug'!$A$4:$A$291,'Produktion &amp; forbrug'!$A131,'Resultat-Produktion &amp; forbrug'!$E$4:$E$291,'Produktion &amp; forbrug'!$F131)</f>
        <v>0</v>
      </c>
      <c r="L131" s="94">
        <f>SUMIFS('Resultat-Produktion &amp; forbrug'!L$4:L$291,'Resultat-Produktion &amp; forbrug'!$A$4:$A$291,'Produktion &amp; forbrug'!$A131,'Resultat-Produktion &amp; forbrug'!$E$4:$E$291,'Produktion &amp; forbrug'!$F131)</f>
        <v>0</v>
      </c>
      <c r="M131" s="94">
        <f>SUMIFS('Resultat-Produktion &amp; forbrug'!M$4:M$291,'Resultat-Produktion &amp; forbrug'!$A$4:$A$291,'Produktion &amp; forbrug'!$A131,'Resultat-Produktion &amp; forbrug'!$E$4:$E$291,'Produktion &amp; forbrug'!$F131)</f>
        <v>1753629.766003873</v>
      </c>
      <c r="N131" s="94">
        <f>SUMIFS('Resultat-Produktion &amp; forbrug'!N$4:N$291,'Resultat-Produktion &amp; forbrug'!$A$4:$A$291,'Produktion &amp; forbrug'!$A131,'Resultat-Produktion &amp; forbrug'!$E$4:$E$291,'Produktion &amp; forbrug'!$F131)</f>
        <v>0</v>
      </c>
      <c r="O131" s="179">
        <f t="shared" si="18"/>
        <v>0</v>
      </c>
      <c r="P131" s="94">
        <f t="shared" si="19"/>
        <v>0</v>
      </c>
      <c r="Q131" s="180">
        <f t="shared" si="20"/>
        <v>1753629.766003873</v>
      </c>
      <c r="R131">
        <f>IFERROR(VLOOKUP(A131,[1]Energiindhold!$A$2:$C$11,3,FALSE),IFERROR(VLOOKUP(A131,[1]Biogasudbytte!$A$2:$B$18,2,FALSE)*[1]Energiindhold!$C$10,0))*P131</f>
        <v>0</v>
      </c>
      <c r="S131">
        <f>IF(A131&lt;&gt;"Biogas",IFERROR(VLOOKUP(A131,[1]Biogasudbytte!$A$2:$B$18,2,FALSE)*[1]Energiindhold!$C$10,0)*K131*IFERROR(VLOOKUP(A131,Biogasanlæg!$F$3:$G$8,2,FALSE),1)+IFERROR(VLOOKUP(A131,[1]Energiindhold!$A$2:$C$11,3,FALSE),0)*M131+IF(F131&lt;&gt;År1,R131,0),0)</f>
        <v>32.266787694471255</v>
      </c>
      <c r="T131">
        <f>IFERROR(VLOOKUP(A131,[1]Biogasudbytte!$A$2:$B$18,2,FALSE)*[1]Energiindhold!$C$10,0)*K131*IFERROR(VLOOKUP(A131,Biogasanlæg!$F$3:$G$8,2,FALSE),1)</f>
        <v>0</v>
      </c>
      <c r="U131" s="170">
        <f t="shared" si="21"/>
        <v>32.266787694471255</v>
      </c>
      <c r="V131" s="169">
        <f>P131*IFERROR(VLOOKUP(A131,[1]Tørstofindhold!A$2:B$24,2,FALSE),0)</f>
        <v>0</v>
      </c>
      <c r="W131">
        <f>IF(F131=År1,Q131,SUM(P131,Q131))*IFERROR(VLOOKUP(A131,[1]Tørstofindhold!A$2:B$24,2,FALSE),0)</f>
        <v>727756.35289160733</v>
      </c>
      <c r="X131">
        <f>K131*IFERROR(VLOOKUP(A131,[1]Tørstofindhold!A$2:B$24,2,FALSE),0)</f>
        <v>0</v>
      </c>
      <c r="Y131" s="170">
        <f t="shared" si="22"/>
        <v>727756.35289160733</v>
      </c>
      <c r="Z131">
        <f t="shared" si="26"/>
        <v>0</v>
      </c>
      <c r="AA131">
        <f t="shared" si="27"/>
        <v>0</v>
      </c>
      <c r="AC131" s="94">
        <f t="shared" si="23"/>
        <v>1753629.766003873</v>
      </c>
      <c r="AD131">
        <f>AC131*E131*10000*VLOOKUP(A131,[1]kcal!$A$2:$C$49,3,FALSE)/1000000000000*IFERROR(VLOOKUP(A131,'Kategorisering af kcal'!$A$2:$E$18,MATCH('Produktion &amp; forbrug'!F131,'Kategorisering af kcal'!$A$1:$E$1,0),FALSE),0)</f>
        <v>0</v>
      </c>
      <c r="AE131">
        <f>IF(C131&lt;&gt;"",AC131*(1-VLOOKUP(A131,'Kategorisering af kcal'!$A$2:$E$18,MATCH('Produktion &amp; forbrug'!F131,'Kategorisering af kcal'!$A$1:$E$1,0),FALSE)),'Produktion &amp; forbrug'!AC131)</f>
        <v>1753629.766003873</v>
      </c>
      <c r="AF131" s="94">
        <f t="shared" si="24"/>
        <v>0</v>
      </c>
    </row>
    <row r="132" spans="1:32" x14ac:dyDescent="0.25">
      <c r="A132" s="171" t="str">
        <f t="shared" si="28"/>
        <v>Pyrolysegas</v>
      </c>
      <c r="B132" s="171" t="str">
        <f t="shared" si="29"/>
        <v>Pyrolyseprodukter</v>
      </c>
      <c r="C132" s="171" t="str">
        <f>IFERROR(VLOOKUP(A132,'Kategorisering af kcal'!$A$2:$B$18,2,FALSE),"")</f>
        <v/>
      </c>
      <c r="D132" s="171">
        <f>IF(COUNTIFS('Resultater - Danmark'!$D$3:$D$504,'Produktion &amp; forbrug'!A132,'Resultater - Danmark'!$A$3:$A$504,"Til energi")+COUNTIFS('Resultater - Danmark'!$D$3:$D$504,'Produktion &amp; forbrug'!A132,'Resultater - Danmark'!$A$3:$A$504,"Biogasanlæg")&gt;0,1,0)</f>
        <v>1</v>
      </c>
      <c r="E132" s="171">
        <f t="shared" si="30"/>
        <v>0</v>
      </c>
      <c r="F132" s="171">
        <f t="shared" si="25"/>
        <v>2050</v>
      </c>
      <c r="G132" s="94">
        <f>SUMIFS('Resultat-Produktion &amp; forbrug'!G$4:G$291,'Resultat-Produktion &amp; forbrug'!$A$4:$A$291,'Produktion &amp; forbrug'!$A132,'Resultat-Produktion &amp; forbrug'!$E$4:$E$291,'Produktion &amp; forbrug'!$F132)</f>
        <v>0</v>
      </c>
      <c r="H132" s="94">
        <f>SUMIFS('Resultat-Produktion &amp; forbrug'!H$4:H$291,'Resultat-Produktion &amp; forbrug'!$A$4:$A$291,'Produktion &amp; forbrug'!$A132,'Resultat-Produktion &amp; forbrug'!$E$4:$E$291,'Produktion &amp; forbrug'!$F132)</f>
        <v>0</v>
      </c>
      <c r="I132" s="94">
        <f>SUMIFS('Resultat-Produktion &amp; forbrug'!I$4:I$291,'Resultat-Produktion &amp; forbrug'!$A$4:$A$291,'Produktion &amp; forbrug'!$A132,'Resultat-Produktion &amp; forbrug'!$E$4:$E$291,'Produktion &amp; forbrug'!$F132)</f>
        <v>0</v>
      </c>
      <c r="J132" s="94">
        <f>SUMIFS('Resultat-Produktion &amp; forbrug'!J$4:J$291,'Resultat-Produktion &amp; forbrug'!$A$4:$A$291,'Produktion &amp; forbrug'!$A132,'Resultat-Produktion &amp; forbrug'!$E$4:$E$291,'Produktion &amp; forbrug'!$F132)</f>
        <v>0</v>
      </c>
      <c r="K132" s="94">
        <f>SUMIFS('Resultat-Produktion &amp; forbrug'!K$4:K$291,'Resultat-Produktion &amp; forbrug'!$A$4:$A$291,'Produktion &amp; forbrug'!$A132,'Resultat-Produktion &amp; forbrug'!$E$4:$E$291,'Produktion &amp; forbrug'!$F132)</f>
        <v>0</v>
      </c>
      <c r="L132" s="94">
        <f>SUMIFS('Resultat-Produktion &amp; forbrug'!L$4:L$291,'Resultat-Produktion &amp; forbrug'!$A$4:$A$291,'Produktion &amp; forbrug'!$A132,'Resultat-Produktion &amp; forbrug'!$E$4:$E$291,'Produktion &amp; forbrug'!$F132)</f>
        <v>0</v>
      </c>
      <c r="M132" s="94">
        <f>SUMIFS('Resultat-Produktion &amp; forbrug'!M$4:M$291,'Resultat-Produktion &amp; forbrug'!$A$4:$A$291,'Produktion &amp; forbrug'!$A132,'Resultat-Produktion &amp; forbrug'!$E$4:$E$291,'Produktion &amp; forbrug'!$F132)</f>
        <v>0</v>
      </c>
      <c r="N132" s="94">
        <f>SUMIFS('Resultat-Produktion &amp; forbrug'!N$4:N$291,'Resultat-Produktion &amp; forbrug'!$A$4:$A$291,'Produktion &amp; forbrug'!$A132,'Resultat-Produktion &amp; forbrug'!$E$4:$E$291,'Produktion &amp; forbrug'!$F132)</f>
        <v>0</v>
      </c>
      <c r="O132" s="179">
        <f t="shared" si="18"/>
        <v>0</v>
      </c>
      <c r="P132" s="94">
        <f t="shared" si="19"/>
        <v>0</v>
      </c>
      <c r="Q132" s="180">
        <f t="shared" si="20"/>
        <v>0</v>
      </c>
      <c r="R132">
        <f>IFERROR(VLOOKUP(A132,[1]Energiindhold!$A$2:$C$11,3,FALSE),IFERROR(VLOOKUP(A132,[1]Biogasudbytte!$A$2:$B$18,2,FALSE)*[1]Energiindhold!$C$10,0))*P132</f>
        <v>0</v>
      </c>
      <c r="S132">
        <f>IF(A132&lt;&gt;"Biogas",IFERROR(VLOOKUP(A132,[1]Biogasudbytte!$A$2:$B$18,2,FALSE)*[1]Energiindhold!$C$10,0)*K132*IFERROR(VLOOKUP(A132,Biogasanlæg!$F$3:$G$8,2,FALSE),1)+IFERROR(VLOOKUP(A132,[1]Energiindhold!$A$2:$C$11,3,FALSE),0)*M132+IF(F132&lt;&gt;År1,R132,0),0)</f>
        <v>0</v>
      </c>
      <c r="T132">
        <f>IFERROR(VLOOKUP(A132,[1]Biogasudbytte!$A$2:$B$18,2,FALSE)*[1]Energiindhold!$C$10,0)*K132*IFERROR(VLOOKUP(A132,Biogasanlæg!$F$3:$G$8,2,FALSE),1)</f>
        <v>0</v>
      </c>
      <c r="U132" s="170">
        <f t="shared" si="21"/>
        <v>0</v>
      </c>
      <c r="V132" s="169">
        <f>P132*IFERROR(VLOOKUP(A132,[1]Tørstofindhold!A$2:B$24,2,FALSE),0)</f>
        <v>0</v>
      </c>
      <c r="W132">
        <f>IF(F132=År1,Q132,SUM(P132,Q132))*IFERROR(VLOOKUP(A132,[1]Tørstofindhold!A$2:B$24,2,FALSE),0)</f>
        <v>0</v>
      </c>
      <c r="X132">
        <f>K132*IFERROR(VLOOKUP(A132,[1]Tørstofindhold!A$2:B$24,2,FALSE),0)</f>
        <v>0</v>
      </c>
      <c r="Y132" s="170">
        <f t="shared" si="22"/>
        <v>0</v>
      </c>
      <c r="Z132">
        <f t="shared" ref="Z132:Z147" si="31">IF(SUMIFS($O$4:$O$147,$A$4:$A$147,A132,$F$4:$F$147,F132)&lt;0,1,0)</f>
        <v>0</v>
      </c>
      <c r="AA132">
        <f t="shared" ref="AA132:AA147" si="32">IF(SUMIFS($O$4:$O$147,$A$4:$A$147,A132,$F$4:$F$147,F132)&gt;0,1,0)</f>
        <v>0</v>
      </c>
      <c r="AC132" s="94">
        <f t="shared" si="23"/>
        <v>0</v>
      </c>
      <c r="AD132">
        <f>AC132*E132*10000*VLOOKUP(A132,[1]kcal!$A$2:$C$49,3,FALSE)/1000000000000*IFERROR(VLOOKUP(A132,'Kategorisering af kcal'!$A$2:$E$18,MATCH('Produktion &amp; forbrug'!F132,'Kategorisering af kcal'!$A$1:$E$1,0),FALSE),0)</f>
        <v>0</v>
      </c>
      <c r="AE132">
        <f>IF(C132&lt;&gt;"",AC132*(1-VLOOKUP(A132,'Kategorisering af kcal'!$A$2:$E$18,MATCH('Produktion &amp; forbrug'!F132,'Kategorisering af kcal'!$A$1:$E$1,0),FALSE)),'Produktion &amp; forbrug'!AC132)</f>
        <v>0</v>
      </c>
      <c r="AF132" s="94">
        <f t="shared" si="24"/>
        <v>0</v>
      </c>
    </row>
    <row r="133" spans="1:32" x14ac:dyDescent="0.25">
      <c r="A133" s="171" t="str">
        <f t="shared" si="28"/>
        <v>Pyrolyseolie</v>
      </c>
      <c r="B133" s="171" t="str">
        <f t="shared" si="29"/>
        <v>Pyrolyseprodukter</v>
      </c>
      <c r="C133" s="171" t="str">
        <f>IFERROR(VLOOKUP(A133,'Kategorisering af kcal'!$A$2:$B$18,2,FALSE),"")</f>
        <v/>
      </c>
      <c r="D133" s="171">
        <f>IF(COUNTIFS('Resultater - Danmark'!$D$3:$D$504,'Produktion &amp; forbrug'!A133,'Resultater - Danmark'!$A$3:$A$504,"Til energi")+COUNTIFS('Resultater - Danmark'!$D$3:$D$504,'Produktion &amp; forbrug'!A133,'Resultater - Danmark'!$A$3:$A$504,"Biogasanlæg")&gt;0,1,0)</f>
        <v>1</v>
      </c>
      <c r="E133" s="171">
        <f t="shared" si="30"/>
        <v>0</v>
      </c>
      <c r="F133" s="171">
        <f t="shared" si="25"/>
        <v>2050</v>
      </c>
      <c r="G133" s="94">
        <f>SUMIFS('Resultat-Produktion &amp; forbrug'!G$4:G$291,'Resultat-Produktion &amp; forbrug'!$A$4:$A$291,'Produktion &amp; forbrug'!$A133,'Resultat-Produktion &amp; forbrug'!$E$4:$E$291,'Produktion &amp; forbrug'!$F133)</f>
        <v>0</v>
      </c>
      <c r="H133" s="94">
        <f>SUMIFS('Resultat-Produktion &amp; forbrug'!H$4:H$291,'Resultat-Produktion &amp; forbrug'!$A$4:$A$291,'Produktion &amp; forbrug'!$A133,'Resultat-Produktion &amp; forbrug'!$E$4:$E$291,'Produktion &amp; forbrug'!$F133)</f>
        <v>0</v>
      </c>
      <c r="I133" s="94">
        <f>SUMIFS('Resultat-Produktion &amp; forbrug'!I$4:I$291,'Resultat-Produktion &amp; forbrug'!$A$4:$A$291,'Produktion &amp; forbrug'!$A133,'Resultat-Produktion &amp; forbrug'!$E$4:$E$291,'Produktion &amp; forbrug'!$F133)</f>
        <v>0</v>
      </c>
      <c r="J133" s="94">
        <f>SUMIFS('Resultat-Produktion &amp; forbrug'!J$4:J$291,'Resultat-Produktion &amp; forbrug'!$A$4:$A$291,'Produktion &amp; forbrug'!$A133,'Resultat-Produktion &amp; forbrug'!$E$4:$E$291,'Produktion &amp; forbrug'!$F133)</f>
        <v>0</v>
      </c>
      <c r="K133" s="94">
        <f>SUMIFS('Resultat-Produktion &amp; forbrug'!K$4:K$291,'Resultat-Produktion &amp; forbrug'!$A$4:$A$291,'Produktion &amp; forbrug'!$A133,'Resultat-Produktion &amp; forbrug'!$E$4:$E$291,'Produktion &amp; forbrug'!$F133)</f>
        <v>0</v>
      </c>
      <c r="L133" s="94">
        <f>SUMIFS('Resultat-Produktion &amp; forbrug'!L$4:L$291,'Resultat-Produktion &amp; forbrug'!$A$4:$A$291,'Produktion &amp; forbrug'!$A133,'Resultat-Produktion &amp; forbrug'!$E$4:$E$291,'Produktion &amp; forbrug'!$F133)</f>
        <v>0</v>
      </c>
      <c r="M133" s="94">
        <f>SUMIFS('Resultat-Produktion &amp; forbrug'!M$4:M$291,'Resultat-Produktion &amp; forbrug'!$A$4:$A$291,'Produktion &amp; forbrug'!$A133,'Resultat-Produktion &amp; forbrug'!$E$4:$E$291,'Produktion &amp; forbrug'!$F133)</f>
        <v>0</v>
      </c>
      <c r="N133" s="94">
        <f>SUMIFS('Resultat-Produktion &amp; forbrug'!N$4:N$291,'Resultat-Produktion &amp; forbrug'!$A$4:$A$291,'Produktion &amp; forbrug'!$A133,'Resultat-Produktion &amp; forbrug'!$E$4:$E$291,'Produktion &amp; forbrug'!$F133)</f>
        <v>0</v>
      </c>
      <c r="O133" s="179">
        <f t="shared" si="18"/>
        <v>0</v>
      </c>
      <c r="P133" s="94">
        <f t="shared" ref="P133:P147" si="33">IF(D133=1,MAX(O133,0),0)</f>
        <v>0</v>
      </c>
      <c r="Q133" s="180">
        <f t="shared" si="20"/>
        <v>0</v>
      </c>
      <c r="R133">
        <f>IFERROR(VLOOKUP(A133,[1]Energiindhold!$A$2:$C$11,3,FALSE),IFERROR(VLOOKUP(A133,[1]Biogasudbytte!$A$2:$B$18,2,FALSE)*[1]Energiindhold!$C$10,0))*P133</f>
        <v>0</v>
      </c>
      <c r="S133">
        <f>IF(A133&lt;&gt;"Biogas",IFERROR(VLOOKUP(A133,[1]Biogasudbytte!$A$2:$B$18,2,FALSE)*[1]Energiindhold!$C$10,0)*K133*IFERROR(VLOOKUP(A133,Biogasanlæg!$F$3:$G$8,2,FALSE),1)+IFERROR(VLOOKUP(A133,[1]Energiindhold!$A$2:$C$11,3,FALSE),0)*M133+IF(F133&lt;&gt;År1,R133,0),0)</f>
        <v>0</v>
      </c>
      <c r="T133">
        <f>IFERROR(VLOOKUP(A133,[1]Biogasudbytte!$A$2:$B$18,2,FALSE)*[1]Energiindhold!$C$10,0)*K133*IFERROR(VLOOKUP(A133,Biogasanlæg!$F$3:$G$8,2,FALSE),1)</f>
        <v>0</v>
      </c>
      <c r="U133" s="170">
        <f t="shared" si="21"/>
        <v>0</v>
      </c>
      <c r="V133" s="169">
        <f>P133*IFERROR(VLOOKUP(A133,[1]Tørstofindhold!A$2:B$24,2,FALSE),0)</f>
        <v>0</v>
      </c>
      <c r="W133">
        <f>IF(F133=År1,Q133,SUM(P133,Q133))*IFERROR(VLOOKUP(A133,[1]Tørstofindhold!A$2:B$24,2,FALSE),0)</f>
        <v>0</v>
      </c>
      <c r="X133">
        <f>K133*IFERROR(VLOOKUP(A133,[1]Tørstofindhold!A$2:B$24,2,FALSE),0)</f>
        <v>0</v>
      </c>
      <c r="Y133" s="170">
        <f t="shared" si="22"/>
        <v>0</v>
      </c>
      <c r="Z133">
        <f t="shared" si="31"/>
        <v>0</v>
      </c>
      <c r="AA133">
        <f t="shared" si="32"/>
        <v>0</v>
      </c>
      <c r="AC133" s="94">
        <f t="shared" ref="AC133:AC147" si="34">G133-SUMPRODUCT($H$2:$N$2,H133:N133)</f>
        <v>0</v>
      </c>
      <c r="AD133">
        <f>AC133*E133*10000*VLOOKUP(A133,[1]kcal!$A$2:$C$49,3,FALSE)/1000000000000*IFERROR(VLOOKUP(A133,'Kategorisering af kcal'!$A$2:$E$18,MATCH('Produktion &amp; forbrug'!F133,'Kategorisering af kcal'!$A$1:$E$1,0),FALSE),0)</f>
        <v>0</v>
      </c>
      <c r="AE133">
        <f>IF(C133&lt;&gt;"",AC133*(1-VLOOKUP(A133,'Kategorisering af kcal'!$A$2:$E$18,MATCH('Produktion &amp; forbrug'!F133,'Kategorisering af kcal'!$A$1:$E$1,0),FALSE)),'Produktion &amp; forbrug'!AC133)</f>
        <v>0</v>
      </c>
      <c r="AF133" s="94">
        <f t="shared" ref="AF133:AF147" si="35">AC133-AE133</f>
        <v>0</v>
      </c>
    </row>
    <row r="134" spans="1:32" x14ac:dyDescent="0.25">
      <c r="A134" s="171" t="str">
        <f t="shared" si="28"/>
        <v>Råmælk</v>
      </c>
      <c r="B134" s="171" t="str">
        <f t="shared" si="29"/>
        <v/>
      </c>
      <c r="C134" s="171" t="str">
        <f>IFERROR(VLOOKUP(A134,'Kategorisering af kcal'!$A$2:$B$18,2,FALSE),"")</f>
        <v/>
      </c>
      <c r="D134" s="171">
        <f>IF(COUNTIFS('Resultater - Danmark'!$D$3:$D$504,'Produktion &amp; forbrug'!A134,'Resultater - Danmark'!$A$3:$A$504,"Til energi")+COUNTIFS('Resultater - Danmark'!$D$3:$D$504,'Produktion &amp; forbrug'!A134,'Resultater - Danmark'!$A$3:$A$504,"Biogasanlæg")&gt;0,1,0)</f>
        <v>0</v>
      </c>
      <c r="E134" s="171">
        <f t="shared" si="30"/>
        <v>0</v>
      </c>
      <c r="F134" s="171">
        <f t="shared" si="25"/>
        <v>2050</v>
      </c>
      <c r="G134" s="94">
        <f>SUMIFS('Resultat-Produktion &amp; forbrug'!G$4:G$291,'Resultat-Produktion &amp; forbrug'!$A$4:$A$291,'Produktion &amp; forbrug'!$A134,'Resultat-Produktion &amp; forbrug'!$E$4:$E$291,'Produktion &amp; forbrug'!$F134)</f>
        <v>0</v>
      </c>
      <c r="H134" s="94">
        <f>SUMIFS('Resultat-Produktion &amp; forbrug'!H$4:H$291,'Resultat-Produktion &amp; forbrug'!$A$4:$A$291,'Produktion &amp; forbrug'!$A134,'Resultat-Produktion &amp; forbrug'!$E$4:$E$291,'Produktion &amp; forbrug'!$F134)</f>
        <v>0</v>
      </c>
      <c r="I134" s="94">
        <f>SUMIFS('Resultat-Produktion &amp; forbrug'!I$4:I$291,'Resultat-Produktion &amp; forbrug'!$A$4:$A$291,'Produktion &amp; forbrug'!$A134,'Resultat-Produktion &amp; forbrug'!$E$4:$E$291,'Produktion &amp; forbrug'!$F134)</f>
        <v>0</v>
      </c>
      <c r="J134" s="94">
        <f>SUMIFS('Resultat-Produktion &amp; forbrug'!J$4:J$291,'Resultat-Produktion &amp; forbrug'!$A$4:$A$291,'Produktion &amp; forbrug'!$A134,'Resultat-Produktion &amp; forbrug'!$E$4:$E$291,'Produktion &amp; forbrug'!$F134)</f>
        <v>0</v>
      </c>
      <c r="K134" s="94">
        <f>SUMIFS('Resultat-Produktion &amp; forbrug'!K$4:K$291,'Resultat-Produktion &amp; forbrug'!$A$4:$A$291,'Produktion &amp; forbrug'!$A134,'Resultat-Produktion &amp; forbrug'!$E$4:$E$291,'Produktion &amp; forbrug'!$F134)</f>
        <v>0</v>
      </c>
      <c r="L134" s="94">
        <f>SUMIFS('Resultat-Produktion &amp; forbrug'!L$4:L$291,'Resultat-Produktion &amp; forbrug'!$A$4:$A$291,'Produktion &amp; forbrug'!$A134,'Resultat-Produktion &amp; forbrug'!$E$4:$E$291,'Produktion &amp; forbrug'!$F134)</f>
        <v>0</v>
      </c>
      <c r="M134" s="94">
        <f>SUMIFS('Resultat-Produktion &amp; forbrug'!M$4:M$291,'Resultat-Produktion &amp; forbrug'!$A$4:$A$291,'Produktion &amp; forbrug'!$A134,'Resultat-Produktion &amp; forbrug'!$E$4:$E$291,'Produktion &amp; forbrug'!$F134)</f>
        <v>0</v>
      </c>
      <c r="N134" s="94">
        <f>SUMIFS('Resultat-Produktion &amp; forbrug'!N$4:N$291,'Resultat-Produktion &amp; forbrug'!$A$4:$A$291,'Produktion &amp; forbrug'!$A134,'Resultat-Produktion &amp; forbrug'!$E$4:$E$291,'Produktion &amp; forbrug'!$F134)</f>
        <v>0</v>
      </c>
      <c r="O134" s="179">
        <f t="shared" si="18"/>
        <v>0</v>
      </c>
      <c r="P134" s="94">
        <f t="shared" si="33"/>
        <v>0</v>
      </c>
      <c r="Q134" s="180">
        <f t="shared" si="20"/>
        <v>0</v>
      </c>
      <c r="R134">
        <f>IFERROR(VLOOKUP(A134,[1]Energiindhold!$A$2:$C$11,3,FALSE),IFERROR(VLOOKUP(A134,[1]Biogasudbytte!$A$2:$B$18,2,FALSE)*[1]Energiindhold!$C$10,0))*P134</f>
        <v>0</v>
      </c>
      <c r="S134">
        <f>IF(A134&lt;&gt;"Biogas",IFERROR(VLOOKUP(A134,[1]Biogasudbytte!$A$2:$B$18,2,FALSE)*[1]Energiindhold!$C$10,0)*K134*IFERROR(VLOOKUP(A134,Biogasanlæg!$F$3:$G$8,2,FALSE),1)+IFERROR(VLOOKUP(A134,[1]Energiindhold!$A$2:$C$11,3,FALSE),0)*M134+IF(F134&lt;&gt;År1,R134,0),0)</f>
        <v>0</v>
      </c>
      <c r="T134">
        <f>IFERROR(VLOOKUP(A134,[1]Biogasudbytte!$A$2:$B$18,2,FALSE)*[1]Energiindhold!$C$10,0)*K134*IFERROR(VLOOKUP(A134,Biogasanlæg!$F$3:$G$8,2,FALSE),1)</f>
        <v>0</v>
      </c>
      <c r="U134" s="170">
        <f t="shared" si="21"/>
        <v>0</v>
      </c>
      <c r="V134" s="169">
        <f>P134*IFERROR(VLOOKUP(A134,[1]Tørstofindhold!A$2:B$24,2,FALSE),0)</f>
        <v>0</v>
      </c>
      <c r="W134">
        <f>IF(F134=År1,Q134,SUM(P134,Q134))*IFERROR(VLOOKUP(A134,[1]Tørstofindhold!A$2:B$24,2,FALSE),0)</f>
        <v>0</v>
      </c>
      <c r="X134">
        <f>K134*IFERROR(VLOOKUP(A134,[1]Tørstofindhold!A$2:B$24,2,FALSE),0)</f>
        <v>0</v>
      </c>
      <c r="Y134" s="170">
        <f t="shared" si="22"/>
        <v>0</v>
      </c>
      <c r="Z134">
        <f t="shared" si="31"/>
        <v>0</v>
      </c>
      <c r="AA134">
        <f t="shared" si="32"/>
        <v>0</v>
      </c>
      <c r="AC134" s="94">
        <f t="shared" si="34"/>
        <v>0</v>
      </c>
      <c r="AD134">
        <f>AC134*E134*10000*VLOOKUP(A134,[1]kcal!$A$2:$C$49,3,FALSE)/1000000000000*IFERROR(VLOOKUP(A134,'Kategorisering af kcal'!$A$2:$E$18,MATCH('Produktion &amp; forbrug'!F134,'Kategorisering af kcal'!$A$1:$E$1,0),FALSE),0)</f>
        <v>0</v>
      </c>
      <c r="AE134">
        <f>IF(C134&lt;&gt;"",AC134*(1-VLOOKUP(A134,'Kategorisering af kcal'!$A$2:$E$18,MATCH('Produktion &amp; forbrug'!F134,'Kategorisering af kcal'!$A$1:$E$1,0),FALSE)),'Produktion &amp; forbrug'!AC134)</f>
        <v>0</v>
      </c>
      <c r="AF134" s="94">
        <f t="shared" si="35"/>
        <v>0</v>
      </c>
    </row>
    <row r="135" spans="1:32" x14ac:dyDescent="0.25">
      <c r="A135" s="171" t="str">
        <f t="shared" si="28"/>
        <v>Raps</v>
      </c>
      <c r="B135" s="171" t="str">
        <f t="shared" si="29"/>
        <v/>
      </c>
      <c r="C135" s="171" t="str">
        <f>IFERROR(VLOOKUP(A135,'Kategorisering af kcal'!$A$2:$B$18,2,FALSE),"")</f>
        <v/>
      </c>
      <c r="D135" s="171">
        <f>IF(COUNTIFS('Resultater - Danmark'!$D$3:$D$504,'Produktion &amp; forbrug'!A135,'Resultater - Danmark'!$A$3:$A$504,"Til energi")+COUNTIFS('Resultater - Danmark'!$D$3:$D$504,'Produktion &amp; forbrug'!A135,'Resultater - Danmark'!$A$3:$A$504,"Biogasanlæg")&gt;0,1,0)</f>
        <v>0</v>
      </c>
      <c r="E135" s="171">
        <f t="shared" si="30"/>
        <v>0</v>
      </c>
      <c r="F135" s="171">
        <f t="shared" si="25"/>
        <v>2050</v>
      </c>
      <c r="G135" s="94">
        <f>SUMIFS('Resultat-Produktion &amp; forbrug'!G$4:G$291,'Resultat-Produktion &amp; forbrug'!$A$4:$A$291,'Produktion &amp; forbrug'!$A135,'Resultat-Produktion &amp; forbrug'!$E$4:$E$291,'Produktion &amp; forbrug'!$F135)</f>
        <v>865274.96481497539</v>
      </c>
      <c r="H135" s="94">
        <f>SUMIFS('Resultat-Produktion &amp; forbrug'!H$4:H$291,'Resultat-Produktion &amp; forbrug'!$A$4:$A$291,'Produktion &amp; forbrug'!$A135,'Resultat-Produktion &amp; forbrug'!$E$4:$E$291,'Produktion &amp; forbrug'!$F135)</f>
        <v>0</v>
      </c>
      <c r="I135" s="94">
        <f>SUMIFS('Resultat-Produktion &amp; forbrug'!I$4:I$291,'Resultat-Produktion &amp; forbrug'!$A$4:$A$291,'Produktion &amp; forbrug'!$A135,'Resultat-Produktion &amp; forbrug'!$E$4:$E$291,'Produktion &amp; forbrug'!$F135)</f>
        <v>0</v>
      </c>
      <c r="J135" s="94">
        <f>SUMIFS('Resultat-Produktion &amp; forbrug'!J$4:J$291,'Resultat-Produktion &amp; forbrug'!$A$4:$A$291,'Produktion &amp; forbrug'!$A135,'Resultat-Produktion &amp; forbrug'!$E$4:$E$291,'Produktion &amp; forbrug'!$F135)</f>
        <v>0</v>
      </c>
      <c r="K135" s="94">
        <f>SUMIFS('Resultat-Produktion &amp; forbrug'!K$4:K$291,'Resultat-Produktion &amp; forbrug'!$A$4:$A$291,'Produktion &amp; forbrug'!$A135,'Resultat-Produktion &amp; forbrug'!$E$4:$E$291,'Produktion &amp; forbrug'!$F135)</f>
        <v>0</v>
      </c>
      <c r="L135" s="94">
        <f>SUMIFS('Resultat-Produktion &amp; forbrug'!L$4:L$291,'Resultat-Produktion &amp; forbrug'!$A$4:$A$291,'Produktion &amp; forbrug'!$A135,'Resultat-Produktion &amp; forbrug'!$E$4:$E$291,'Produktion &amp; forbrug'!$F135)</f>
        <v>0</v>
      </c>
      <c r="M135" s="94">
        <f>SUMIFS('Resultat-Produktion &amp; forbrug'!M$4:M$291,'Resultat-Produktion &amp; forbrug'!$A$4:$A$291,'Produktion &amp; forbrug'!$A135,'Resultat-Produktion &amp; forbrug'!$E$4:$E$291,'Produktion &amp; forbrug'!$F135)</f>
        <v>0</v>
      </c>
      <c r="N135" s="94">
        <f>SUMIFS('Resultat-Produktion &amp; forbrug'!N$4:N$291,'Resultat-Produktion &amp; forbrug'!$A$4:$A$291,'Produktion &amp; forbrug'!$A135,'Resultat-Produktion &amp; forbrug'!$E$4:$E$291,'Produktion &amp; forbrug'!$F135)</f>
        <v>865274.96481497539</v>
      </c>
      <c r="O135" s="179">
        <f t="shared" ref="O135:O147" si="36">G135-SUM(H135:N135)</f>
        <v>0</v>
      </c>
      <c r="P135" s="94">
        <f t="shared" si="33"/>
        <v>0</v>
      </c>
      <c r="Q135" s="180">
        <f t="shared" ref="Q135:Q147" si="37">SUM(K135,M135)</f>
        <v>0</v>
      </c>
      <c r="R135">
        <f>IFERROR(VLOOKUP(A135,[1]Energiindhold!$A$2:$C$11,3,FALSE),IFERROR(VLOOKUP(A135,[1]Biogasudbytte!$A$2:$B$18,2,FALSE)*[1]Energiindhold!$C$10,0))*P135</f>
        <v>0</v>
      </c>
      <c r="S135">
        <f>IF(A135&lt;&gt;"Biogas",IFERROR(VLOOKUP(A135,[1]Biogasudbytte!$A$2:$B$18,2,FALSE)*[1]Energiindhold!$C$10,0)*K135*IFERROR(VLOOKUP(A135,Biogasanlæg!$F$3:$G$8,2,FALSE),1)+IFERROR(VLOOKUP(A135,[1]Energiindhold!$A$2:$C$11,3,FALSE),0)*M135+IF(F135&lt;&gt;År1,R135,0),0)</f>
        <v>0</v>
      </c>
      <c r="T135">
        <f>IFERROR(VLOOKUP(A135,[1]Biogasudbytte!$A$2:$B$18,2,FALSE)*[1]Energiindhold!$C$10,0)*K135*IFERROR(VLOOKUP(A135,Biogasanlæg!$F$3:$G$8,2,FALSE),1)</f>
        <v>0</v>
      </c>
      <c r="U135" s="170">
        <f t="shared" ref="U135:U147" si="38">S135-T135</f>
        <v>0</v>
      </c>
      <c r="V135" s="169">
        <f>P135*IFERROR(VLOOKUP(A135,[1]Tørstofindhold!A$2:B$24,2,FALSE),0)</f>
        <v>0</v>
      </c>
      <c r="W135">
        <f>IF(F135=År1,Q135,SUM(P135,Q135))*IFERROR(VLOOKUP(A135,[1]Tørstofindhold!A$2:B$24,2,FALSE),0)</f>
        <v>0</v>
      </c>
      <c r="X135">
        <f>K135*IFERROR(VLOOKUP(A135,[1]Tørstofindhold!A$2:B$24,2,FALSE),0)</f>
        <v>0</v>
      </c>
      <c r="Y135" s="170">
        <f t="shared" ref="Y135:Y147" si="39">W135-X135</f>
        <v>0</v>
      </c>
      <c r="Z135">
        <f t="shared" si="31"/>
        <v>0</v>
      </c>
      <c r="AA135">
        <f t="shared" si="32"/>
        <v>0</v>
      </c>
      <c r="AC135" s="94">
        <f t="shared" si="34"/>
        <v>0</v>
      </c>
      <c r="AD135">
        <f>AC135*E135*10000*VLOOKUP(A135,[1]kcal!$A$2:$C$49,3,FALSE)/1000000000000*IFERROR(VLOOKUP(A135,'Kategorisering af kcal'!$A$2:$E$18,MATCH('Produktion &amp; forbrug'!F135,'Kategorisering af kcal'!$A$1:$E$1,0),FALSE),0)</f>
        <v>0</v>
      </c>
      <c r="AE135">
        <f>IF(C135&lt;&gt;"",AC135*(1-VLOOKUP(A135,'Kategorisering af kcal'!$A$2:$E$18,MATCH('Produktion &amp; forbrug'!F135,'Kategorisering af kcal'!$A$1:$E$1,0),FALSE)),'Produktion &amp; forbrug'!AC135)</f>
        <v>0</v>
      </c>
      <c r="AF135" s="94">
        <f t="shared" si="35"/>
        <v>0</v>
      </c>
    </row>
    <row r="136" spans="1:32" x14ac:dyDescent="0.25">
      <c r="A136" s="171" t="str">
        <f t="shared" si="28"/>
        <v>Rapskage</v>
      </c>
      <c r="B136" s="171" t="str">
        <f t="shared" si="29"/>
        <v/>
      </c>
      <c r="C136" s="171" t="str">
        <f>IFERROR(VLOOKUP(A136,'Kategorisering af kcal'!$A$2:$B$18,2,FALSE),"")</f>
        <v/>
      </c>
      <c r="D136" s="171">
        <f>IF(COUNTIFS('Resultater - Danmark'!$D$3:$D$504,'Produktion &amp; forbrug'!A136,'Resultater - Danmark'!$A$3:$A$504,"Til energi")+COUNTIFS('Resultater - Danmark'!$D$3:$D$504,'Produktion &amp; forbrug'!A136,'Resultater - Danmark'!$A$3:$A$504,"Biogasanlæg")&gt;0,1,0)</f>
        <v>0</v>
      </c>
      <c r="E136" s="171">
        <f t="shared" si="30"/>
        <v>0</v>
      </c>
      <c r="F136" s="171">
        <f t="shared" si="25"/>
        <v>2050</v>
      </c>
      <c r="G136" s="94">
        <f>SUMIFS('Resultat-Produktion &amp; forbrug'!G$4:G$291,'Resultat-Produktion &amp; forbrug'!$A$4:$A$291,'Produktion &amp; forbrug'!$A136,'Resultat-Produktion &amp; forbrug'!$E$4:$E$291,'Produktion &amp; forbrug'!$F136)</f>
        <v>432637.4824074877</v>
      </c>
      <c r="H136" s="94">
        <f>SUMIFS('Resultat-Produktion &amp; forbrug'!H$4:H$291,'Resultat-Produktion &amp; forbrug'!$A$4:$A$291,'Produktion &amp; forbrug'!$A136,'Resultat-Produktion &amp; forbrug'!$E$4:$E$291,'Produktion &amp; forbrug'!$F136)</f>
        <v>440190.50010410673</v>
      </c>
      <c r="I136" s="94">
        <f>SUMIFS('Resultat-Produktion &amp; forbrug'!I$4:I$291,'Resultat-Produktion &amp; forbrug'!$A$4:$A$291,'Produktion &amp; forbrug'!$A136,'Resultat-Produktion &amp; forbrug'!$E$4:$E$291,'Produktion &amp; forbrug'!$F136)</f>
        <v>0</v>
      </c>
      <c r="J136" s="94">
        <f>SUMIFS('Resultat-Produktion &amp; forbrug'!J$4:J$291,'Resultat-Produktion &amp; forbrug'!$A$4:$A$291,'Produktion &amp; forbrug'!$A136,'Resultat-Produktion &amp; forbrug'!$E$4:$E$291,'Produktion &amp; forbrug'!$F136)</f>
        <v>0</v>
      </c>
      <c r="K136" s="94">
        <f>SUMIFS('Resultat-Produktion &amp; forbrug'!K$4:K$291,'Resultat-Produktion &amp; forbrug'!$A$4:$A$291,'Produktion &amp; forbrug'!$A136,'Resultat-Produktion &amp; forbrug'!$E$4:$E$291,'Produktion &amp; forbrug'!$F136)</f>
        <v>0</v>
      </c>
      <c r="L136" s="94">
        <f>SUMIFS('Resultat-Produktion &amp; forbrug'!L$4:L$291,'Resultat-Produktion &amp; forbrug'!$A$4:$A$291,'Produktion &amp; forbrug'!$A136,'Resultat-Produktion &amp; forbrug'!$E$4:$E$291,'Produktion &amp; forbrug'!$F136)</f>
        <v>0</v>
      </c>
      <c r="M136" s="94">
        <f>SUMIFS('Resultat-Produktion &amp; forbrug'!M$4:M$291,'Resultat-Produktion &amp; forbrug'!$A$4:$A$291,'Produktion &amp; forbrug'!$A136,'Resultat-Produktion &amp; forbrug'!$E$4:$E$291,'Produktion &amp; forbrug'!$F136)</f>
        <v>0</v>
      </c>
      <c r="N136" s="94">
        <f>SUMIFS('Resultat-Produktion &amp; forbrug'!N$4:N$291,'Resultat-Produktion &amp; forbrug'!$A$4:$A$291,'Produktion &amp; forbrug'!$A136,'Resultat-Produktion &amp; forbrug'!$E$4:$E$291,'Produktion &amp; forbrug'!$F136)</f>
        <v>0</v>
      </c>
      <c r="O136" s="179">
        <f t="shared" si="36"/>
        <v>-7553.0176966190338</v>
      </c>
      <c r="P136" s="94">
        <f t="shared" si="33"/>
        <v>0</v>
      </c>
      <c r="Q136" s="180">
        <f t="shared" si="37"/>
        <v>0</v>
      </c>
      <c r="R136">
        <f>IFERROR(VLOOKUP(A136,[1]Energiindhold!$A$2:$C$11,3,FALSE),IFERROR(VLOOKUP(A136,[1]Biogasudbytte!$A$2:$B$18,2,FALSE)*[1]Energiindhold!$C$10,0))*P136</f>
        <v>0</v>
      </c>
      <c r="S136">
        <f>IF(A136&lt;&gt;"Biogas",IFERROR(VLOOKUP(A136,[1]Biogasudbytte!$A$2:$B$18,2,FALSE)*[1]Energiindhold!$C$10,0)*K136*IFERROR(VLOOKUP(A136,Biogasanlæg!$F$3:$G$8,2,FALSE),1)+IFERROR(VLOOKUP(A136,[1]Energiindhold!$A$2:$C$11,3,FALSE),0)*M136+IF(F136&lt;&gt;År1,R136,0),0)</f>
        <v>0</v>
      </c>
      <c r="T136">
        <f>IFERROR(VLOOKUP(A136,[1]Biogasudbytte!$A$2:$B$18,2,FALSE)*[1]Energiindhold!$C$10,0)*K136*IFERROR(VLOOKUP(A136,Biogasanlæg!$F$3:$G$8,2,FALSE),1)</f>
        <v>0</v>
      </c>
      <c r="U136" s="170">
        <f t="shared" si="38"/>
        <v>0</v>
      </c>
      <c r="V136" s="169">
        <f>P136*IFERROR(VLOOKUP(A136,[1]Tørstofindhold!A$2:B$24,2,FALSE),0)</f>
        <v>0</v>
      </c>
      <c r="W136">
        <f>IF(F136=År1,Q136,SUM(P136,Q136))*IFERROR(VLOOKUP(A136,[1]Tørstofindhold!A$2:B$24,2,FALSE),0)</f>
        <v>0</v>
      </c>
      <c r="X136">
        <f>K136*IFERROR(VLOOKUP(A136,[1]Tørstofindhold!A$2:B$24,2,FALSE),0)</f>
        <v>0</v>
      </c>
      <c r="Y136" s="170">
        <f t="shared" si="39"/>
        <v>0</v>
      </c>
      <c r="Z136">
        <f t="shared" si="31"/>
        <v>1</v>
      </c>
      <c r="AA136">
        <f t="shared" si="32"/>
        <v>0</v>
      </c>
      <c r="AC136" s="94">
        <f t="shared" si="34"/>
        <v>-7553.0176966190338</v>
      </c>
      <c r="AD136">
        <f>AC136*E136*10000*VLOOKUP(A136,[1]kcal!$A$2:$C$49,3,FALSE)/1000000000000*IFERROR(VLOOKUP(A136,'Kategorisering af kcal'!$A$2:$E$18,MATCH('Produktion &amp; forbrug'!F136,'Kategorisering af kcal'!$A$1:$E$1,0),FALSE),0)</f>
        <v>0</v>
      </c>
      <c r="AE136">
        <f>IF(C136&lt;&gt;"",AC136*(1-VLOOKUP(A136,'Kategorisering af kcal'!$A$2:$E$18,MATCH('Produktion &amp; forbrug'!F136,'Kategorisering af kcal'!$A$1:$E$1,0),FALSE)),'Produktion &amp; forbrug'!AC136)</f>
        <v>-7553.0176966190338</v>
      </c>
      <c r="AF136" s="94">
        <f t="shared" si="35"/>
        <v>0</v>
      </c>
    </row>
    <row r="137" spans="1:32" x14ac:dyDescent="0.25">
      <c r="A137" s="171" t="str">
        <f t="shared" si="28"/>
        <v>Rapsolie</v>
      </c>
      <c r="B137" s="171" t="str">
        <f t="shared" si="29"/>
        <v>Rapsolie</v>
      </c>
      <c r="C137" s="171" t="str">
        <f>IFERROR(VLOOKUP(A137,'Kategorisering af kcal'!$A$2:$B$18,2,FALSE),"")</f>
        <v>Olieafgrøder</v>
      </c>
      <c r="D137" s="171">
        <f>IF(COUNTIFS('Resultater - Danmark'!$D$3:$D$504,'Produktion &amp; forbrug'!A137,'Resultater - Danmark'!$A$3:$A$504,"Til energi")+COUNTIFS('Resultater - Danmark'!$D$3:$D$504,'Produktion &amp; forbrug'!A137,'Resultater - Danmark'!$A$3:$A$504,"Biogasanlæg")&gt;0,1,0)</f>
        <v>1</v>
      </c>
      <c r="E137" s="171">
        <f t="shared" si="30"/>
        <v>1</v>
      </c>
      <c r="F137" s="171">
        <f t="shared" si="25"/>
        <v>2050</v>
      </c>
      <c r="G137" s="94">
        <f>SUMIFS('Resultat-Produktion &amp; forbrug'!G$4:G$291,'Resultat-Produktion &amp; forbrug'!$A$4:$A$291,'Produktion &amp; forbrug'!$A137,'Resultat-Produktion &amp; forbrug'!$E$4:$E$291,'Produktion &amp; forbrug'!$F137)</f>
        <v>276887.98874079209</v>
      </c>
      <c r="H137" s="94">
        <f>SUMIFS('Resultat-Produktion &amp; forbrug'!H$4:H$291,'Resultat-Produktion &amp; forbrug'!$A$4:$A$291,'Produktion &amp; forbrug'!$A137,'Resultat-Produktion &amp; forbrug'!$E$4:$E$291,'Produktion &amp; forbrug'!$F137)</f>
        <v>0</v>
      </c>
      <c r="I137" s="94">
        <f>SUMIFS('Resultat-Produktion &amp; forbrug'!I$4:I$291,'Resultat-Produktion &amp; forbrug'!$A$4:$A$291,'Produktion &amp; forbrug'!$A137,'Resultat-Produktion &amp; forbrug'!$E$4:$E$291,'Produktion &amp; forbrug'!$F137)</f>
        <v>0</v>
      </c>
      <c r="J137" s="94">
        <f>SUMIFS('Resultat-Produktion &amp; forbrug'!J$4:J$291,'Resultat-Produktion &amp; forbrug'!$A$4:$A$291,'Produktion &amp; forbrug'!$A137,'Resultat-Produktion &amp; forbrug'!$E$4:$E$291,'Produktion &amp; forbrug'!$F137)</f>
        <v>0</v>
      </c>
      <c r="K137" s="94">
        <f>SUMIFS('Resultat-Produktion &amp; forbrug'!K$4:K$291,'Resultat-Produktion &amp; forbrug'!$A$4:$A$291,'Produktion &amp; forbrug'!$A137,'Resultat-Produktion &amp; forbrug'!$E$4:$E$291,'Produktion &amp; forbrug'!$F137)</f>
        <v>0</v>
      </c>
      <c r="L137" s="94">
        <f>SUMIFS('Resultat-Produktion &amp; forbrug'!L$4:L$291,'Resultat-Produktion &amp; forbrug'!$A$4:$A$291,'Produktion &amp; forbrug'!$A137,'Resultat-Produktion &amp; forbrug'!$E$4:$E$291,'Produktion &amp; forbrug'!$F137)</f>
        <v>0</v>
      </c>
      <c r="M137" s="94">
        <f>SUMIFS('Resultat-Produktion &amp; forbrug'!M$4:M$291,'Resultat-Produktion &amp; forbrug'!$A$4:$A$291,'Produktion &amp; forbrug'!$A137,'Resultat-Produktion &amp; forbrug'!$E$4:$E$291,'Produktion &amp; forbrug'!$F137)</f>
        <v>276887.98874079209</v>
      </c>
      <c r="N137" s="94">
        <f>SUMIFS('Resultat-Produktion &amp; forbrug'!N$4:N$291,'Resultat-Produktion &amp; forbrug'!$A$4:$A$291,'Produktion &amp; forbrug'!$A137,'Resultat-Produktion &amp; forbrug'!$E$4:$E$291,'Produktion &amp; forbrug'!$F137)</f>
        <v>0</v>
      </c>
      <c r="O137" s="179">
        <f t="shared" si="36"/>
        <v>0</v>
      </c>
      <c r="P137" s="94">
        <f t="shared" si="33"/>
        <v>0</v>
      </c>
      <c r="Q137" s="180">
        <f t="shared" si="37"/>
        <v>276887.98874079209</v>
      </c>
      <c r="R137">
        <f>IFERROR(VLOOKUP(A137,[1]Energiindhold!$A$2:$C$11,3,FALSE),IFERROR(VLOOKUP(A137,[1]Biogasudbytte!$A$2:$B$18,2,FALSE)*[1]Energiindhold!$C$10,0))*P137</f>
        <v>0</v>
      </c>
      <c r="S137">
        <f>IF(A137&lt;&gt;"Biogas",IFERROR(VLOOKUP(A137,[1]Biogasudbytte!$A$2:$B$18,2,FALSE)*[1]Energiindhold!$C$10,0)*K137*IFERROR(VLOOKUP(A137,Biogasanlæg!$F$3:$G$8,2,FALSE),1)+IFERROR(VLOOKUP(A137,[1]Energiindhold!$A$2:$C$11,3,FALSE),0)*M137+IF(F137&lt;&gt;År1,R137,0),0)</f>
        <v>9.6910796059277224</v>
      </c>
      <c r="T137">
        <f>IFERROR(VLOOKUP(A137,[1]Biogasudbytte!$A$2:$B$18,2,FALSE)*[1]Energiindhold!$C$10,0)*K137*IFERROR(VLOOKUP(A137,Biogasanlæg!$F$3:$G$8,2,FALSE),1)</f>
        <v>0</v>
      </c>
      <c r="U137" s="170">
        <f t="shared" si="38"/>
        <v>9.6910796059277224</v>
      </c>
      <c r="V137" s="169">
        <f>P137*IFERROR(VLOOKUP(A137,[1]Tørstofindhold!A$2:B$24,2,FALSE),0)</f>
        <v>0</v>
      </c>
      <c r="W137">
        <f>IF(F137=År1,Q137,SUM(P137,Q137))*IFERROR(VLOOKUP(A137,[1]Tørstofindhold!A$2:B$24,2,FALSE),0)</f>
        <v>0</v>
      </c>
      <c r="X137">
        <f>K137*IFERROR(VLOOKUP(A137,[1]Tørstofindhold!A$2:B$24,2,FALSE),0)</f>
        <v>0</v>
      </c>
      <c r="Y137" s="170">
        <f t="shared" si="39"/>
        <v>0</v>
      </c>
      <c r="Z137">
        <f t="shared" si="31"/>
        <v>0</v>
      </c>
      <c r="AA137">
        <f t="shared" si="32"/>
        <v>0</v>
      </c>
      <c r="AC137" s="94">
        <f t="shared" si="34"/>
        <v>276887.98874079209</v>
      </c>
      <c r="AD137">
        <f>AC137*E137*10000*VLOOKUP(A137,[1]kcal!$A$2:$C$49,3,FALSE)/1000000000000*IFERROR(VLOOKUP(A137,'Kategorisering af kcal'!$A$2:$E$18,MATCH('Produktion &amp; forbrug'!F137,'Kategorisering af kcal'!$A$1:$E$1,0),FALSE),0)</f>
        <v>2.4919918986671288</v>
      </c>
      <c r="AE137">
        <f>IF(C137&lt;&gt;"",AC137*(1-VLOOKUP(A137,'Kategorisering af kcal'!$A$2:$E$18,MATCH('Produktion &amp; forbrug'!F137,'Kategorisering af kcal'!$A$1:$E$1,0),FALSE)),'Produktion &amp; forbrug'!AC137)</f>
        <v>0</v>
      </c>
      <c r="AF137" s="94">
        <f t="shared" si="35"/>
        <v>276887.98874079209</v>
      </c>
    </row>
    <row r="138" spans="1:32" x14ac:dyDescent="0.25">
      <c r="A138" s="171" t="str">
        <f t="shared" si="28"/>
        <v>Roer</v>
      </c>
      <c r="B138" s="171" t="str">
        <f t="shared" si="29"/>
        <v>Græs og urter</v>
      </c>
      <c r="C138" s="171" t="str">
        <f>IFERROR(VLOOKUP(A138,'Kategorisering af kcal'!$A$2:$B$18,2,FALSE),"")</f>
        <v>Roer</v>
      </c>
      <c r="D138" s="171">
        <f>IF(COUNTIFS('Resultater - Danmark'!$D$3:$D$504,'Produktion &amp; forbrug'!A138,'Resultater - Danmark'!$A$3:$A$504,"Til energi")+COUNTIFS('Resultater - Danmark'!$D$3:$D$504,'Produktion &amp; forbrug'!A138,'Resultater - Danmark'!$A$3:$A$504,"Biogasanlæg")&gt;0,1,0)</f>
        <v>1</v>
      </c>
      <c r="E138" s="171">
        <f t="shared" si="30"/>
        <v>1</v>
      </c>
      <c r="F138" s="171">
        <f t="shared" si="25"/>
        <v>2050</v>
      </c>
      <c r="G138" s="94">
        <f>SUMIFS('Resultat-Produktion &amp; forbrug'!G$4:G$291,'Resultat-Produktion &amp; forbrug'!$A$4:$A$291,'Produktion &amp; forbrug'!$A138,'Resultat-Produktion &amp; forbrug'!$E$4:$E$291,'Produktion &amp; forbrug'!$F138)</f>
        <v>3664592.462337262</v>
      </c>
      <c r="H138" s="94">
        <f>SUMIFS('Resultat-Produktion &amp; forbrug'!H$4:H$291,'Resultat-Produktion &amp; forbrug'!$A$4:$A$291,'Produktion &amp; forbrug'!$A138,'Resultat-Produktion &amp; forbrug'!$E$4:$E$291,'Produktion &amp; forbrug'!$F138)</f>
        <v>564498.92646562797</v>
      </c>
      <c r="I138" s="94">
        <f>SUMIFS('Resultat-Produktion &amp; forbrug'!I$4:I$291,'Resultat-Produktion &amp; forbrug'!$A$4:$A$291,'Produktion &amp; forbrug'!$A138,'Resultat-Produktion &amp; forbrug'!$E$4:$E$291,'Produktion &amp; forbrug'!$F138)</f>
        <v>0</v>
      </c>
      <c r="J138" s="94">
        <f>SUMIFS('Resultat-Produktion &amp; forbrug'!J$4:J$291,'Resultat-Produktion &amp; forbrug'!$A$4:$A$291,'Produktion &amp; forbrug'!$A138,'Resultat-Produktion &amp; forbrug'!$E$4:$E$291,'Produktion &amp; forbrug'!$F138)</f>
        <v>0</v>
      </c>
      <c r="K138" s="94">
        <f>SUMIFS('Resultat-Produktion &amp; forbrug'!K$4:K$291,'Resultat-Produktion &amp; forbrug'!$A$4:$A$291,'Produktion &amp; forbrug'!$A138,'Resultat-Produktion &amp; forbrug'!$E$4:$E$291,'Produktion &amp; forbrug'!$F138)</f>
        <v>0</v>
      </c>
      <c r="L138" s="94">
        <f>SUMIFS('Resultat-Produktion &amp; forbrug'!L$4:L$291,'Resultat-Produktion &amp; forbrug'!$A$4:$A$291,'Produktion &amp; forbrug'!$A138,'Resultat-Produktion &amp; forbrug'!$E$4:$E$291,'Produktion &amp; forbrug'!$F138)</f>
        <v>0</v>
      </c>
      <c r="M138" s="94">
        <f>SUMIFS('Resultat-Produktion &amp; forbrug'!M$4:M$291,'Resultat-Produktion &amp; forbrug'!$A$4:$A$291,'Produktion &amp; forbrug'!$A138,'Resultat-Produktion &amp; forbrug'!$E$4:$E$291,'Produktion &amp; forbrug'!$F138)</f>
        <v>0</v>
      </c>
      <c r="N138" s="94">
        <f>SUMIFS('Resultat-Produktion &amp; forbrug'!N$4:N$291,'Resultat-Produktion &amp; forbrug'!$A$4:$A$291,'Produktion &amp; forbrug'!$A138,'Resultat-Produktion &amp; forbrug'!$E$4:$E$291,'Produktion &amp; forbrug'!$F138)</f>
        <v>0</v>
      </c>
      <c r="O138" s="179">
        <f t="shared" si="36"/>
        <v>3100093.5358716343</v>
      </c>
      <c r="P138" s="94">
        <f t="shared" si="33"/>
        <v>3100093.5358716343</v>
      </c>
      <c r="Q138" s="180">
        <f t="shared" si="37"/>
        <v>0</v>
      </c>
      <c r="R138">
        <f>IFERROR(VLOOKUP(A138,[1]Energiindhold!$A$2:$C$11,3,FALSE),IFERROR(VLOOKUP(A138,[1]Biogasudbytte!$A$2:$B$18,2,FALSE)*[1]Energiindhold!$C$10,0))*P138</f>
        <v>8.413777860097051</v>
      </c>
      <c r="S138">
        <f>IF(A138&lt;&gt;"Biogas",IFERROR(VLOOKUP(A138,[1]Biogasudbytte!$A$2:$B$18,2,FALSE)*[1]Energiindhold!$C$10,0)*K138*IFERROR(VLOOKUP(A138,Biogasanlæg!$F$3:$G$8,2,FALSE),1)+IFERROR(VLOOKUP(A138,[1]Energiindhold!$A$2:$C$11,3,FALSE),0)*M138+IF(F138&lt;&gt;År1,R138,0),0)</f>
        <v>8.413777860097051</v>
      </c>
      <c r="T138">
        <f>IFERROR(VLOOKUP(A138,[1]Biogasudbytte!$A$2:$B$18,2,FALSE)*[1]Energiindhold!$C$10,0)*K138*IFERROR(VLOOKUP(A138,Biogasanlæg!$F$3:$G$8,2,FALSE),1)</f>
        <v>0</v>
      </c>
      <c r="U138" s="170">
        <f t="shared" si="38"/>
        <v>8.413777860097051</v>
      </c>
      <c r="V138" s="169">
        <f>P138*IFERROR(VLOOKUP(A138,[1]Tørstofindhold!A$2:B$24,2,FALSE),0)</f>
        <v>620018.70717432688</v>
      </c>
      <c r="W138">
        <f>IF(F138=År1,Q138,SUM(P138,Q138))*IFERROR(VLOOKUP(A138,[1]Tørstofindhold!A$2:B$24,2,FALSE),0)</f>
        <v>620018.70717432688</v>
      </c>
      <c r="X138">
        <f>K138*IFERROR(VLOOKUP(A138,[1]Tørstofindhold!A$2:B$24,2,FALSE),0)</f>
        <v>0</v>
      </c>
      <c r="Y138" s="170">
        <f t="shared" si="39"/>
        <v>620018.70717432688</v>
      </c>
      <c r="Z138">
        <f t="shared" si="31"/>
        <v>0</v>
      </c>
      <c r="AA138">
        <f t="shared" si="32"/>
        <v>1</v>
      </c>
      <c r="AC138" s="94">
        <f t="shared" si="34"/>
        <v>3100093.5358716343</v>
      </c>
      <c r="AD138">
        <f>AC138*E138*10000*VLOOKUP(A138,[1]kcal!$A$2:$C$49,3,FALSE)/1000000000000*IFERROR(VLOOKUP(A138,'Kategorisering af kcal'!$A$2:$E$18,MATCH('Produktion &amp; forbrug'!F138,'Kategorisering af kcal'!$A$1:$E$1,0),FALSE),0)</f>
        <v>0.93002806076149025</v>
      </c>
      <c r="AE138">
        <f>IF(C138&lt;&gt;"",AC138*(1-VLOOKUP(A138,'Kategorisering af kcal'!$A$2:$E$18,MATCH('Produktion &amp; forbrug'!F138,'Kategorisering af kcal'!$A$1:$E$1,0),FALSE)),'Produktion &amp; forbrug'!AC138)</f>
        <v>0</v>
      </c>
      <c r="AF138" s="94">
        <f t="shared" si="35"/>
        <v>3100093.5358716343</v>
      </c>
    </row>
    <row r="139" spans="1:32" x14ac:dyDescent="0.25">
      <c r="A139" s="171" t="str">
        <f t="shared" si="28"/>
        <v>Slagteriaffald til andet</v>
      </c>
      <c r="B139" s="171" t="str">
        <f t="shared" si="29"/>
        <v/>
      </c>
      <c r="C139" s="171" t="str">
        <f>IFERROR(VLOOKUP(A139,'Kategorisering af kcal'!$A$2:$B$18,2,FALSE),"")</f>
        <v/>
      </c>
      <c r="D139" s="171">
        <f>IF(COUNTIFS('Resultater - Danmark'!$D$3:$D$504,'Produktion &amp; forbrug'!A139,'Resultater - Danmark'!$A$3:$A$504,"Til energi")+COUNTIFS('Resultater - Danmark'!$D$3:$D$504,'Produktion &amp; forbrug'!A139,'Resultater - Danmark'!$A$3:$A$504,"Biogasanlæg")&gt;0,1,0)</f>
        <v>0</v>
      </c>
      <c r="E139" s="171">
        <f t="shared" si="30"/>
        <v>0</v>
      </c>
      <c r="F139" s="171">
        <f t="shared" si="25"/>
        <v>2050</v>
      </c>
      <c r="G139" s="94">
        <f>SUMIFS('Resultat-Produktion &amp; forbrug'!G$4:G$291,'Resultat-Produktion &amp; forbrug'!$A$4:$A$291,'Produktion &amp; forbrug'!$A139,'Resultat-Produktion &amp; forbrug'!$E$4:$E$291,'Produktion &amp; forbrug'!$F139)</f>
        <v>42230.047982382319</v>
      </c>
      <c r="H139" s="94">
        <f>SUMIFS('Resultat-Produktion &amp; forbrug'!H$4:H$291,'Resultat-Produktion &amp; forbrug'!$A$4:$A$291,'Produktion &amp; forbrug'!$A139,'Resultat-Produktion &amp; forbrug'!$E$4:$E$291,'Produktion &amp; forbrug'!$F139)</f>
        <v>0</v>
      </c>
      <c r="I139" s="94">
        <f>SUMIFS('Resultat-Produktion &amp; forbrug'!I$4:I$291,'Resultat-Produktion &amp; forbrug'!$A$4:$A$291,'Produktion &amp; forbrug'!$A139,'Resultat-Produktion &amp; forbrug'!$E$4:$E$291,'Produktion &amp; forbrug'!$F139)</f>
        <v>0</v>
      </c>
      <c r="J139" s="94">
        <f>SUMIFS('Resultat-Produktion &amp; forbrug'!J$4:J$291,'Resultat-Produktion &amp; forbrug'!$A$4:$A$291,'Produktion &amp; forbrug'!$A139,'Resultat-Produktion &amp; forbrug'!$E$4:$E$291,'Produktion &amp; forbrug'!$F139)</f>
        <v>0</v>
      </c>
      <c r="K139" s="94">
        <f>SUMIFS('Resultat-Produktion &amp; forbrug'!K$4:K$291,'Resultat-Produktion &amp; forbrug'!$A$4:$A$291,'Produktion &amp; forbrug'!$A139,'Resultat-Produktion &amp; forbrug'!$E$4:$E$291,'Produktion &amp; forbrug'!$F139)</f>
        <v>0</v>
      </c>
      <c r="L139" s="94">
        <f>SUMIFS('Resultat-Produktion &amp; forbrug'!L$4:L$291,'Resultat-Produktion &amp; forbrug'!$A$4:$A$291,'Produktion &amp; forbrug'!$A139,'Resultat-Produktion &amp; forbrug'!$E$4:$E$291,'Produktion &amp; forbrug'!$F139)</f>
        <v>0</v>
      </c>
      <c r="M139" s="94">
        <f>SUMIFS('Resultat-Produktion &amp; forbrug'!M$4:M$291,'Resultat-Produktion &amp; forbrug'!$A$4:$A$291,'Produktion &amp; forbrug'!$A139,'Resultat-Produktion &amp; forbrug'!$E$4:$E$291,'Produktion &amp; forbrug'!$F139)</f>
        <v>0</v>
      </c>
      <c r="N139" s="94">
        <f>SUMIFS('Resultat-Produktion &amp; forbrug'!N$4:N$291,'Resultat-Produktion &amp; forbrug'!$A$4:$A$291,'Produktion &amp; forbrug'!$A139,'Resultat-Produktion &amp; forbrug'!$E$4:$E$291,'Produktion &amp; forbrug'!$F139)</f>
        <v>0</v>
      </c>
      <c r="O139" s="179">
        <f t="shared" si="36"/>
        <v>42230.047982382319</v>
      </c>
      <c r="P139" s="94">
        <f t="shared" si="33"/>
        <v>0</v>
      </c>
      <c r="Q139" s="180">
        <f t="shared" si="37"/>
        <v>0</v>
      </c>
      <c r="R139">
        <f>IFERROR(VLOOKUP(A139,[1]Energiindhold!$A$2:$C$11,3,FALSE),IFERROR(VLOOKUP(A139,[1]Biogasudbytte!$A$2:$B$18,2,FALSE)*[1]Energiindhold!$C$10,0))*P139</f>
        <v>0</v>
      </c>
      <c r="S139">
        <f>IF(A139&lt;&gt;"Biogas",IFERROR(VLOOKUP(A139,[1]Biogasudbytte!$A$2:$B$18,2,FALSE)*[1]Energiindhold!$C$10,0)*K139*IFERROR(VLOOKUP(A139,Biogasanlæg!$F$3:$G$8,2,FALSE),1)+IFERROR(VLOOKUP(A139,[1]Energiindhold!$A$2:$C$11,3,FALSE),0)*M139+IF(F139&lt;&gt;År1,R139,0),0)</f>
        <v>0</v>
      </c>
      <c r="T139">
        <f>IFERROR(VLOOKUP(A139,[1]Biogasudbytte!$A$2:$B$18,2,FALSE)*[1]Energiindhold!$C$10,0)*K139*IFERROR(VLOOKUP(A139,Biogasanlæg!$F$3:$G$8,2,FALSE),1)</f>
        <v>0</v>
      </c>
      <c r="U139" s="170">
        <f t="shared" si="38"/>
        <v>0</v>
      </c>
      <c r="V139" s="169">
        <f>P139*IFERROR(VLOOKUP(A139,[1]Tørstofindhold!A$2:B$24,2,FALSE),0)</f>
        <v>0</v>
      </c>
      <c r="W139">
        <f>IF(F139=År1,Q139,SUM(P139,Q139))*IFERROR(VLOOKUP(A139,[1]Tørstofindhold!A$2:B$24,2,FALSE),0)</f>
        <v>0</v>
      </c>
      <c r="X139">
        <f>K139*IFERROR(VLOOKUP(A139,[1]Tørstofindhold!A$2:B$24,2,FALSE),0)</f>
        <v>0</v>
      </c>
      <c r="Y139" s="170">
        <f t="shared" si="39"/>
        <v>0</v>
      </c>
      <c r="Z139">
        <f t="shared" si="31"/>
        <v>0</v>
      </c>
      <c r="AA139">
        <f t="shared" si="32"/>
        <v>1</v>
      </c>
      <c r="AC139" s="94">
        <f t="shared" si="34"/>
        <v>42230.047982382319</v>
      </c>
      <c r="AD139">
        <f>AC139*E139*10000*VLOOKUP(A139,[1]kcal!$A$2:$C$49,3,FALSE)/1000000000000*IFERROR(VLOOKUP(A139,'Kategorisering af kcal'!$A$2:$E$18,MATCH('Produktion &amp; forbrug'!F139,'Kategorisering af kcal'!$A$1:$E$1,0),FALSE),0)</f>
        <v>0</v>
      </c>
      <c r="AE139">
        <f>IF(C139&lt;&gt;"",AC139*(1-VLOOKUP(A139,'Kategorisering af kcal'!$A$2:$E$18,MATCH('Produktion &amp; forbrug'!F139,'Kategorisering af kcal'!$A$1:$E$1,0),FALSE)),'Produktion &amp; forbrug'!AC139)</f>
        <v>42230.047982382319</v>
      </c>
      <c r="AF139" s="94">
        <f t="shared" si="35"/>
        <v>0</v>
      </c>
    </row>
    <row r="140" spans="1:32" x14ac:dyDescent="0.25">
      <c r="A140" s="171" t="str">
        <f t="shared" si="28"/>
        <v>Slagteriaffald til foder</v>
      </c>
      <c r="B140" s="171" t="str">
        <f t="shared" si="29"/>
        <v/>
      </c>
      <c r="C140" s="171" t="str">
        <f>IFERROR(VLOOKUP(A140,'Kategorisering af kcal'!$A$2:$B$18,2,FALSE),"")</f>
        <v/>
      </c>
      <c r="D140" s="171">
        <f>IF(COUNTIFS('Resultater - Danmark'!$D$3:$D$504,'Produktion &amp; forbrug'!A140,'Resultater - Danmark'!$A$3:$A$504,"Til energi")+COUNTIFS('Resultater - Danmark'!$D$3:$D$504,'Produktion &amp; forbrug'!A140,'Resultater - Danmark'!$A$3:$A$504,"Biogasanlæg")&gt;0,1,0)</f>
        <v>0</v>
      </c>
      <c r="E140" s="171">
        <f t="shared" si="30"/>
        <v>0</v>
      </c>
      <c r="F140" s="171">
        <f t="shared" si="25"/>
        <v>2050</v>
      </c>
      <c r="G140" s="94">
        <f>SUMIFS('Resultat-Produktion &amp; forbrug'!G$4:G$291,'Resultat-Produktion &amp; forbrug'!$A$4:$A$291,'Produktion &amp; forbrug'!$A140,'Resultat-Produktion &amp; forbrug'!$E$4:$E$291,'Produktion &amp; forbrug'!$F140)</f>
        <v>40271.194990902914</v>
      </c>
      <c r="H140" s="94">
        <f>SUMIFS('Resultat-Produktion &amp; forbrug'!H$4:H$291,'Resultat-Produktion &amp; forbrug'!$A$4:$A$291,'Produktion &amp; forbrug'!$A140,'Resultat-Produktion &amp; forbrug'!$E$4:$E$291,'Produktion &amp; forbrug'!$F140)</f>
        <v>45194.454084480974</v>
      </c>
      <c r="I140" s="94">
        <f>SUMIFS('Resultat-Produktion &amp; forbrug'!I$4:I$291,'Resultat-Produktion &amp; forbrug'!$A$4:$A$291,'Produktion &amp; forbrug'!$A140,'Resultat-Produktion &amp; forbrug'!$E$4:$E$291,'Produktion &amp; forbrug'!$F140)</f>
        <v>0</v>
      </c>
      <c r="J140" s="94">
        <f>SUMIFS('Resultat-Produktion &amp; forbrug'!J$4:J$291,'Resultat-Produktion &amp; forbrug'!$A$4:$A$291,'Produktion &amp; forbrug'!$A140,'Resultat-Produktion &amp; forbrug'!$E$4:$E$291,'Produktion &amp; forbrug'!$F140)</f>
        <v>0</v>
      </c>
      <c r="K140" s="94">
        <f>SUMIFS('Resultat-Produktion &amp; forbrug'!K$4:K$291,'Resultat-Produktion &amp; forbrug'!$A$4:$A$291,'Produktion &amp; forbrug'!$A140,'Resultat-Produktion &amp; forbrug'!$E$4:$E$291,'Produktion &amp; forbrug'!$F140)</f>
        <v>0</v>
      </c>
      <c r="L140" s="94">
        <f>SUMIFS('Resultat-Produktion &amp; forbrug'!L$4:L$291,'Resultat-Produktion &amp; forbrug'!$A$4:$A$291,'Produktion &amp; forbrug'!$A140,'Resultat-Produktion &amp; forbrug'!$E$4:$E$291,'Produktion &amp; forbrug'!$F140)</f>
        <v>0</v>
      </c>
      <c r="M140" s="94">
        <f>SUMIFS('Resultat-Produktion &amp; forbrug'!M$4:M$291,'Resultat-Produktion &amp; forbrug'!$A$4:$A$291,'Produktion &amp; forbrug'!$A140,'Resultat-Produktion &amp; forbrug'!$E$4:$E$291,'Produktion &amp; forbrug'!$F140)</f>
        <v>0</v>
      </c>
      <c r="N140" s="94">
        <f>SUMIFS('Resultat-Produktion &amp; forbrug'!N$4:N$291,'Resultat-Produktion &amp; forbrug'!$A$4:$A$291,'Produktion &amp; forbrug'!$A140,'Resultat-Produktion &amp; forbrug'!$E$4:$E$291,'Produktion &amp; forbrug'!$F140)</f>
        <v>0</v>
      </c>
      <c r="O140" s="179">
        <f t="shared" si="36"/>
        <v>-4923.2590935780609</v>
      </c>
      <c r="P140" s="94">
        <f t="shared" si="33"/>
        <v>0</v>
      </c>
      <c r="Q140" s="180">
        <f t="shared" si="37"/>
        <v>0</v>
      </c>
      <c r="R140">
        <f>IFERROR(VLOOKUP(A140,[1]Energiindhold!$A$2:$C$11,3,FALSE),IFERROR(VLOOKUP(A140,[1]Biogasudbytte!$A$2:$B$18,2,FALSE)*[1]Energiindhold!$C$10,0))*P140</f>
        <v>0</v>
      </c>
      <c r="S140">
        <f>IF(A140&lt;&gt;"Biogas",IFERROR(VLOOKUP(A140,[1]Biogasudbytte!$A$2:$B$18,2,FALSE)*[1]Energiindhold!$C$10,0)*K140*IFERROR(VLOOKUP(A140,Biogasanlæg!$F$3:$G$8,2,FALSE),1)+IFERROR(VLOOKUP(A140,[1]Energiindhold!$A$2:$C$11,3,FALSE),0)*M140+IF(F140&lt;&gt;År1,R140,0),0)</f>
        <v>0</v>
      </c>
      <c r="T140">
        <f>IFERROR(VLOOKUP(A140,[1]Biogasudbytte!$A$2:$B$18,2,FALSE)*[1]Energiindhold!$C$10,0)*K140*IFERROR(VLOOKUP(A140,Biogasanlæg!$F$3:$G$8,2,FALSE),1)</f>
        <v>0</v>
      </c>
      <c r="U140" s="170">
        <f t="shared" si="38"/>
        <v>0</v>
      </c>
      <c r="V140" s="169">
        <f>P140*IFERROR(VLOOKUP(A140,[1]Tørstofindhold!A$2:B$24,2,FALSE),0)</f>
        <v>0</v>
      </c>
      <c r="W140">
        <f>IF(F140=År1,Q140,SUM(P140,Q140))*IFERROR(VLOOKUP(A140,[1]Tørstofindhold!A$2:B$24,2,FALSE),0)</f>
        <v>0</v>
      </c>
      <c r="X140">
        <f>K140*IFERROR(VLOOKUP(A140,[1]Tørstofindhold!A$2:B$24,2,FALSE),0)</f>
        <v>0</v>
      </c>
      <c r="Y140" s="170">
        <f t="shared" si="39"/>
        <v>0</v>
      </c>
      <c r="Z140">
        <f t="shared" si="31"/>
        <v>1</v>
      </c>
      <c r="AA140">
        <f t="shared" si="32"/>
        <v>0</v>
      </c>
      <c r="AC140" s="94">
        <f t="shared" si="34"/>
        <v>-4923.2590935780609</v>
      </c>
      <c r="AD140">
        <f>AC140*E140*10000*VLOOKUP(A140,[1]kcal!$A$2:$C$49,3,FALSE)/1000000000000*IFERROR(VLOOKUP(A140,'Kategorisering af kcal'!$A$2:$E$18,MATCH('Produktion &amp; forbrug'!F140,'Kategorisering af kcal'!$A$1:$E$1,0),FALSE),0)</f>
        <v>0</v>
      </c>
      <c r="AE140">
        <f>IF(C140&lt;&gt;"",AC140*(1-VLOOKUP(A140,'Kategorisering af kcal'!$A$2:$E$18,MATCH('Produktion &amp; forbrug'!F140,'Kategorisering af kcal'!$A$1:$E$1,0),FALSE)),'Produktion &amp; forbrug'!AC140)</f>
        <v>-4923.2590935780609</v>
      </c>
      <c r="AF140" s="94">
        <f t="shared" si="35"/>
        <v>0</v>
      </c>
    </row>
    <row r="141" spans="1:32" x14ac:dyDescent="0.25">
      <c r="A141" s="171" t="str">
        <f t="shared" si="28"/>
        <v>Spildevandsslam</v>
      </c>
      <c r="B141" s="171" t="str">
        <f t="shared" si="29"/>
        <v>Bionedbrydeligt affald</v>
      </c>
      <c r="C141" s="171" t="str">
        <f>IFERROR(VLOOKUP(A141,'Kategorisering af kcal'!$A$2:$B$18,2,FALSE),"")</f>
        <v/>
      </c>
      <c r="D141" s="171">
        <f>IF(COUNTIFS('Resultater - Danmark'!$D$3:$D$504,'Produktion &amp; forbrug'!A141,'Resultater - Danmark'!$A$3:$A$504,"Til energi")+COUNTIFS('Resultater - Danmark'!$D$3:$D$504,'Produktion &amp; forbrug'!A141,'Resultater - Danmark'!$A$3:$A$504,"Biogasanlæg")&gt;0,1,0)</f>
        <v>1</v>
      </c>
      <c r="E141" s="171">
        <f t="shared" si="30"/>
        <v>0</v>
      </c>
      <c r="F141" s="171">
        <f t="shared" si="25"/>
        <v>2050</v>
      </c>
      <c r="G141" s="94">
        <f>SUMIFS('Resultat-Produktion &amp; forbrug'!G$4:G$291,'Resultat-Produktion &amp; forbrug'!$A$4:$A$291,'Produktion &amp; forbrug'!$A141,'Resultat-Produktion &amp; forbrug'!$E$4:$E$291,'Produktion &amp; forbrug'!$F141)</f>
        <v>7494121.763909651</v>
      </c>
      <c r="H141" s="94">
        <f>SUMIFS('Resultat-Produktion &amp; forbrug'!H$4:H$291,'Resultat-Produktion &amp; forbrug'!$A$4:$A$291,'Produktion &amp; forbrug'!$A141,'Resultat-Produktion &amp; forbrug'!$E$4:$E$291,'Produktion &amp; forbrug'!$F141)</f>
        <v>0</v>
      </c>
      <c r="I141" s="94">
        <f>SUMIFS('Resultat-Produktion &amp; forbrug'!I$4:I$291,'Resultat-Produktion &amp; forbrug'!$A$4:$A$291,'Produktion &amp; forbrug'!$A141,'Resultat-Produktion &amp; forbrug'!$E$4:$E$291,'Produktion &amp; forbrug'!$F141)</f>
        <v>0</v>
      </c>
      <c r="J141" s="94">
        <f>SUMIFS('Resultat-Produktion &amp; forbrug'!J$4:J$291,'Resultat-Produktion &amp; forbrug'!$A$4:$A$291,'Produktion &amp; forbrug'!$A141,'Resultat-Produktion &amp; forbrug'!$E$4:$E$291,'Produktion &amp; forbrug'!$F141)</f>
        <v>0</v>
      </c>
      <c r="K141" s="94">
        <f>SUMIFS('Resultat-Produktion &amp; forbrug'!K$4:K$291,'Resultat-Produktion &amp; forbrug'!$A$4:$A$291,'Produktion &amp; forbrug'!$A141,'Resultat-Produktion &amp; forbrug'!$E$4:$E$291,'Produktion &amp; forbrug'!$F141)</f>
        <v>2842137.0165491202</v>
      </c>
      <c r="L141" s="94">
        <f>SUMIFS('Resultat-Produktion &amp; forbrug'!L$4:L$291,'Resultat-Produktion &amp; forbrug'!$A$4:$A$291,'Produktion &amp; forbrug'!$A141,'Resultat-Produktion &amp; forbrug'!$E$4:$E$291,'Produktion &amp; forbrug'!$F141)</f>
        <v>0</v>
      </c>
      <c r="M141" s="94">
        <f>SUMIFS('Resultat-Produktion &amp; forbrug'!M$4:M$291,'Resultat-Produktion &amp; forbrug'!$A$4:$A$291,'Produktion &amp; forbrug'!$A141,'Resultat-Produktion &amp; forbrug'!$E$4:$E$291,'Produktion &amp; forbrug'!$F141)</f>
        <v>0</v>
      </c>
      <c r="N141" s="94">
        <f>SUMIFS('Resultat-Produktion &amp; forbrug'!N$4:N$291,'Resultat-Produktion &amp; forbrug'!$A$4:$A$291,'Produktion &amp; forbrug'!$A141,'Resultat-Produktion &amp; forbrug'!$E$4:$E$291,'Produktion &amp; forbrug'!$F141)</f>
        <v>0</v>
      </c>
      <c r="O141" s="179">
        <f t="shared" si="36"/>
        <v>4651984.7473605312</v>
      </c>
      <c r="P141" s="94">
        <f t="shared" si="33"/>
        <v>4651984.7473605312</v>
      </c>
      <c r="Q141" s="180">
        <f t="shared" si="37"/>
        <v>2842137.0165491202</v>
      </c>
      <c r="R141">
        <f>IFERROR(VLOOKUP(A141,[1]Energiindhold!$A$2:$C$11,3,FALSE),IFERROR(VLOOKUP(A141,[1]Biogasudbytte!$A$2:$B$18,2,FALSE)*[1]Energiindhold!$C$10,0))*P141</f>
        <v>2.3213869087803789</v>
      </c>
      <c r="S141">
        <f>IF(A141&lt;&gt;"Biogas",IFERROR(VLOOKUP(A141,[1]Biogasudbytte!$A$2:$B$18,2,FALSE)*[1]Energiindhold!$C$10,0)*K141*IFERROR(VLOOKUP(A141,Biogasanlæg!$F$3:$G$8,2,FALSE),1)+IFERROR(VLOOKUP(A141,[1]Energiindhold!$A$2:$C$11,3,FALSE),0)*M141+IF(F141&lt;&gt;År1,R141,0),0)</f>
        <v>3.7396417014085559</v>
      </c>
      <c r="T141">
        <f>IFERROR(VLOOKUP(A141,[1]Biogasudbytte!$A$2:$B$18,2,FALSE)*[1]Energiindhold!$C$10,0)*K141*IFERROR(VLOOKUP(A141,Biogasanlæg!$F$3:$G$8,2,FALSE),1)</f>
        <v>1.4182547926281768</v>
      </c>
      <c r="U141" s="170">
        <f t="shared" si="38"/>
        <v>2.3213869087803793</v>
      </c>
      <c r="V141" s="169">
        <f>P141*IFERROR(VLOOKUP(A141,[1]Tørstofindhold!A$2:B$24,2,FALSE),0)</f>
        <v>279119.08484163188</v>
      </c>
      <c r="W141">
        <f>IF(F141=År1,Q141,SUM(P141,Q141))*IFERROR(VLOOKUP(A141,[1]Tørstofindhold!A$2:B$24,2,FALSE),0)</f>
        <v>449647.30583457905</v>
      </c>
      <c r="X141">
        <f>K141*IFERROR(VLOOKUP(A141,[1]Tørstofindhold!A$2:B$24,2,FALSE),0)</f>
        <v>170528.2209929472</v>
      </c>
      <c r="Y141" s="170">
        <f t="shared" si="39"/>
        <v>279119.08484163182</v>
      </c>
      <c r="Z141">
        <f t="shared" si="31"/>
        <v>0</v>
      </c>
      <c r="AA141">
        <f t="shared" si="32"/>
        <v>1</v>
      </c>
      <c r="AC141" s="94">
        <f t="shared" si="34"/>
        <v>4651984.7473605312</v>
      </c>
      <c r="AD141">
        <f>AC141*E141*10000*VLOOKUP(A141,[1]kcal!$A$2:$C$49,3,FALSE)/1000000000000*IFERROR(VLOOKUP(A141,'Kategorisering af kcal'!$A$2:$E$18,MATCH('Produktion &amp; forbrug'!F141,'Kategorisering af kcal'!$A$1:$E$1,0),FALSE),0)</f>
        <v>0</v>
      </c>
      <c r="AE141">
        <f>IF(C141&lt;&gt;"",AC141*(1-VLOOKUP(A141,'Kategorisering af kcal'!$A$2:$E$18,MATCH('Produktion &amp; forbrug'!F141,'Kategorisering af kcal'!$A$1:$E$1,0),FALSE)),'Produktion &amp; forbrug'!AC141)</f>
        <v>4651984.7473605312</v>
      </c>
      <c r="AF141" s="94">
        <f t="shared" si="35"/>
        <v>0</v>
      </c>
    </row>
    <row r="142" spans="1:32" x14ac:dyDescent="0.25">
      <c r="A142" s="171" t="str">
        <f t="shared" si="28"/>
        <v>Svinegylle</v>
      </c>
      <c r="B142" s="171" t="str">
        <f t="shared" si="29"/>
        <v>Husdyrgødning</v>
      </c>
      <c r="C142" s="171" t="str">
        <f>IFERROR(VLOOKUP(A142,'Kategorisering af kcal'!$A$2:$B$18,2,FALSE),"")</f>
        <v/>
      </c>
      <c r="D142" s="171">
        <f>IF(COUNTIFS('Resultater - Danmark'!$D$3:$D$504,'Produktion &amp; forbrug'!A142,'Resultater - Danmark'!$A$3:$A$504,"Til energi")+COUNTIFS('Resultater - Danmark'!$D$3:$D$504,'Produktion &amp; forbrug'!A142,'Resultater - Danmark'!$A$3:$A$504,"Biogasanlæg")&gt;0,1,0)</f>
        <v>1</v>
      </c>
      <c r="E142" s="171">
        <f t="shared" si="30"/>
        <v>0</v>
      </c>
      <c r="F142" s="171">
        <f t="shared" si="25"/>
        <v>2050</v>
      </c>
      <c r="G142" s="94">
        <f>SUMIFS('Resultat-Produktion &amp; forbrug'!G$4:G$291,'Resultat-Produktion &amp; forbrug'!$A$4:$A$291,'Produktion &amp; forbrug'!$A142,'Resultat-Produktion &amp; forbrug'!$E$4:$E$291,'Produktion &amp; forbrug'!$F142)</f>
        <v>0</v>
      </c>
      <c r="H142" s="94">
        <f>SUMIFS('Resultat-Produktion &amp; forbrug'!H$4:H$291,'Resultat-Produktion &amp; forbrug'!$A$4:$A$291,'Produktion &amp; forbrug'!$A142,'Resultat-Produktion &amp; forbrug'!$E$4:$E$291,'Produktion &amp; forbrug'!$F142)</f>
        <v>0</v>
      </c>
      <c r="I142" s="94">
        <f>SUMIFS('Resultat-Produktion &amp; forbrug'!I$4:I$291,'Resultat-Produktion &amp; forbrug'!$A$4:$A$291,'Produktion &amp; forbrug'!$A142,'Resultat-Produktion &amp; forbrug'!$E$4:$E$291,'Produktion &amp; forbrug'!$F142)</f>
        <v>0</v>
      </c>
      <c r="J142" s="94">
        <f>SUMIFS('Resultat-Produktion &amp; forbrug'!J$4:J$291,'Resultat-Produktion &amp; forbrug'!$A$4:$A$291,'Produktion &amp; forbrug'!$A142,'Resultat-Produktion &amp; forbrug'!$E$4:$E$291,'Produktion &amp; forbrug'!$F142)</f>
        <v>0</v>
      </c>
      <c r="K142" s="94">
        <f>SUMIFS('Resultat-Produktion &amp; forbrug'!K$4:K$291,'Resultat-Produktion &amp; forbrug'!$A$4:$A$291,'Produktion &amp; forbrug'!$A142,'Resultat-Produktion &amp; forbrug'!$E$4:$E$291,'Produktion &amp; forbrug'!$F142)</f>
        <v>0</v>
      </c>
      <c r="L142" s="94">
        <f>SUMIFS('Resultat-Produktion &amp; forbrug'!L$4:L$291,'Resultat-Produktion &amp; forbrug'!$A$4:$A$291,'Produktion &amp; forbrug'!$A142,'Resultat-Produktion &amp; forbrug'!$E$4:$E$291,'Produktion &amp; forbrug'!$F142)</f>
        <v>0</v>
      </c>
      <c r="M142" s="94">
        <f>SUMIFS('Resultat-Produktion &amp; forbrug'!M$4:M$291,'Resultat-Produktion &amp; forbrug'!$A$4:$A$291,'Produktion &amp; forbrug'!$A142,'Resultat-Produktion &amp; forbrug'!$E$4:$E$291,'Produktion &amp; forbrug'!$F142)</f>
        <v>0</v>
      </c>
      <c r="N142" s="94">
        <f>SUMIFS('Resultat-Produktion &amp; forbrug'!N$4:N$291,'Resultat-Produktion &amp; forbrug'!$A$4:$A$291,'Produktion &amp; forbrug'!$A142,'Resultat-Produktion &amp; forbrug'!$E$4:$E$291,'Produktion &amp; forbrug'!$F142)</f>
        <v>0</v>
      </c>
      <c r="O142" s="179">
        <f t="shared" si="36"/>
        <v>0</v>
      </c>
      <c r="P142" s="94">
        <f t="shared" si="33"/>
        <v>0</v>
      </c>
      <c r="Q142" s="180">
        <f t="shared" si="37"/>
        <v>0</v>
      </c>
      <c r="R142">
        <f>IFERROR(VLOOKUP(A142,[1]Energiindhold!$A$2:$C$11,3,FALSE),IFERROR(VLOOKUP(A142,[1]Biogasudbytte!$A$2:$B$18,2,FALSE)*[1]Energiindhold!$C$10,0))*P142</f>
        <v>0</v>
      </c>
      <c r="S142">
        <f>IF(A142&lt;&gt;"Biogas",IFERROR(VLOOKUP(A142,[1]Biogasudbytte!$A$2:$B$18,2,FALSE)*[1]Energiindhold!$C$10,0)*K142*IFERROR(VLOOKUP(A142,Biogasanlæg!$F$3:$G$8,2,FALSE),1)+IFERROR(VLOOKUP(A142,[1]Energiindhold!$A$2:$C$11,3,FALSE),0)*M142+IF(F142&lt;&gt;År1,R142,0),0)</f>
        <v>0</v>
      </c>
      <c r="T142">
        <f>IFERROR(VLOOKUP(A142,[1]Biogasudbytte!$A$2:$B$18,2,FALSE)*[1]Energiindhold!$C$10,0)*K142*IFERROR(VLOOKUP(A142,Biogasanlæg!$F$3:$G$8,2,FALSE),1)</f>
        <v>0</v>
      </c>
      <c r="U142" s="170">
        <f t="shared" si="38"/>
        <v>0</v>
      </c>
      <c r="V142" s="169">
        <f>P142*IFERROR(VLOOKUP(A142,[1]Tørstofindhold!A$2:B$24,2,FALSE),0)</f>
        <v>0</v>
      </c>
      <c r="W142">
        <f>IF(F142=År1,Q142,SUM(P142,Q142))*IFERROR(VLOOKUP(A142,[1]Tørstofindhold!A$2:B$24,2,FALSE),0)</f>
        <v>0</v>
      </c>
      <c r="X142">
        <f>K142*IFERROR(VLOOKUP(A142,[1]Tørstofindhold!A$2:B$24,2,FALSE),0)</f>
        <v>0</v>
      </c>
      <c r="Y142" s="170">
        <f t="shared" si="39"/>
        <v>0</v>
      </c>
      <c r="Z142">
        <f t="shared" si="31"/>
        <v>0</v>
      </c>
      <c r="AA142">
        <f t="shared" si="32"/>
        <v>0</v>
      </c>
      <c r="AC142" s="94">
        <f t="shared" si="34"/>
        <v>0</v>
      </c>
      <c r="AD142">
        <f>AC142*E142*10000*VLOOKUP(A142,[1]kcal!$A$2:$C$49,3,FALSE)/1000000000000*IFERROR(VLOOKUP(A142,'Kategorisering af kcal'!$A$2:$E$18,MATCH('Produktion &amp; forbrug'!F142,'Kategorisering af kcal'!$A$1:$E$1,0),FALSE),0)</f>
        <v>0</v>
      </c>
      <c r="AE142">
        <f>IF(C142&lt;&gt;"",AC142*(1-VLOOKUP(A142,'Kategorisering af kcal'!$A$2:$E$18,MATCH('Produktion &amp; forbrug'!F142,'Kategorisering af kcal'!$A$1:$E$1,0),FALSE)),'Produktion &amp; forbrug'!AC142)</f>
        <v>0</v>
      </c>
      <c r="AF142" s="94">
        <f t="shared" si="35"/>
        <v>0</v>
      </c>
    </row>
    <row r="143" spans="1:32" x14ac:dyDescent="0.25">
      <c r="A143" s="171" t="str">
        <f t="shared" si="28"/>
        <v>Svinekød</v>
      </c>
      <c r="B143" s="171" t="str">
        <f t="shared" si="29"/>
        <v/>
      </c>
      <c r="C143" s="171" t="str">
        <f>IFERROR(VLOOKUP(A143,'Kategorisering af kcal'!$A$2:$B$18,2,FALSE),"")</f>
        <v>Kød</v>
      </c>
      <c r="D143" s="171">
        <f>IF(COUNTIFS('Resultater - Danmark'!$D$3:$D$504,'Produktion &amp; forbrug'!A143,'Resultater - Danmark'!$A$3:$A$504,"Til energi")+COUNTIFS('Resultater - Danmark'!$D$3:$D$504,'Produktion &amp; forbrug'!A143,'Resultater - Danmark'!$A$3:$A$504,"Biogasanlæg")&gt;0,1,0)</f>
        <v>0</v>
      </c>
      <c r="E143" s="171">
        <f t="shared" si="30"/>
        <v>1</v>
      </c>
      <c r="F143" s="171">
        <f t="shared" si="25"/>
        <v>2050</v>
      </c>
      <c r="G143" s="94">
        <f>SUMIFS('Resultat-Produktion &amp; forbrug'!G$4:G$291,'Resultat-Produktion &amp; forbrug'!$A$4:$A$291,'Produktion &amp; forbrug'!$A143,'Resultat-Produktion &amp; forbrug'!$E$4:$E$291,'Produktion &amp; forbrug'!$F143)</f>
        <v>448542.41861653945</v>
      </c>
      <c r="H143" s="94">
        <f>SUMIFS('Resultat-Produktion &amp; forbrug'!H$4:H$291,'Resultat-Produktion &amp; forbrug'!$A$4:$A$291,'Produktion &amp; forbrug'!$A143,'Resultat-Produktion &amp; forbrug'!$E$4:$E$291,'Produktion &amp; forbrug'!$F143)</f>
        <v>0</v>
      </c>
      <c r="I143" s="94">
        <f>SUMIFS('Resultat-Produktion &amp; forbrug'!I$4:I$291,'Resultat-Produktion &amp; forbrug'!$A$4:$A$291,'Produktion &amp; forbrug'!$A143,'Resultat-Produktion &amp; forbrug'!$E$4:$E$291,'Produktion &amp; forbrug'!$F143)</f>
        <v>0</v>
      </c>
      <c r="J143" s="94">
        <f>SUMIFS('Resultat-Produktion &amp; forbrug'!J$4:J$291,'Resultat-Produktion &amp; forbrug'!$A$4:$A$291,'Produktion &amp; forbrug'!$A143,'Resultat-Produktion &amp; forbrug'!$E$4:$E$291,'Produktion &amp; forbrug'!$F143)</f>
        <v>0</v>
      </c>
      <c r="K143" s="94">
        <f>SUMIFS('Resultat-Produktion &amp; forbrug'!K$4:K$291,'Resultat-Produktion &amp; forbrug'!$A$4:$A$291,'Produktion &amp; forbrug'!$A143,'Resultat-Produktion &amp; forbrug'!$E$4:$E$291,'Produktion &amp; forbrug'!$F143)</f>
        <v>0</v>
      </c>
      <c r="L143" s="94">
        <f>SUMIFS('Resultat-Produktion &amp; forbrug'!L$4:L$291,'Resultat-Produktion &amp; forbrug'!$A$4:$A$291,'Produktion &amp; forbrug'!$A143,'Resultat-Produktion &amp; forbrug'!$E$4:$E$291,'Produktion &amp; forbrug'!$F143)</f>
        <v>0</v>
      </c>
      <c r="M143" s="94">
        <f>SUMIFS('Resultat-Produktion &amp; forbrug'!M$4:M$291,'Resultat-Produktion &amp; forbrug'!$A$4:$A$291,'Produktion &amp; forbrug'!$A143,'Resultat-Produktion &amp; forbrug'!$E$4:$E$291,'Produktion &amp; forbrug'!$F143)</f>
        <v>0</v>
      </c>
      <c r="N143" s="94">
        <f>SUMIFS('Resultat-Produktion &amp; forbrug'!N$4:N$291,'Resultat-Produktion &amp; forbrug'!$A$4:$A$291,'Produktion &amp; forbrug'!$A143,'Resultat-Produktion &amp; forbrug'!$E$4:$E$291,'Produktion &amp; forbrug'!$F143)</f>
        <v>0</v>
      </c>
      <c r="O143" s="179">
        <f t="shared" si="36"/>
        <v>448542.41861653945</v>
      </c>
      <c r="P143" s="94">
        <f t="shared" si="33"/>
        <v>0</v>
      </c>
      <c r="Q143" s="180">
        <f t="shared" si="37"/>
        <v>0</v>
      </c>
      <c r="R143">
        <f>IFERROR(VLOOKUP(A143,[1]Energiindhold!$A$2:$C$11,3,FALSE),IFERROR(VLOOKUP(A143,[1]Biogasudbytte!$A$2:$B$18,2,FALSE)*[1]Energiindhold!$C$10,0))*P143</f>
        <v>0</v>
      </c>
      <c r="S143">
        <f>IF(A143&lt;&gt;"Biogas",IFERROR(VLOOKUP(A143,[1]Biogasudbytte!$A$2:$B$18,2,FALSE)*[1]Energiindhold!$C$10,0)*K143*IFERROR(VLOOKUP(A143,Biogasanlæg!$F$3:$G$8,2,FALSE),1)+IFERROR(VLOOKUP(A143,[1]Energiindhold!$A$2:$C$11,3,FALSE),0)*M143+IF(F143&lt;&gt;År1,R143,0),0)</f>
        <v>0</v>
      </c>
      <c r="T143">
        <f>IFERROR(VLOOKUP(A143,[1]Biogasudbytte!$A$2:$B$18,2,FALSE)*[1]Energiindhold!$C$10,0)*K143*IFERROR(VLOOKUP(A143,Biogasanlæg!$F$3:$G$8,2,FALSE),1)</f>
        <v>0</v>
      </c>
      <c r="U143" s="170">
        <f t="shared" si="38"/>
        <v>0</v>
      </c>
      <c r="V143" s="169">
        <f>P143*IFERROR(VLOOKUP(A143,[1]Tørstofindhold!A$2:B$24,2,FALSE),0)</f>
        <v>0</v>
      </c>
      <c r="W143">
        <f>IF(F143=År1,Q143,SUM(P143,Q143))*IFERROR(VLOOKUP(A143,[1]Tørstofindhold!A$2:B$24,2,FALSE),0)</f>
        <v>0</v>
      </c>
      <c r="X143">
        <f>K143*IFERROR(VLOOKUP(A143,[1]Tørstofindhold!A$2:B$24,2,FALSE),0)</f>
        <v>0</v>
      </c>
      <c r="Y143" s="170">
        <f t="shared" si="39"/>
        <v>0</v>
      </c>
      <c r="Z143">
        <f t="shared" si="31"/>
        <v>0</v>
      </c>
      <c r="AA143">
        <f t="shared" si="32"/>
        <v>1</v>
      </c>
      <c r="AC143" s="94">
        <f t="shared" si="34"/>
        <v>448542.41861653945</v>
      </c>
      <c r="AD143">
        <f>AC143*E143*10000*VLOOKUP(A143,[1]kcal!$A$2:$C$49,3,FALSE)/1000000000000*IFERROR(VLOOKUP(A143,'Kategorisering af kcal'!$A$2:$E$18,MATCH('Produktion &amp; forbrug'!F143,'Kategorisering af kcal'!$A$1:$E$1,0),FALSE),0)</f>
        <v>0.87465771630225198</v>
      </c>
      <c r="AE143">
        <f>IF(C143&lt;&gt;"",AC143*(1-VLOOKUP(A143,'Kategorisering af kcal'!$A$2:$E$18,MATCH('Produktion &amp; forbrug'!F143,'Kategorisering af kcal'!$A$1:$E$1,0),FALSE)),'Produktion &amp; forbrug'!AC143)</f>
        <v>0</v>
      </c>
      <c r="AF143" s="94">
        <f t="shared" si="35"/>
        <v>448542.41861653945</v>
      </c>
    </row>
    <row r="144" spans="1:32" x14ac:dyDescent="0.25">
      <c r="A144" s="171" t="str">
        <f t="shared" si="28"/>
        <v>Tang</v>
      </c>
      <c r="B144" s="171" t="str">
        <f t="shared" si="29"/>
        <v>Havbiomasse</v>
      </c>
      <c r="C144" s="171" t="str">
        <f>IFERROR(VLOOKUP(A144,'Kategorisering af kcal'!$A$2:$B$18,2,FALSE),"")</f>
        <v>Fisk mm</v>
      </c>
      <c r="D144" s="171">
        <f>IF(COUNTIFS('Resultater - Danmark'!$D$3:$D$504,'Produktion &amp; forbrug'!A144,'Resultater - Danmark'!$A$3:$A$504,"Til energi")+COUNTIFS('Resultater - Danmark'!$D$3:$D$504,'Produktion &amp; forbrug'!A144,'Resultater - Danmark'!$A$3:$A$504,"Biogasanlæg")&gt;0,1,0)</f>
        <v>1</v>
      </c>
      <c r="E144" s="171">
        <f t="shared" si="30"/>
        <v>1</v>
      </c>
      <c r="F144" s="171">
        <f t="shared" si="25"/>
        <v>2050</v>
      </c>
      <c r="G144" s="94">
        <f>SUMIFS('Resultat-Produktion &amp; forbrug'!G$4:G$291,'Resultat-Produktion &amp; forbrug'!$A$4:$A$291,'Produktion &amp; forbrug'!$A144,'Resultat-Produktion &amp; forbrug'!$E$4:$E$291,'Produktion &amp; forbrug'!$F144)</f>
        <v>76.5</v>
      </c>
      <c r="H144" s="94">
        <f>SUMIFS('Resultat-Produktion &amp; forbrug'!H$4:H$291,'Resultat-Produktion &amp; forbrug'!$A$4:$A$291,'Produktion &amp; forbrug'!$A144,'Resultat-Produktion &amp; forbrug'!$E$4:$E$291,'Produktion &amp; forbrug'!$F144)</f>
        <v>0</v>
      </c>
      <c r="I144" s="94">
        <f>SUMIFS('Resultat-Produktion &amp; forbrug'!I$4:I$291,'Resultat-Produktion &amp; forbrug'!$A$4:$A$291,'Produktion &amp; forbrug'!$A144,'Resultat-Produktion &amp; forbrug'!$E$4:$E$291,'Produktion &amp; forbrug'!$F144)</f>
        <v>0</v>
      </c>
      <c r="J144" s="94">
        <f>SUMIFS('Resultat-Produktion &amp; forbrug'!J$4:J$291,'Resultat-Produktion &amp; forbrug'!$A$4:$A$291,'Produktion &amp; forbrug'!$A144,'Resultat-Produktion &amp; forbrug'!$E$4:$E$291,'Produktion &amp; forbrug'!$F144)</f>
        <v>0</v>
      </c>
      <c r="K144" s="94">
        <f>SUMIFS('Resultat-Produktion &amp; forbrug'!K$4:K$291,'Resultat-Produktion &amp; forbrug'!$A$4:$A$291,'Produktion &amp; forbrug'!$A144,'Resultat-Produktion &amp; forbrug'!$E$4:$E$291,'Produktion &amp; forbrug'!$F144)</f>
        <v>0</v>
      </c>
      <c r="L144" s="94">
        <f>SUMIFS('Resultat-Produktion &amp; forbrug'!L$4:L$291,'Resultat-Produktion &amp; forbrug'!$A$4:$A$291,'Produktion &amp; forbrug'!$A144,'Resultat-Produktion &amp; forbrug'!$E$4:$E$291,'Produktion &amp; forbrug'!$F144)</f>
        <v>0</v>
      </c>
      <c r="M144" s="94">
        <f>SUMIFS('Resultat-Produktion &amp; forbrug'!M$4:M$291,'Resultat-Produktion &amp; forbrug'!$A$4:$A$291,'Produktion &amp; forbrug'!$A144,'Resultat-Produktion &amp; forbrug'!$E$4:$E$291,'Produktion &amp; forbrug'!$F144)</f>
        <v>0</v>
      </c>
      <c r="N144" s="94">
        <f>SUMIFS('Resultat-Produktion &amp; forbrug'!N$4:N$291,'Resultat-Produktion &amp; forbrug'!$A$4:$A$291,'Produktion &amp; forbrug'!$A144,'Resultat-Produktion &amp; forbrug'!$E$4:$E$291,'Produktion &amp; forbrug'!$F144)</f>
        <v>0</v>
      </c>
      <c r="O144" s="179">
        <f t="shared" si="36"/>
        <v>76.5</v>
      </c>
      <c r="P144" s="94">
        <f t="shared" si="33"/>
        <v>76.5</v>
      </c>
      <c r="Q144" s="180">
        <f t="shared" si="37"/>
        <v>0</v>
      </c>
      <c r="R144">
        <f>IFERROR(VLOOKUP(A144,[1]Energiindhold!$A$2:$C$11,3,FALSE),IFERROR(VLOOKUP(A144,[1]Biogasudbytte!$A$2:$B$18,2,FALSE)*[1]Energiindhold!$C$10,0))*P144</f>
        <v>6.8658750000000004E-5</v>
      </c>
      <c r="S144">
        <f>IF(A144&lt;&gt;"Biogas",IFERROR(VLOOKUP(A144,[1]Biogasudbytte!$A$2:$B$18,2,FALSE)*[1]Energiindhold!$C$10,0)*K144*IFERROR(VLOOKUP(A144,Biogasanlæg!$F$3:$G$8,2,FALSE),1)+IFERROR(VLOOKUP(A144,[1]Energiindhold!$A$2:$C$11,3,FALSE),0)*M144+IF(F144&lt;&gt;År1,R144,0),0)</f>
        <v>6.8658750000000004E-5</v>
      </c>
      <c r="T144">
        <f>IFERROR(VLOOKUP(A144,[1]Biogasudbytte!$A$2:$B$18,2,FALSE)*[1]Energiindhold!$C$10,0)*K144*IFERROR(VLOOKUP(A144,Biogasanlæg!$F$3:$G$8,2,FALSE),1)</f>
        <v>0</v>
      </c>
      <c r="U144" s="170">
        <f t="shared" si="38"/>
        <v>6.8658750000000004E-5</v>
      </c>
      <c r="V144" s="169">
        <f>P144*IFERROR(VLOOKUP(A144,[1]Tørstofindhold!A$2:B$24,2,FALSE),0)</f>
        <v>11.475</v>
      </c>
      <c r="W144">
        <f>IF(F144=År1,Q144,SUM(P144,Q144))*IFERROR(VLOOKUP(A144,[1]Tørstofindhold!A$2:B$24,2,FALSE),0)</f>
        <v>11.475</v>
      </c>
      <c r="X144">
        <f>K144*IFERROR(VLOOKUP(A144,[1]Tørstofindhold!A$2:B$24,2,FALSE),0)</f>
        <v>0</v>
      </c>
      <c r="Y144" s="170">
        <f t="shared" si="39"/>
        <v>11.475</v>
      </c>
      <c r="Z144">
        <f t="shared" si="31"/>
        <v>0</v>
      </c>
      <c r="AA144">
        <f t="shared" si="32"/>
        <v>1</v>
      </c>
      <c r="AC144" s="94">
        <f t="shared" si="34"/>
        <v>76.5</v>
      </c>
      <c r="AD144">
        <f>AC144*E144*10000*VLOOKUP(A144,[1]kcal!$A$2:$C$49,3,FALSE)/1000000000000*IFERROR(VLOOKUP(A144,'Kategorisering af kcal'!$A$2:$E$18,MATCH('Produktion &amp; forbrug'!F144,'Kategorisering af kcal'!$A$1:$E$1,0),FALSE),0)</f>
        <v>3.1211999999999999E-5</v>
      </c>
      <c r="AE144">
        <f>IF(C144&lt;&gt;"",AC144*(1-VLOOKUP(A144,'Kategorisering af kcal'!$A$2:$E$18,MATCH('Produktion &amp; forbrug'!F144,'Kategorisering af kcal'!$A$1:$E$1,0),FALSE)),'Produktion &amp; forbrug'!AC144)</f>
        <v>0</v>
      </c>
      <c r="AF144" s="94">
        <f t="shared" si="35"/>
        <v>76.5</v>
      </c>
    </row>
    <row r="145" spans="1:32" x14ac:dyDescent="0.25">
      <c r="A145" s="171" t="str">
        <f t="shared" si="28"/>
        <v>Total til biogas</v>
      </c>
      <c r="B145" s="171" t="str">
        <f t="shared" si="29"/>
        <v/>
      </c>
      <c r="C145" s="171" t="str">
        <f>IFERROR(VLOOKUP(A145,'Kategorisering af kcal'!$A$2:$B$18,2,FALSE),"")</f>
        <v/>
      </c>
      <c r="D145" s="171">
        <f>IF(COUNTIFS('Resultater - Danmark'!$D$3:$D$504,'Produktion &amp; forbrug'!A145,'Resultater - Danmark'!$A$3:$A$504,"Til energi")+COUNTIFS('Resultater - Danmark'!$D$3:$D$504,'Produktion &amp; forbrug'!A145,'Resultater - Danmark'!$A$3:$A$504,"Biogasanlæg")&gt;0,1,0)</f>
        <v>1</v>
      </c>
      <c r="E145" s="171">
        <f t="shared" si="30"/>
        <v>0</v>
      </c>
      <c r="F145" s="171">
        <f t="shared" si="25"/>
        <v>2050</v>
      </c>
      <c r="G145" s="94">
        <f>SUMIFS('Resultat-Produktion &amp; forbrug'!G$4:G$291,'Resultat-Produktion &amp; forbrug'!$A$4:$A$291,'Produktion &amp; forbrug'!$A145,'Resultat-Produktion &amp; forbrug'!$E$4:$E$291,'Produktion &amp; forbrug'!$F145)</f>
        <v>0</v>
      </c>
      <c r="H145" s="94">
        <f>SUMIFS('Resultat-Produktion &amp; forbrug'!H$4:H$291,'Resultat-Produktion &amp; forbrug'!$A$4:$A$291,'Produktion &amp; forbrug'!$A145,'Resultat-Produktion &amp; forbrug'!$E$4:$E$291,'Produktion &amp; forbrug'!$F145)</f>
        <v>0</v>
      </c>
      <c r="I145" s="94">
        <f>SUMIFS('Resultat-Produktion &amp; forbrug'!I$4:I$291,'Resultat-Produktion &amp; forbrug'!$A$4:$A$291,'Produktion &amp; forbrug'!$A145,'Resultat-Produktion &amp; forbrug'!$E$4:$E$291,'Produktion &amp; forbrug'!$F145)</f>
        <v>0</v>
      </c>
      <c r="J145" s="94">
        <f>SUMIFS('Resultat-Produktion &amp; forbrug'!J$4:J$291,'Resultat-Produktion &amp; forbrug'!$A$4:$A$291,'Produktion &amp; forbrug'!$A145,'Resultat-Produktion &amp; forbrug'!$E$4:$E$291,'Produktion &amp; forbrug'!$F145)</f>
        <v>0</v>
      </c>
      <c r="K145" s="94">
        <f>SUMIFS('Resultat-Produktion &amp; forbrug'!K$4:K$291,'Resultat-Produktion &amp; forbrug'!$A$4:$A$291,'Produktion &amp; forbrug'!$A145,'Resultat-Produktion &amp; forbrug'!$E$4:$E$291,'Produktion &amp; forbrug'!$F145)</f>
        <v>0</v>
      </c>
      <c r="L145" s="94">
        <f>SUMIFS('Resultat-Produktion &amp; forbrug'!L$4:L$291,'Resultat-Produktion &amp; forbrug'!$A$4:$A$291,'Produktion &amp; forbrug'!$A145,'Resultat-Produktion &amp; forbrug'!$E$4:$E$291,'Produktion &amp; forbrug'!$F145)</f>
        <v>0</v>
      </c>
      <c r="M145" s="94">
        <f>SUMIFS('Resultat-Produktion &amp; forbrug'!M$4:M$291,'Resultat-Produktion &amp; forbrug'!$A$4:$A$291,'Produktion &amp; forbrug'!$A145,'Resultat-Produktion &amp; forbrug'!$E$4:$E$291,'Produktion &amp; forbrug'!$F145)</f>
        <v>0</v>
      </c>
      <c r="N145" s="94">
        <f>SUMIFS('Resultat-Produktion &amp; forbrug'!N$4:N$291,'Resultat-Produktion &amp; forbrug'!$A$4:$A$291,'Produktion &amp; forbrug'!$A145,'Resultat-Produktion &amp; forbrug'!$E$4:$E$291,'Produktion &amp; forbrug'!$F145)</f>
        <v>0</v>
      </c>
      <c r="O145" s="179">
        <f t="shared" si="36"/>
        <v>0</v>
      </c>
      <c r="P145" s="94">
        <f t="shared" si="33"/>
        <v>0</v>
      </c>
      <c r="Q145" s="180">
        <f t="shared" si="37"/>
        <v>0</v>
      </c>
      <c r="R145">
        <f>IFERROR(VLOOKUP(A145,[1]Energiindhold!$A$2:$C$11,3,FALSE),IFERROR(VLOOKUP(A145,[1]Biogasudbytte!$A$2:$B$18,2,FALSE)*[1]Energiindhold!$C$10,0))*P145</f>
        <v>0</v>
      </c>
      <c r="S145">
        <f>IF(A145&lt;&gt;"Biogas",IFERROR(VLOOKUP(A145,[1]Biogasudbytte!$A$2:$B$18,2,FALSE)*[1]Energiindhold!$C$10,0)*K145*IFERROR(VLOOKUP(A145,Biogasanlæg!$F$3:$G$8,2,FALSE),1)+IFERROR(VLOOKUP(A145,[1]Energiindhold!$A$2:$C$11,3,FALSE),0)*M145+IF(F145&lt;&gt;År1,R145,0),0)</f>
        <v>0</v>
      </c>
      <c r="T145">
        <f>IFERROR(VLOOKUP(A145,[1]Biogasudbytte!$A$2:$B$18,2,FALSE)*[1]Energiindhold!$C$10,0)*K145*IFERROR(VLOOKUP(A145,Biogasanlæg!$F$3:$G$8,2,FALSE),1)</f>
        <v>0</v>
      </c>
      <c r="U145" s="170">
        <f t="shared" si="38"/>
        <v>0</v>
      </c>
      <c r="V145" s="169">
        <f>P145*IFERROR(VLOOKUP(A145,[1]Tørstofindhold!A$2:B$24,2,FALSE),0)</f>
        <v>0</v>
      </c>
      <c r="W145">
        <f>IF(F145=År1,Q145,SUM(P145,Q145))*IFERROR(VLOOKUP(A145,[1]Tørstofindhold!A$2:B$24,2,FALSE),0)</f>
        <v>0</v>
      </c>
      <c r="X145">
        <f>K145*IFERROR(VLOOKUP(A145,[1]Tørstofindhold!A$2:B$24,2,FALSE),0)</f>
        <v>0</v>
      </c>
      <c r="Y145" s="170">
        <f t="shared" si="39"/>
        <v>0</v>
      </c>
      <c r="Z145">
        <f t="shared" si="31"/>
        <v>0</v>
      </c>
      <c r="AA145">
        <f t="shared" si="32"/>
        <v>0</v>
      </c>
      <c r="AC145" s="94">
        <f t="shared" si="34"/>
        <v>0</v>
      </c>
      <c r="AD145">
        <f>AC145*E145*10000*VLOOKUP(A145,[1]kcal!$A$2:$C$49,3,FALSE)/1000000000000*IFERROR(VLOOKUP(A145,'Kategorisering af kcal'!$A$2:$E$18,MATCH('Produktion &amp; forbrug'!F145,'Kategorisering af kcal'!$A$1:$E$1,0),FALSE),0)</f>
        <v>0</v>
      </c>
      <c r="AE145">
        <f>IF(C145&lt;&gt;"",AC145*(1-VLOOKUP(A145,'Kategorisering af kcal'!$A$2:$E$18,MATCH('Produktion &amp; forbrug'!F145,'Kategorisering af kcal'!$A$1:$E$1,0),FALSE)),'Produktion &amp; forbrug'!AC145)</f>
        <v>0</v>
      </c>
      <c r="AF145" s="94">
        <f t="shared" si="35"/>
        <v>0</v>
      </c>
    </row>
    <row r="146" spans="1:32" x14ac:dyDescent="0.25">
      <c r="A146" s="171" t="str">
        <f t="shared" si="28"/>
        <v>Træ til energi</v>
      </c>
      <c r="B146" s="171" t="str">
        <f t="shared" si="29"/>
        <v>Vedmasse</v>
      </c>
      <c r="C146" s="171" t="str">
        <f>IFERROR(VLOOKUP(A146,'Kategorisering af kcal'!$A$2:$B$18,2,FALSE),"")</f>
        <v/>
      </c>
      <c r="D146" s="171">
        <f>IF(COUNTIFS('Resultater - Danmark'!$D$3:$D$504,'Produktion &amp; forbrug'!A146,'Resultater - Danmark'!$A$3:$A$504,"Til energi")+COUNTIFS('Resultater - Danmark'!$D$3:$D$504,'Produktion &amp; forbrug'!A146,'Resultater - Danmark'!$A$3:$A$504,"Biogasanlæg")&gt;0,1,0)</f>
        <v>1</v>
      </c>
      <c r="E146" s="171">
        <f t="shared" si="30"/>
        <v>0</v>
      </c>
      <c r="F146" s="171">
        <f t="shared" si="25"/>
        <v>2050</v>
      </c>
      <c r="G146" s="94">
        <f ca="1">SUMIFS('Resultat-Produktion &amp; forbrug'!G$4:G$291,'Resultat-Produktion &amp; forbrug'!$A$4:$A$291,'Produktion &amp; forbrug'!$A146,'Resultat-Produktion &amp; forbrug'!$E$4:$E$291,'Produktion &amp; forbrug'!$F146)</f>
        <v>2761065.1089266455</v>
      </c>
      <c r="H146" s="94">
        <f>SUMIFS('Resultat-Produktion &amp; forbrug'!H$4:H$291,'Resultat-Produktion &amp; forbrug'!$A$4:$A$291,'Produktion &amp; forbrug'!$A146,'Resultat-Produktion &amp; forbrug'!$E$4:$E$291,'Produktion &amp; forbrug'!$F146)</f>
        <v>0</v>
      </c>
      <c r="I146" s="94">
        <f>SUMIFS('Resultat-Produktion &amp; forbrug'!I$4:I$291,'Resultat-Produktion &amp; forbrug'!$A$4:$A$291,'Produktion &amp; forbrug'!$A146,'Resultat-Produktion &amp; forbrug'!$E$4:$E$291,'Produktion &amp; forbrug'!$F146)</f>
        <v>0</v>
      </c>
      <c r="J146" s="94">
        <f>SUMIFS('Resultat-Produktion &amp; forbrug'!J$4:J$291,'Resultat-Produktion &amp; forbrug'!$A$4:$A$291,'Produktion &amp; forbrug'!$A146,'Resultat-Produktion &amp; forbrug'!$E$4:$E$291,'Produktion &amp; forbrug'!$F146)</f>
        <v>0</v>
      </c>
      <c r="K146" s="94">
        <f>SUMIFS('Resultat-Produktion &amp; forbrug'!K$4:K$291,'Resultat-Produktion &amp; forbrug'!$A$4:$A$291,'Produktion &amp; forbrug'!$A146,'Resultat-Produktion &amp; forbrug'!$E$4:$E$291,'Produktion &amp; forbrug'!$F146)</f>
        <v>0</v>
      </c>
      <c r="L146" s="94">
        <f>SUMIFS('Resultat-Produktion &amp; forbrug'!L$4:L$291,'Resultat-Produktion &amp; forbrug'!$A$4:$A$291,'Produktion &amp; forbrug'!$A146,'Resultat-Produktion &amp; forbrug'!$E$4:$E$291,'Produktion &amp; forbrug'!$F146)</f>
        <v>0</v>
      </c>
      <c r="M146" s="94">
        <f ca="1">SUMIFS('Resultat-Produktion &amp; forbrug'!M$4:M$291,'Resultat-Produktion &amp; forbrug'!$A$4:$A$291,'Produktion &amp; forbrug'!$A146,'Resultat-Produktion &amp; forbrug'!$E$4:$E$291,'Produktion &amp; forbrug'!$F146)</f>
        <v>2761065.1089266455</v>
      </c>
      <c r="N146" s="94">
        <f>SUMIFS('Resultat-Produktion &amp; forbrug'!N$4:N$291,'Resultat-Produktion &amp; forbrug'!$A$4:$A$291,'Produktion &amp; forbrug'!$A146,'Resultat-Produktion &amp; forbrug'!$E$4:$E$291,'Produktion &amp; forbrug'!$F146)</f>
        <v>0</v>
      </c>
      <c r="O146" s="179">
        <f t="shared" ca="1" si="36"/>
        <v>0</v>
      </c>
      <c r="P146" s="94">
        <f t="shared" ca="1" si="33"/>
        <v>0</v>
      </c>
      <c r="Q146" s="180">
        <f t="shared" ca="1" si="37"/>
        <v>2761065.1089266455</v>
      </c>
      <c r="R146">
        <f ca="1">IFERROR(VLOOKUP(A146,[1]Energiindhold!$A$2:$C$11,3,FALSE),IFERROR(VLOOKUP(A146,[1]Biogasudbytte!$A$2:$B$18,2,FALSE)*[1]Energiindhold!$C$10,0))*P146</f>
        <v>0</v>
      </c>
      <c r="S146">
        <f ca="1">IF(A146&lt;&gt;"Biogas",IFERROR(VLOOKUP(A146,[1]Biogasudbytte!$A$2:$B$18,2,FALSE)*[1]Energiindhold!$C$10,0)*K146*IFERROR(VLOOKUP(A146,Biogasanlæg!$F$3:$G$8,2,FALSE),1)+IFERROR(VLOOKUP(A146,[1]Energiindhold!$A$2:$C$11,3,FALSE),0)*M146+IF(F146&lt;&gt;År1,R146,0),0)</f>
        <v>40.017687395755047</v>
      </c>
      <c r="T146">
        <f>IFERROR(VLOOKUP(A146,[1]Biogasudbytte!$A$2:$B$18,2,FALSE)*[1]Energiindhold!$C$10,0)*K146*IFERROR(VLOOKUP(A146,Biogasanlæg!$F$3:$G$8,2,FALSE),1)</f>
        <v>0</v>
      </c>
      <c r="U146" s="170">
        <f t="shared" ca="1" si="38"/>
        <v>40.017687395755047</v>
      </c>
      <c r="V146" s="169">
        <f ca="1">P146*IFERROR(VLOOKUP(A146,[1]Tørstofindhold!A$2:B$24,2,FALSE),0)</f>
        <v>0</v>
      </c>
      <c r="W146">
        <f ca="1">IF(F146=År1,Q146,SUM(P146,Q146))*IFERROR(VLOOKUP(A146,[1]Tørstofindhold!A$2:B$24,2,FALSE),0)</f>
        <v>1365576.7851233033</v>
      </c>
      <c r="X146">
        <f>K146*IFERROR(VLOOKUP(A146,[1]Tørstofindhold!A$2:B$24,2,FALSE),0)</f>
        <v>0</v>
      </c>
      <c r="Y146" s="170">
        <f t="shared" ca="1" si="39"/>
        <v>1365576.7851233033</v>
      </c>
      <c r="Z146">
        <f t="shared" ca="1" si="31"/>
        <v>0</v>
      </c>
      <c r="AA146">
        <f t="shared" ca="1" si="32"/>
        <v>0</v>
      </c>
      <c r="AC146" s="94">
        <f t="shared" ca="1" si="34"/>
        <v>2761065.1089266455</v>
      </c>
      <c r="AD146">
        <f ca="1">AC146*E146*10000*VLOOKUP(A146,[1]kcal!$A$2:$C$49,3,FALSE)/1000000000000*IFERROR(VLOOKUP(A146,'Kategorisering af kcal'!$A$2:$E$18,MATCH('Produktion &amp; forbrug'!F146,'Kategorisering af kcal'!$A$1:$E$1,0),FALSE),0)</f>
        <v>0</v>
      </c>
      <c r="AE146">
        <f ca="1">IF(C146&lt;&gt;"",AC146*(1-VLOOKUP(A146,'Kategorisering af kcal'!$A$2:$E$18,MATCH('Produktion &amp; forbrug'!F146,'Kategorisering af kcal'!$A$1:$E$1,0),FALSE)),'Produktion &amp; forbrug'!AC146)</f>
        <v>2761065.1089266455</v>
      </c>
      <c r="AF146" s="94">
        <f t="shared" ca="1" si="35"/>
        <v>0</v>
      </c>
    </row>
    <row r="147" spans="1:32" x14ac:dyDescent="0.25">
      <c r="A147" s="171" t="str">
        <f t="shared" si="28"/>
        <v>Træmaterialer</v>
      </c>
      <c r="B147" s="171" t="str">
        <f t="shared" si="29"/>
        <v/>
      </c>
      <c r="C147" s="171" t="str">
        <f>IFERROR(VLOOKUP(A147,'Kategorisering af kcal'!$A$2:$B$18,2,FALSE),"")</f>
        <v/>
      </c>
      <c r="D147" s="171">
        <f>IF(COUNTIFS('Resultater - Danmark'!$D$3:$D$504,'Produktion &amp; forbrug'!A147,'Resultater - Danmark'!$A$3:$A$504,"Til energi")+COUNTIFS('Resultater - Danmark'!$D$3:$D$504,'Produktion &amp; forbrug'!A147,'Resultater - Danmark'!$A$3:$A$504,"Biogasanlæg")&gt;0,1,0)</f>
        <v>0</v>
      </c>
      <c r="E147" s="171">
        <f t="shared" si="30"/>
        <v>0</v>
      </c>
      <c r="F147" s="171">
        <f t="shared" si="25"/>
        <v>2050</v>
      </c>
      <c r="G147" s="94">
        <f ca="1">SUMIFS('Resultat-Produktion &amp; forbrug'!G$4:G$291,'Resultat-Produktion &amp; forbrug'!$A$4:$A$291,'Produktion &amp; forbrug'!$A147,'Resultat-Produktion &amp; forbrug'!$E$4:$E$291,'Produktion &amp; forbrug'!$F147)</f>
        <v>814379.14075048931</v>
      </c>
      <c r="H147" s="94">
        <f>SUMIFS('Resultat-Produktion &amp; forbrug'!H$4:H$291,'Resultat-Produktion &amp; forbrug'!$A$4:$A$291,'Produktion &amp; forbrug'!$A147,'Resultat-Produktion &amp; forbrug'!$E$4:$E$291,'Produktion &amp; forbrug'!$F147)</f>
        <v>0</v>
      </c>
      <c r="I147" s="94">
        <f>SUMIFS('Resultat-Produktion &amp; forbrug'!I$4:I$291,'Resultat-Produktion &amp; forbrug'!$A$4:$A$291,'Produktion &amp; forbrug'!$A147,'Resultat-Produktion &amp; forbrug'!$E$4:$E$291,'Produktion &amp; forbrug'!$F147)</f>
        <v>0</v>
      </c>
      <c r="J147" s="94">
        <f>SUMIFS('Resultat-Produktion &amp; forbrug'!J$4:J$291,'Resultat-Produktion &amp; forbrug'!$A$4:$A$291,'Produktion &amp; forbrug'!$A147,'Resultat-Produktion &amp; forbrug'!$E$4:$E$291,'Produktion &amp; forbrug'!$F147)</f>
        <v>0</v>
      </c>
      <c r="K147" s="94">
        <f>SUMIFS('Resultat-Produktion &amp; forbrug'!K$4:K$291,'Resultat-Produktion &amp; forbrug'!$A$4:$A$291,'Produktion &amp; forbrug'!$A147,'Resultat-Produktion &amp; forbrug'!$E$4:$E$291,'Produktion &amp; forbrug'!$F147)</f>
        <v>0</v>
      </c>
      <c r="L147" s="94">
        <f>SUMIFS('Resultat-Produktion &amp; forbrug'!L$4:L$291,'Resultat-Produktion &amp; forbrug'!$A$4:$A$291,'Produktion &amp; forbrug'!$A147,'Resultat-Produktion &amp; forbrug'!$E$4:$E$291,'Produktion &amp; forbrug'!$F147)</f>
        <v>0</v>
      </c>
      <c r="M147" s="94">
        <f>SUMIFS('Resultat-Produktion &amp; forbrug'!M$4:M$291,'Resultat-Produktion &amp; forbrug'!$A$4:$A$291,'Produktion &amp; forbrug'!$A147,'Resultat-Produktion &amp; forbrug'!$E$4:$E$291,'Produktion &amp; forbrug'!$F147)</f>
        <v>0</v>
      </c>
      <c r="N147" s="94">
        <f ca="1">SUMIFS('Resultat-Produktion &amp; forbrug'!N$4:N$291,'Resultat-Produktion &amp; forbrug'!$A$4:$A$291,'Produktion &amp; forbrug'!$A147,'Resultat-Produktion &amp; forbrug'!$E$4:$E$291,'Produktion &amp; forbrug'!$F147)</f>
        <v>814379.14075048931</v>
      </c>
      <c r="O147" s="179">
        <f t="shared" ca="1" si="36"/>
        <v>0</v>
      </c>
      <c r="P147" s="94">
        <f t="shared" si="33"/>
        <v>0</v>
      </c>
      <c r="Q147" s="180">
        <f t="shared" si="37"/>
        <v>0</v>
      </c>
      <c r="R147">
        <f>IFERROR(VLOOKUP(A147,[1]Energiindhold!$A$2:$C$11,3,FALSE),IFERROR(VLOOKUP(A147,[1]Biogasudbytte!$A$2:$B$18,2,FALSE)*[1]Energiindhold!$C$10,0))*P147</f>
        <v>0</v>
      </c>
      <c r="S147">
        <f>IF(A147&lt;&gt;"Biogas",IFERROR(VLOOKUP(A147,[1]Biogasudbytte!$A$2:$B$18,2,FALSE)*[1]Energiindhold!$C$10,0)*K147*IFERROR(VLOOKUP(A147,Biogasanlæg!$F$3:$G$8,2,FALSE),1)+IFERROR(VLOOKUP(A147,[1]Energiindhold!$A$2:$C$11,3,FALSE),0)*M147+IF(F147&lt;&gt;År1,R147,0),0)</f>
        <v>0</v>
      </c>
      <c r="T147">
        <f>IFERROR(VLOOKUP(A147,[1]Biogasudbytte!$A$2:$B$18,2,FALSE)*[1]Energiindhold!$C$10,0)*K147*IFERROR(VLOOKUP(A147,Biogasanlæg!$F$3:$G$8,2,FALSE),1)</f>
        <v>0</v>
      </c>
      <c r="U147" s="170">
        <f t="shared" si="38"/>
        <v>0</v>
      </c>
      <c r="V147" s="169">
        <f>P147*IFERROR(VLOOKUP(A147,[1]Tørstofindhold!A$2:B$24,2,FALSE),0)</f>
        <v>0</v>
      </c>
      <c r="W147">
        <f>IF(F147=År1,Q147,SUM(P147,Q147))*IFERROR(VLOOKUP(A147,[1]Tørstofindhold!A$2:B$24,2,FALSE),0)</f>
        <v>0</v>
      </c>
      <c r="X147">
        <f>K147*IFERROR(VLOOKUP(A147,[1]Tørstofindhold!A$2:B$24,2,FALSE),0)</f>
        <v>0</v>
      </c>
      <c r="Y147" s="170">
        <f t="shared" si="39"/>
        <v>0</v>
      </c>
      <c r="Z147">
        <f t="shared" ca="1" si="31"/>
        <v>0</v>
      </c>
      <c r="AA147">
        <f t="shared" ca="1" si="32"/>
        <v>0</v>
      </c>
      <c r="AC147" s="94">
        <f t="shared" ca="1" si="34"/>
        <v>0</v>
      </c>
      <c r="AD147">
        <f ca="1">AC147*E147*10000*VLOOKUP(A147,[1]kcal!$A$2:$C$49,3,FALSE)/1000000000000*IFERROR(VLOOKUP(A147,'Kategorisering af kcal'!$A$2:$E$18,MATCH('Produktion &amp; forbrug'!F147,'Kategorisering af kcal'!$A$1:$E$1,0),FALSE),0)</f>
        <v>0</v>
      </c>
      <c r="AE147">
        <f ca="1">IF(C147&lt;&gt;"",AC147*(1-VLOOKUP(A147,'Kategorisering af kcal'!$A$2:$E$18,MATCH('Produktion &amp; forbrug'!F147,'Kategorisering af kcal'!$A$1:$E$1,0),FALSE)),'Produktion &amp; forbrug'!AC147)</f>
        <v>0</v>
      </c>
      <c r="AF147" s="94">
        <f t="shared" ca="1" si="35"/>
        <v>0</v>
      </c>
    </row>
  </sheetData>
  <mergeCells count="6">
    <mergeCell ref="AC1:AD1"/>
    <mergeCell ref="A1:D1"/>
    <mergeCell ref="G1:N1"/>
    <mergeCell ref="O1:Q1"/>
    <mergeCell ref="R1:U1"/>
    <mergeCell ref="V1:Y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0CDD-8503-476E-AA3F-D816E7154D82}">
  <sheetPr codeName="Sheet39"/>
  <dimension ref="B1:I47"/>
  <sheetViews>
    <sheetView topLeftCell="A19" workbookViewId="0">
      <selection activeCell="H25" sqref="H25"/>
    </sheetView>
  </sheetViews>
  <sheetFormatPr defaultRowHeight="15" x14ac:dyDescent="0.25"/>
  <cols>
    <col min="2" max="2" width="21.7109375" customWidth="1"/>
    <col min="3" max="4" width="13.85546875" customWidth="1"/>
    <col min="5" max="5" width="12.7109375" customWidth="1"/>
  </cols>
  <sheetData>
    <row r="1" spans="2:5" x14ac:dyDescent="0.25">
      <c r="B1" s="448" t="s">
        <v>384</v>
      </c>
      <c r="C1" s="448"/>
      <c r="D1" s="448"/>
      <c r="E1" s="448"/>
    </row>
    <row r="2" spans="2:5" x14ac:dyDescent="0.25">
      <c r="C2" s="453" t="s">
        <v>350</v>
      </c>
      <c r="D2" s="453"/>
      <c r="E2" s="453"/>
    </row>
    <row r="3" spans="2:5" ht="15.75" thickBot="1" x14ac:dyDescent="0.3">
      <c r="C3">
        <f>År1</f>
        <v>2019</v>
      </c>
      <c r="D3">
        <f>År2</f>
        <v>2030</v>
      </c>
      <c r="E3">
        <f>År3</f>
        <v>2050</v>
      </c>
    </row>
    <row r="4" spans="2:5" x14ac:dyDescent="0.25">
      <c r="B4" t="s">
        <v>229</v>
      </c>
      <c r="C4" s="405">
        <f ca="1">SUMIFS('Produktion &amp; forbrug'!$AC$4:$AC$147,'Produktion &amp; forbrug'!$F$4:$F$147,C$3,'Produktion &amp; forbrug'!$B$4:$B$147,$B4)</f>
        <v>4698263.1968560591</v>
      </c>
      <c r="D4" s="417">
        <f ca="1">SUMIFS('Produktion &amp; forbrug'!$AC$4:$AC$147,'Produktion &amp; forbrug'!$F$4:$F$147,D$3,'Produktion &amp; forbrug'!$B$4:$B$147,$B4)</f>
        <v>7960969.4441481922</v>
      </c>
      <c r="E4" s="409">
        <f ca="1">SUMIFS('Produktion &amp; forbrug'!$AC$4:$AC$147,'Produktion &amp; forbrug'!$F$4:$F$147,E$3,'Produktion &amp; forbrug'!$B$4:$B$147,$B4)</f>
        <v>7745566.7195452685</v>
      </c>
    </row>
    <row r="5" spans="2:5" x14ac:dyDescent="0.25">
      <c r="B5" t="s">
        <v>221</v>
      </c>
      <c r="C5" s="179">
        <f>SUMIFS('Produktion &amp; forbrug'!$AC$4:$AC$147,'Produktion &amp; forbrug'!$F$4:$F$147,C$3,'Produktion &amp; forbrug'!$B$4:$B$147,$B5)</f>
        <v>1352218.0071428572</v>
      </c>
      <c r="D5" s="94">
        <f>SUMIFS('Produktion &amp; forbrug'!$AC$4:$AC$147,'Produktion &amp; forbrug'!$F$4:$F$147,D$3,'Produktion &amp; forbrug'!$B$4:$B$147,$B5)</f>
        <v>414521.27024770156</v>
      </c>
      <c r="E5" s="180">
        <f>SUMIFS('Produktion &amp; forbrug'!$AC$4:$AC$147,'Produktion &amp; forbrug'!$F$4:$F$147,E$3,'Produktion &amp; forbrug'!$B$4:$B$147,$B5)</f>
        <v>317089.70575253945</v>
      </c>
    </row>
    <row r="6" spans="2:5" x14ac:dyDescent="0.25">
      <c r="B6" t="s">
        <v>223</v>
      </c>
      <c r="C6" s="179">
        <f>SUMIFS('Produktion &amp; forbrug'!$AC$4:$AC$147,'Produktion &amp; forbrug'!$F$4:$F$147,C$3,'Produktion &amp; forbrug'!$B$4:$B$147,$B6)</f>
        <v>6999835.1830202974</v>
      </c>
      <c r="D6" s="94">
        <f>SUMIFS('Produktion &amp; forbrug'!$AC$4:$AC$147,'Produktion &amp; forbrug'!$F$4:$F$147,D$3,'Produktion &amp; forbrug'!$B$4:$B$147,$B6)</f>
        <v>11758383.859401226</v>
      </c>
      <c r="E6" s="180">
        <f>SUMIFS('Produktion &amp; forbrug'!$AC$4:$AC$147,'Produktion &amp; forbrug'!$F$4:$F$147,E$3,'Produktion &amp; forbrug'!$B$4:$B$147,$B6)</f>
        <v>16314728.274465309</v>
      </c>
    </row>
    <row r="7" spans="2:5" x14ac:dyDescent="0.25">
      <c r="B7" t="s">
        <v>226</v>
      </c>
      <c r="C7" s="179">
        <f>SUMIFS('Produktion &amp; forbrug'!$AC$4:$AC$147,'Produktion &amp; forbrug'!$F$4:$F$147,C$3,'Produktion &amp; forbrug'!$B$4:$B$147,$B7)</f>
        <v>4402957.5587320747</v>
      </c>
      <c r="D7" s="94">
        <f>SUMIFS('Produktion &amp; forbrug'!$AC$4:$AC$147,'Produktion &amp; forbrug'!$F$4:$F$147,D$3,'Produktion &amp; forbrug'!$B$4:$B$147,$B7)</f>
        <v>4044626.2908959221</v>
      </c>
      <c r="E7" s="180">
        <f>SUMIFS('Produktion &amp; forbrug'!$AC$4:$AC$147,'Produktion &amp; forbrug'!$F$4:$F$147,E$3,'Produktion &amp; forbrug'!$B$4:$B$147,$B7)</f>
        <v>371155.1056835085</v>
      </c>
    </row>
    <row r="8" spans="2:5" x14ac:dyDescent="0.25">
      <c r="B8" t="s">
        <v>225</v>
      </c>
      <c r="C8" s="179">
        <f>SUMIFS('Produktion &amp; forbrug'!$AC$4:$AC$147,'Produktion &amp; forbrug'!$F$4:$F$147,C$3,'Produktion &amp; forbrug'!$B$4:$B$147,$B8)</f>
        <v>956.59999999999991</v>
      </c>
      <c r="D8" s="94">
        <f>SUMIFS('Produktion &amp; forbrug'!$AC$4:$AC$147,'Produktion &amp; forbrug'!$F$4:$F$147,D$3,'Produktion &amp; forbrug'!$B$4:$B$147,$B8)</f>
        <v>956.59999999999991</v>
      </c>
      <c r="E8" s="180">
        <f>SUMIFS('Produktion &amp; forbrug'!$AC$4:$AC$147,'Produktion &amp; forbrug'!$F$4:$F$147,E$3,'Produktion &amp; forbrug'!$B$4:$B$147,$B8)</f>
        <v>956.59999999999991</v>
      </c>
    </row>
    <row r="9" spans="2:5" x14ac:dyDescent="0.25">
      <c r="B9" t="s">
        <v>224</v>
      </c>
      <c r="C9" s="179">
        <f ca="1">SUMIFS('Produktion &amp; forbrug'!$AC$4:$AC$147,'Produktion &amp; forbrug'!$F$4:$F$147,C$3,'Produktion &amp; forbrug'!$B$4:$B$147,$B9)</f>
        <v>3220159.2034965986</v>
      </c>
      <c r="D9" s="94">
        <f ca="1">SUMIFS('Produktion &amp; forbrug'!$AC$4:$AC$147,'Produktion &amp; forbrug'!$F$4:$F$147,D$3,'Produktion &amp; forbrug'!$B$4:$B$147,$B9)</f>
        <v>4028422.6205990808</v>
      </c>
      <c r="E9" s="180">
        <f ca="1">SUMIFS('Produktion &amp; forbrug'!$AC$4:$AC$147,'Produktion &amp; forbrug'!$F$4:$F$147,E$3,'Produktion &amp; forbrug'!$B$4:$B$147,$B9)</f>
        <v>4514694.8749305187</v>
      </c>
    </row>
    <row r="10" spans="2:5" ht="15.75" thickBot="1" x14ac:dyDescent="0.3">
      <c r="B10" t="s">
        <v>230</v>
      </c>
      <c r="C10" s="181">
        <f>SUMIFS('Produktion &amp; forbrug'!$AC$4:$AC$147,'Produktion &amp; forbrug'!$F$4:$F$147,C$3,'Produktion &amp; forbrug'!$B$4:$B$147,$B10)</f>
        <v>112873.31802427147</v>
      </c>
      <c r="D10" s="182">
        <f>SUMIFS('Produktion &amp; forbrug'!$AC$4:$AC$147,'Produktion &amp; forbrug'!$F$4:$F$147,D$3,'Produktion &amp; forbrug'!$B$4:$B$147,$B10)</f>
        <v>307900.58179541014</v>
      </c>
      <c r="E10" s="183">
        <f>SUMIFS('Produktion &amp; forbrug'!$AC$4:$AC$147,'Produktion &amp; forbrug'!$F$4:$F$147,E$3,'Produktion &amp; forbrug'!$B$4:$B$147,$B10)</f>
        <v>276887.98874079209</v>
      </c>
    </row>
    <row r="11" spans="2:5" x14ac:dyDescent="0.25">
      <c r="C11" s="94">
        <f ca="1">SUM(C4:C10)</f>
        <v>20787263.067272156</v>
      </c>
      <c r="D11" s="94">
        <f ca="1">SUM(D4:D10)</f>
        <v>28515780.667087536</v>
      </c>
      <c r="E11" s="94">
        <f ca="1">SUM(E4:E10)</f>
        <v>29541079.26911794</v>
      </c>
    </row>
    <row r="12" spans="2:5" x14ac:dyDescent="0.25">
      <c r="C12" s="94"/>
      <c r="D12" s="94"/>
      <c r="E12" s="94"/>
    </row>
    <row r="13" spans="2:5" x14ac:dyDescent="0.25">
      <c r="C13" s="94"/>
      <c r="D13" s="94"/>
      <c r="E13" s="94"/>
    </row>
    <row r="14" spans="2:5" x14ac:dyDescent="0.25">
      <c r="C14" s="94"/>
      <c r="D14" s="94"/>
      <c r="E14" s="94"/>
    </row>
    <row r="15" spans="2:5" x14ac:dyDescent="0.25">
      <c r="C15" s="94"/>
      <c r="D15" s="94"/>
      <c r="E15" s="94"/>
    </row>
    <row r="16" spans="2:5" x14ac:dyDescent="0.25">
      <c r="C16" s="94"/>
      <c r="D16" s="94"/>
      <c r="E16" s="94"/>
    </row>
    <row r="18" spans="2:9" x14ac:dyDescent="0.25">
      <c r="B18" s="448" t="s">
        <v>385</v>
      </c>
      <c r="C18" s="448"/>
      <c r="D18" s="448"/>
      <c r="E18" s="448"/>
      <c r="F18" s="448"/>
      <c r="G18" s="448"/>
      <c r="H18" s="448"/>
    </row>
    <row r="19" spans="2:9" x14ac:dyDescent="0.25">
      <c r="C19" s="453" t="s">
        <v>350</v>
      </c>
      <c r="D19" s="453"/>
      <c r="E19" s="453"/>
      <c r="F19" s="453" t="s">
        <v>351</v>
      </c>
      <c r="G19" s="453"/>
      <c r="H19" s="453"/>
    </row>
    <row r="20" spans="2:9" ht="15.75" thickBot="1" x14ac:dyDescent="0.3">
      <c r="C20">
        <f>År1</f>
        <v>2019</v>
      </c>
      <c r="D20">
        <v>2030</v>
      </c>
      <c r="E20">
        <f>År3</f>
        <v>2050</v>
      </c>
      <c r="F20">
        <f>År1</f>
        <v>2019</v>
      </c>
      <c r="G20">
        <f>År2</f>
        <v>2030</v>
      </c>
      <c r="H20">
        <f>År3</f>
        <v>2050</v>
      </c>
    </row>
    <row r="21" spans="2:9" x14ac:dyDescent="0.25">
      <c r="B21" s="91" t="s">
        <v>15</v>
      </c>
      <c r="C21" s="405">
        <f>SUMIFS('Produktion &amp; forbrug'!$AF$4:$AF$147,'Produktion &amp; forbrug'!$F$4:$F$147,C$3,'Produktion &amp; forbrug'!$C$4:$C$147,$B21)</f>
        <v>235000</v>
      </c>
      <c r="D21" s="417">
        <f>SUMIFS('Produktion &amp; forbrug'!$AF$4:$AF$147,'Produktion &amp; forbrug'!$F$4:$F$147,D$3,'Produktion &amp; forbrug'!$C$4:$C$147,$B21)</f>
        <v>235000</v>
      </c>
      <c r="E21" s="409">
        <f>SUMIFS('Produktion &amp; forbrug'!$AF$4:$AF$147,'Produktion &amp; forbrug'!$F$4:$F$147,E$3,'Produktion &amp; forbrug'!$C$4:$C$147,$B21)</f>
        <v>105544.07197172538</v>
      </c>
      <c r="F21" s="421">
        <f>SUMIFS('Produktion &amp; forbrug'!$AD$4:$AD$147,'Produktion &amp; forbrug'!$F$4:$F$147,F$20,'Produktion &amp; forbrug'!$C$4:$C$147,$B21)</f>
        <v>0.32429999999999998</v>
      </c>
      <c r="G21" s="418">
        <f>SUMIFS('Produktion &amp; forbrug'!$AD$4:$AD$147,'Produktion &amp; forbrug'!$F$4:$F$147,G$20,'Produktion &amp; forbrug'!$C$4:$C$147,$B21)</f>
        <v>0.32429999999999998</v>
      </c>
      <c r="H21" s="406">
        <f>SUMIFS('Produktion &amp; forbrug'!$AD$4:$AD$147,'Produktion &amp; forbrug'!$F$4:$F$147,H$20,'Produktion &amp; forbrug'!$C$4:$C$147,$B21)</f>
        <v>0.14565081932098101</v>
      </c>
    </row>
    <row r="22" spans="2:9" x14ac:dyDescent="0.25">
      <c r="B22" s="91" t="s">
        <v>49</v>
      </c>
      <c r="C22" s="179">
        <f>SUMIFS('Produktion &amp; forbrug'!$AF$4:$AF$147,'Produktion &amp; forbrug'!$F$4:$F$147,C$3,'Produktion &amp; forbrug'!$C$4:$C$147,$B22)</f>
        <v>212954.76453418657</v>
      </c>
      <c r="D22" s="94">
        <f>SUMIFS('Produktion &amp; forbrug'!$AF$4:$AF$147,'Produktion &amp; forbrug'!$F$4:$F$147,D$3,'Produktion &amp; forbrug'!$C$4:$C$147,$B22)</f>
        <v>653024.49980529398</v>
      </c>
      <c r="E22" s="180">
        <f>SUMIFS('Produktion &amp; forbrug'!$AF$4:$AF$147,'Produktion &amp; forbrug'!$F$4:$F$147,E$3,'Produktion &amp; forbrug'!$C$4:$C$147,$B22)</f>
        <v>848292.20060005493</v>
      </c>
      <c r="F22" s="422">
        <f>SUMIFS('Produktion &amp; forbrug'!$AD$4:$AD$147,'Produktion &amp; forbrug'!$F$4:$F$147,F$20,'Produktion &amp; forbrug'!$C$4:$C$147,$B22)</f>
        <v>1.4789708396899257</v>
      </c>
      <c r="G22" s="419">
        <f>SUMIFS('Produktion &amp; forbrug'!$AD$4:$AD$147,'Produktion &amp; forbrug'!$F$4:$F$147,G$20,'Produktion &amp; forbrug'!$C$4:$C$147,$B22)</f>
        <v>4.5352551511477666</v>
      </c>
      <c r="H22" s="407">
        <f>SUMIFS('Produktion &amp; forbrug'!$AD$4:$AD$147,'Produktion &amp; forbrug'!$F$4:$F$147,H$20,'Produktion &amp; forbrug'!$C$4:$C$147,$B22)</f>
        <v>5.8913893331673819</v>
      </c>
    </row>
    <row r="23" spans="2:9" x14ac:dyDescent="0.25">
      <c r="B23" s="91" t="s">
        <v>340</v>
      </c>
      <c r="C23" s="179">
        <f>SUMIFS('Produktion &amp; forbrug'!$AF$4:$AF$147,'Produktion &amp; forbrug'!$F$4:$F$147,C$3,'Produktion &amp; forbrug'!$C$4:$C$147,$B23)</f>
        <v>1918344.9215345967</v>
      </c>
      <c r="D23" s="94">
        <f>SUMIFS('Produktion &amp; forbrug'!$AF$4:$AF$147,'Produktion &amp; forbrug'!$F$4:$F$147,D$3,'Produktion &amp; forbrug'!$C$4:$C$147,$B23)</f>
        <v>1783247.1814752817</v>
      </c>
      <c r="E23" s="180">
        <f>SUMIFS('Produktion &amp; forbrug'!$AF$4:$AF$147,'Produktion &amp; forbrug'!$F$4:$F$147,E$3,'Produktion &amp; forbrug'!$C$4:$C$147,$B23)</f>
        <v>468999.13002708013</v>
      </c>
      <c r="F23" s="422">
        <f>SUMIFS('Produktion &amp; forbrug'!$AD$4:$AD$147,'Produktion &amp; forbrug'!$F$4:$F$147,F$20,'Produktion &amp; forbrug'!$C$4:$C$147,$B23)</f>
        <v>3.654108115551467</v>
      </c>
      <c r="G23" s="419">
        <f>SUMIFS('Produktion &amp; forbrug'!$AD$4:$AD$147,'Produktion &amp; forbrug'!$F$4:$F$147,G$20,'Produktion &amp; forbrug'!$C$4:$C$147,$B23)</f>
        <v>3.3906675224358023</v>
      </c>
      <c r="H23" s="407">
        <f>SUMIFS('Produktion &amp; forbrug'!$AD$4:$AD$147,'Produktion &amp; forbrug'!$F$4:$F$147,H$20,'Produktion &amp; forbrug'!$C$4:$C$147,$B23)</f>
        <v>0.90755506406941844</v>
      </c>
    </row>
    <row r="24" spans="2:9" x14ac:dyDescent="0.25">
      <c r="B24" s="91" t="s">
        <v>54</v>
      </c>
      <c r="C24" s="179">
        <f>SUMIFS('Produktion &amp; forbrug'!$AF$4:$AF$147,'Produktion &amp; forbrug'!$F$4:$F$147,C$3,'Produktion &amp; forbrug'!$C$4:$C$147,$B24)</f>
        <v>41728.949017214291</v>
      </c>
      <c r="D24" s="94">
        <f>SUMIFS('Produktion &amp; forbrug'!$AF$4:$AF$147,'Produktion &amp; forbrug'!$F$4:$F$147,D$3,'Produktion &amp; forbrug'!$C$4:$C$147,$B24)</f>
        <v>638614.48161594116</v>
      </c>
      <c r="E24" s="180">
        <f>SUMIFS('Produktion &amp; forbrug'!$AF$4:$AF$147,'Produktion &amp; forbrug'!$F$4:$F$147,E$3,'Produktion &amp; forbrug'!$C$4:$C$147,$B24)</f>
        <v>1032360.8523594537</v>
      </c>
      <c r="F24" s="422">
        <f>SUMIFS('Produktion &amp; forbrug'!$AD$4:$AD$147,'Produktion &amp; forbrug'!$F$4:$F$147,F$20,'Produktion &amp; forbrug'!$C$4:$C$147,$B24)</f>
        <v>2.1699053488951431E-2</v>
      </c>
      <c r="G24" s="419">
        <f>SUMIFS('Produktion &amp; forbrug'!$AD$4:$AD$147,'Produktion &amp; forbrug'!$F$4:$F$147,G$20,'Produktion &amp; forbrug'!$C$4:$C$147,$B24)</f>
        <v>0.33207953044028937</v>
      </c>
      <c r="H24" s="407">
        <f>SUMIFS('Produktion &amp; forbrug'!$AD$4:$AD$147,'Produktion &amp; forbrug'!$F$4:$F$147,H$20,'Produktion &amp; forbrug'!$C$4:$C$147,$B24)</f>
        <v>0.53682764322691601</v>
      </c>
    </row>
    <row r="25" spans="2:9" x14ac:dyDescent="0.25">
      <c r="B25" s="91" t="s">
        <v>51</v>
      </c>
      <c r="C25" s="179">
        <f>SUMIFS('Produktion &amp; forbrug'!$AF$4:$AF$147,'Produktion &amp; forbrug'!$F$4:$F$147,C$3,'Produktion &amp; forbrug'!$C$4:$C$147,$B25)</f>
        <v>0</v>
      </c>
      <c r="D25" s="94">
        <f>SUMIFS('Produktion &amp; forbrug'!$AF$4:$AF$147,'Produktion &amp; forbrug'!$F$4:$F$147,D$3,'Produktion &amp; forbrug'!$C$4:$C$147,$B25)</f>
        <v>1324431.2754618861</v>
      </c>
      <c r="E25" s="180">
        <f>SUMIFS('Produktion &amp; forbrug'!$AF$4:$AF$147,'Produktion &amp; forbrug'!$F$4:$F$147,E$3,'Produktion &amp; forbrug'!$C$4:$C$147,$B25)</f>
        <v>10791285.433523227</v>
      </c>
      <c r="F25" s="422">
        <f>SUMIFS('Produktion &amp; forbrug'!$AD$4:$AD$147,'Produktion &amp; forbrug'!$F$4:$F$147,F$20,'Produktion &amp; forbrug'!$C$4:$C$147,$B25)</f>
        <v>0</v>
      </c>
      <c r="G25" s="419">
        <f>SUMIFS('Produktion &amp; forbrug'!$AD$4:$AD$147,'Produktion &amp; forbrug'!$F$4:$F$147,G$20,'Produktion &amp; forbrug'!$C$4:$C$147,$B25)</f>
        <v>0.43706232090242253</v>
      </c>
      <c r="H25" s="407">
        <f>SUMIFS('Produktion &amp; forbrug'!$AD$4:$AD$147,'Produktion &amp; forbrug'!$F$4:$F$147,H$20,'Produktion &amp; forbrug'!$C$4:$C$147,$B25)</f>
        <v>3.5611241930626654</v>
      </c>
      <c r="I25" s="415"/>
    </row>
    <row r="26" spans="2:9" x14ac:dyDescent="0.25">
      <c r="B26" s="91" t="s">
        <v>6</v>
      </c>
      <c r="C26" s="179">
        <f>SUMIFS('Produktion &amp; forbrug'!$AF$4:$AF$147,'Produktion &amp; forbrug'!$F$4:$F$147,C$3,'Produktion &amp; forbrug'!$C$4:$C$147,$B26)</f>
        <v>280322.43675931642</v>
      </c>
      <c r="D26" s="94">
        <f>SUMIFS('Produktion &amp; forbrug'!$AF$4:$AF$147,'Produktion &amp; forbrug'!$F$4:$F$147,D$3,'Produktion &amp; forbrug'!$C$4:$C$147,$B26)</f>
        <v>416975.9671256108</v>
      </c>
      <c r="E26" s="180">
        <f>SUMIFS('Produktion &amp; forbrug'!$AF$4:$AF$147,'Produktion &amp; forbrug'!$F$4:$F$147,E$3,'Produktion &amp; forbrug'!$C$4:$C$147,$B26)</f>
        <v>402131.52042787225</v>
      </c>
      <c r="F26" s="422">
        <f>SUMIFS('Produktion &amp; forbrug'!$AD$4:$AD$147,'Produktion &amp; forbrug'!$F$4:$F$147,F$20,'Produktion &amp; forbrug'!$C$4:$C$147,$B26)</f>
        <v>0.10932575033613341</v>
      </c>
      <c r="G26" s="419">
        <f>SUMIFS('Produktion &amp; forbrug'!$AD$4:$AD$147,'Produktion &amp; forbrug'!$F$4:$F$147,G$20,'Produktion &amp; forbrug'!$C$4:$C$147,$B26)</f>
        <v>0.1626206271789882</v>
      </c>
      <c r="H26" s="407">
        <f>SUMIFS('Produktion &amp; forbrug'!$AD$4:$AD$147,'Produktion &amp; forbrug'!$F$4:$F$147,H$20,'Produktion &amp; forbrug'!$C$4:$C$147,$B26)</f>
        <v>0.15683129296687018</v>
      </c>
    </row>
    <row r="27" spans="2:9" x14ac:dyDescent="0.25">
      <c r="B27" s="91" t="s">
        <v>343</v>
      </c>
      <c r="C27" s="179">
        <f>SUMIFS('Produktion &amp; forbrug'!$AF$4:$AF$147,'Produktion &amp; forbrug'!$F$4:$F$147,C$3,'Produktion &amp; forbrug'!$C$4:$C$147,$B27)</f>
        <v>-5421074.2654714445</v>
      </c>
      <c r="D27" s="94">
        <f>SUMIFS('Produktion &amp; forbrug'!$AF$4:$AF$147,'Produktion &amp; forbrug'!$F$4:$F$147,D$3,'Produktion &amp; forbrug'!$C$4:$C$147,$B27)</f>
        <v>-2519602.6930971779</v>
      </c>
      <c r="E27" s="180">
        <f>SUMIFS('Produktion &amp; forbrug'!$AF$4:$AF$147,'Produktion &amp; forbrug'!$F$4:$F$147,E$3,'Produktion &amp; forbrug'!$C$4:$C$147,$B27)</f>
        <v>276887.98874079209</v>
      </c>
      <c r="F27" s="422">
        <f>SUMIFS('Produktion &amp; forbrug'!$AD$4:$AD$147,'Produktion &amp; forbrug'!$F$4:$F$147,F$20,'Produktion &amp; forbrug'!$C$4:$C$147,$B27)</f>
        <v>-3.0900123313187238</v>
      </c>
      <c r="G27" s="419">
        <f>SUMIFS('Produktion &amp; forbrug'!$AD$4:$AD$147,'Produktion &amp; forbrug'!$F$4:$F$147,G$20,'Produktion &amp; forbrug'!$C$4:$C$147,$B27)</f>
        <v>1.1594283694699161</v>
      </c>
      <c r="H27" s="407">
        <f>SUMIFS('Produktion &amp; forbrug'!$AD$4:$AD$147,'Produktion &amp; forbrug'!$F$4:$F$147,H$20,'Produktion &amp; forbrug'!$C$4:$C$147,$B27)</f>
        <v>2.4919918986671288</v>
      </c>
    </row>
    <row r="28" spans="2:9" x14ac:dyDescent="0.25">
      <c r="B28" s="91" t="s">
        <v>12</v>
      </c>
      <c r="C28" s="179">
        <f>SUMIFS('Produktion &amp; forbrug'!$AF$4:$AF$147,'Produktion &amp; forbrug'!$F$4:$F$147,C$3,'Produktion &amp; forbrug'!$C$4:$C$147,$B28)</f>
        <v>2263176.157376945</v>
      </c>
      <c r="D28" s="94">
        <f>SUMIFS('Produktion &amp; forbrug'!$AF$4:$AF$147,'Produktion &amp; forbrug'!$F$4:$F$147,D$3,'Produktion &amp; forbrug'!$C$4:$C$147,$B28)</f>
        <v>2442577.1459222753</v>
      </c>
      <c r="E28" s="180">
        <f>SUMIFS('Produktion &amp; forbrug'!$AF$4:$AF$147,'Produktion &amp; forbrug'!$F$4:$F$147,E$3,'Produktion &amp; forbrug'!$C$4:$C$147,$B28)</f>
        <v>1339058.8429484367</v>
      </c>
      <c r="F28" s="422">
        <f>SUMIFS('Produktion &amp; forbrug'!$AD$4:$AD$147,'Produktion &amp; forbrug'!$F$4:$F$147,F$20,'Produktion &amp; forbrug'!$C$4:$C$147,$B28)</f>
        <v>1.765277402754017</v>
      </c>
      <c r="G28" s="419">
        <f>SUMIFS('Produktion &amp; forbrug'!$AD$4:$AD$147,'Produktion &amp; forbrug'!$F$4:$F$147,G$20,'Produktion &amp; forbrug'!$C$4:$C$147,$B28)</f>
        <v>1.9052101738193745</v>
      </c>
      <c r="H28" s="407">
        <f>SUMIFS('Produktion &amp; forbrug'!$AD$4:$AD$147,'Produktion &amp; forbrug'!$F$4:$F$147,H$20,'Produktion &amp; forbrug'!$C$4:$C$147,$B28)</f>
        <v>1.0444658974997807</v>
      </c>
    </row>
    <row r="29" spans="2:9" x14ac:dyDescent="0.25">
      <c r="B29" s="91" t="s">
        <v>48</v>
      </c>
      <c r="C29" s="179">
        <f>SUMIFS('Produktion &amp; forbrug'!$AF$4:$AF$147,'Produktion &amp; forbrug'!$F$4:$F$147,C$3,'Produktion &amp; forbrug'!$C$4:$C$147,$B29)</f>
        <v>3781951.1214967929</v>
      </c>
      <c r="D29" s="94">
        <f>SUMIFS('Produktion &amp; forbrug'!$AF$4:$AF$147,'Produktion &amp; forbrug'!$F$4:$F$147,D$3,'Produktion &amp; forbrug'!$C$4:$C$147,$B29)</f>
        <v>4371980.9503709935</v>
      </c>
      <c r="E29" s="180">
        <f>SUMIFS('Produktion &amp; forbrug'!$AF$4:$AF$147,'Produktion &amp; forbrug'!$F$4:$F$147,E$3,'Produktion &amp; forbrug'!$C$4:$C$147,$B29)</f>
        <v>507957.35617514339</v>
      </c>
      <c r="F29" s="422">
        <f>SUMIFS('Produktion &amp; forbrug'!$AD$4:$AD$147,'Produktion &amp; forbrug'!$F$4:$F$147,F$20,'Produktion &amp; forbrug'!$C$4:$C$147,$B29)</f>
        <v>6.9874764884350302</v>
      </c>
      <c r="G29" s="419">
        <f>SUMIFS('Produktion &amp; forbrug'!$AD$4:$AD$147,'Produktion &amp; forbrug'!$F$4:$F$147,G$20,'Produktion &amp; forbrug'!$C$4:$C$147,$B29)</f>
        <v>7.5002978431111114</v>
      </c>
      <c r="H29" s="407">
        <f>SUMIFS('Produktion &amp; forbrug'!$AD$4:$AD$147,'Produktion &amp; forbrug'!$F$4:$F$147,H$20,'Produktion &amp; forbrug'!$C$4:$C$147,$B29)</f>
        <v>0.80568622747354701</v>
      </c>
    </row>
    <row r="30" spans="2:9" x14ac:dyDescent="0.25">
      <c r="B30" s="91" t="s">
        <v>116</v>
      </c>
      <c r="C30" s="179">
        <f>SUMIFS('Produktion &amp; forbrug'!$AF$4:$AF$147,'Produktion &amp; forbrug'!$F$4:$F$147,C$3,'Produktion &amp; forbrug'!$C$4:$C$147,$B30)</f>
        <v>3383628.2</v>
      </c>
      <c r="D30" s="94">
        <f>SUMIFS('Produktion &amp; forbrug'!$AF$4:$AF$147,'Produktion &amp; forbrug'!$F$4:$F$147,D$3,'Produktion &amp; forbrug'!$C$4:$C$147,$B30)</f>
        <v>1460315.2156438841</v>
      </c>
      <c r="E30" s="180">
        <f>SUMIFS('Produktion &amp; forbrug'!$AF$4:$AF$147,'Produktion &amp; forbrug'!$F$4:$F$147,E$3,'Produktion &amp; forbrug'!$C$4:$C$147,$B30)</f>
        <v>0</v>
      </c>
      <c r="F30" s="422">
        <f>SUMIFS('Produktion &amp; forbrug'!$AD$4:$AD$147,'Produktion &amp; forbrug'!$F$4:$F$147,F$20,'Produktion &amp; forbrug'!$C$4:$C$147,$B30)</f>
        <v>2.1316857659999999</v>
      </c>
      <c r="G30" s="419">
        <f>SUMIFS('Produktion &amp; forbrug'!$AD$4:$AD$147,'Produktion &amp; forbrug'!$F$4:$F$147,G$20,'Produktion &amp; forbrug'!$C$4:$C$147,$B30)</f>
        <v>0.91999858585564698</v>
      </c>
      <c r="H30" s="407">
        <f>SUMIFS('Produktion &amp; forbrug'!$AD$4:$AD$147,'Produktion &amp; forbrug'!$F$4:$F$147,H$20,'Produktion &amp; forbrug'!$C$4:$C$147,$B30)</f>
        <v>0</v>
      </c>
    </row>
    <row r="31" spans="2:9" x14ac:dyDescent="0.25">
      <c r="B31" s="91" t="s">
        <v>342</v>
      </c>
      <c r="C31" s="179">
        <f>SUMIFS('Produktion &amp; forbrug'!$AF$4:$AF$147,'Produktion &amp; forbrug'!$F$4:$F$147,C$3,'Produktion &amp; forbrug'!$C$4:$C$147,$B31)</f>
        <v>956.59999999999991</v>
      </c>
      <c r="D31" s="94">
        <f>SUMIFS('Produktion &amp; forbrug'!$AF$4:$AF$147,'Produktion &amp; forbrug'!$F$4:$F$147,D$3,'Produktion &amp; forbrug'!$C$4:$C$147,$B31)</f>
        <v>956.59999999999991</v>
      </c>
      <c r="E31" s="180">
        <f>SUMIFS('Produktion &amp; forbrug'!$AF$4:$AF$147,'Produktion &amp; forbrug'!$F$4:$F$147,E$3,'Produktion &amp; forbrug'!$C$4:$C$147,$B31)</f>
        <v>956.59999999999991</v>
      </c>
      <c r="F31" s="422">
        <f>SUMIFS('Produktion &amp; forbrug'!$AD$4:$AD$147,'Produktion &amp; forbrug'!$F$4:$F$147,F$20,'Produktion &amp; forbrug'!$C$4:$C$147,$B31)</f>
        <v>7.6169499999999995E-4</v>
      </c>
      <c r="G31" s="419">
        <f>SUMIFS('Produktion &amp; forbrug'!$AD$4:$AD$147,'Produktion &amp; forbrug'!$F$4:$F$147,G$20,'Produktion &amp; forbrug'!$C$4:$C$147,$B31)</f>
        <v>7.6169499999999995E-4</v>
      </c>
      <c r="H31" s="407">
        <f>SUMIFS('Produktion &amp; forbrug'!$AD$4:$AD$147,'Produktion &amp; forbrug'!$F$4:$F$147,H$20,'Produktion &amp; forbrug'!$C$4:$C$147,$B31)</f>
        <v>7.6169499999999995E-4</v>
      </c>
    </row>
    <row r="32" spans="2:9" ht="15.75" thickBot="1" x14ac:dyDescent="0.3">
      <c r="B32" s="91" t="s">
        <v>52</v>
      </c>
      <c r="C32" s="181">
        <f>SUMIFS('Produktion &amp; forbrug'!$AF$4:$AF$147,'Produktion &amp; forbrug'!$F$4:$F$147,C$3,'Produktion &amp; forbrug'!$C$4:$C$147,$B32)</f>
        <v>1637775.5474174484</v>
      </c>
      <c r="D32" s="182">
        <f>SUMIFS('Produktion &amp; forbrug'!$AF$4:$AF$147,'Produktion &amp; forbrug'!$F$4:$F$147,D$3,'Produktion &amp; forbrug'!$C$4:$C$147,$B32)</f>
        <v>3026466.3818119029</v>
      </c>
      <c r="E32" s="183">
        <f>SUMIFS('Produktion &amp; forbrug'!$AF$4:$AF$147,'Produktion &amp; forbrug'!$F$4:$F$147,E$3,'Produktion &amp; forbrug'!$C$4:$C$147,$B32)</f>
        <v>3100093.5358716343</v>
      </c>
      <c r="F32" s="423">
        <f>SUMIFS('Produktion &amp; forbrug'!$AD$4:$AD$147,'Produktion &amp; forbrug'!$F$4:$F$147,F$20,'Produktion &amp; forbrug'!$C$4:$C$147,$B32)</f>
        <v>0.49133266422523447</v>
      </c>
      <c r="G32" s="420">
        <f>SUMIFS('Produktion &amp; forbrug'!$AD$4:$AD$147,'Produktion &amp; forbrug'!$F$4:$F$147,G$20,'Produktion &amp; forbrug'!$C$4:$C$147,$B32)</f>
        <v>0.90793991454357093</v>
      </c>
      <c r="H32" s="408">
        <f>SUMIFS('Produktion &amp; forbrug'!$AD$4:$AD$147,'Produktion &amp; forbrug'!$F$4:$F$147,H$20,'Produktion &amp; forbrug'!$C$4:$C$147,$B32)</f>
        <v>0.93002806076149025</v>
      </c>
    </row>
    <row r="33" spans="2:8" x14ac:dyDescent="0.25">
      <c r="B33" t="s">
        <v>30</v>
      </c>
      <c r="C33" s="94">
        <f t="shared" ref="C33:H33" si="0">SUM(C21:C32)</f>
        <v>8334764.4326650556</v>
      </c>
      <c r="D33" s="94">
        <f t="shared" si="0"/>
        <v>13833987.006135892</v>
      </c>
      <c r="E33" s="94">
        <f t="shared" si="0"/>
        <v>18873567.532645419</v>
      </c>
      <c r="F33" s="401">
        <f t="shared" si="0"/>
        <v>13.874925444162036</v>
      </c>
      <c r="G33" s="401">
        <f t="shared" si="0"/>
        <v>21.575621733904892</v>
      </c>
      <c r="H33" s="401">
        <f t="shared" si="0"/>
        <v>16.472312125216181</v>
      </c>
    </row>
    <row r="36" spans="2:8" x14ac:dyDescent="0.25">
      <c r="C36" s="453" t="s">
        <v>350</v>
      </c>
      <c r="D36" s="453"/>
      <c r="E36" s="453"/>
    </row>
    <row r="37" spans="2:8" ht="15.75" thickBot="1" x14ac:dyDescent="0.3">
      <c r="C37">
        <f>År1</f>
        <v>2019</v>
      </c>
      <c r="D37">
        <f>År2</f>
        <v>2030</v>
      </c>
      <c r="E37">
        <f>År3</f>
        <v>2050</v>
      </c>
    </row>
    <row r="38" spans="2:8" x14ac:dyDescent="0.25">
      <c r="B38" t="s">
        <v>229</v>
      </c>
      <c r="C38" s="405">
        <f ca="1">SUMIFS('Produktion &amp; forbrug'!$AE$4:$AE$147,'Produktion &amp; forbrug'!$F$4:$F$147,C$3,'Produktion &amp; forbrug'!$B$4:$B$147,$B38)</f>
        <v>4698263.1968560591</v>
      </c>
      <c r="D38" s="417">
        <f ca="1">SUMIFS('Produktion &amp; forbrug'!$AE$4:$AE$147,'Produktion &amp; forbrug'!$F$4:$F$147,D$3,'Produktion &amp; forbrug'!$B$4:$B$147,$B38)</f>
        <v>7960969.4441481922</v>
      </c>
      <c r="E38" s="409">
        <f ca="1">SUMIFS('Produktion &amp; forbrug'!$AE$4:$AE$147,'Produktion &amp; forbrug'!$F$4:$F$147,E$3,'Produktion &amp; forbrug'!$B$4:$B$147,$B38)</f>
        <v>7745566.7195452685</v>
      </c>
    </row>
    <row r="39" spans="2:8" x14ac:dyDescent="0.25">
      <c r="B39" t="s">
        <v>221</v>
      </c>
      <c r="C39" s="179">
        <f>SUMIFS('Produktion &amp; forbrug'!$AE$4:$AE$147,'Produktion &amp; forbrug'!$F$4:$F$147,C$3,'Produktion &amp; forbrug'!$B$4:$B$147,$B39)</f>
        <v>1352218.0071428572</v>
      </c>
      <c r="D39" s="94">
        <f>SUMIFS('Produktion &amp; forbrug'!$AE$4:$AE$147,'Produktion &amp; forbrug'!$F$4:$F$147,D$3,'Produktion &amp; forbrug'!$B$4:$B$147,$B39)</f>
        <v>414521.27024770156</v>
      </c>
      <c r="E39" s="180">
        <f>SUMIFS('Produktion &amp; forbrug'!$AE$4:$AE$147,'Produktion &amp; forbrug'!$F$4:$F$147,E$3,'Produktion &amp; forbrug'!$B$4:$B$147,$B39)</f>
        <v>317089.70575253945</v>
      </c>
    </row>
    <row r="40" spans="2:8" x14ac:dyDescent="0.25">
      <c r="B40" t="s">
        <v>223</v>
      </c>
      <c r="C40" s="179">
        <f>SUMIFS('Produktion &amp; forbrug'!$AE$4:$AE$147,'Produktion &amp; forbrug'!$F$4:$F$147,C$3,'Produktion &amp; forbrug'!$B$4:$B$147,$B40)</f>
        <v>4087571.5535632987</v>
      </c>
      <c r="D40" s="94">
        <f>SUMIFS('Produktion &amp; forbrug'!$AE$4:$AE$147,'Produktion &amp; forbrug'!$F$4:$F$147,D$3,'Produktion &amp; forbrug'!$B$4:$B$147,$B40)</f>
        <v>5525922.0237050392</v>
      </c>
      <c r="E40" s="180">
        <f>SUMIFS('Produktion &amp; forbrug'!$AE$4:$AE$147,'Produktion &amp; forbrug'!$F$4:$F$147,E$3,'Produktion &amp; forbrug'!$B$4:$B$147,$B40)</f>
        <v>2158257.0867046448</v>
      </c>
    </row>
    <row r="41" spans="2:8" x14ac:dyDescent="0.25">
      <c r="B41" t="s">
        <v>226</v>
      </c>
      <c r="C41" s="179">
        <f>SUMIFS('Produktion &amp; forbrug'!$AE$4:$AE$147,'Produktion &amp; forbrug'!$F$4:$F$147,C$3,'Produktion &amp; forbrug'!$B$4:$B$147,$B41)</f>
        <v>1895494.5192748315</v>
      </c>
      <c r="D41" s="94">
        <f>SUMIFS('Produktion &amp; forbrug'!$AE$4:$AE$147,'Produktion &amp; forbrug'!$F$4:$F$147,D$3,'Produktion &amp; forbrug'!$B$4:$B$147,$B41)</f>
        <v>1554209.5189473259</v>
      </c>
      <c r="E41" s="180">
        <f>SUMIFS('Produktion &amp; forbrug'!$AE$4:$AE$147,'Produktion &amp; forbrug'!$F$4:$F$147,E$3,'Produktion &amp; forbrug'!$B$4:$B$147,$B41)</f>
        <v>128289.96787416935</v>
      </c>
    </row>
    <row r="42" spans="2:8" x14ac:dyDescent="0.25">
      <c r="B42" t="s">
        <v>225</v>
      </c>
      <c r="C42" s="179">
        <f>SUMIFS('Produktion &amp; forbrug'!$AE$4:$AE$147,'Produktion &amp; forbrug'!$F$4:$F$147,C$3,'Produktion &amp; forbrug'!$B$4:$B$147,$B42)</f>
        <v>0</v>
      </c>
      <c r="D42" s="94">
        <f>SUMIFS('Produktion &amp; forbrug'!$AE$4:$AE$147,'Produktion &amp; forbrug'!$F$4:$F$147,D$3,'Produktion &amp; forbrug'!$B$4:$B$147,$B42)</f>
        <v>0</v>
      </c>
      <c r="E42" s="180">
        <f>SUMIFS('Produktion &amp; forbrug'!$AE$4:$AE$147,'Produktion &amp; forbrug'!$F$4:$F$147,E$3,'Produktion &amp; forbrug'!$B$4:$B$147,$B42)</f>
        <v>0</v>
      </c>
    </row>
    <row r="43" spans="2:8" x14ac:dyDescent="0.25">
      <c r="B43" t="s">
        <v>224</v>
      </c>
      <c r="C43" s="179">
        <f ca="1">SUMIFS('Produktion &amp; forbrug'!$AE$4:$AE$147,'Produktion &amp; forbrug'!$F$4:$F$147,C$3,'Produktion &amp; forbrug'!$B$4:$B$147,$B43)</f>
        <v>3220159.2034965986</v>
      </c>
      <c r="D43" s="94">
        <f ca="1">SUMIFS('Produktion &amp; forbrug'!$AE$4:$AE$147,'Produktion &amp; forbrug'!$F$4:$F$147,D$3,'Produktion &amp; forbrug'!$B$4:$B$147,$B43)</f>
        <v>4028422.6205990808</v>
      </c>
      <c r="E43" s="180">
        <f ca="1">SUMIFS('Produktion &amp; forbrug'!$AE$4:$AE$147,'Produktion &amp; forbrug'!$F$4:$F$147,E$3,'Produktion &amp; forbrug'!$B$4:$B$147,$B43)</f>
        <v>4514694.8749305187</v>
      </c>
    </row>
    <row r="44" spans="2:8" ht="15.75" thickBot="1" x14ac:dyDescent="0.3">
      <c r="B44" t="s">
        <v>230</v>
      </c>
      <c r="C44" s="181">
        <f>SUMIFS('Produktion &amp; forbrug'!$AE$4:$AE$147,'Produktion &amp; forbrug'!$F$4:$F$147,C$3,'Produktion &amp; forbrug'!$B$4:$B$147,$B44)</f>
        <v>112873.31802427147</v>
      </c>
      <c r="D44" s="182">
        <f>SUMIFS('Produktion &amp; forbrug'!$AE$4:$AE$147,'Produktion &amp; forbrug'!$F$4:$F$147,D$3,'Produktion &amp; forbrug'!$B$4:$B$147,$B44)</f>
        <v>0</v>
      </c>
      <c r="E44" s="183">
        <f>SUMIFS('Produktion &amp; forbrug'!$AE$4:$AE$147,'Produktion &amp; forbrug'!$F$4:$F$147,E$3,'Produktion &amp; forbrug'!$B$4:$B$147,$B44)</f>
        <v>0</v>
      </c>
    </row>
    <row r="45" spans="2:8" x14ac:dyDescent="0.25">
      <c r="C45" s="94">
        <f ca="1">SUM(C38:C44)</f>
        <v>15366579.798357917</v>
      </c>
      <c r="D45" s="94">
        <f ca="1">SUM(D38:D44)</f>
        <v>19484044.87764734</v>
      </c>
      <c r="E45" s="94">
        <f ca="1">SUM(E38:E44)</f>
        <v>14863898.354807142</v>
      </c>
    </row>
    <row r="47" spans="2:8" x14ac:dyDescent="0.25">
      <c r="B47" t="s">
        <v>402</v>
      </c>
    </row>
  </sheetData>
  <mergeCells count="6">
    <mergeCell ref="C36:E36"/>
    <mergeCell ref="B1:E1"/>
    <mergeCell ref="B18:H18"/>
    <mergeCell ref="C19:E19"/>
    <mergeCell ref="F19:H19"/>
    <mergeCell ref="C2:E2"/>
  </mergeCell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3344-AD57-444A-886B-D927C8C34766}">
  <sheetPr codeName="Sheet40"/>
  <dimension ref="A1:E18"/>
  <sheetViews>
    <sheetView zoomScale="106" workbookViewId="0">
      <selection activeCell="E6" sqref="C6:E6"/>
    </sheetView>
  </sheetViews>
  <sheetFormatPr defaultRowHeight="15" x14ac:dyDescent="0.25"/>
  <cols>
    <col min="3" max="3" width="17.5703125" bestFit="1" customWidth="1"/>
    <col min="5" max="5" width="19.5703125" bestFit="1" customWidth="1"/>
  </cols>
  <sheetData>
    <row r="1" spans="1:5" x14ac:dyDescent="0.25">
      <c r="A1" t="s">
        <v>344</v>
      </c>
      <c r="B1" t="s">
        <v>345</v>
      </c>
      <c r="C1">
        <f>År1</f>
        <v>2019</v>
      </c>
      <c r="D1">
        <f>År2</f>
        <v>2030</v>
      </c>
      <c r="E1">
        <f>År3</f>
        <v>2050</v>
      </c>
    </row>
    <row r="2" spans="1:5" x14ac:dyDescent="0.25">
      <c r="A2" s="171" t="s">
        <v>15</v>
      </c>
      <c r="B2" t="s">
        <v>15</v>
      </c>
      <c r="C2">
        <v>1</v>
      </c>
      <c r="D2">
        <v>1</v>
      </c>
      <c r="E2">
        <v>1</v>
      </c>
    </row>
    <row r="3" spans="1:5" x14ac:dyDescent="0.25">
      <c r="A3" s="171" t="s">
        <v>49</v>
      </c>
      <c r="B3" t="s">
        <v>49</v>
      </c>
      <c r="C3">
        <v>1</v>
      </c>
      <c r="D3">
        <v>1</v>
      </c>
      <c r="E3">
        <v>1</v>
      </c>
    </row>
    <row r="4" spans="1:5" x14ac:dyDescent="0.25">
      <c r="A4" t="s">
        <v>96</v>
      </c>
      <c r="B4" t="s">
        <v>340</v>
      </c>
      <c r="C4">
        <v>1</v>
      </c>
      <c r="D4">
        <v>1</v>
      </c>
      <c r="E4">
        <v>1</v>
      </c>
    </row>
    <row r="5" spans="1:5" x14ac:dyDescent="0.25">
      <c r="A5" t="s">
        <v>54</v>
      </c>
      <c r="B5" t="s">
        <v>54</v>
      </c>
      <c r="C5">
        <v>1</v>
      </c>
      <c r="D5">
        <v>1</v>
      </c>
      <c r="E5">
        <v>1</v>
      </c>
    </row>
    <row r="6" spans="1:5" x14ac:dyDescent="0.25">
      <c r="A6" t="s">
        <v>51</v>
      </c>
      <c r="B6" t="s">
        <v>51</v>
      </c>
      <c r="C6" s="415">
        <f>Græsprotein!C3/Græsprotein!$C$3*Græsprotein!C4*Græsprotein!C5</f>
        <v>0</v>
      </c>
      <c r="D6" s="415">
        <f>Græsprotein!D3/Græsprotein!$C$3*Græsprotein!D4*Græsprotein!D5</f>
        <v>0.19333765977047507</v>
      </c>
      <c r="E6" s="415">
        <f>Græsprotein!E3/Græsprotein!$C$3*Græsprotein!E4*Græsprotein!E5</f>
        <v>0.83333333333333337</v>
      </c>
    </row>
    <row r="7" spans="1:5" x14ac:dyDescent="0.25">
      <c r="A7" s="171" t="s">
        <v>6</v>
      </c>
      <c r="B7" t="s">
        <v>6</v>
      </c>
      <c r="C7">
        <v>1</v>
      </c>
      <c r="D7">
        <v>1</v>
      </c>
      <c r="E7">
        <v>1</v>
      </c>
    </row>
    <row r="8" spans="1:5" x14ac:dyDescent="0.25">
      <c r="A8" t="s">
        <v>159</v>
      </c>
      <c r="B8" t="s">
        <v>343</v>
      </c>
      <c r="C8">
        <v>1</v>
      </c>
      <c r="D8">
        <v>1</v>
      </c>
      <c r="E8">
        <v>1</v>
      </c>
    </row>
    <row r="9" spans="1:5" x14ac:dyDescent="0.25">
      <c r="A9" s="171" t="s">
        <v>12</v>
      </c>
      <c r="B9" t="s">
        <v>12</v>
      </c>
      <c r="C9">
        <v>1</v>
      </c>
      <c r="D9">
        <v>1</v>
      </c>
      <c r="E9">
        <v>1</v>
      </c>
    </row>
    <row r="10" spans="1:5" x14ac:dyDescent="0.25">
      <c r="A10" s="171" t="s">
        <v>48</v>
      </c>
      <c r="B10" t="s">
        <v>48</v>
      </c>
      <c r="C10">
        <v>1</v>
      </c>
      <c r="D10">
        <v>1</v>
      </c>
      <c r="E10">
        <v>1</v>
      </c>
    </row>
    <row r="11" spans="1:5" x14ac:dyDescent="0.25">
      <c r="A11" t="s">
        <v>53</v>
      </c>
      <c r="B11" t="s">
        <v>48</v>
      </c>
      <c r="C11">
        <v>1</v>
      </c>
      <c r="D11">
        <v>1</v>
      </c>
      <c r="E11">
        <v>1</v>
      </c>
    </row>
    <row r="12" spans="1:5" x14ac:dyDescent="0.25">
      <c r="A12" s="171" t="s">
        <v>116</v>
      </c>
      <c r="B12" t="s">
        <v>116</v>
      </c>
      <c r="C12">
        <v>1</v>
      </c>
      <c r="D12">
        <v>1</v>
      </c>
      <c r="E12">
        <v>1</v>
      </c>
    </row>
    <row r="13" spans="1:5" x14ac:dyDescent="0.25">
      <c r="A13" s="171" t="s">
        <v>106</v>
      </c>
      <c r="B13" t="s">
        <v>342</v>
      </c>
      <c r="C13">
        <v>1</v>
      </c>
      <c r="D13">
        <v>1</v>
      </c>
      <c r="E13">
        <v>1</v>
      </c>
    </row>
    <row r="14" spans="1:5" x14ac:dyDescent="0.25">
      <c r="A14" s="171" t="s">
        <v>14</v>
      </c>
      <c r="B14" t="s">
        <v>340</v>
      </c>
      <c r="C14">
        <v>1</v>
      </c>
      <c r="D14">
        <v>1</v>
      </c>
      <c r="E14">
        <v>1</v>
      </c>
    </row>
    <row r="15" spans="1:5" x14ac:dyDescent="0.25">
      <c r="A15" t="s">
        <v>230</v>
      </c>
      <c r="B15" t="s">
        <v>343</v>
      </c>
      <c r="C15">
        <v>0</v>
      </c>
      <c r="D15">
        <v>1</v>
      </c>
      <c r="E15">
        <v>1</v>
      </c>
    </row>
    <row r="16" spans="1:5" x14ac:dyDescent="0.25">
      <c r="A16" t="s">
        <v>52</v>
      </c>
      <c r="B16" t="s">
        <v>52</v>
      </c>
      <c r="C16">
        <v>1</v>
      </c>
      <c r="D16">
        <v>1</v>
      </c>
      <c r="E16">
        <v>1</v>
      </c>
    </row>
    <row r="17" spans="1:5" x14ac:dyDescent="0.25">
      <c r="A17" s="171" t="s">
        <v>13</v>
      </c>
      <c r="B17" t="s">
        <v>340</v>
      </c>
      <c r="C17">
        <v>1</v>
      </c>
      <c r="D17">
        <v>1</v>
      </c>
      <c r="E17">
        <v>1</v>
      </c>
    </row>
    <row r="18" spans="1:5" x14ac:dyDescent="0.25">
      <c r="A18" s="171" t="s">
        <v>99</v>
      </c>
      <c r="B18" t="s">
        <v>342</v>
      </c>
      <c r="C18">
        <v>1</v>
      </c>
      <c r="D18">
        <v>1</v>
      </c>
      <c r="E18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8" t="s">
        <v>23</v>
      </c>
      <c r="B2" s="459"/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59"/>
      <c r="U2" s="460"/>
      <c r="W2" s="31"/>
      <c r="X2" s="28">
        <f>År1</f>
        <v>2019</v>
      </c>
      <c r="Y2" s="24">
        <f>År2</f>
        <v>2030</v>
      </c>
      <c r="Z2" s="29">
        <f>År3</f>
        <v>2050</v>
      </c>
    </row>
    <row r="3" spans="1:26" x14ac:dyDescent="0.25">
      <c r="A3" s="60"/>
      <c r="B3" s="61"/>
      <c r="C3" s="454" t="s">
        <v>7</v>
      </c>
      <c r="D3" s="455"/>
      <c r="E3" s="455"/>
      <c r="F3" s="455"/>
      <c r="G3" s="455"/>
      <c r="H3" s="455"/>
      <c r="I3" s="455"/>
      <c r="J3" s="455"/>
      <c r="K3" s="456"/>
      <c r="L3" s="454" t="s">
        <v>8</v>
      </c>
      <c r="M3" s="455"/>
      <c r="N3" s="455"/>
      <c r="O3" s="455"/>
      <c r="P3" s="455"/>
      <c r="Q3" s="455"/>
      <c r="R3" s="455"/>
      <c r="S3" s="455"/>
      <c r="T3" s="456"/>
      <c r="U3" s="70"/>
      <c r="W3" s="30" t="s">
        <v>271</v>
      </c>
      <c r="X3" s="34">
        <f>C24+C51</f>
        <v>11808068</v>
      </c>
      <c r="Y3" s="11">
        <f>D24+D51</f>
        <v>11122815.441828486</v>
      </c>
      <c r="Z3" s="22">
        <f>E24+E51</f>
        <v>1169559.3041937244</v>
      </c>
    </row>
    <row r="4" spans="1:26" ht="15.75" thickBot="1" x14ac:dyDescent="0.3">
      <c r="A4" s="60"/>
      <c r="B4" s="62"/>
      <c r="C4" s="153">
        <f>År1</f>
        <v>2019</v>
      </c>
      <c r="D4" s="153">
        <f>År1</f>
        <v>2019</v>
      </c>
      <c r="E4" s="153">
        <f>År1</f>
        <v>2019</v>
      </c>
      <c r="F4" s="154">
        <f>År2</f>
        <v>2030</v>
      </c>
      <c r="G4" s="154">
        <f>År2</f>
        <v>2030</v>
      </c>
      <c r="H4" s="154">
        <f>År2</f>
        <v>2030</v>
      </c>
      <c r="I4" s="154">
        <f>År3</f>
        <v>2050</v>
      </c>
      <c r="J4" s="154">
        <f>År3</f>
        <v>2050</v>
      </c>
      <c r="K4" s="154">
        <f>År3</f>
        <v>2050</v>
      </c>
      <c r="L4" s="153">
        <f>År1</f>
        <v>2019</v>
      </c>
      <c r="M4" s="153">
        <f>År1</f>
        <v>2019</v>
      </c>
      <c r="N4" s="153">
        <f>År1</f>
        <v>2019</v>
      </c>
      <c r="O4" s="154">
        <f>År2</f>
        <v>2030</v>
      </c>
      <c r="P4" s="154">
        <f>År2</f>
        <v>2030</v>
      </c>
      <c r="Q4" s="154">
        <f>År2</f>
        <v>2030</v>
      </c>
      <c r="R4" s="154">
        <f>År3</f>
        <v>2050</v>
      </c>
      <c r="S4" s="154">
        <f>År3</f>
        <v>2050</v>
      </c>
      <c r="T4" s="154">
        <f>År3</f>
        <v>2050</v>
      </c>
      <c r="U4" s="70"/>
      <c r="W4" s="30" t="s">
        <v>272</v>
      </c>
      <c r="X4" s="34">
        <f t="shared" ref="X4:Z5" si="0">C25+C52</f>
        <v>1267084</v>
      </c>
      <c r="Y4" s="11">
        <f t="shared" si="0"/>
        <v>873828.67349799909</v>
      </c>
      <c r="Z4" s="22">
        <f t="shared" si="0"/>
        <v>-10807.957958172134</v>
      </c>
    </row>
    <row r="5" spans="1:26" ht="15.75" thickBot="1" x14ac:dyDescent="0.3">
      <c r="A5" s="60"/>
      <c r="B5" s="39" t="s">
        <v>29</v>
      </c>
      <c r="C5" s="28" t="str">
        <f>Jordbund1</f>
        <v>JB1-10</v>
      </c>
      <c r="D5" s="24" t="str">
        <f>Organ6</f>
        <v>OC6</v>
      </c>
      <c r="E5" s="24" t="str">
        <f>Organ12</f>
        <v>OC12</v>
      </c>
      <c r="F5" s="24" t="str">
        <f>Jordbund1</f>
        <v>JB1-10</v>
      </c>
      <c r="G5" s="24" t="str">
        <f>Organ6</f>
        <v>OC6</v>
      </c>
      <c r="H5" s="24" t="str">
        <f>Organ12</f>
        <v>OC12</v>
      </c>
      <c r="I5" s="24" t="str">
        <f>Jordbund1</f>
        <v>JB1-10</v>
      </c>
      <c r="J5" s="24" t="str">
        <f>Organ6</f>
        <v>OC6</v>
      </c>
      <c r="K5" s="29" t="str">
        <f>Organ12</f>
        <v>OC12</v>
      </c>
      <c r="L5" s="28" t="str">
        <f>Jordbund1</f>
        <v>JB1-10</v>
      </c>
      <c r="M5" s="24" t="str">
        <f>Organ6</f>
        <v>OC6</v>
      </c>
      <c r="N5" s="24" t="str">
        <f>Organ12</f>
        <v>OC12</v>
      </c>
      <c r="O5" s="24" t="str">
        <f>Jordbund1</f>
        <v>JB1-10</v>
      </c>
      <c r="P5" s="24" t="str">
        <f>Organ6</f>
        <v>OC6</v>
      </c>
      <c r="Q5" s="24" t="str">
        <f>Organ12</f>
        <v>OC12</v>
      </c>
      <c r="R5" s="24" t="str">
        <f>Jordbund1</f>
        <v>JB1-10</v>
      </c>
      <c r="S5" s="24" t="str">
        <f>Organ6</f>
        <v>OC6</v>
      </c>
      <c r="T5" s="29" t="str">
        <f>Organ12</f>
        <v>OC12</v>
      </c>
      <c r="U5" s="70"/>
      <c r="W5" s="45" t="s">
        <v>273</v>
      </c>
      <c r="X5" s="47">
        <f t="shared" si="0"/>
        <v>19782594</v>
      </c>
      <c r="Y5" s="15">
        <f t="shared" si="0"/>
        <v>19821370.233686633</v>
      </c>
      <c r="Z5" s="23">
        <f t="shared" si="0"/>
        <v>272840.10660097841</v>
      </c>
    </row>
    <row r="6" spans="1:26" x14ac:dyDescent="0.25">
      <c r="A6" s="60"/>
      <c r="B6" s="40" t="str">
        <f>[1]Afgrødefordeling!C2</f>
        <v>Korn</v>
      </c>
      <c r="C6" s="34">
        <f>VLOOKUP($B6,'[1]Afgrødefordeling - jordtype'!$F$4:$I$17,MATCH(C$5,'[1]Afgrødefordeling - jordtype'!$F$3:$I$3,0),FALSE)*(1-Landbrug!$C$5)*Arealanvendelse!J$26</f>
        <v>856024.05830682674</v>
      </c>
      <c r="D6" s="34">
        <f>VLOOKUP($B6,'[1]Afgrødefordeling - jordtype'!$F$4:$I$17,MATCH(D$5,'[1]Afgrødefordeling - jordtype'!$F$3:$I$3,0),FALSE)*(1-Landbrug!$C$5)*Arealanvendelse!K$26</f>
        <v>22635.91835790575</v>
      </c>
      <c r="E6" s="34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553518.20843543066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11196.260693157685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5659.6634285023883</v>
      </c>
      <c r="I6" s="11">
        <f>IF(Landbrug!$E$47&gt;0,SUMIF(Landbrug!$B$32:$B$45,$B6,IF($I$4=År2,Landbrug!$D$32:$D$45,Landbrug!$E$32:$E$45)),'[1]Afgrødefordeling - jordtype'!$G4)*(1-Landbrug!$E$5)*Arealanvendelse!P$26</f>
        <v>0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4">
        <f>VLOOKUP($B6,'[1]Afgrødefordeling - jordtype'!$F$4:$I$17,MATCH(C$5,'[1]Afgrødefordeling - jordtype'!$F$3:$I$3,0),FALSE)*(Landbrug!$C$5)*Arealanvendelse!J$26</f>
        <v>109452.53235846422</v>
      </c>
      <c r="M6" s="34">
        <f>VLOOKUP($B6,'[1]Afgrødefordeling - jordtype'!$F$4:$I$17,MATCH(D$5,'[1]Afgrødefordeling - jordtype'!$F$3:$I$3,0),FALSE)*(Landbrug!$C$5)*Arealanvendelse!K$26</f>
        <v>2894.2627984460178</v>
      </c>
      <c r="N6" s="34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70773.67631420336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1431.5708465431917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723.65313630488879</v>
      </c>
      <c r="R6" s="11">
        <f>IF(Landbrug!$E$47&gt;0,SUMIF(Landbrug!$B$32:$B$45,$B6,IF($R$4=År2,Landbrug!$D$32:$D$45,Landbrug!$E$32:$E$45)),'[1]Afgrødefordeling - jordtype'!$G4)*(Landbrug!$E$5)*Arealanvendelse!P$26</f>
        <v>83959.75199188129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0"/>
      <c r="W6" s="30" t="s">
        <v>274</v>
      </c>
      <c r="X6" s="33">
        <f t="shared" ref="X6:Z8" si="1">F24+F51</f>
        <v>490924</v>
      </c>
      <c r="Y6" s="11">
        <f t="shared" si="1"/>
        <v>413809.63559086953</v>
      </c>
      <c r="Z6" s="22">
        <f t="shared" si="1"/>
        <v>8980944.0958062764</v>
      </c>
    </row>
    <row r="7" spans="1:26" x14ac:dyDescent="0.25">
      <c r="A7" s="60"/>
      <c r="B7" s="40" t="str">
        <f>[1]Afgrødefordeling!C3</f>
        <v>Bælgsæd</v>
      </c>
      <c r="C7" s="34">
        <f>VLOOKUP($B7,'[1]Afgrødefordeling - jordtype'!$F$4:$I$17,MATCH(C$5,'[1]Afgrødefordeling - jordtype'!$F$3:$I$3,0),FALSE)*(1-Landbrug!$C$5)*Arealanvendelse!J$26</f>
        <v>59143.999319161092</v>
      </c>
      <c r="D7" s="34">
        <f>VLOOKUP($B7,'[1]Afgrødefordeling - jordtype'!$F$4:$I$17,MATCH(D$5,'[1]Afgrødefordeling - jordtype'!$F$3:$I$3,0),FALSE)*(1-Landbrug!$C$5)*Arealanvendelse!K$26</f>
        <v>1940.4460603454415</v>
      </c>
      <c r="E7" s="34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121069.71545865215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959.79052447193897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325.87901868990201</v>
      </c>
      <c r="I7" s="11">
        <f>IF(Landbrug!$E$47&gt;0,SUMIF(Landbrug!$B$32:$B$45,$B7,IF($I$4=År2,Landbrug!$D$32:$D$45,Landbrug!$E$32:$E$45)),'[1]Afgrødefordeling - jordtype'!$G5)*(1-Landbrug!$E$5)*Arealanvendelse!P$26</f>
        <v>0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4">
        <f>VLOOKUP($B7,'[1]Afgrødefordeling - jordtype'!$F$4:$I$17,MATCH(C$5,'[1]Afgrødefordeling - jordtype'!$F$3:$I$3,0),FALSE)*(Landbrug!$C$5)*Arealanvendelse!J$26</f>
        <v>7562.2413137472431</v>
      </c>
      <c r="M7" s="34">
        <f>VLOOKUP($B7,'[1]Afgrødefordeling - jordtype'!$F$4:$I$17,MATCH(D$5,'[1]Afgrødefordeling - jordtype'!$F$3:$I$3,0),FALSE)*(Landbrug!$C$5)*Arealanvendelse!K$26</f>
        <v>248.10837166177816</v>
      </c>
      <c r="N7" s="34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15480.15715245056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122.72026985421287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41.667384803005618</v>
      </c>
      <c r="R7" s="11">
        <f>IF(Landbrug!$E$47&gt;0,SUMIF(Landbrug!$B$32:$B$45,$B7,IF($R$4=År2,Landbrug!$D$32:$D$45,Landbrug!$E$32:$E$45)),'[1]Afgrødefordeling - jordtype'!$G5)*(Landbrug!$E$5)*Arealanvendelse!P$26</f>
        <v>248745.6103160124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0"/>
      <c r="W7" s="30" t="s">
        <v>275</v>
      </c>
      <c r="X7" s="33">
        <f t="shared" si="1"/>
        <v>224348</v>
      </c>
      <c r="Y7" s="11">
        <f t="shared" si="1"/>
        <v>156632.4403069797</v>
      </c>
      <c r="Z7" s="22">
        <f t="shared" si="1"/>
        <v>203140.18777220321</v>
      </c>
    </row>
    <row r="8" spans="1:26" ht="15.75" thickBot="1" x14ac:dyDescent="0.3">
      <c r="A8" s="60"/>
      <c r="B8" s="40" t="str">
        <f>[1]Afgrødefordeling!C4</f>
        <v>Raps</v>
      </c>
      <c r="C8" s="34">
        <f>VLOOKUP($B8,'[1]Afgrødefordeling - jordtype'!$F$4:$I$17,MATCH(C$5,'[1]Afgrødefordeling - jordtype'!$F$3:$I$3,0),FALSE)*(1-Landbrug!$C$5)*Arealanvendelse!J$26</f>
        <v>99458.982869280968</v>
      </c>
      <c r="D8" s="34">
        <f>VLOOKUP($B8,'[1]Afgrødefordeling - jordtype'!$F$4:$I$17,MATCH(D$5,'[1]Afgrødefordeling - jordtype'!$F$3:$I$3,0),FALSE)*(1-Landbrug!$C$5)*Arealanvendelse!K$26</f>
        <v>2077.7966510372653</v>
      </c>
      <c r="E8" s="34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143784.0142759982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1027.7273757818732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421.99857265679589</v>
      </c>
      <c r="I8" s="11">
        <f>IF(Landbrug!$E$47&gt;0,SUMIF(Landbrug!$B$32:$B$45,$B8,IF($I$4=År2,Landbrug!$D$32:$D$45,Landbrug!$E$32:$E$45)),'[1]Afgrødefordeling - jordtype'!$G6)*(1-Landbrug!$E$5)*Arealanvendelse!P$26</f>
        <v>0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4">
        <f>VLOOKUP($B8,'[1]Afgrødefordeling - jordtype'!$F$4:$I$17,MATCH(C$5,'[1]Afgrødefordeling - jordtype'!$F$3:$I$3,0),FALSE)*(Landbrug!$C$5)*Arealanvendelse!J$26</f>
        <v>12716.97615879156</v>
      </c>
      <c r="M8" s="34">
        <f>VLOOKUP($B8,'[1]Afgrødefordeling - jordtype'!$F$4:$I$17,MATCH(D$5,'[1]Afgrødefordeling - jordtype'!$F$3:$I$3,0),FALSE)*(Landbrug!$C$5)*Arealanvendelse!K$26</f>
        <v>265.67022617540744</v>
      </c>
      <c r="N8" s="34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18384.441795130875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131.4067785383736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53.957376525494915</v>
      </c>
      <c r="R8" s="11">
        <f>IF(Landbrug!$E$47&gt;0,SUMIF(Landbrug!$B$32:$B$45,$B8,IF($R$4=År2,Landbrug!$D$32:$D$45,Landbrug!$E$32:$E$45)),'[1]Afgrødefordeling - jordtype'!$G6)*(Landbrug!$E$5)*Arealanvendelse!P$26</f>
        <v>219481.42086706977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0"/>
      <c r="W8" s="45" t="s">
        <v>276</v>
      </c>
      <c r="X8" s="46">
        <f t="shared" si="1"/>
        <v>3277287</v>
      </c>
      <c r="Y8" s="15">
        <f t="shared" si="1"/>
        <v>3238510.7663133652</v>
      </c>
      <c r="Z8" s="23">
        <f t="shared" si="1"/>
        <v>22787040.893399023</v>
      </c>
    </row>
    <row r="9" spans="1:26" x14ac:dyDescent="0.25">
      <c r="A9" s="60"/>
      <c r="B9" s="40" t="str">
        <f>[1]Afgrødefordeling!C5</f>
        <v>Græs</v>
      </c>
      <c r="C9" s="34">
        <f>VLOOKUP($B9,'[1]Afgrødefordeling - jordtype'!$F$4:$I$17,MATCH(C$5,'[1]Afgrødefordeling - jordtype'!$F$3:$I$3,0),FALSE)*(1-Landbrug!$C$5)*Arealanvendelse!J$26</f>
        <v>189636.9989648702</v>
      </c>
      <c r="D9" s="34">
        <f>VLOOKUP($B9,'[1]Afgrødefordeling - jordtype'!$F$4:$I$17,MATCH(D$5,'[1]Afgrødefordeling - jordtype'!$F$3:$I$3,0),FALSE)*(1-Landbrug!$C$5)*Arealanvendelse!K$26</f>
        <v>19174.640913496198</v>
      </c>
      <c r="E9" s="34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285623.05173795577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9484.230989471238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9732.6192199682846</v>
      </c>
      <c r="I9" s="11">
        <f>IF(Landbrug!$E$47&gt;0,SUMIF(Landbrug!$B$32:$B$45,$B9,IF($I$4=År2,Landbrug!$D$32:$D$45,Landbrug!$E$32:$E$45)),'[1]Afgrødefordeling - jordtype'!$G7)*(1-Landbrug!$E$5)*Arealanvendelse!P$26</f>
        <v>0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4">
        <f>VLOOKUP($B9,'[1]Afgrødefordeling - jordtype'!$F$4:$I$17,MATCH(C$5,'[1]Afgrødefordeling - jordtype'!$F$3:$I$3,0),FALSE)*(Landbrug!$C$5)*Arealanvendelse!J$26</f>
        <v>24247.273851881382</v>
      </c>
      <c r="M9" s="34">
        <f>VLOOKUP($B9,'[1]Afgrødefordeling - jordtype'!$F$4:$I$17,MATCH(D$5,'[1]Afgrødefordeling - jordtype'!$F$3:$I$3,0),FALSE)*(Landbrug!$C$5)*Arealanvendelse!K$26</f>
        <v>2451.6986230474936</v>
      </c>
      <c r="N9" s="34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36520.195909571652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1212.6681361310182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1244.4274314126412</v>
      </c>
      <c r="R9" s="11">
        <f>IF(Landbrug!$E$47&gt;0,SUMIF(Landbrug!$B$32:$B$45,$B9,IF($R$4=År2,Landbrug!$D$32:$D$45,Landbrug!$E$32:$E$45)),'[1]Afgrødefordeling - jordtype'!$G7)*(Landbrug!$E$5)*Arealanvendelse!P$26</f>
        <v>512123.31535649608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0"/>
    </row>
    <row r="10" spans="1:26" x14ac:dyDescent="0.25">
      <c r="A10" s="60"/>
      <c r="B10" s="40" t="str">
        <f>[1]Afgrødefordeling!C6</f>
        <v>Grøntsager</v>
      </c>
      <c r="C10" s="34">
        <f>VLOOKUP($B10,'[1]Afgrødefordeling - jordtype'!$F$4:$I$17,MATCH(C$5,'[1]Afgrødefordeling - jordtype'!$F$3:$I$3,0),FALSE)*(1-Landbrug!$C$5)*Arealanvendelse!J$26</f>
        <v>7338.5205805106789</v>
      </c>
      <c r="D10" s="34">
        <f>VLOOKUP($B10,'[1]Afgrødefordeling - jordtype'!$F$4:$I$17,MATCH(D$5,'[1]Afgrødefordeling - jordtype'!$F$3:$I$3,0),FALSE)*(1-Landbrug!$C$5)*Arealanvendelse!K$26</f>
        <v>89.680516787297492</v>
      </c>
      <c r="E10" s="34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11928.206902902208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44.358105077588014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11.31234505051532</v>
      </c>
      <c r="I10" s="11">
        <f>IF(Landbrug!$E$47&gt;0,SUMIF(Landbrug!$B$32:$B$45,$B10,IF($I$4=År2,Landbrug!$D$32:$D$45,Landbrug!$E$32:$E$45)),'[1]Afgrødefordeling - jordtype'!$G8)*(1-Landbrug!$E$5)*Arealanvendelse!P$26</f>
        <v>0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4">
        <f>VLOOKUP($B10,'[1]Afgrødefordeling - jordtype'!$F$4:$I$17,MATCH(C$5,'[1]Afgrødefordeling - jordtype'!$F$3:$I$3,0),FALSE)*(Landbrug!$C$5)*Arealanvendelse!J$26</f>
        <v>938.31435402683587</v>
      </c>
      <c r="M10" s="34">
        <f>VLOOKUP($B10,'[1]Afgrødefordeling - jordtype'!$F$4:$I$17,MATCH(D$5,'[1]Afgrødefordeling - jordtype'!$F$3:$I$3,0),FALSE)*(Landbrug!$C$5)*Arealanvendelse!K$26</f>
        <v>11.466686678176497</v>
      </c>
      <c r="N10" s="34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1525.1585972954053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5.6716944859797733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1.4464135682595993</v>
      </c>
      <c r="R10" s="11">
        <f>IF(Landbrug!$E$47&gt;0,SUMIF(Landbrug!$B$32:$B$45,$B10,IF($R$4=År2,Landbrug!$D$32:$D$45,Landbrug!$E$32:$E$45)),'[1]Afgrødefordeling - jordtype'!$G8)*(Landbrug!$E$5)*Arealanvendelse!P$26</f>
        <v>18776.293034162631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0"/>
    </row>
    <row r="11" spans="1:26" x14ac:dyDescent="0.25">
      <c r="A11" s="60"/>
      <c r="B11" s="40" t="str">
        <f>[1]Afgrødefordeling!C7</f>
        <v>Kartofler</v>
      </c>
      <c r="C11" s="34">
        <f>VLOOKUP($B11,'[1]Afgrødefordeling - jordtype'!$F$4:$I$17,MATCH(C$5,'[1]Afgrødefordeling - jordtype'!$F$3:$I$3,0),FALSE)*(1-Landbrug!$C$5)*Arealanvendelse!J$26</f>
        <v>43716.498839298802</v>
      </c>
      <c r="D11" s="34">
        <f>VLOOKUP($B11,'[1]Afgrødefordeling - jordtype'!$F$4:$I$17,MATCH(D$5,'[1]Afgrødefordeling - jordtype'!$F$3:$I$3,0),FALSE)*(1-Landbrug!$C$5)*Arealanvendelse!K$26</f>
        <v>1415.8229166406438</v>
      </c>
      <c r="E11" s="34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50171.146455460723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700.29950715558721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598.76574080415071</v>
      </c>
      <c r="I11" s="11">
        <f>IF(Landbrug!$E$47&gt;0,SUMIF(Landbrug!$B$32:$B$45,$B11,IF($I$4=År2,Landbrug!$D$32:$D$45,Landbrug!$E$32:$E$45)),'[1]Afgrødefordeling - jordtype'!$G9)*(1-Landbrug!$E$5)*Arealanvendelse!P$26</f>
        <v>0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4">
        <f>VLOOKUP($B11,'[1]Afgrødefordeling - jordtype'!$F$4:$I$17,MATCH(C$5,'[1]Afgrødefordeling - jordtype'!$F$3:$I$3,0),FALSE)*(Landbrug!$C$5)*Arealanvendelse!J$26</f>
        <v>5589.6577407781906</v>
      </c>
      <c r="M11" s="34">
        <f>VLOOKUP($B11,'[1]Afgrødefordeling - jordtype'!$F$4:$I$17,MATCH(D$5,'[1]Afgrødefordeling - jordtype'!$F$3:$I$3,0),FALSE)*(Landbrug!$C$5)*Arealanvendelse!K$26</f>
        <v>181.02926207936162</v>
      </c>
      <c r="N11" s="34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6414.9587591488944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89.54135543710359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76.559094320472624</v>
      </c>
      <c r="R11" s="11">
        <f>IF(Landbrug!$E$47&gt;0,SUMIF(Landbrug!$B$32:$B$45,$B11,IF($R$4=År2,Landbrug!$D$32:$D$45,Landbrug!$E$32:$E$45)),'[1]Afgrødefordeling - jordtype'!$G9)*(Landbrug!$E$5)*Arealanvendelse!P$26</f>
        <v>78974.832963235996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0"/>
    </row>
    <row r="12" spans="1:26" x14ac:dyDescent="0.25">
      <c r="A12" s="60"/>
      <c r="B12" s="40" t="str">
        <f>[1]Afgrødefordeling!C8</f>
        <v>Roer</v>
      </c>
      <c r="C12" s="34">
        <f>VLOOKUP($B12,'[1]Afgrødefordeling - jordtype'!$F$4:$I$17,MATCH(C$5,'[1]Afgrødefordeling - jordtype'!$F$3:$I$3,0),FALSE)*(1-Landbrug!$C$5)*Arealanvendelse!J$26</f>
        <v>4267.6414750315462</v>
      </c>
      <c r="D12" s="34">
        <f>VLOOKUP($B12,'[1]Afgrødefordeling - jordtype'!$F$4:$I$17,MATCH(D$5,'[1]Afgrødefordeling - jordtype'!$F$3:$I$3,0),FALSE)*(1-Landbrug!$C$5)*Arealanvendelse!K$26</f>
        <v>37.144566460621057</v>
      </c>
      <c r="E12" s="34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30855.4450029535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18.37258126009214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6.4750902601840021</v>
      </c>
      <c r="I12" s="11">
        <f>IF(Landbrug!$E$47&gt;0,SUMIF(Landbrug!$B$32:$B$45,$B12,IF($I$4=År2,Landbrug!$D$32:$D$45,Landbrug!$E$32:$E$45)),'[1]Afgrødefordeling - jordtype'!$G10)*(1-Landbrug!$E$5)*Arealanvendelse!P$26</f>
        <v>0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4">
        <f>VLOOKUP($B12,'[1]Afgrødefordeling - jordtype'!$F$4:$I$17,MATCH(C$5,'[1]Afgrødefordeling - jordtype'!$F$3:$I$3,0),FALSE)*(Landbrug!$C$5)*Arealanvendelse!J$26</f>
        <v>545.66710141783074</v>
      </c>
      <c r="M12" s="34">
        <f>VLOOKUP($B12,'[1]Afgrødefordeling - jordtype'!$F$4:$I$17,MATCH(D$5,'[1]Afgrødefordeling - jordtype'!$F$3:$I$3,0),FALSE)*(Landbrug!$C$5)*Arealanvendelse!K$26</f>
        <v>4.7493605150697995</v>
      </c>
      <c r="N12" s="34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3945.2239219777639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2.3491460612173207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0.82791484579133123</v>
      </c>
      <c r="R12" s="11">
        <f>IF(Landbrug!$E$47&gt;0,SUMIF(Landbrug!$B$32:$B$45,$B12,IF($R$4=År2,Landbrug!$D$32:$D$45,Landbrug!$E$32:$E$45)),'[1]Afgrødefordeling - jordtype'!$G10)*(Landbrug!$E$5)*Arealanvendelse!P$26</f>
        <v>48569.821247314576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0"/>
    </row>
    <row r="13" spans="1:26" x14ac:dyDescent="0.25">
      <c r="A13" s="60"/>
      <c r="B13" s="40" t="str">
        <f>[1]Afgrødefordeling!C9</f>
        <v>Majs</v>
      </c>
      <c r="C13" s="34">
        <f>VLOOKUP($B13,'[1]Afgrødefordeling - jordtype'!$F$4:$I$17,MATCH(C$5,'[1]Afgrødefordeling - jordtype'!$F$3:$I$3,0),FALSE)*(1-Landbrug!$C$5)*Arealanvendelse!J$26</f>
        <v>146143.69836902106</v>
      </c>
      <c r="D13" s="34">
        <f>VLOOKUP($B13,'[1]Afgrødefordeling - jordtype'!$F$4:$I$17,MATCH(D$5,'[1]Afgrødefordeling - jordtype'!$F$3:$I$3,0),FALSE)*(1-Landbrug!$C$5)*Arealanvendelse!K$26</f>
        <v>4794.8053396620016</v>
      </c>
      <c r="E13" s="34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74922.962243622984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2371.6241464994846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805.2408623097682</v>
      </c>
      <c r="I13" s="11">
        <f>IF(Landbrug!$E$47&gt;0,SUMIF(Landbrug!$B$32:$B$45,$B13,IF($I$4=År2,Landbrug!$D$32:$D$45,Landbrug!$E$32:$E$45)),'[1]Afgrødefordeling - jordtype'!$G11)*(1-Landbrug!$E$5)*Arealanvendelse!P$26</f>
        <v>0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4">
        <f>VLOOKUP($B13,'[1]Afgrødefordeling - jordtype'!$F$4:$I$17,MATCH(C$5,'[1]Afgrødefordeling - jordtype'!$F$3:$I$3,0),FALSE)*(Landbrug!$C$5)*Arealanvendelse!J$26</f>
        <v>18686.154576496141</v>
      </c>
      <c r="M13" s="34">
        <f>VLOOKUP($B13,'[1]Afgrødefordeling - jordtype'!$F$4:$I$17,MATCH(D$5,'[1]Afgrødefordeling - jordtype'!$F$3:$I$3,0),FALSE)*(Landbrug!$C$5)*Arealanvendelse!K$26</f>
        <v>613.07107142517441</v>
      </c>
      <c r="N13" s="34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9579.7634070966851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303.23945468341958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102.95931601810993</v>
      </c>
      <c r="R13" s="11">
        <f>IF(Landbrug!$E$47&gt;0,SUMIF(Landbrug!$B$32:$B$45,$B13,IF($R$4=År2,Landbrug!$D$32:$D$45,Landbrug!$E$32:$E$45)),'[1]Afgrødefordeling - jordtype'!$G11)*(Landbrug!$E$5)*Arealanvendelse!P$26</f>
        <v>11364.600536362441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0"/>
    </row>
    <row r="14" spans="1:26" x14ac:dyDescent="0.25">
      <c r="A14" s="60"/>
      <c r="B14" s="40" t="str">
        <f>[1]Afgrødefordeling!C10</f>
        <v>Frugt</v>
      </c>
      <c r="C14" s="34">
        <f>VLOOKUP($B14,'[1]Afgrødefordeling - jordtype'!$F$4:$I$17,MATCH(C$5,'[1]Afgrødefordeling - jordtype'!$F$3:$I$3,0),FALSE)*(1-Landbrug!$C$5)*Arealanvendelse!J$26</f>
        <v>2685.4308255346846</v>
      </c>
      <c r="D14" s="34">
        <f>VLOOKUP($B14,'[1]Afgrødefordeling - jordtype'!$F$4:$I$17,MATCH(D$5,'[1]Afgrødefordeling - jordtype'!$F$3:$I$3,0),FALSE)*(1-Landbrug!$C$5)*Arealanvendelse!K$26</f>
        <v>81.683630839432524</v>
      </c>
      <c r="E14" s="34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49850.106336440978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40.402656114127915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23.075756148004398</v>
      </c>
      <c r="I14" s="11">
        <f>IF(Landbrug!$E$47&gt;0,SUMIF(Landbrug!$B$32:$B$45,$B14,IF($I$4=År2,Landbrug!$D$32:$D$45,Landbrug!$E$32:$E$45)),'[1]Afgrødefordeling - jordtype'!$G12)*(1-Landbrug!$E$5)*Arealanvendelse!P$26</f>
        <v>0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4">
        <f>VLOOKUP($B14,'[1]Afgrødefordeling - jordtype'!$F$4:$I$17,MATCH(C$5,'[1]Afgrødefordeling - jordtype'!$F$3:$I$3,0),FALSE)*(Landbrug!$C$5)*Arealanvendelse!J$26</f>
        <v>343.36325185722677</v>
      </c>
      <c r="M14" s="34">
        <f>VLOOKUP($B14,'[1]Afgrødefordeling - jordtype'!$F$4:$I$17,MATCH(D$5,'[1]Afgrødefordeling - jordtype'!$F$3:$I$3,0),FALSE)*(Landbrug!$C$5)*Arealanvendelse!K$26</f>
        <v>10.444192731327741</v>
      </c>
      <c r="N14" s="34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6373.9100833851826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5.1659447918395278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2.9505011243272654</v>
      </c>
      <c r="R14" s="11">
        <f>IF(Landbrug!$E$47&gt;0,SUMIF(Landbrug!$B$32:$B$45,$B14,IF($R$4=År2,Landbrug!$D$32:$D$45,Landbrug!$E$32:$E$45)),'[1]Afgrødefordeling - jordtype'!$G12)*(Landbrug!$E$5)*Arealanvendelse!P$26</f>
        <v>130950.74461627769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0"/>
    </row>
    <row r="15" spans="1:26" x14ac:dyDescent="0.25">
      <c r="A15" s="60"/>
      <c r="B15" s="40" t="str">
        <f>[1]Afgrødefordeling!C11</f>
        <v>Øvrige</v>
      </c>
      <c r="C15" s="34">
        <f>VLOOKUP($B15,'[1]Afgrødefordeling - jordtype'!$F$4:$I$17,MATCH(C$5,'[1]Afgrødefordeling - jordtype'!$F$3:$I$3,0),FALSE)*(1-Landbrug!$C$5)*Arealanvendelse!J$26</f>
        <v>47494.264779726094</v>
      </c>
      <c r="D15" s="34">
        <f>VLOOKUP($B15,'[1]Afgrødefordeling - jordtype'!$F$4:$I$17,MATCH(D$5,'[1]Afgrødefordeling - jordtype'!$F$3:$I$3,0),FALSE)*(1-Landbrug!$C$5)*Arealanvendelse!K$26</f>
        <v>1444.648640496996</v>
      </c>
      <c r="E15" s="34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28800.386873616728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714.55739207378303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408.11554781624284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4">
        <f>VLOOKUP($B15,'[1]Afgrødefordeling - jordtype'!$F$4:$I$17,MATCH(C$5,'[1]Afgrødefordeling - jordtype'!$F$3:$I$3,0),FALSE)*(Landbrug!$C$5)*Arealanvendelse!J$26</f>
        <v>6072.6886145309409</v>
      </c>
      <c r="M15" s="34">
        <f>VLOOKUP($B15,'[1]Afgrødefordeling - jordtype'!$F$4:$I$17,MATCH(D$5,'[1]Afgrødefordeling - jordtype'!$F$3:$I$3,0),FALSE)*(Landbrug!$C$5)*Arealanvendelse!K$26</f>
        <v>184.71496278196111</v>
      </c>
      <c r="N15" s="34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3682.4610776195564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91.364390193228076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52.182271946542372</v>
      </c>
      <c r="R15" s="11">
        <f>IF(Landbrug!$E$47&gt;0,SUMIF(Landbrug!$B$32:$B$45,$B15,IF($R$4=År2,Landbrug!$D$32:$D$45,Landbrug!$E$32:$E$45)),'[1]Afgrødefordeling - jordtype'!$G13)*(Landbrug!$E$5)*Arealanvendelse!P$26</f>
        <v>4368.5524745680859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0"/>
    </row>
    <row r="16" spans="1:26" x14ac:dyDescent="0.25">
      <c r="A16" s="60"/>
      <c r="B16" s="40" t="str">
        <f>[1]Afgrødefordeling!C12</f>
        <v>Frø</v>
      </c>
      <c r="C16" s="34">
        <f>VLOOKUP($B16,'[1]Afgrødefordeling - jordtype'!$F$4:$I$17,MATCH(C$5,'[1]Afgrødefordeling - jordtype'!$F$3:$I$3,0),FALSE)*(1-Landbrug!$C$5)*Arealanvendelse!J$26</f>
        <v>49959.789539022684</v>
      </c>
      <c r="D16" s="34">
        <f>VLOOKUP($B16,'[1]Afgrødefordeling - jordtype'!$F$4:$I$17,MATCH(D$5,'[1]Afgrødefordeling - jordtype'!$F$3:$I$3,0),FALSE)*(1-Landbrug!$C$5)*Arealanvendelse!K$26</f>
        <v>3565.8188704270801</v>
      </c>
      <c r="E16" s="34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41596.560342098521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1763.7383660176956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1298.4872253048338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4">
        <f>VLOOKUP($B16,'[1]Afgrødefordeling - jordtype'!$F$4:$I$17,MATCH(C$5,'[1]Afgrødefordeling - jordtype'!$F$3:$I$3,0),FALSE)*(Landbrug!$C$5)*Arealanvendelse!J$26</f>
        <v>6387.934343758774</v>
      </c>
      <c r="M16" s="34">
        <f>VLOOKUP($B16,'[1]Afgrødefordeling - jordtype'!$F$4:$I$17,MATCH(D$5,'[1]Afgrødefordeling - jordtype'!$F$3:$I$3,0),FALSE)*(Landbrug!$C$5)*Arealanvendelse!K$26</f>
        <v>455.9310004345117</v>
      </c>
      <c r="N16" s="34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5318.5991943376657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225.51425827943592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166.02654290562981</v>
      </c>
      <c r="R16" s="11">
        <f>IF(Landbrug!$E$47&gt;0,SUMIF(Landbrug!$B$32:$B$45,$B16,IF($R$4=År2,Landbrug!$D$32:$D$45,Landbrug!$E$32:$E$45)),'[1]Afgrødefordeling - jordtype'!$G14)*(Landbrug!$E$5)*Arealanvendelse!P$26</f>
        <v>6309.5248481700473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0"/>
    </row>
    <row r="17" spans="1:21" x14ac:dyDescent="0.25">
      <c r="A17" s="60"/>
      <c r="B17" s="41" t="str">
        <f>[1]Afgrødefordeling!C13</f>
        <v>Juletræer</v>
      </c>
      <c r="C17" s="34">
        <f>VLOOKUP($B17,'[1]Afgrødefordeling - jordtype'!$F$4:$I$17,MATCH(C$5,'[1]Afgrødefordeling - jordtype'!$F$3:$I$3,0),FALSE)*(1-Landbrug!$C$5)*Arealanvendelse!J$26</f>
        <v>13468.89657573873</v>
      </c>
      <c r="D17" s="34">
        <f>VLOOKUP($B17,'[1]Afgrødefordeling - jordtype'!$F$4:$I$17,MATCH(D$5,'[1]Afgrødefordeling - jordtype'!$F$3:$I$3,0),FALSE)*(1-Landbrug!$C$5)*Arealanvendelse!K$26</f>
        <v>409.68784794078073</v>
      </c>
      <c r="E17" s="34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11437.918624561291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202.64130113199909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115.73747125009459</v>
      </c>
      <c r="I17" s="11">
        <f>IF(Landbrug!$E$47&gt;0,SUMIF(Landbrug!$B$32:$B$45,$B17,IF($I$4=År2,Landbrug!$D$32:$D$45,Landbrug!$E$32:$E$45)),'[1]Afgrødefordeling - jordtype'!$G15)*(1-Landbrug!$E$5)*Arealanvendelse!P$26</f>
        <v>0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4">
        <f>VLOOKUP($B17,'[1]Afgrødefordeling - jordtype'!$F$4:$I$17,MATCH(C$5,'[1]Afgrødefordeling - jordtype'!$F$3:$I$3,0),FALSE)*(Landbrug!$C$5)*Arealanvendelse!J$26</f>
        <v>1722.1535119056764</v>
      </c>
      <c r="M17" s="34">
        <f>VLOOKUP($B17,'[1]Afgrødefordeling - jordtype'!$F$4:$I$17,MATCH(D$5,'[1]Afgrødefordeling - jordtype'!$F$3:$I$3,0),FALSE)*(Landbrug!$C$5)*Arealanvendelse!K$26</f>
        <v>52.383308621374375</v>
      </c>
      <c r="N17" s="34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1462.4695955911445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25.910023619174421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14.798368333413432</v>
      </c>
      <c r="R17" s="11">
        <f>IF(Landbrug!$E$47&gt;0,SUMIF(Landbrug!$B$32:$B$45,$B17,IF($R$4=År2,Landbrug!$D$32:$D$45,Landbrug!$E$32:$E$45)),'[1]Afgrødefordeling - jordtype'!$G15)*(Landbrug!$E$5)*Arealanvendelse!P$26</f>
        <v>11101.275121357427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0"/>
    </row>
    <row r="18" spans="1:21" x14ac:dyDescent="0.25">
      <c r="A18" s="60"/>
      <c r="B18" s="41" t="str">
        <f>[1]Afgrødefordeling!C14</f>
        <v>Pil &amp; poppel</v>
      </c>
      <c r="C18" s="34">
        <f>VLOOKUP($B18,'[1]Afgrødefordeling - jordtype'!$F$4:$I$17,MATCH(C$5,'[1]Afgrødefordeling - jordtype'!$F$3:$I$3,0),FALSE)*(1-Landbrug!$C$5)*Arealanvendelse!J$26</f>
        <v>4954.292308391774</v>
      </c>
      <c r="D18" s="34">
        <f>VLOOKUP($B18,'[1]Afgrødefordeling - jordtype'!$F$4:$I$17,MATCH(D$5,'[1]Afgrødefordeling - jordtype'!$F$3:$I$3,0),FALSE)*(1-Landbrug!$C$5)*Arealanvendelse!K$26</f>
        <v>672.85851532837171</v>
      </c>
      <c r="E18" s="34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31145.785633214087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332.81173876457098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273.20106069089286</v>
      </c>
      <c r="I18" s="11">
        <f>IF(Landbrug!$E$47&gt;0,SUMIF(Landbrug!$B$32:$B$45,$B18,IF($I$4=År2,Landbrug!$D$32:$D$45,Landbrug!$E$32:$E$45)),'[1]Afgrødefordeling - jordtype'!$G16)*(1-Landbrug!$E$5)*Arealanvendelse!P$26</f>
        <v>0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4">
        <f>VLOOKUP($B18,'[1]Afgrødefordeling - jordtype'!$F$4:$I$17,MATCH(C$5,'[1]Afgrødefordeling - jordtype'!$F$3:$I$3,0),FALSE)*(Landbrug!$C$5)*Arealanvendelse!J$26</f>
        <v>633.46331675549425</v>
      </c>
      <c r="M18" s="34">
        <f>VLOOKUP($B18,'[1]Afgrødefordeling - jordtype'!$F$4:$I$17,MATCH(D$5,'[1]Afgrødefordeling - jordtype'!$F$3:$I$3,0),FALSE)*(Landbrug!$C$5)*Arealanvendelse!K$26</f>
        <v>86.032708668626768</v>
      </c>
      <c r="N18" s="34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3982.3473146209913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42.553812889858399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34.931901323874534</v>
      </c>
      <c r="R18" s="11">
        <f>IF(Landbrug!$E$47&gt;0,SUMIF(Landbrug!$B$32:$B$45,$B18,IF($R$4=År2,Landbrug!$D$32:$D$45,Landbrug!$E$32:$E$45)),'[1]Afgrødefordeling - jordtype'!$G16)*(Landbrug!$E$5)*Arealanvendelse!P$26</f>
        <v>77429.401129434642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0"/>
    </row>
    <row r="19" spans="1:21" x14ac:dyDescent="0.25">
      <c r="A19" s="60"/>
      <c r="B19" s="41" t="str">
        <f>[1]Afgrødefordeling!C15</f>
        <v>Permanent græs</v>
      </c>
      <c r="C19" s="34">
        <f>VLOOKUP($B19,'[1]Afgrødefordeling - jordtype'!$F$4:$I$17,MATCH(C$5,'[1]Afgrødefordeling - jordtype'!$F$3:$I$3,0),FALSE)*(1-Landbrug!$C$5)*Arealanvendelse!J$26</f>
        <v>119415.94261463804</v>
      </c>
      <c r="D19" s="34">
        <f>VLOOKUP($B19,'[1]Afgrødefordeling - jordtype'!$F$4:$I$17,MATCH(D$5,'[1]Afgrødefordeling - jordtype'!$F$3:$I$3,0),FALSE)*(1-Landbrug!$C$5)*Arealanvendelse!K$26</f>
        <v>19018.389680733297</v>
      </c>
      <c r="E19" s="34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72877.440134040429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30452.01387923324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26486.154998052578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4">
        <f>VLOOKUP($B19,'[1]Afgrødefordeling - jordtype'!$F$4:$I$17,MATCH(C$5,'[1]Afgrødefordeling - jordtype'!$F$3:$I$3,0),FALSE)*(Landbrug!$C$5)*Arealanvendelse!J$26</f>
        <v>15268.703252333511</v>
      </c>
      <c r="M19" s="34">
        <f>VLOOKUP($B19,'[1]Afgrødefordeling - jordtype'!$F$4:$I$17,MATCH(D$5,'[1]Afgrødefordeling - jordtype'!$F$3:$I$3,0),FALSE)*(Landbrug!$C$5)*Arealanvendelse!K$26</f>
        <v>2431.7201038177204</v>
      </c>
      <c r="N19" s="34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9318.2198526644916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3893.6406075896812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3386.5598856061138</v>
      </c>
      <c r="R19" s="11">
        <f>IF(Landbrug!$E$47&gt;0,SUMIF(Landbrug!$B$32:$B$45,$B19,IF($R$4=År2,Landbrug!$D$32:$D$45,Landbrug!$E$32:$E$45)),'[1]Afgrødefordeling - jordtype'!$G17)*(Landbrug!$E$5)*Arealanvendelse!P$26</f>
        <v>11054.327944788796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8725.0625185185199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6791.6965925925906</v>
      </c>
      <c r="U19" s="90"/>
    </row>
    <row r="20" spans="1:21" ht="15.75" thickBot="1" x14ac:dyDescent="0.3">
      <c r="A20" s="60"/>
      <c r="B20" s="42" t="s">
        <v>30</v>
      </c>
      <c r="C20" s="35">
        <f t="shared" ref="C20:T20" si="2">SUM(C6:C19)</f>
        <v>1643709.0153670528</v>
      </c>
      <c r="D20" s="36">
        <f t="shared" si="2"/>
        <v>77359.342508101181</v>
      </c>
      <c r="E20" s="36">
        <f t="shared" si="2"/>
        <v>60217.469135875617</v>
      </c>
      <c r="F20" s="37">
        <f t="shared" si="2"/>
        <v>1507580.9484569482</v>
      </c>
      <c r="G20" s="37">
        <f t="shared" si="2"/>
        <v>59308.829256210913</v>
      </c>
      <c r="H20" s="37">
        <f t="shared" si="2"/>
        <v>46166.726337504639</v>
      </c>
      <c r="I20" s="37">
        <f t="shared" si="2"/>
        <v>0</v>
      </c>
      <c r="J20" s="37">
        <f t="shared" si="2"/>
        <v>0</v>
      </c>
      <c r="K20" s="38">
        <f t="shared" si="2"/>
        <v>0</v>
      </c>
      <c r="L20" s="35">
        <f t="shared" si="2"/>
        <v>210167.12374674503</v>
      </c>
      <c r="M20" s="36">
        <f t="shared" si="2"/>
        <v>9891.2826770840002</v>
      </c>
      <c r="N20" s="36">
        <f t="shared" si="2"/>
        <v>7699.4967900503034</v>
      </c>
      <c r="O20" s="37">
        <f t="shared" si="2"/>
        <v>192761.58297509421</v>
      </c>
      <c r="P20" s="37">
        <f t="shared" si="2"/>
        <v>7583.3167190977347</v>
      </c>
      <c r="Q20" s="37">
        <f t="shared" si="2"/>
        <v>5902.9475390385651</v>
      </c>
      <c r="R20" s="37">
        <f t="shared" si="2"/>
        <v>1463209.472447132</v>
      </c>
      <c r="S20" s="37">
        <f t="shared" si="2"/>
        <v>8725.0625185185199</v>
      </c>
      <c r="T20" s="38">
        <f t="shared" si="2"/>
        <v>6791.6965925925906</v>
      </c>
      <c r="U20" s="90"/>
    </row>
    <row r="21" spans="1:21" ht="15.75" thickBot="1" x14ac:dyDescent="0.3">
      <c r="A21" s="60"/>
      <c r="B21" s="67"/>
      <c r="C21" s="68"/>
      <c r="D21" s="68"/>
      <c r="E21" s="68"/>
      <c r="F21" s="68"/>
      <c r="G21" s="68"/>
      <c r="H21" s="68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70"/>
    </row>
    <row r="22" spans="1:21" x14ac:dyDescent="0.25">
      <c r="A22" s="60"/>
      <c r="B22" s="44"/>
      <c r="C22" s="454" t="s">
        <v>7</v>
      </c>
      <c r="D22" s="455"/>
      <c r="E22" s="456"/>
      <c r="F22" s="457" t="s">
        <v>8</v>
      </c>
      <c r="G22" s="455"/>
      <c r="H22" s="456"/>
      <c r="I22" s="71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70"/>
    </row>
    <row r="23" spans="1:21" x14ac:dyDescent="0.25">
      <c r="A23" s="60"/>
      <c r="B23" s="31" t="s">
        <v>26</v>
      </c>
      <c r="C23" s="28">
        <f>År1</f>
        <v>2019</v>
      </c>
      <c r="D23" s="24">
        <f>År2</f>
        <v>2030</v>
      </c>
      <c r="E23" s="29">
        <f>År3</f>
        <v>2050</v>
      </c>
      <c r="F23" s="32">
        <f>År1</f>
        <v>2019</v>
      </c>
      <c r="G23" s="24">
        <f>År2</f>
        <v>2030</v>
      </c>
      <c r="H23" s="29">
        <f>År3</f>
        <v>2050</v>
      </c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70"/>
    </row>
    <row r="24" spans="1:21" x14ac:dyDescent="0.25">
      <c r="A24" s="60"/>
      <c r="B24" s="30" t="s">
        <v>22</v>
      </c>
      <c r="C24" s="34">
        <f>SUM([1]Dyrehold!$E24:$E26)-F24</f>
        <v>10266966</v>
      </c>
      <c r="D24" s="11">
        <f>($F24+$C24)*Landbrug!D11*(1-Landbrug!D6)</f>
        <v>9581713.4418284856</v>
      </c>
      <c r="E24" s="22">
        <f>($F24+$C24)*Landbrug!E11*(1-Landbrug!E6)</f>
        <v>0</v>
      </c>
      <c r="F24" s="33">
        <f>SUM([1]Dyrehold!E58:G61)</f>
        <v>475477</v>
      </c>
      <c r="G24" s="11">
        <f>($F24+$C24)*Landbrug!D11*Landbrug!D6</f>
        <v>398362.63559086953</v>
      </c>
      <c r="H24" s="22">
        <f>($F24+$C24)*Landbrug!E11*Landbrug!E6</f>
        <v>8593954.4000000004</v>
      </c>
      <c r="I24" s="72"/>
      <c r="J24" s="68"/>
      <c r="K24" s="68"/>
      <c r="L24" s="89"/>
      <c r="M24" s="68"/>
      <c r="N24" s="68"/>
      <c r="O24" s="68"/>
      <c r="P24" s="68"/>
      <c r="Q24" s="68"/>
      <c r="R24" s="68"/>
      <c r="S24" s="68"/>
      <c r="T24" s="68"/>
      <c r="U24" s="70"/>
    </row>
    <row r="25" spans="1:21" x14ac:dyDescent="0.25">
      <c r="A25" s="60"/>
      <c r="B25" s="30" t="s">
        <v>3</v>
      </c>
      <c r="C25" s="34">
        <f>SUM([1]Dyrehold!$D24:$D26)-F25</f>
        <v>1184629</v>
      </c>
      <c r="D25" s="11">
        <f>($F25+$C25)*Landbrug!D12*(1-Landbrug!D7)</f>
        <v>791373.67349799909</v>
      </c>
      <c r="E25" s="22">
        <f>($F25+$C25)*Landbrug!E12*(1-Landbrug!E7)</f>
        <v>0</v>
      </c>
      <c r="F25" s="33">
        <f>SUM([1]Dyrehold!E36:G51)</f>
        <v>207835</v>
      </c>
      <c r="G25" s="11">
        <f>($F25+$C25)*Landbrug!D12*Landbrug!D7</f>
        <v>140119.4403069797</v>
      </c>
      <c r="H25" s="22">
        <f>($F25+$C25)*Landbrug!E12*Landbrug!E7</f>
        <v>93364.229814031074</v>
      </c>
      <c r="I25" s="72"/>
      <c r="J25" s="68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70"/>
    </row>
    <row r="26" spans="1:21" ht="15.75" thickBot="1" x14ac:dyDescent="0.3">
      <c r="A26" s="60"/>
      <c r="B26" s="45" t="s">
        <v>4</v>
      </c>
      <c r="C26" s="47">
        <f>SUM([1]Dyrehold!$F24:$F26)-F26</f>
        <v>18212034</v>
      </c>
      <c r="D26" s="15">
        <f>($F26+$C26)*Landbrug!D13*(1-Landbrug!D8)</f>
        <v>18250810.233686633</v>
      </c>
      <c r="E26" s="23">
        <f>($F26+$C26)*Landbrug!E13*(1-Landbrug!E8)</f>
        <v>0</v>
      </c>
      <c r="F26" s="46">
        <f>SUM([1]Dyrehold!E65:G78)</f>
        <v>3062300</v>
      </c>
      <c r="G26" s="15">
        <f>($F26+$C26)*Landbrug!D13*Landbrug!D8</f>
        <v>3023523.7663133652</v>
      </c>
      <c r="H26" s="23">
        <f>($F26+$C26)*Landbrug!E13*Landbrug!E8</f>
        <v>21274334</v>
      </c>
      <c r="I26" s="72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70"/>
    </row>
    <row r="27" spans="1:21" ht="15.75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6"/>
    </row>
    <row r="28" spans="1:21" ht="15.75" thickBot="1" x14ac:dyDescent="0.3">
      <c r="B28" s="6"/>
      <c r="F28" s="83"/>
      <c r="G28" s="83"/>
      <c r="H28" s="83"/>
    </row>
    <row r="29" spans="1:21" ht="21.75" thickBot="1" x14ac:dyDescent="0.4">
      <c r="A29" s="461" t="s">
        <v>24</v>
      </c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  <c r="Q29" s="462"/>
      <c r="R29" s="462"/>
      <c r="S29" s="462"/>
      <c r="T29" s="462"/>
      <c r="U29" s="463"/>
    </row>
    <row r="30" spans="1:21" x14ac:dyDescent="0.25">
      <c r="A30" s="55"/>
      <c r="B30" s="52"/>
      <c r="C30" s="464" t="s">
        <v>7</v>
      </c>
      <c r="D30" s="465"/>
      <c r="E30" s="465"/>
      <c r="F30" s="465"/>
      <c r="G30" s="465"/>
      <c r="H30" s="465"/>
      <c r="I30" s="465"/>
      <c r="J30" s="465"/>
      <c r="K30" s="466"/>
      <c r="L30" s="464" t="s">
        <v>8</v>
      </c>
      <c r="M30" s="465"/>
      <c r="N30" s="465"/>
      <c r="O30" s="465"/>
      <c r="P30" s="465"/>
      <c r="Q30" s="465"/>
      <c r="R30" s="465"/>
      <c r="S30" s="465"/>
      <c r="T30" s="466"/>
      <c r="U30" s="52"/>
    </row>
    <row r="31" spans="1:21" ht="15.75" thickBot="1" x14ac:dyDescent="0.3">
      <c r="A31" s="55"/>
      <c r="B31" s="54"/>
      <c r="C31" s="153">
        <f>År1</f>
        <v>2019</v>
      </c>
      <c r="D31" s="153">
        <f>År1</f>
        <v>2019</v>
      </c>
      <c r="E31" s="153">
        <f>År1</f>
        <v>2019</v>
      </c>
      <c r="F31" s="154">
        <f>År2</f>
        <v>2030</v>
      </c>
      <c r="G31" s="154">
        <f>År2</f>
        <v>2030</v>
      </c>
      <c r="H31" s="154">
        <f>År2</f>
        <v>2030</v>
      </c>
      <c r="I31" s="154">
        <f>År3</f>
        <v>2050</v>
      </c>
      <c r="J31" s="154">
        <f>År3</f>
        <v>2050</v>
      </c>
      <c r="K31" s="154">
        <f>År3</f>
        <v>2050</v>
      </c>
      <c r="L31" s="153">
        <f>År1</f>
        <v>2019</v>
      </c>
      <c r="M31" s="153">
        <f>År1</f>
        <v>2019</v>
      </c>
      <c r="N31" s="153">
        <f>År1</f>
        <v>2019</v>
      </c>
      <c r="O31" s="154">
        <f>År2</f>
        <v>2030</v>
      </c>
      <c r="P31" s="154">
        <f>År2</f>
        <v>2030</v>
      </c>
      <c r="Q31" s="154">
        <f>År2</f>
        <v>2030</v>
      </c>
      <c r="R31" s="154">
        <f>År3</f>
        <v>2050</v>
      </c>
      <c r="S31" s="154">
        <f>År3</f>
        <v>2050</v>
      </c>
      <c r="T31" s="154">
        <f>År3</f>
        <v>2050</v>
      </c>
      <c r="U31" s="52"/>
    </row>
    <row r="32" spans="1:21" x14ac:dyDescent="0.25">
      <c r="A32" s="55"/>
      <c r="B32" s="59" t="s">
        <v>29</v>
      </c>
      <c r="C32" s="28" t="str">
        <f>Jordbund1</f>
        <v>JB1-10</v>
      </c>
      <c r="D32" s="24" t="str">
        <f>Organ6</f>
        <v>OC6</v>
      </c>
      <c r="E32" s="24" t="str">
        <f>Organ12</f>
        <v>OC12</v>
      </c>
      <c r="F32" s="24" t="str">
        <f>Jordbund1</f>
        <v>JB1-10</v>
      </c>
      <c r="G32" s="24" t="str">
        <f>Organ6</f>
        <v>OC6</v>
      </c>
      <c r="H32" s="24" t="str">
        <f>Organ12</f>
        <v>OC12</v>
      </c>
      <c r="I32" s="24" t="str">
        <f>Jordbund1</f>
        <v>JB1-10</v>
      </c>
      <c r="J32" s="24" t="str">
        <f>Organ6</f>
        <v>OC6</v>
      </c>
      <c r="K32" s="29" t="str">
        <f>Organ12</f>
        <v>OC12</v>
      </c>
      <c r="L32" s="28" t="str">
        <f>Jordbund1</f>
        <v>JB1-10</v>
      </c>
      <c r="M32" s="24" t="str">
        <f>Organ6</f>
        <v>OC6</v>
      </c>
      <c r="N32" s="24" t="str">
        <f>Organ12</f>
        <v>OC12</v>
      </c>
      <c r="O32" s="24" t="str">
        <f>Jordbund1</f>
        <v>JB1-10</v>
      </c>
      <c r="P32" s="24" t="str">
        <f>Organ6</f>
        <v>OC6</v>
      </c>
      <c r="Q32" s="24" t="str">
        <f>Organ12</f>
        <v>OC12</v>
      </c>
      <c r="R32" s="24" t="str">
        <f>Jordbund1</f>
        <v>JB1-10</v>
      </c>
      <c r="S32" s="24" t="str">
        <f>Organ6</f>
        <v>OC6</v>
      </c>
      <c r="T32" s="29" t="str">
        <f>Organ12</f>
        <v>OC12</v>
      </c>
      <c r="U32" s="52"/>
    </row>
    <row r="33" spans="1:21" x14ac:dyDescent="0.25">
      <c r="A33" s="55"/>
      <c r="B33" s="40" t="str">
        <f>[1]Afgrødefordeling!C2</f>
        <v>Korn</v>
      </c>
      <c r="C33" s="34">
        <f>VLOOKUP($B33,'[1]Afgrødefordeling - jordtype'!$O$4:$R$17,MATCH(C$5,'[1]Afgrødefordeling - jordtype'!$O$3:$R$3,0),FALSE)*(1-Landbrug!$C$5)*Arealanvendelse!J$36</f>
        <v>289324.40705334052</v>
      </c>
      <c r="D33" s="34">
        <f>VLOOKUP($B33,'[1]Afgrødefordeling - jordtype'!$O$4:$R$17,MATCH(D$5,'[1]Afgrødefordeling - jordtype'!$O$3:$R$3,0),FALSE)*(1-Landbrug!$C$5)*Arealanvendelse!K$36</f>
        <v>4501.5258539517936</v>
      </c>
      <c r="E33" s="34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170169.83214296759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2230.830510672768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1229.7001774151138</v>
      </c>
      <c r="I33" s="11">
        <f>IF(Landbrug!$E$47&gt;0,SUMIF(Landbrug!$B$32:$B$45,$B33,IF($I$31=År2,Landbrug!$D$32:$D$45,Landbrug!$E$32:$E$45)),'[1]Afgrødefordeling - jordtype'!$P4)*(1-Landbrug!$E$5)*Arealanvendelse!P$36</f>
        <v>0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4">
        <f>VLOOKUP($B33,'[1]Afgrødefordeling - jordtype'!$O$4:$R$17,MATCH(C$5,'[1]Afgrødefordeling - jordtype'!$O$3:$R$3,0),FALSE)*(Landbrug!$C$5)*Arealanvendelse!J$36</f>
        <v>36993.456805099093</v>
      </c>
      <c r="M33" s="34">
        <f>VLOOKUP($B33,'[1]Afgrødefordeling - jordtype'!$O$4:$R$17,MATCH(D$5,'[1]Afgrødefordeling - jordtype'!$O$3:$R$3,0),FALSE)*(Landbrug!$C$5)*Arealanvendelse!K$36</f>
        <v>575.57191227389683</v>
      </c>
      <c r="N33" s="34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21758.172423217798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285.23736720509544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157.2313267993388</v>
      </c>
      <c r="R33" s="11">
        <f>IF(Landbrug!$E$47&gt;0,SUMIF(Landbrug!$B$32:$B$45,$B33,IF($R$31=År2,Landbrug!$D$32:$D$45,Landbrug!$E$32:$E$45)),'[1]Afgrødefordeling - jordtype'!$P4)*(Landbrug!$E$5)*Arealanvendelse!P$36</f>
        <v>27928.63175828362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2"/>
    </row>
    <row r="34" spans="1:21" x14ac:dyDescent="0.25">
      <c r="A34" s="55"/>
      <c r="B34" s="40" t="str">
        <f>[1]Afgrødefordeling!C3</f>
        <v>Bælgsæd</v>
      </c>
      <c r="C34" s="34">
        <f>VLOOKUP($B34,'[1]Afgrødefordeling - jordtype'!$O$4:$R$17,MATCH(C$5,'[1]Afgrødefordeling - jordtype'!$O$3:$R$3,0),FALSE)*(1-Landbrug!$C$5)*Arealanvendelse!J$36</f>
        <v>6305.778237432175</v>
      </c>
      <c r="D34" s="34">
        <f>VLOOKUP($B34,'[1]Afgrødefordeling - jordtype'!$O$4:$R$17,MATCH(D$5,'[1]Afgrødefordeling - jordtype'!$O$3:$R$3,0),FALSE)*(1-Landbrug!$C$5)*Arealanvendelse!K$36</f>
        <v>121.72845469783576</v>
      </c>
      <c r="E34" s="34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37220.840874287176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60.325222950477325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22.335410277576099</v>
      </c>
      <c r="I34" s="11">
        <f>IF(Landbrug!$E$47&gt;0,SUMIF(Landbrug!$B$32:$B$45,$B34,IF($I$31=År2,Landbrug!$D$32:$D$45,Landbrug!$E$32:$E$45)),'[1]Afgrødefordeling - jordtype'!$P5)*(1-Landbrug!$E$5)*Arealanvendelse!P$36</f>
        <v>0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4">
        <f>VLOOKUP($B34,'[1]Afgrødefordeling - jordtype'!$O$4:$R$17,MATCH(C$5,'[1]Afgrødefordeling - jordtype'!$O$3:$R$3,0),FALSE)*(Landbrug!$C$5)*Arealanvendelse!J$36</f>
        <v>806.26635417583145</v>
      </c>
      <c r="M34" s="34">
        <f>VLOOKUP($B34,'[1]Afgrødefordeling - jordtype'!$O$4:$R$17,MATCH(D$5,'[1]Afgrødefordeling - jordtype'!$O$3:$R$3,0),FALSE)*(Landbrug!$C$5)*Arealanvendelse!K$36</f>
        <v>15.564384549090725</v>
      </c>
      <c r="N34" s="34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4759.1130771022581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7.7132743559551313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2.8558393802405542</v>
      </c>
      <c r="R34" s="11">
        <f>IF(Landbrug!$E$47&gt;0,SUMIF(Landbrug!$B$32:$B$45,$B34,IF($R$31=År2,Landbrug!$D$32:$D$45,Landbrug!$E$32:$E$45)),'[1]Afgrødefordeling - jordtype'!$P5)*(Landbrug!$E$5)*Arealanvendelse!P$36</f>
        <v>82743.509683987591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2"/>
    </row>
    <row r="35" spans="1:21" x14ac:dyDescent="0.25">
      <c r="A35" s="55"/>
      <c r="B35" s="40" t="str">
        <f>[1]Afgrødefordeling!C4</f>
        <v>Raps</v>
      </c>
      <c r="C35" s="34">
        <f>VLOOKUP($B35,'[1]Afgrødefordeling - jordtype'!$O$4:$R$17,MATCH(C$5,'[1]Afgrødefordeling - jordtype'!$O$3:$R$3,0),FALSE)*(1-Landbrug!$C$5)*Arealanvendelse!J$36</f>
        <v>40000.111452135221</v>
      </c>
      <c r="D35" s="34">
        <f>VLOOKUP($B35,'[1]Afgrødefordeling - jordtype'!$O$4:$R$17,MATCH(D$5,'[1]Afgrødefordeling - jordtype'!$O$3:$R$3,0),FALSE)*(1-Landbrug!$C$5)*Arealanvendelse!K$36</f>
        <v>491.68024413286827</v>
      </c>
      <c r="E35" s="34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44203.968724622173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243.66299910145614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109.10325291425241</v>
      </c>
      <c r="I35" s="11">
        <f>IF(Landbrug!$E$47&gt;0,SUMIF(Landbrug!$B$32:$B$45,$B35,IF($I$31=År2,Landbrug!$D$32:$D$45,Landbrug!$E$32:$E$45)),'[1]Afgrødefordeling - jordtype'!$P6)*(1-Landbrug!$E$5)*Arealanvendelse!P$36</f>
        <v>0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4">
        <f>VLOOKUP($B35,'[1]Afgrødefordeling - jordtype'!$O$4:$R$17,MATCH(C$5,'[1]Afgrødefordeling - jordtype'!$O$3:$R$3,0),FALSE)*(Landbrug!$C$5)*Arealanvendelse!J$36</f>
        <v>5114.4748217902852</v>
      </c>
      <c r="M35" s="34">
        <f>VLOOKUP($B35,'[1]Afgrødefordeling - jordtype'!$O$4:$R$17,MATCH(D$5,'[1]Afgrødefordeling - jordtype'!$O$3:$R$3,0),FALSE)*(Landbrug!$C$5)*Arealanvendelse!K$36</f>
        <v>62.866980558250944</v>
      </c>
      <c r="N35" s="34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5651.9863784833815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31.155120040041375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13.950107130903383</v>
      </c>
      <c r="R35" s="11">
        <f>IF(Landbrug!$E$47&gt;0,SUMIF(Landbrug!$B$32:$B$45,$B35,IF($R$31=År2,Landbrug!$D$32:$D$45,Landbrug!$E$32:$E$45)),'[1]Afgrødefordeling - jordtype'!$P6)*(Landbrug!$E$5)*Arealanvendelse!P$36</f>
        <v>73008.979132930224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2"/>
    </row>
    <row r="36" spans="1:21" x14ac:dyDescent="0.25">
      <c r="A36" s="55"/>
      <c r="B36" s="40" t="str">
        <f>[1]Afgrødefordeling!C5</f>
        <v>Græs</v>
      </c>
      <c r="C36" s="34">
        <f>VLOOKUP($B36,'[1]Afgrødefordeling - jordtype'!$O$4:$R$17,MATCH(C$5,'[1]Afgrødefordeling - jordtype'!$O$3:$R$3,0),FALSE)*(1-Landbrug!$C$5)*Arealanvendelse!J$36</f>
        <v>24301.063764662133</v>
      </c>
      <c r="D36" s="34">
        <f>VLOOKUP($B36,'[1]Afgrødefordeling - jordtype'!$O$4:$R$17,MATCH(D$5,'[1]Afgrødefordeling - jordtype'!$O$3:$R$3,0),FALSE)*(1-Landbrug!$C$5)*Arealanvendelse!K$36</f>
        <v>1445.7459335058077</v>
      </c>
      <c r="E36" s="34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87809.987150729692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716.47131301367313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801.75462298516175</v>
      </c>
      <c r="I36" s="11">
        <f>IF(Landbrug!$E$47&gt;0,SUMIF(Landbrug!$B$32:$B$45,$B36,IF($I$31=År2,Landbrug!$D$32:$D$45,Landbrug!$E$32:$E$45)),'[1]Afgrødefordeling - jordtype'!$P7)*(1-Landbrug!$E$5)*Arealanvendelse!P$36</f>
        <v>0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4">
        <f>VLOOKUP($B36,'[1]Afgrødefordeling - jordtype'!$O$4:$R$17,MATCH(C$5,'[1]Afgrødefordeling - jordtype'!$O$3:$R$3,0),FALSE)*(Landbrug!$C$5)*Arealanvendelse!J$36</f>
        <v>3107.1708116565819</v>
      </c>
      <c r="M36" s="34">
        <f>VLOOKUP($B36,'[1]Afgrødefordeling - jordtype'!$O$4:$R$17,MATCH(D$5,'[1]Afgrødefordeling - jordtype'!$O$3:$R$3,0),FALSE)*(Landbrug!$C$5)*Arealanvendelse!K$36</f>
        <v>184.85526432768077</v>
      </c>
      <c r="N36" s="34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11227.517926332235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91.609107022821874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102.51356017891004</v>
      </c>
      <c r="R36" s="11">
        <f>IF(Landbrug!$E$47&gt;0,SUMIF(Landbrug!$B$32:$B$45,$B36,IF($R$31=År2,Landbrug!$D$32:$D$45,Landbrug!$E$32:$E$45)),'[1]Afgrødefordeling - jordtype'!$P7)*(Landbrug!$E$5)*Arealanvendelse!P$36</f>
        <v>170354.28464350387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2"/>
    </row>
    <row r="37" spans="1:21" x14ac:dyDescent="0.25">
      <c r="A37" s="55"/>
      <c r="B37" s="40" t="str">
        <f>[1]Afgrødefordeling!C6</f>
        <v>Grøntsager</v>
      </c>
      <c r="C37" s="34">
        <f>VLOOKUP($B37,'[1]Afgrødefordeling - jordtype'!$O$4:$R$17,MATCH(C$5,'[1]Afgrødefordeling - jordtype'!$O$3:$R$3,0),FALSE)*(1-Landbrug!$C$5)*Arealanvendelse!J$36</f>
        <v>3807.9830483618994</v>
      </c>
      <c r="D37" s="34">
        <f>VLOOKUP($B37,'[1]Afgrødefordeling - jordtype'!$O$4:$R$17,MATCH(D$5,'[1]Afgrødefordeling - jordtype'!$O$3:$R$3,0),FALSE)*(1-Landbrug!$C$5)*Arealanvendelse!K$36</f>
        <v>27.380862281417578</v>
      </c>
      <c r="E37" s="34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3667.1259147389733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13.56919075168542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3.7735374359053933</v>
      </c>
      <c r="I37" s="11">
        <f>IF(Landbrug!$E$47&gt;0,SUMIF(Landbrug!$B$32:$B$45,$B37,IF($I$31=År2,Landbrug!$D$32:$D$45,Landbrug!$E$32:$E$45)),'[1]Afgrødefordeling - jordtype'!$P8)*(1-Landbrug!$E$5)*Arealanvendelse!P$36</f>
        <v>0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4">
        <f>VLOOKUP($B37,'[1]Afgrødefordeling - jordtype'!$O$4:$R$17,MATCH(C$5,'[1]Afgrødefordeling - jordtype'!$O$3:$R$3,0),FALSE)*(Landbrug!$C$5)*Arealanvendelse!J$36</f>
        <v>486.89447893054626</v>
      </c>
      <c r="M37" s="34">
        <f>VLOOKUP($B37,'[1]Afgrødefordeling - jordtype'!$O$4:$R$17,MATCH(D$5,'[1]Afgrødefordeling - jordtype'!$O$3:$R$3,0),FALSE)*(Landbrug!$C$5)*Arealanvendelse!K$36</f>
        <v>3.5009585136978965</v>
      </c>
      <c r="N37" s="34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468.88427252784516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1.7349772771160648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0.48249021076142495</v>
      </c>
      <c r="R37" s="11">
        <f>IF(Landbrug!$E$47&gt;0,SUMIF(Landbrug!$B$32:$B$45,$B37,IF($R$31=År2,Landbrug!$D$32:$D$45,Landbrug!$E$32:$E$45)),'[1]Afgrødefordeling - jordtype'!$P8)*(Landbrug!$E$5)*Arealanvendelse!P$36</f>
        <v>6245.8042275715852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2"/>
    </row>
    <row r="38" spans="1:21" x14ac:dyDescent="0.25">
      <c r="A38" s="55"/>
      <c r="B38" s="40" t="str">
        <f>[1]Afgrødefordeling!C7</f>
        <v>Kartofler</v>
      </c>
      <c r="C38" s="34">
        <f>VLOOKUP($B38,'[1]Afgrødefordeling - jordtype'!$O$4:$R$17,MATCH(C$5,'[1]Afgrødefordeling - jordtype'!$O$3:$R$3,0),FALSE)*(1-Landbrug!$C$5)*Arealanvendelse!J$36</f>
        <v>2442.8304745575424</v>
      </c>
      <c r="D38" s="34">
        <f>VLOOKUP($B38,'[1]Afgrødefordeling - jordtype'!$O$4:$R$17,MATCH(D$5,'[1]Afgrødefordeling - jordtype'!$O$3:$R$3,0),FALSE)*(1-Landbrug!$C$5)*Arealanvendelse!K$36</f>
        <v>46.549971840812717</v>
      </c>
      <c r="E38" s="34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15424.272301499061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23.068866162854491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21.50871323094557</v>
      </c>
      <c r="I38" s="11">
        <f>IF(Landbrug!$E$47&gt;0,SUMIF(Landbrug!$B$32:$B$45,$B38,IF($I$31=År2,Landbrug!$D$32:$D$45,Landbrug!$E$32:$E$45)),'[1]Afgrødefordeling - jordtype'!$P9)*(1-Landbrug!$E$5)*Arealanvendelse!P$36</f>
        <v>0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4">
        <f>VLOOKUP($B38,'[1]Afgrødefordeling - jordtype'!$O$4:$R$17,MATCH(C$5,'[1]Afgrødefordeling - jordtype'!$O$3:$R$3,0),FALSE)*(Landbrug!$C$5)*Arealanvendelse!J$36</f>
        <v>312.34400361551104</v>
      </c>
      <c r="M38" s="34">
        <f>VLOOKUP($B38,'[1]Afgrødefordeling - jordtype'!$O$4:$R$17,MATCH(D$5,'[1]Afgrødefordeling - jordtype'!$O$3:$R$3,0),FALSE)*(Landbrug!$C$5)*Arealanvendelse!K$36</f>
        <v>5.9519498894339895</v>
      </c>
      <c r="N38" s="34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1972.1708131951523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2.9496201603926053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2.7501366440044395</v>
      </c>
      <c r="R38" s="11">
        <f>IF(Landbrug!$E$47&gt;0,SUMIF(Landbrug!$B$32:$B$45,$B38,IF($R$31=År2,Landbrug!$D$32:$D$45,Landbrug!$E$32:$E$45)),'[1]Afgrødefordeling - jordtype'!$P9)*(Landbrug!$E$5)*Arealanvendelse!P$36</f>
        <v>26270.432864254519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2"/>
    </row>
    <row r="39" spans="1:21" x14ac:dyDescent="0.25">
      <c r="A39" s="55"/>
      <c r="B39" s="40" t="str">
        <f>[1]Afgrødefordeling!C8</f>
        <v>Roer</v>
      </c>
      <c r="C39" s="34">
        <f>VLOOKUP($B39,'[1]Afgrødefordeling - jordtype'!$O$4:$R$17,MATCH(C$5,'[1]Afgrødefordeling - jordtype'!$O$3:$R$3,0),FALSE)*(1-Landbrug!$C$5)*Arealanvendelse!J$36</f>
        <v>25394.708101233733</v>
      </c>
      <c r="D39" s="34">
        <f>VLOOKUP($B39,'[1]Afgrødefordeling - jordtype'!$O$4:$R$17,MATCH(D$5,'[1]Afgrødefordeling - jordtype'!$O$3:$R$3,0),FALSE)*(1-Landbrug!$C$5)*Arealanvendelse!K$36</f>
        <v>130.05082769586514</v>
      </c>
      <c r="E39" s="34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9485.9858570699034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64.449558610774517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24.769124387034655</v>
      </c>
      <c r="I39" s="11">
        <f>IF(Landbrug!$E$47&gt;0,SUMIF(Landbrug!$B$32:$B$45,$B39,IF($I$31=År2,Landbrug!$D$32:$D$45,Landbrug!$E$32:$E$45)),'[1]Afgrødefordeling - jordtype'!$P10)*(1-Landbrug!$E$5)*Arealanvendelse!P$36</f>
        <v>0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4">
        <f>VLOOKUP($B39,'[1]Afgrødefordeling - jordtype'!$O$4:$R$17,MATCH(C$5,'[1]Afgrødefordeling - jordtype'!$O$3:$R$3,0),FALSE)*(Landbrug!$C$5)*Arealanvendelse!J$36</f>
        <v>3247.0058326185153</v>
      </c>
      <c r="M39" s="34">
        <f>VLOOKUP($B39,'[1]Afgrødefordeling - jordtype'!$O$4:$R$17,MATCH(D$5,'[1]Afgrødefordeling - jordtype'!$O$3:$R$3,0),FALSE)*(Landbrug!$C$5)*Arealanvendelse!K$36</f>
        <v>16.628495763053266</v>
      </c>
      <c r="N39" s="34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1212.8925161595512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8.2406181588953551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3.1670177516097451</v>
      </c>
      <c r="R39" s="11">
        <f>IF(Landbrug!$E$47&gt;0,SUMIF(Landbrug!$B$32:$B$45,$B39,IF($R$31=År2,Landbrug!$D$32:$D$45,Landbrug!$E$32:$E$45)),'[1]Afgrødefordeling - jordtype'!$P10)*(Landbrug!$E$5)*Arealanvendelse!P$36</f>
        <v>16156.415663460722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2"/>
    </row>
    <row r="40" spans="1:21" x14ac:dyDescent="0.25">
      <c r="A40" s="55"/>
      <c r="B40" s="40" t="str">
        <f>[1]Afgrødefordeling!C9</f>
        <v>Majs</v>
      </c>
      <c r="C40" s="34">
        <f>VLOOKUP($B40,'[1]Afgrødefordeling - jordtype'!$O$4:$R$17,MATCH(C$5,'[1]Afgrødefordeling - jordtype'!$O$3:$R$3,0),FALSE)*(1-Landbrug!$C$5)*Arealanvendelse!J$36</f>
        <v>7182.5684723440072</v>
      </c>
      <c r="D40" s="34">
        <f>VLOOKUP($B40,'[1]Afgrødefordeling - jordtype'!$O$4:$R$17,MATCH(D$5,'[1]Afgrødefordeling - jordtype'!$O$3:$R$3,0),FALSE)*(1-Landbrug!$C$5)*Arealanvendelse!K$36</f>
        <v>138.65425138323147</v>
      </c>
      <c r="E40" s="34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23033.800359863864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68.713175144526659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25.441049088005123</v>
      </c>
      <c r="I40" s="11">
        <f>IF(Landbrug!$E$47&gt;0,SUMIF(Landbrug!$B$32:$B$45,$B40,IF($I$31=År2,Landbrug!$D$32:$D$45,Landbrug!$E$32:$E$45)),'[1]Afgrødefordeling - jordtype'!$P11)*(1-Landbrug!$E$5)*Arealanvendelse!P$36</f>
        <v>0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4">
        <f>VLOOKUP($B40,'[1]Afgrødefordeling - jordtype'!$O$4:$R$17,MATCH(C$5,'[1]Afgrødefordeling - jordtype'!$O$3:$R$3,0),FALSE)*(Landbrug!$C$5)*Arealanvendelse!J$36</f>
        <v>918.37408132089615</v>
      </c>
      <c r="M40" s="34">
        <f>VLOOKUP($B40,'[1]Afgrødefordeling - jordtype'!$O$4:$R$17,MATCH(D$5,'[1]Afgrødefordeling - jordtype'!$O$3:$R$3,0),FALSE)*(Landbrug!$C$5)*Arealanvendelse!K$36</f>
        <v>17.728542543744936</v>
      </c>
      <c r="N40" s="34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2945.1365937226469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8.7857706252262986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3.2529310613605098</v>
      </c>
      <c r="R40" s="11">
        <f>IF(Landbrug!$E$47&gt;0,SUMIF(Landbrug!$B$32:$B$45,$B40,IF($R$31=År2,Landbrug!$D$32:$D$45,Landbrug!$E$32:$E$45)),'[1]Afgrødefordeling - jordtype'!$P11)*(Landbrug!$E$5)*Arealanvendelse!P$36</f>
        <v>3780.3558958910544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2"/>
    </row>
    <row r="41" spans="1:21" x14ac:dyDescent="0.25">
      <c r="A41" s="55"/>
      <c r="B41" s="40" t="str">
        <f>[1]Afgrødefordeling!C10</f>
        <v>Frugt</v>
      </c>
      <c r="C41" s="34">
        <f>VLOOKUP($B41,'[1]Afgrødefordeling - jordtype'!$O$4:$R$17,MATCH(C$5,'[1]Afgrødefordeling - jordtype'!$O$3:$R$3,0),FALSE)*(1-Landbrug!$C$5)*Arealanvendelse!J$36</f>
        <v>1671.2488811855812</v>
      </c>
      <c r="D41" s="34">
        <f>VLOOKUP($B41,'[1]Afgrødefordeling - jordtype'!$O$4:$R$17,MATCH(D$5,'[1]Afgrødefordeling - jordtype'!$O$3:$R$3,0),FALSE)*(1-Landbrug!$C$5)*Arealanvendelse!K$36</f>
        <v>29.910572274561464</v>
      </c>
      <c r="E41" s="34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15325.573934702474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14.822844383576701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9.2319327042333263</v>
      </c>
      <c r="I41" s="11">
        <f>IF(Landbrug!$E$47&gt;0,SUMIF(Landbrug!$B$32:$B$45,$B41,IF($I$31=År2,Landbrug!$D$32:$D$45,Landbrug!$E$32:$E$45)),'[1]Afgrødefordeling - jordtype'!$P12)*(1-Landbrug!$E$5)*Arealanvendelse!P$36</f>
        <v>0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4">
        <f>VLOOKUP($B41,'[1]Afgrødefordeling - jordtype'!$O$4:$R$17,MATCH(C$5,'[1]Afgrødefordeling - jordtype'!$O$3:$R$3,0),FALSE)*(Landbrug!$C$5)*Arealanvendelse!J$36</f>
        <v>213.68841269347433</v>
      </c>
      <c r="M41" s="34">
        <f>VLOOKUP($B41,'[1]Afgrødefordeling - jordtype'!$O$4:$R$17,MATCH(D$5,'[1]Afgrødefordeling - jordtype'!$O$3:$R$3,0),FALSE)*(Landbrug!$C$5)*Arealanvendelse!K$36</f>
        <v>3.8244110641201035</v>
      </c>
      <c r="N41" s="34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1959.5510905592043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1.8952713288770544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1.1804088953292959</v>
      </c>
      <c r="R41" s="11">
        <f>IF(Landbrug!$E$47&gt;0,SUMIF(Landbrug!$B$32:$B$45,$B41,IF($R$31=År2,Landbrug!$D$32:$D$45,Landbrug!$E$32:$E$45)),'[1]Afgrødefordeling - jordtype'!$P12)*(Landbrug!$E$5)*Arealanvendelse!P$36</f>
        <v>43559.860982137143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2"/>
    </row>
    <row r="42" spans="1:21" x14ac:dyDescent="0.25">
      <c r="A42" s="55"/>
      <c r="B42" s="40" t="str">
        <f>[1]Afgrødefordeling!C11</f>
        <v>Øvrige</v>
      </c>
      <c r="C42" s="34">
        <f>VLOOKUP($B42,'[1]Afgrødefordeling - jordtype'!$O$4:$R$17,MATCH(C$5,'[1]Afgrødefordeling - jordtype'!$O$3:$R$3,0),FALSE)*(1-Landbrug!$C$5)*Arealanvendelse!J$36</f>
        <v>11933.527586925724</v>
      </c>
      <c r="D42" s="34">
        <f>VLOOKUP($B42,'[1]Afgrødefordeling - jordtype'!$O$4:$R$17,MATCH(D$5,'[1]Afgrødefordeling - jordtype'!$O$3:$R$3,0),FALSE)*(1-Landbrug!$C$5)*Arealanvendelse!K$36</f>
        <v>213.57599301787013</v>
      </c>
      <c r="E42" s="34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8854.1929158733292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105.84229815168821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65.920477103599382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4">
        <f>VLOOKUP($B42,'[1]Afgrødefordeling - jordtype'!$O$4:$R$17,MATCH(C$5,'[1]Afgrødefordeling - jordtype'!$O$3:$R$3,0),FALSE)*(Landbrug!$C$5)*Arealanvendelse!J$36</f>
        <v>1525.8389080116776</v>
      </c>
      <c r="M42" s="34">
        <f>VLOOKUP($B42,'[1]Afgrødefordeling - jordtype'!$O$4:$R$17,MATCH(D$5,'[1]Afgrødefordeling - jordtype'!$O$3:$R$3,0),FALSE)*(Landbrug!$C$5)*Arealanvendelse!K$36</f>
        <v>27.308149881928532</v>
      </c>
      <c r="N42" s="34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1132.1105139843492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13.533156516950996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8.4286920247759696</v>
      </c>
      <c r="R42" s="11">
        <f>IF(Landbrug!$E$47&gt;0,SUMIF(Landbrug!$B$32:$B$45,$B42,IF($R$31=År2,Landbrug!$D$32:$D$45,Landbrug!$E$32:$E$45)),'[1]Afgrødefordeling - jordtype'!$P13)*(Landbrug!$E$5)*Arealanvendelse!P$36</f>
        <v>1453.1688158243799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2"/>
    </row>
    <row r="43" spans="1:21" x14ac:dyDescent="0.25">
      <c r="A43" s="55"/>
      <c r="B43" s="40" t="str">
        <f>[1]Afgrødefordeling!C12</f>
        <v>Frø</v>
      </c>
      <c r="C43" s="34">
        <f>VLOOKUP($B43,'[1]Afgrødefordeling - jordtype'!$O$4:$R$17,MATCH(C$5,'[1]Afgrødefordeling - jordtype'!$O$3:$R$3,0),FALSE)*(1-Landbrug!$C$5)*Arealanvendelse!J$36</f>
        <v>36921.98237863728</v>
      </c>
      <c r="D43" s="34">
        <f>VLOOKUP($B43,'[1]Afgrødefordeling - jordtype'!$O$4:$R$17,MATCH(D$5,'[1]Afgrødefordeling - jordtype'!$O$3:$R$3,0),FALSE)*(1-Landbrug!$C$5)*Arealanvendelse!K$36</f>
        <v>1550.5515811624623</v>
      </c>
      <c r="E43" s="34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12788.160503604195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768.41006535428994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616.89552694179065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4">
        <f>VLOOKUP($B43,'[1]Afgrødefordeling - jordtype'!$O$4:$R$17,MATCH(C$5,'[1]Afgrødefordeling - jordtype'!$O$3:$R$3,0),FALSE)*(Landbrug!$C$5)*Arealanvendelse!J$36</f>
        <v>4720.9005772918872</v>
      </c>
      <c r="M43" s="34">
        <f>VLOOKUP($B43,'[1]Afgrødefordeling - jordtype'!$O$4:$R$17,MATCH(D$5,'[1]Afgrødefordeling - jordtype'!$O$3:$R$3,0),FALSE)*(Landbrug!$C$5)*Arealanvendelse!K$36</f>
        <v>198.25587314255372</v>
      </c>
      <c r="N43" s="34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1635.1135668949571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98.25007454710375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78.877196229672492</v>
      </c>
      <c r="R43" s="11">
        <f>IF(Landbrug!$E$47&gt;0,SUMIF(Landbrug!$B$32:$B$45,$B43,IF($R$31=År2,Landbrug!$D$32:$D$45,Landbrug!$E$32:$E$45)),'[1]Afgrødefordeling - jordtype'!$P14)*(Landbrug!$E$5)*Arealanvendelse!P$36</f>
        <v>2098.8198734951161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2"/>
    </row>
    <row r="44" spans="1:21" x14ac:dyDescent="0.25">
      <c r="A44" s="55"/>
      <c r="B44" s="41" t="str">
        <f>[1]Afgrødefordeling!C13</f>
        <v>Juletræer</v>
      </c>
      <c r="C44" s="34">
        <f>VLOOKUP($B44,'[1]Afgrødefordeling - jordtype'!$O$4:$R$17,MATCH(C$5,'[1]Afgrødefordeling - jordtype'!$O$3:$R$3,0),FALSE)*(1-Landbrug!$C$5)*Arealanvendelse!J$36</f>
        <v>2618.8374863482281</v>
      </c>
      <c r="D44" s="34">
        <f>VLOOKUP($B44,'[1]Afgrødefordeling - jordtype'!$O$4:$R$17,MATCH(D$5,'[1]Afgrødefordeling - jordtype'!$O$3:$R$3,0),FALSE)*(1-Landbrug!$C$5)*Arealanvendelse!K$36</f>
        <v>46.869696544048971</v>
      </c>
      <c r="E44" s="34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3516.3950575504314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23.227312797648128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14.466386011962104</v>
      </c>
      <c r="I44" s="11">
        <f>IF(Landbrug!$E$47&gt;0,SUMIF(Landbrug!$B$32:$B$45,$B44,IF($I$31=År2,Landbrug!$D$32:$D$45,Landbrug!$E$32:$E$45)),'[1]Afgrødefordeling - jordtype'!$P15)*(1-Landbrug!$E$5)*Arealanvendelse!P$36</f>
        <v>0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4">
        <f>VLOOKUP($B44,'[1]Afgrødefordeling - jordtype'!$O$4:$R$17,MATCH(C$5,'[1]Afgrødefordeling - jordtype'!$O$3:$R$3,0),FALSE)*(Landbrug!$C$5)*Arealanvendelse!J$36</f>
        <v>334.84852666763254</v>
      </c>
      <c r="M44" s="34">
        <f>VLOOKUP($B44,'[1]Afgrødefordeling - jordtype'!$O$4:$R$17,MATCH(D$5,'[1]Afgrødefordeling - jordtype'!$O$3:$R$3,0),FALSE)*(Landbrug!$C$5)*Arealanvendelse!K$36</f>
        <v>5.9928303741437112</v>
      </c>
      <c r="N44" s="34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449.61159687842485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2.96987938705049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1.8496940217032787</v>
      </c>
      <c r="R44" s="11">
        <f>IF(Landbrug!$E$47&gt;0,SUMIF(Landbrug!$B$32:$B$45,$B44,IF($R$31=År2,Landbrug!$D$32:$D$45,Landbrug!$E$32:$E$45)),'[1]Afgrødefordeling - jordtype'!$P15)*(Landbrug!$E$5)*Arealanvendelse!P$36</f>
        <v>3692.7625148507746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2"/>
    </row>
    <row r="45" spans="1:21" x14ac:dyDescent="0.25">
      <c r="A45" s="55"/>
      <c r="B45" s="41" t="str">
        <f>[1]Afgrødefordeling!C14</f>
        <v>Pil &amp; poppel</v>
      </c>
      <c r="C45" s="34">
        <f>VLOOKUP($B45,'[1]Afgrødefordeling - jordtype'!$O$4:$R$17,MATCH(C$5,'[1]Afgrødefordeling - jordtype'!$O$3:$R$3,0),FALSE)*(1-Landbrug!$C$5)*Arealanvendelse!J$36</f>
        <v>1244.8278589023382</v>
      </c>
      <c r="D45" s="34">
        <f>VLOOKUP($B45,'[1]Afgrødefordeling - jordtype'!$O$4:$R$17,MATCH(D$5,'[1]Afgrødefordeling - jordtype'!$O$3:$R$3,0),FALSE)*(1-Landbrug!$C$5)*Arealanvendelse!K$36</f>
        <v>99.475001424808809</v>
      </c>
      <c r="E45" s="34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9575.2461841246914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49.297032923373933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44.128542424612569</v>
      </c>
      <c r="I45" s="11">
        <f>IF(Landbrug!$E$47&gt;0,SUMIF(Landbrug!$B$32:$B$45,$B45,IF($I$31=År2,Landbrug!$D$32:$D$45,Landbrug!$E$32:$E$45)),'[1]Afgrødefordeling - jordtype'!$P16)*(1-Landbrug!$E$5)*Arealanvendelse!P$36</f>
        <v>0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4">
        <f>VLOOKUP($B45,'[1]Afgrødefordeling - jordtype'!$O$4:$R$17,MATCH(C$5,'[1]Afgrødefordeling - jordtype'!$O$3:$R$3,0),FALSE)*(Landbrug!$C$5)*Arealanvendelse!J$36</f>
        <v>159.16557506189815</v>
      </c>
      <c r="M45" s="34">
        <f>VLOOKUP($B45,'[1]Afgrødefordeling - jordtype'!$O$4:$R$17,MATCH(D$5,'[1]Afgrødefordeling - jordtype'!$O$3:$R$3,0),FALSE)*(Landbrug!$C$5)*Arealanvendelse!K$36</f>
        <v>12.71902431555799</v>
      </c>
      <c r="N45" s="34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1224.3054767422425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6.3031932792803271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5.6423422575473294</v>
      </c>
      <c r="R45" s="11">
        <f>IF(Landbrug!$E$47&gt;0,SUMIF(Landbrug!$B$32:$B$45,$B45,IF($R$31=År2,Landbrug!$D$32:$D$45,Landbrug!$E$32:$E$45)),'[1]Afgrødefordeling - jordtype'!$P16)*(Landbrug!$E$5)*Arealanvendelse!P$36</f>
        <v>25756.355635942306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2"/>
    </row>
    <row r="46" spans="1:21" x14ac:dyDescent="0.25">
      <c r="A46" s="55"/>
      <c r="B46" s="41" t="str">
        <f>[1]Afgrødefordeling!C15</f>
        <v>Permanent græs</v>
      </c>
      <c r="C46" s="34">
        <f>VLOOKUP($B46,'[1]Afgrødefordeling - jordtype'!$O$4:$R$17,MATCH(C$5,'[1]Afgrødefordeling - jordtype'!$O$3:$R$3,0),FALSE)*(1-Landbrug!$C$5)*Arealanvendelse!J$36</f>
        <v>31005.186770121774</v>
      </c>
      <c r="D46" s="34">
        <f>VLOOKUP($B46,'[1]Afgrødefordeling - jordtype'!$O$4:$R$17,MATCH(D$5,'[1]Afgrødefordeling - jordtype'!$O$3:$R$3,0),FALSE)*(1-Landbrug!$C$5)*Arealanvendelse!K$36</f>
        <v>2905.4159151668305</v>
      </c>
      <c r="E46" s="34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22404.939107013139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4624.9645652760382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4022.6412881001361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4">
        <f>VLOOKUP($B46,'[1]Afgrødefordeling - jordtype'!$O$4:$R$17,MATCH(C$5,'[1]Afgrødefordeling - jordtype'!$O$3:$R$3,0),FALSE)*(Landbrug!$C$5)*Arealanvendelse!J$36</f>
        <v>3964.3701310794295</v>
      </c>
      <c r="M46" s="34">
        <f>VLOOKUP($B46,'[1]Afgrødefordeling - jordtype'!$O$4:$R$17,MATCH(D$5,'[1]Afgrødefordeling - jordtype'!$O$3:$R$3,0),FALSE)*(Landbrug!$C$5)*Arealanvendelse!K$36</f>
        <v>371.49087853744766</v>
      </c>
      <c r="N46" s="34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2864.7294416587538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591.35497282505401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514.34100651696951</v>
      </c>
      <c r="R46" s="11">
        <f>IF(Landbrug!$E$47&gt;0,SUMIF(Landbrug!$B$32:$B$45,$B46,IF($R$31=År2,Landbrug!$D$32:$D$45,Landbrug!$E$32:$E$45)),'[1]Afgrødefordeling - jordtype'!$P17)*(Landbrug!$E$5)*Arealanvendelse!P$36</f>
        <v>3677.145860735322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1325.1374814814808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1031.5034074074065</v>
      </c>
      <c r="U46" s="52"/>
    </row>
    <row r="47" spans="1:21" ht="15.75" thickBot="1" x14ac:dyDescent="0.3">
      <c r="A47" s="55"/>
      <c r="B47" s="43" t="s">
        <v>30</v>
      </c>
      <c r="C47" s="35">
        <f t="shared" ref="C47:T47" si="3">SUM(C33:C46)</f>
        <v>484155.06156618823</v>
      </c>
      <c r="D47" s="36">
        <f t="shared" si="3"/>
        <v>11749.115159080215</v>
      </c>
      <c r="E47" s="36">
        <f t="shared" si="3"/>
        <v>9145.6565752439074</v>
      </c>
      <c r="F47" s="37">
        <f t="shared" si="3"/>
        <v>463480.32102864666</v>
      </c>
      <c r="G47" s="37">
        <f t="shared" si="3"/>
        <v>9007.6549552948309</v>
      </c>
      <c r="H47" s="37">
        <f t="shared" si="3"/>
        <v>7011.6700410203284</v>
      </c>
      <c r="I47" s="37">
        <f t="shared" si="3"/>
        <v>0</v>
      </c>
      <c r="J47" s="37">
        <f t="shared" si="3"/>
        <v>0</v>
      </c>
      <c r="K47" s="38">
        <f t="shared" si="3"/>
        <v>0</v>
      </c>
      <c r="L47" s="35">
        <f t="shared" si="3"/>
        <v>61904.799320013248</v>
      </c>
      <c r="M47" s="36">
        <f t="shared" si="3"/>
        <v>1502.2596557346014</v>
      </c>
      <c r="N47" s="36">
        <f t="shared" si="3"/>
        <v>1169.3774988301655</v>
      </c>
      <c r="O47" s="37">
        <f t="shared" si="3"/>
        <v>59261.295687458798</v>
      </c>
      <c r="P47" s="37">
        <f t="shared" si="3"/>
        <v>1151.732402729861</v>
      </c>
      <c r="Q47" s="37">
        <f t="shared" si="3"/>
        <v>896.52274910312678</v>
      </c>
      <c r="R47" s="37">
        <f t="shared" si="3"/>
        <v>486726.52755286824</v>
      </c>
      <c r="S47" s="37">
        <f t="shared" si="3"/>
        <v>1325.1374814814808</v>
      </c>
      <c r="T47" s="38">
        <f t="shared" si="3"/>
        <v>1031.5034074074065</v>
      </c>
      <c r="U47" s="52"/>
    </row>
    <row r="48" spans="1:21" ht="15.75" thickBot="1" x14ac:dyDescent="0.3">
      <c r="A48" s="55"/>
      <c r="B48" s="58"/>
      <c r="C48" s="51"/>
      <c r="D48" s="51"/>
      <c r="E48" s="51"/>
      <c r="F48" s="51"/>
      <c r="G48" s="51"/>
      <c r="H48" s="51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2"/>
    </row>
    <row r="49" spans="1:21" x14ac:dyDescent="0.25">
      <c r="A49" s="55"/>
      <c r="B49" s="48"/>
      <c r="C49" s="454" t="s">
        <v>7</v>
      </c>
      <c r="D49" s="455"/>
      <c r="E49" s="456"/>
      <c r="F49" s="457" t="s">
        <v>8</v>
      </c>
      <c r="G49" s="455"/>
      <c r="H49" s="456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2"/>
    </row>
    <row r="50" spans="1:21" x14ac:dyDescent="0.25">
      <c r="A50" s="55"/>
      <c r="B50" s="31" t="s">
        <v>26</v>
      </c>
      <c r="C50" s="28">
        <f>År1</f>
        <v>2019</v>
      </c>
      <c r="D50" s="24">
        <f>År2</f>
        <v>2030</v>
      </c>
      <c r="E50" s="29">
        <f>År3</f>
        <v>2050</v>
      </c>
      <c r="F50" s="32">
        <f>År1</f>
        <v>2019</v>
      </c>
      <c r="G50" s="24">
        <f>År2</f>
        <v>2030</v>
      </c>
      <c r="H50" s="29">
        <f>År3</f>
        <v>2050</v>
      </c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2"/>
    </row>
    <row r="51" spans="1:21" x14ac:dyDescent="0.25">
      <c r="A51" s="55"/>
      <c r="B51" s="30" t="s">
        <v>22</v>
      </c>
      <c r="C51" s="34">
        <f>SUM([1]Dyrehold!$E$22:$E$23)-F51</f>
        <v>1541102</v>
      </c>
      <c r="D51" s="11">
        <f>SUM([1]Dyrehold!$E$22:$E$23)-G51</f>
        <v>1541102</v>
      </c>
      <c r="E51" s="22">
        <f>SUM([1]Dyrehold!$E$22:$E$23)-H51</f>
        <v>1169559.3041937244</v>
      </c>
      <c r="F51" s="49">
        <f>SUM([1]Dyrehold!C58:D61)</f>
        <v>15447</v>
      </c>
      <c r="G51" s="11">
        <f>$F51/Landbrug!$C6*Landbrug!D6</f>
        <v>15447</v>
      </c>
      <c r="H51" s="22">
        <f>$F51/Landbrug!$C6*Landbrug!E6</f>
        <v>386989.69580627553</v>
      </c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2"/>
    </row>
    <row r="52" spans="1:21" x14ac:dyDescent="0.25">
      <c r="A52" s="55"/>
      <c r="B52" s="30" t="s">
        <v>3</v>
      </c>
      <c r="C52" s="34">
        <f>SUM([1]Dyrehold!$D$22:$D$23)-F52</f>
        <v>82455</v>
      </c>
      <c r="D52" s="11">
        <f>SUM([1]Dyrehold!$D$22:$D$23)-G52</f>
        <v>82455</v>
      </c>
      <c r="E52" s="22">
        <f>SUM([1]Dyrehold!$D$22:$D$23)-H52</f>
        <v>-10807.957958172134</v>
      </c>
      <c r="F52" s="49">
        <f>SUM([1]Dyrehold!C36:D51)</f>
        <v>16513</v>
      </c>
      <c r="G52" s="11">
        <f>$F52/Landbrug!$C7*Landbrug!D7</f>
        <v>16513</v>
      </c>
      <c r="H52" s="22">
        <f>$F52/Landbrug!$C7*Landbrug!E7</f>
        <v>109775.95795817213</v>
      </c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2"/>
    </row>
    <row r="53" spans="1:21" ht="15.75" thickBot="1" x14ac:dyDescent="0.3">
      <c r="A53" s="55"/>
      <c r="B53" s="45" t="s">
        <v>4</v>
      </c>
      <c r="C53" s="47">
        <f>SUM([1]Dyrehold!$F$22:$F$23)-F53</f>
        <v>1570560</v>
      </c>
      <c r="D53" s="15">
        <f>SUM([1]Dyrehold!$F$22:$F$23)-G53</f>
        <v>1570560</v>
      </c>
      <c r="E53" s="23">
        <f>SUM([1]Dyrehold!$F$22:$F$23)-H53</f>
        <v>272840.10660097841</v>
      </c>
      <c r="F53" s="50">
        <f>SUM([1]Dyrehold!C65:D78)</f>
        <v>214987</v>
      </c>
      <c r="G53" s="15">
        <f>$F53/Landbrug!$C8*Landbrug!D8</f>
        <v>214987</v>
      </c>
      <c r="H53" s="23">
        <f>$F53/Landbrug!$C8*Landbrug!E8</f>
        <v>1512706.8933990216</v>
      </c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2"/>
    </row>
    <row r="54" spans="1:21" ht="15.75" thickBot="1" x14ac:dyDescent="0.3">
      <c r="A54" s="56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4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E36" sqref="E3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0.28515625" bestFit="1" customWidth="1"/>
    <col min="42" max="42" width="10.5703125" bestFit="1" customWidth="1"/>
    <col min="43" max="43" width="12.28515625" bestFit="1" customWidth="1"/>
    <col min="44" max="44" width="10.140625" bestFit="1" customWidth="1"/>
    <col min="45" max="45" width="15" bestFit="1" customWidth="1"/>
    <col min="46" max="46" width="12" bestFit="1" customWidth="1"/>
  </cols>
  <sheetData>
    <row r="3" spans="1:40" x14ac:dyDescent="0.25">
      <c r="A3" s="75" t="s">
        <v>174</v>
      </c>
      <c r="B3" s="75" t="s">
        <v>62</v>
      </c>
    </row>
    <row r="4" spans="1:40" x14ac:dyDescent="0.25">
      <c r="A4" s="75" t="s">
        <v>60</v>
      </c>
      <c r="B4" t="s">
        <v>15</v>
      </c>
      <c r="C4" t="s">
        <v>49</v>
      </c>
      <c r="D4" t="s">
        <v>102</v>
      </c>
      <c r="E4" t="s">
        <v>101</v>
      </c>
      <c r="F4" t="s">
        <v>19</v>
      </c>
      <c r="G4" t="s">
        <v>137</v>
      </c>
      <c r="H4" t="s">
        <v>96</v>
      </c>
      <c r="I4" t="s">
        <v>54</v>
      </c>
      <c r="J4" t="s">
        <v>158</v>
      </c>
      <c r="K4" t="s">
        <v>51</v>
      </c>
      <c r="L4" t="s">
        <v>6</v>
      </c>
      <c r="M4" t="s">
        <v>67</v>
      </c>
      <c r="N4" t="s">
        <v>162</v>
      </c>
      <c r="O4" t="s">
        <v>159</v>
      </c>
      <c r="P4" t="s">
        <v>103</v>
      </c>
      <c r="Q4" t="s">
        <v>12</v>
      </c>
      <c r="R4" t="s">
        <v>48</v>
      </c>
      <c r="S4" t="s">
        <v>136</v>
      </c>
      <c r="T4" t="s">
        <v>108</v>
      </c>
      <c r="U4" t="s">
        <v>53</v>
      </c>
      <c r="V4" t="s">
        <v>116</v>
      </c>
      <c r="W4" t="s">
        <v>14</v>
      </c>
      <c r="X4" t="s">
        <v>50</v>
      </c>
      <c r="Y4" t="s">
        <v>52</v>
      </c>
      <c r="Z4" t="s">
        <v>107</v>
      </c>
      <c r="AA4" t="s">
        <v>140</v>
      </c>
      <c r="AB4" t="s">
        <v>135</v>
      </c>
      <c r="AC4" t="s">
        <v>13</v>
      </c>
      <c r="AD4" t="s">
        <v>95</v>
      </c>
      <c r="AE4" t="s">
        <v>119</v>
      </c>
      <c r="AF4" t="s">
        <v>203</v>
      </c>
      <c r="AG4" t="s">
        <v>202</v>
      </c>
      <c r="AH4" t="s">
        <v>207</v>
      </c>
      <c r="AI4" t="s">
        <v>237</v>
      </c>
      <c r="AJ4" t="s">
        <v>230</v>
      </c>
      <c r="AK4" t="s">
        <v>110</v>
      </c>
      <c r="AL4" t="s">
        <v>115</v>
      </c>
      <c r="AM4" t="s">
        <v>118</v>
      </c>
      <c r="AN4" t="s">
        <v>61</v>
      </c>
    </row>
    <row r="5" spans="1:40" x14ac:dyDescent="0.25">
      <c r="A5" s="76" t="s">
        <v>109</v>
      </c>
      <c r="B5" s="214"/>
      <c r="C5" s="214"/>
      <c r="D5" s="214">
        <v>729134</v>
      </c>
      <c r="E5" s="214">
        <v>7350557.8362325849</v>
      </c>
      <c r="F5" s="214"/>
      <c r="G5" s="214">
        <v>24806.175034511813</v>
      </c>
      <c r="H5" s="214"/>
      <c r="I5" s="214"/>
      <c r="J5" s="214">
        <v>142742</v>
      </c>
      <c r="K5" s="214">
        <v>85676.999999999956</v>
      </c>
      <c r="L5" s="214"/>
      <c r="M5" s="214">
        <v>75933.999999999971</v>
      </c>
      <c r="N5" s="214">
        <v>78</v>
      </c>
      <c r="O5" s="214"/>
      <c r="P5" s="214">
        <v>995654</v>
      </c>
      <c r="Q5" s="214"/>
      <c r="R5" s="214">
        <v>3786</v>
      </c>
      <c r="S5" s="214">
        <v>9294338.1766717173</v>
      </c>
      <c r="T5" s="214"/>
      <c r="U5" s="214">
        <v>330026.00000000006</v>
      </c>
      <c r="V5" s="214"/>
      <c r="W5" s="214"/>
      <c r="X5" s="214"/>
      <c r="Y5" s="214">
        <v>28644.999999999993</v>
      </c>
      <c r="Z5" s="214"/>
      <c r="AA5" s="214">
        <v>8258401.5311287995</v>
      </c>
      <c r="AB5" s="214">
        <v>15217811.268817205</v>
      </c>
      <c r="AC5" s="214"/>
      <c r="AD5" s="214"/>
      <c r="AE5" s="214"/>
      <c r="AF5" s="214"/>
      <c r="AG5" s="214"/>
      <c r="AH5" s="214">
        <v>15194917.245515604</v>
      </c>
      <c r="AI5" s="214"/>
      <c r="AJ5" s="214"/>
      <c r="AK5" s="214"/>
      <c r="AL5" s="214"/>
      <c r="AM5" s="214"/>
      <c r="AN5" s="214">
        <v>57732508.233400419</v>
      </c>
    </row>
    <row r="6" spans="1:40" x14ac:dyDescent="0.25">
      <c r="A6" s="77">
        <v>2019</v>
      </c>
      <c r="B6" s="214"/>
      <c r="C6" s="214"/>
      <c r="D6" s="214">
        <v>729134</v>
      </c>
      <c r="E6" s="214">
        <v>757087.00000000012</v>
      </c>
      <c r="F6" s="214"/>
      <c r="G6" s="214">
        <v>4441.5</v>
      </c>
      <c r="H6" s="214"/>
      <c r="I6" s="214"/>
      <c r="J6" s="214">
        <v>142742</v>
      </c>
      <c r="K6" s="214">
        <v>85676.999999999956</v>
      </c>
      <c r="L6" s="214"/>
      <c r="M6" s="214">
        <v>75933.999999999971</v>
      </c>
      <c r="N6" s="214">
        <v>78</v>
      </c>
      <c r="O6" s="214"/>
      <c r="P6" s="214">
        <v>995654</v>
      </c>
      <c r="Q6" s="214"/>
      <c r="R6" s="214">
        <v>3786</v>
      </c>
      <c r="S6" s="214">
        <v>4353509.666666667</v>
      </c>
      <c r="T6" s="214"/>
      <c r="U6" s="214">
        <v>330026.00000000006</v>
      </c>
      <c r="V6" s="214"/>
      <c r="W6" s="214"/>
      <c r="X6" s="214"/>
      <c r="Y6" s="214">
        <v>28644.999999999993</v>
      </c>
      <c r="Z6" s="214"/>
      <c r="AA6" s="214">
        <v>2668834</v>
      </c>
      <c r="AB6" s="214">
        <v>2914869.3333333335</v>
      </c>
      <c r="AC6" s="214"/>
      <c r="AD6" s="214"/>
      <c r="AE6" s="214"/>
      <c r="AF6" s="214"/>
      <c r="AG6" s="214"/>
      <c r="AH6" s="214">
        <v>0</v>
      </c>
      <c r="AI6" s="214"/>
      <c r="AJ6" s="214"/>
      <c r="AK6" s="214"/>
      <c r="AL6" s="214"/>
      <c r="AM6" s="214"/>
      <c r="AN6" s="214">
        <v>13090417.500000002</v>
      </c>
    </row>
    <row r="7" spans="1:40" x14ac:dyDescent="0.25">
      <c r="A7" s="77">
        <v>2030</v>
      </c>
      <c r="B7" s="214"/>
      <c r="C7" s="214"/>
      <c r="D7" s="214">
        <v>0</v>
      </c>
      <c r="E7" s="214">
        <v>2001137.1667130394</v>
      </c>
      <c r="F7" s="214"/>
      <c r="G7" s="214">
        <v>6662.2500000000009</v>
      </c>
      <c r="H7" s="214"/>
      <c r="I7" s="214"/>
      <c r="J7" s="214">
        <v>0</v>
      </c>
      <c r="K7" s="214">
        <v>0</v>
      </c>
      <c r="L7" s="214"/>
      <c r="M7" s="214">
        <v>0</v>
      </c>
      <c r="N7" s="214">
        <v>0</v>
      </c>
      <c r="O7" s="214"/>
      <c r="P7" s="214">
        <v>0</v>
      </c>
      <c r="Q7" s="214"/>
      <c r="R7" s="214">
        <v>0</v>
      </c>
      <c r="S7" s="214">
        <v>4874560.7966637425</v>
      </c>
      <c r="T7" s="214"/>
      <c r="U7" s="214">
        <v>0</v>
      </c>
      <c r="V7" s="214"/>
      <c r="W7" s="214"/>
      <c r="X7" s="214"/>
      <c r="Y7" s="214">
        <v>0</v>
      </c>
      <c r="Z7" s="214"/>
      <c r="AA7" s="214">
        <v>2747430.5145796794</v>
      </c>
      <c r="AB7" s="214">
        <v>12302941.935483871</v>
      </c>
      <c r="AC7" s="214"/>
      <c r="AD7" s="214"/>
      <c r="AE7" s="214"/>
      <c r="AF7" s="214"/>
      <c r="AG7" s="214"/>
      <c r="AH7" s="214">
        <v>4340964.2075004801</v>
      </c>
      <c r="AI7" s="214"/>
      <c r="AJ7" s="214"/>
      <c r="AK7" s="214"/>
      <c r="AL7" s="214"/>
      <c r="AM7" s="214"/>
      <c r="AN7" s="214">
        <v>26273696.870940812</v>
      </c>
    </row>
    <row r="8" spans="1:40" x14ac:dyDescent="0.25">
      <c r="A8" s="77">
        <v>2050</v>
      </c>
      <c r="B8" s="214"/>
      <c r="C8" s="214"/>
      <c r="D8" s="214">
        <v>0</v>
      </c>
      <c r="E8" s="214">
        <v>4592333.6695195455</v>
      </c>
      <c r="F8" s="214"/>
      <c r="G8" s="214">
        <v>13702.425034511814</v>
      </c>
      <c r="H8" s="214"/>
      <c r="I8" s="214"/>
      <c r="J8" s="214">
        <v>0</v>
      </c>
      <c r="K8" s="214">
        <v>0</v>
      </c>
      <c r="L8" s="214"/>
      <c r="M8" s="214">
        <v>0</v>
      </c>
      <c r="N8" s="214">
        <v>0</v>
      </c>
      <c r="O8" s="214"/>
      <c r="P8" s="214">
        <v>0</v>
      </c>
      <c r="Q8" s="214"/>
      <c r="R8" s="214">
        <v>0</v>
      </c>
      <c r="S8" s="214">
        <v>66267.713341306167</v>
      </c>
      <c r="T8" s="214"/>
      <c r="U8" s="214">
        <v>0</v>
      </c>
      <c r="V8" s="214"/>
      <c r="W8" s="214"/>
      <c r="X8" s="214"/>
      <c r="Y8" s="214">
        <v>0</v>
      </c>
      <c r="Z8" s="214"/>
      <c r="AA8" s="214">
        <v>2842137.0165491202</v>
      </c>
      <c r="AB8" s="214">
        <v>0</v>
      </c>
      <c r="AC8" s="214"/>
      <c r="AD8" s="214"/>
      <c r="AE8" s="214"/>
      <c r="AF8" s="214"/>
      <c r="AG8" s="214"/>
      <c r="AH8" s="214">
        <v>10853953.038015123</v>
      </c>
      <c r="AI8" s="214"/>
      <c r="AJ8" s="214"/>
      <c r="AK8" s="214"/>
      <c r="AL8" s="214"/>
      <c r="AM8" s="214"/>
      <c r="AN8" s="214">
        <v>18368393.862459607</v>
      </c>
    </row>
    <row r="9" spans="1:40" x14ac:dyDescent="0.25">
      <c r="A9" s="76" t="s">
        <v>112</v>
      </c>
      <c r="B9" s="214"/>
      <c r="C9" s="214">
        <v>174242.83649693022</v>
      </c>
      <c r="D9" s="214"/>
      <c r="E9" s="214"/>
      <c r="F9" s="214"/>
      <c r="G9" s="214"/>
      <c r="H9" s="214"/>
      <c r="I9" s="214"/>
      <c r="J9" s="214"/>
      <c r="K9" s="214">
        <v>33060158.185896717</v>
      </c>
      <c r="L9" s="214"/>
      <c r="M9" s="214">
        <v>1666365.9983369049</v>
      </c>
      <c r="N9" s="214"/>
      <c r="O9" s="214">
        <v>8248577.5403640326</v>
      </c>
      <c r="P9" s="214"/>
      <c r="Q9" s="214">
        <v>2627613.5708768312</v>
      </c>
      <c r="R9" s="214">
        <v>10634959.266629722</v>
      </c>
      <c r="S9" s="214"/>
      <c r="T9" s="214">
        <v>2589349.3874389501</v>
      </c>
      <c r="U9" s="214">
        <v>10284045.886210339</v>
      </c>
      <c r="V9" s="214"/>
      <c r="W9" s="214"/>
      <c r="X9" s="214"/>
      <c r="Y9" s="214">
        <v>2272416.9926474653</v>
      </c>
      <c r="Z9" s="214">
        <v>134220.03593697932</v>
      </c>
      <c r="AA9" s="214"/>
      <c r="AB9" s="214"/>
      <c r="AC9" s="214"/>
      <c r="AD9" s="214"/>
      <c r="AE9" s="214"/>
      <c r="AF9" s="214">
        <v>12567811.114788953</v>
      </c>
      <c r="AG9" s="214">
        <v>6105893.3515151953</v>
      </c>
      <c r="AH9" s="214"/>
      <c r="AI9" s="214">
        <v>1017205.1649991443</v>
      </c>
      <c r="AJ9" s="214"/>
      <c r="AK9" s="214"/>
      <c r="AL9" s="214"/>
      <c r="AM9" s="214"/>
      <c r="AN9" s="214">
        <v>91382859.332138151</v>
      </c>
    </row>
    <row r="10" spans="1:40" x14ac:dyDescent="0.25">
      <c r="A10" s="77">
        <v>2019</v>
      </c>
      <c r="B10" s="214"/>
      <c r="C10" s="214">
        <v>72415.092228932088</v>
      </c>
      <c r="D10" s="214"/>
      <c r="E10" s="214"/>
      <c r="F10" s="214"/>
      <c r="G10" s="214"/>
      <c r="H10" s="214"/>
      <c r="I10" s="214"/>
      <c r="J10" s="214"/>
      <c r="K10" s="214">
        <v>13739757.985270014</v>
      </c>
      <c r="L10" s="214"/>
      <c r="M10" s="214">
        <v>867975.34157733875</v>
      </c>
      <c r="N10" s="214"/>
      <c r="O10" s="214">
        <v>5421074.2654714445</v>
      </c>
      <c r="P10" s="214"/>
      <c r="Q10" s="214">
        <v>0</v>
      </c>
      <c r="R10" s="214">
        <v>6600836.8097011279</v>
      </c>
      <c r="S10" s="214"/>
      <c r="T10" s="214">
        <v>1701754.6673799041</v>
      </c>
      <c r="U10" s="214">
        <v>6351407.0475792512</v>
      </c>
      <c r="V10" s="214"/>
      <c r="W10" s="214"/>
      <c r="X10" s="214"/>
      <c r="Y10" s="214">
        <v>944413.49448565592</v>
      </c>
      <c r="Z10" s="214">
        <v>44253.667473236274</v>
      </c>
      <c r="AA10" s="214"/>
      <c r="AB10" s="214"/>
      <c r="AC10" s="214"/>
      <c r="AD10" s="214"/>
      <c r="AE10" s="214"/>
      <c r="AF10" s="214">
        <v>0</v>
      </c>
      <c r="AG10" s="214">
        <v>0</v>
      </c>
      <c r="AH10" s="214"/>
      <c r="AI10" s="214">
        <v>240377.87559326066</v>
      </c>
      <c r="AJ10" s="214"/>
      <c r="AK10" s="214"/>
      <c r="AL10" s="214"/>
      <c r="AM10" s="214"/>
      <c r="AN10" s="214">
        <v>35984266.24676016</v>
      </c>
    </row>
    <row r="11" spans="1:40" x14ac:dyDescent="0.25">
      <c r="A11" s="77">
        <v>2030</v>
      </c>
      <c r="B11" s="214"/>
      <c r="C11" s="214">
        <v>58543.481535809427</v>
      </c>
      <c r="D11" s="214"/>
      <c r="E11" s="214"/>
      <c r="F11" s="214"/>
      <c r="G11" s="214"/>
      <c r="H11" s="214"/>
      <c r="I11" s="214"/>
      <c r="J11" s="214"/>
      <c r="K11" s="214">
        <v>11107812.517509617</v>
      </c>
      <c r="L11" s="214"/>
      <c r="M11" s="214">
        <v>564815.44300522283</v>
      </c>
      <c r="N11" s="214"/>
      <c r="O11" s="214">
        <v>2827503.2748925881</v>
      </c>
      <c r="P11" s="214"/>
      <c r="Q11" s="214">
        <v>852117.16041507828</v>
      </c>
      <c r="R11" s="214">
        <v>3634588.4159995825</v>
      </c>
      <c r="S11" s="214"/>
      <c r="T11" s="214">
        <v>887594.72005904594</v>
      </c>
      <c r="U11" s="214">
        <v>3513770.7935001124</v>
      </c>
      <c r="V11" s="214"/>
      <c r="W11" s="214"/>
      <c r="X11" s="214"/>
      <c r="Y11" s="214">
        <v>763504.57169618132</v>
      </c>
      <c r="Z11" s="214">
        <v>44771.914379262082</v>
      </c>
      <c r="AA11" s="214"/>
      <c r="AB11" s="214"/>
      <c r="AC11" s="214"/>
      <c r="AD11" s="214"/>
      <c r="AE11" s="214"/>
      <c r="AF11" s="214">
        <v>4074809.5392123749</v>
      </c>
      <c r="AG11" s="214">
        <v>1980099.5710165331</v>
      </c>
      <c r="AH11" s="214"/>
      <c r="AI11" s="214">
        <v>336636.78930177691</v>
      </c>
      <c r="AJ11" s="214"/>
      <c r="AK11" s="214"/>
      <c r="AL11" s="214"/>
      <c r="AM11" s="214"/>
      <c r="AN11" s="214">
        <v>30646568.192523181</v>
      </c>
    </row>
    <row r="12" spans="1:40" x14ac:dyDescent="0.25">
      <c r="A12" s="77">
        <v>2050</v>
      </c>
      <c r="B12" s="214"/>
      <c r="C12" s="214">
        <v>43284.262732188727</v>
      </c>
      <c r="D12" s="214"/>
      <c r="E12" s="214"/>
      <c r="F12" s="214"/>
      <c r="G12" s="214"/>
      <c r="H12" s="214"/>
      <c r="I12" s="214"/>
      <c r="J12" s="214"/>
      <c r="K12" s="214">
        <v>8212587.6831170851</v>
      </c>
      <c r="L12" s="214"/>
      <c r="M12" s="214">
        <v>233575.21375434336</v>
      </c>
      <c r="N12" s="214"/>
      <c r="O12" s="214">
        <v>0</v>
      </c>
      <c r="P12" s="214"/>
      <c r="Q12" s="214">
        <v>1775496.4104617527</v>
      </c>
      <c r="R12" s="214">
        <v>399534.04092901241</v>
      </c>
      <c r="S12" s="214"/>
      <c r="T12" s="214">
        <v>0</v>
      </c>
      <c r="U12" s="214">
        <v>418868.04513097607</v>
      </c>
      <c r="V12" s="214"/>
      <c r="W12" s="214"/>
      <c r="X12" s="214"/>
      <c r="Y12" s="214">
        <v>564498.92646562797</v>
      </c>
      <c r="Z12" s="214">
        <v>45194.454084480974</v>
      </c>
      <c r="AA12" s="214"/>
      <c r="AB12" s="214"/>
      <c r="AC12" s="214"/>
      <c r="AD12" s="214"/>
      <c r="AE12" s="214"/>
      <c r="AF12" s="214">
        <v>8493001.5755765792</v>
      </c>
      <c r="AG12" s="214">
        <v>4125793.780498662</v>
      </c>
      <c r="AH12" s="214"/>
      <c r="AI12" s="214">
        <v>440190.50010410673</v>
      </c>
      <c r="AJ12" s="214"/>
      <c r="AK12" s="214"/>
      <c r="AL12" s="214"/>
      <c r="AM12" s="214"/>
      <c r="AN12" s="214">
        <v>24752024.892854817</v>
      </c>
    </row>
    <row r="13" spans="1:40" x14ac:dyDescent="0.25">
      <c r="A13" s="76" t="s">
        <v>127</v>
      </c>
      <c r="B13" s="214">
        <v>182574.19618217932</v>
      </c>
      <c r="C13" s="214">
        <v>0</v>
      </c>
      <c r="D13" s="214"/>
      <c r="E13" s="214"/>
      <c r="F13" s="214">
        <v>281468.55244752642</v>
      </c>
      <c r="G13" s="214"/>
      <c r="H13" s="214">
        <v>197788.71253069426</v>
      </c>
      <c r="I13" s="214">
        <v>1445379.0531089196</v>
      </c>
      <c r="J13" s="214"/>
      <c r="K13" s="214"/>
      <c r="L13" s="214">
        <v>1513844.376677237</v>
      </c>
      <c r="M13" s="214"/>
      <c r="N13" s="214"/>
      <c r="O13" s="214"/>
      <c r="P13" s="214"/>
      <c r="Q13" s="214">
        <v>692260.49385742994</v>
      </c>
      <c r="R13" s="214">
        <v>1658382.281988129</v>
      </c>
      <c r="S13" s="214"/>
      <c r="T13" s="214"/>
      <c r="U13" s="214"/>
      <c r="V13" s="214">
        <v>2647325.8446415998</v>
      </c>
      <c r="W13" s="214">
        <v>336392.95646566537</v>
      </c>
      <c r="X13" s="214"/>
      <c r="Y13" s="214"/>
      <c r="Z13" s="214"/>
      <c r="AA13" s="214"/>
      <c r="AB13" s="214"/>
      <c r="AC13" s="214">
        <v>682979.63888483576</v>
      </c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>
        <v>9638396.1067842171</v>
      </c>
    </row>
    <row r="14" spans="1:40" x14ac:dyDescent="0.25">
      <c r="A14" s="77">
        <v>2019</v>
      </c>
      <c r="B14" s="214">
        <v>58403.100598004137</v>
      </c>
      <c r="C14" s="214">
        <v>0</v>
      </c>
      <c r="D14" s="214"/>
      <c r="E14" s="214"/>
      <c r="F14" s="214">
        <v>90038.113421923044</v>
      </c>
      <c r="G14" s="214"/>
      <c r="H14" s="214">
        <v>63270.025647837821</v>
      </c>
      <c r="I14" s="214">
        <v>462357.87973419944</v>
      </c>
      <c r="J14" s="214"/>
      <c r="K14" s="214"/>
      <c r="L14" s="214">
        <v>484259.042458451</v>
      </c>
      <c r="M14" s="214"/>
      <c r="N14" s="214"/>
      <c r="O14" s="214"/>
      <c r="P14" s="214"/>
      <c r="Q14" s="214">
        <v>221445.08976743236</v>
      </c>
      <c r="R14" s="214">
        <v>530494.83043187088</v>
      </c>
      <c r="S14" s="214"/>
      <c r="T14" s="214"/>
      <c r="U14" s="214"/>
      <c r="V14" s="214">
        <v>846844.95867106004</v>
      </c>
      <c r="W14" s="214">
        <v>107607.71285182264</v>
      </c>
      <c r="X14" s="214"/>
      <c r="Y14" s="214"/>
      <c r="Z14" s="214"/>
      <c r="AA14" s="214"/>
      <c r="AB14" s="214"/>
      <c r="AC14" s="214">
        <v>218476.26548703379</v>
      </c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>
        <v>3083197.0190696353</v>
      </c>
    </row>
    <row r="15" spans="1:40" x14ac:dyDescent="0.25">
      <c r="A15" s="77">
        <v>2030</v>
      </c>
      <c r="B15" s="214">
        <v>60789.12467762841</v>
      </c>
      <c r="C15" s="214">
        <v>0</v>
      </c>
      <c r="D15" s="214"/>
      <c r="E15" s="214"/>
      <c r="F15" s="214">
        <v>93716.56721134379</v>
      </c>
      <c r="G15" s="214"/>
      <c r="H15" s="214">
        <v>65854.885067430776</v>
      </c>
      <c r="I15" s="214">
        <v>481247.23703122488</v>
      </c>
      <c r="J15" s="214"/>
      <c r="K15" s="214"/>
      <c r="L15" s="214">
        <v>504043.1587853356</v>
      </c>
      <c r="M15" s="214"/>
      <c r="N15" s="214"/>
      <c r="O15" s="214"/>
      <c r="P15" s="214"/>
      <c r="Q15" s="214">
        <v>230492.09773600774</v>
      </c>
      <c r="R15" s="214">
        <v>552167.88248845807</v>
      </c>
      <c r="S15" s="214"/>
      <c r="T15" s="214"/>
      <c r="U15" s="214"/>
      <c r="V15" s="214">
        <v>881442.3078256119</v>
      </c>
      <c r="W15" s="214">
        <v>112003.96221853035</v>
      </c>
      <c r="X15" s="214"/>
      <c r="Y15" s="214"/>
      <c r="Z15" s="214"/>
      <c r="AA15" s="214"/>
      <c r="AB15" s="214"/>
      <c r="AC15" s="214">
        <v>227401.98389822827</v>
      </c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>
        <v>3209159.2069397997</v>
      </c>
    </row>
    <row r="16" spans="1:40" x14ac:dyDescent="0.25">
      <c r="A16" s="77">
        <v>2050</v>
      </c>
      <c r="B16" s="214">
        <v>63381.970906546776</v>
      </c>
      <c r="C16" s="214">
        <v>0</v>
      </c>
      <c r="D16" s="214"/>
      <c r="E16" s="214"/>
      <c r="F16" s="214">
        <v>97713.871814259604</v>
      </c>
      <c r="G16" s="214"/>
      <c r="H16" s="214">
        <v>68663.801815425672</v>
      </c>
      <c r="I16" s="214">
        <v>501773.93634349527</v>
      </c>
      <c r="J16" s="214"/>
      <c r="K16" s="214"/>
      <c r="L16" s="214">
        <v>525542.17543345026</v>
      </c>
      <c r="M16" s="214"/>
      <c r="N16" s="214"/>
      <c r="O16" s="214"/>
      <c r="P16" s="214"/>
      <c r="Q16" s="214">
        <v>240323.30635398987</v>
      </c>
      <c r="R16" s="214">
        <v>575719.56906779984</v>
      </c>
      <c r="S16" s="214"/>
      <c r="T16" s="214"/>
      <c r="U16" s="214"/>
      <c r="V16" s="214">
        <v>919038.57814492821</v>
      </c>
      <c r="W16" s="214">
        <v>116781.28139531243</v>
      </c>
      <c r="X16" s="214"/>
      <c r="Y16" s="214"/>
      <c r="Z16" s="214"/>
      <c r="AA16" s="214"/>
      <c r="AB16" s="214"/>
      <c r="AC16" s="214">
        <v>237101.38949957371</v>
      </c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>
        <v>3346039.8807747816</v>
      </c>
    </row>
    <row r="17" spans="1:40" x14ac:dyDescent="0.25">
      <c r="A17" s="76" t="s">
        <v>120</v>
      </c>
      <c r="B17" s="214"/>
      <c r="C17" s="214"/>
      <c r="D17" s="214">
        <v>733771.78685234336</v>
      </c>
      <c r="E17" s="214"/>
      <c r="F17" s="214"/>
      <c r="G17" s="214"/>
      <c r="H17" s="214"/>
      <c r="I17" s="214"/>
      <c r="J17" s="214"/>
      <c r="K17" s="214"/>
      <c r="L17" s="214"/>
      <c r="M17" s="214">
        <v>3577994.0060963258</v>
      </c>
      <c r="N17" s="214">
        <v>2948349</v>
      </c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>
        <v>3133161.2967343521</v>
      </c>
      <c r="AE17" s="214">
        <v>8630115.4022918455</v>
      </c>
      <c r="AF17" s="214"/>
      <c r="AG17" s="214"/>
      <c r="AH17" s="214"/>
      <c r="AI17" s="214"/>
      <c r="AJ17" s="214">
        <v>697661.88856047369</v>
      </c>
      <c r="AK17" s="214"/>
      <c r="AL17" s="214"/>
      <c r="AM17" s="214"/>
      <c r="AN17" s="214">
        <v>19721053.380535342</v>
      </c>
    </row>
    <row r="18" spans="1:40" x14ac:dyDescent="0.25">
      <c r="A18" s="77">
        <v>2019</v>
      </c>
      <c r="B18" s="214"/>
      <c r="C18" s="214"/>
      <c r="D18" s="214">
        <v>0</v>
      </c>
      <c r="E18" s="214"/>
      <c r="F18" s="214"/>
      <c r="G18" s="214"/>
      <c r="H18" s="214"/>
      <c r="I18" s="214"/>
      <c r="J18" s="214"/>
      <c r="K18" s="214"/>
      <c r="L18" s="214"/>
      <c r="M18" s="214">
        <v>1895494.5192748301</v>
      </c>
      <c r="N18" s="214">
        <v>982731</v>
      </c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>
        <v>209867.13867694439</v>
      </c>
      <c r="AE18" s="214">
        <v>3010292.0648196544</v>
      </c>
      <c r="AF18" s="214"/>
      <c r="AG18" s="214"/>
      <c r="AH18" s="214"/>
      <c r="AI18" s="214"/>
      <c r="AJ18" s="214">
        <v>112873.31802427149</v>
      </c>
      <c r="AK18" s="214"/>
      <c r="AL18" s="214"/>
      <c r="AM18" s="214"/>
      <c r="AN18" s="214">
        <v>6211258.0407956997</v>
      </c>
    </row>
    <row r="19" spans="1:40" x14ac:dyDescent="0.25">
      <c r="A19" s="77">
        <v>2030</v>
      </c>
      <c r="B19" s="214"/>
      <c r="C19" s="214"/>
      <c r="D19" s="214">
        <v>363994.97174274386</v>
      </c>
      <c r="E19" s="214"/>
      <c r="F19" s="214"/>
      <c r="G19" s="214"/>
      <c r="H19" s="214"/>
      <c r="I19" s="214"/>
      <c r="J19" s="214"/>
      <c r="K19" s="214"/>
      <c r="L19" s="214"/>
      <c r="M19" s="214">
        <v>1554209.5189473266</v>
      </c>
      <c r="N19" s="214">
        <v>982809</v>
      </c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>
        <v>1169664.3920535347</v>
      </c>
      <c r="AE19" s="214">
        <v>2858758.2285455461</v>
      </c>
      <c r="AF19" s="214"/>
      <c r="AG19" s="214"/>
      <c r="AH19" s="214"/>
      <c r="AI19" s="214"/>
      <c r="AJ19" s="214">
        <v>307900.58179541014</v>
      </c>
      <c r="AK19" s="214"/>
      <c r="AL19" s="214"/>
      <c r="AM19" s="214"/>
      <c r="AN19" s="214">
        <v>7237336.6930845613</v>
      </c>
    </row>
    <row r="20" spans="1:40" x14ac:dyDescent="0.25">
      <c r="A20" s="77">
        <v>2050</v>
      </c>
      <c r="B20" s="214"/>
      <c r="C20" s="214"/>
      <c r="D20" s="214">
        <v>369776.8151095995</v>
      </c>
      <c r="E20" s="214"/>
      <c r="F20" s="214"/>
      <c r="G20" s="214"/>
      <c r="H20" s="214"/>
      <c r="I20" s="214"/>
      <c r="J20" s="214"/>
      <c r="K20" s="214"/>
      <c r="L20" s="214"/>
      <c r="M20" s="214">
        <v>128289.96787416932</v>
      </c>
      <c r="N20" s="214">
        <v>982809</v>
      </c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>
        <v>1753629.766003873</v>
      </c>
      <c r="AE20" s="214">
        <v>2761065.1089266455</v>
      </c>
      <c r="AF20" s="214"/>
      <c r="AG20" s="214"/>
      <c r="AH20" s="214"/>
      <c r="AI20" s="214"/>
      <c r="AJ20" s="214">
        <v>276887.98874079209</v>
      </c>
      <c r="AK20" s="214"/>
      <c r="AL20" s="214"/>
      <c r="AM20" s="214"/>
      <c r="AN20" s="214">
        <v>6272458.6466550799</v>
      </c>
    </row>
    <row r="21" spans="1:40" x14ac:dyDescent="0.25">
      <c r="A21" s="76" t="s">
        <v>164</v>
      </c>
      <c r="B21" s="214"/>
      <c r="C21" s="214"/>
      <c r="D21" s="214">
        <v>0</v>
      </c>
      <c r="E21" s="214"/>
      <c r="F21" s="214"/>
      <c r="G21" s="214"/>
      <c r="H21" s="214"/>
      <c r="I21" s="214"/>
      <c r="J21" s="214"/>
      <c r="K21" s="214"/>
      <c r="L21" s="214"/>
      <c r="M21" s="214">
        <v>0</v>
      </c>
      <c r="N21" s="214">
        <v>0</v>
      </c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>
        <v>0</v>
      </c>
      <c r="AE21" s="214"/>
      <c r="AF21" s="214"/>
      <c r="AG21" s="214"/>
      <c r="AH21" s="214"/>
      <c r="AI21" s="214"/>
      <c r="AJ21" s="214">
        <v>104190.75509932752</v>
      </c>
      <c r="AK21" s="214"/>
      <c r="AL21" s="214"/>
      <c r="AM21" s="214">
        <v>2431597.7026758408</v>
      </c>
      <c r="AN21" s="214">
        <v>2535788.4577751681</v>
      </c>
    </row>
    <row r="22" spans="1:40" x14ac:dyDescent="0.25">
      <c r="A22" s="77">
        <v>2019</v>
      </c>
      <c r="B22" s="214"/>
      <c r="C22" s="214"/>
      <c r="D22" s="214">
        <v>0</v>
      </c>
      <c r="E22" s="214"/>
      <c r="F22" s="214"/>
      <c r="G22" s="214"/>
      <c r="H22" s="214"/>
      <c r="I22" s="214"/>
      <c r="J22" s="214"/>
      <c r="K22" s="214"/>
      <c r="L22" s="214"/>
      <c r="M22" s="214">
        <v>0</v>
      </c>
      <c r="N22" s="214">
        <v>0</v>
      </c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>
        <v>0</v>
      </c>
      <c r="AE22" s="214"/>
      <c r="AF22" s="214"/>
      <c r="AG22" s="214"/>
      <c r="AH22" s="214"/>
      <c r="AI22" s="214"/>
      <c r="AJ22" s="214">
        <v>104190.75509932752</v>
      </c>
      <c r="AK22" s="214"/>
      <c r="AL22" s="214"/>
      <c r="AM22" s="214">
        <v>827707.93518034508</v>
      </c>
      <c r="AN22" s="214">
        <v>931898.69027967262</v>
      </c>
    </row>
    <row r="23" spans="1:40" x14ac:dyDescent="0.25">
      <c r="A23" s="77">
        <v>2030</v>
      </c>
      <c r="B23" s="214"/>
      <c r="C23" s="214"/>
      <c r="D23" s="214">
        <v>0</v>
      </c>
      <c r="E23" s="214"/>
      <c r="F23" s="214"/>
      <c r="G23" s="214"/>
      <c r="H23" s="214"/>
      <c r="I23" s="214"/>
      <c r="J23" s="214"/>
      <c r="K23" s="214"/>
      <c r="L23" s="214"/>
      <c r="M23" s="214">
        <v>0</v>
      </c>
      <c r="N23" s="214">
        <v>0</v>
      </c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>
        <v>0</v>
      </c>
      <c r="AE23" s="214"/>
      <c r="AF23" s="214"/>
      <c r="AG23" s="214"/>
      <c r="AH23" s="214"/>
      <c r="AI23" s="214"/>
      <c r="AJ23" s="214">
        <v>0</v>
      </c>
      <c r="AK23" s="214"/>
      <c r="AL23" s="214"/>
      <c r="AM23" s="214">
        <v>789510.6267450063</v>
      </c>
      <c r="AN23" s="214">
        <v>789510.6267450063</v>
      </c>
    </row>
    <row r="24" spans="1:40" x14ac:dyDescent="0.25">
      <c r="A24" s="77">
        <v>2050</v>
      </c>
      <c r="B24" s="214"/>
      <c r="C24" s="214"/>
      <c r="D24" s="214">
        <v>0</v>
      </c>
      <c r="E24" s="214"/>
      <c r="F24" s="214"/>
      <c r="G24" s="214"/>
      <c r="H24" s="214"/>
      <c r="I24" s="214"/>
      <c r="J24" s="214"/>
      <c r="K24" s="214"/>
      <c r="L24" s="214"/>
      <c r="M24" s="214">
        <v>0</v>
      </c>
      <c r="N24" s="214">
        <v>0</v>
      </c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>
        <v>0</v>
      </c>
      <c r="AE24" s="214"/>
      <c r="AF24" s="214"/>
      <c r="AG24" s="214"/>
      <c r="AH24" s="214"/>
      <c r="AI24" s="214"/>
      <c r="AJ24" s="214">
        <v>0</v>
      </c>
      <c r="AK24" s="214"/>
      <c r="AL24" s="214"/>
      <c r="AM24" s="214">
        <v>814379.14075048931</v>
      </c>
      <c r="AN24" s="214">
        <v>814379.14075048931</v>
      </c>
    </row>
    <row r="25" spans="1:40" x14ac:dyDescent="0.25">
      <c r="A25" s="76" t="s">
        <v>114</v>
      </c>
      <c r="B25" s="214"/>
      <c r="C25" s="214"/>
      <c r="D25" s="214"/>
      <c r="E25" s="214">
        <v>1269459.0357078644</v>
      </c>
      <c r="F25" s="214"/>
      <c r="G25" s="214">
        <v>8184.741670501312</v>
      </c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>
        <v>11328707.011481393</v>
      </c>
      <c r="T25" s="214"/>
      <c r="U25" s="214"/>
      <c r="V25" s="214"/>
      <c r="W25" s="214"/>
      <c r="X25" s="214"/>
      <c r="Y25" s="214"/>
      <c r="Z25" s="214"/>
      <c r="AA25" s="214"/>
      <c r="AB25" s="214">
        <v>18843111.311827954</v>
      </c>
      <c r="AC25" s="214"/>
      <c r="AD25" s="214"/>
      <c r="AE25" s="214"/>
      <c r="AF25" s="214"/>
      <c r="AG25" s="214"/>
      <c r="AH25" s="214"/>
      <c r="AI25" s="214"/>
      <c r="AJ25" s="214"/>
      <c r="AK25" s="214">
        <v>30089649.061278649</v>
      </c>
      <c r="AL25" s="214">
        <v>3400968.1491124239</v>
      </c>
      <c r="AM25" s="214"/>
      <c r="AN25" s="214">
        <v>64940079.311078802</v>
      </c>
    </row>
    <row r="26" spans="1:40" x14ac:dyDescent="0.25">
      <c r="A26" s="77">
        <v>2019</v>
      </c>
      <c r="B26" s="214"/>
      <c r="C26" s="214"/>
      <c r="D26" s="214"/>
      <c r="E26" s="214">
        <v>823764.99285714305</v>
      </c>
      <c r="F26" s="214"/>
      <c r="G26" s="214">
        <v>4441.5</v>
      </c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>
        <v>9696490.333333334</v>
      </c>
      <c r="T26" s="214"/>
      <c r="U26" s="214"/>
      <c r="V26" s="214"/>
      <c r="W26" s="214"/>
      <c r="X26" s="214"/>
      <c r="Y26" s="214"/>
      <c r="Z26" s="214"/>
      <c r="AA26" s="214"/>
      <c r="AB26" s="214">
        <v>14742130.666666664</v>
      </c>
      <c r="AC26" s="214"/>
      <c r="AD26" s="214"/>
      <c r="AE26" s="214"/>
      <c r="AF26" s="214"/>
      <c r="AG26" s="214"/>
      <c r="AH26" s="214"/>
      <c r="AI26" s="214"/>
      <c r="AJ26" s="214"/>
      <c r="AK26" s="214">
        <v>8803491.7355084848</v>
      </c>
      <c r="AL26" s="214">
        <v>944817.29105430027</v>
      </c>
      <c r="AM26" s="214"/>
      <c r="AN26" s="214">
        <v>35015136.519419931</v>
      </c>
    </row>
    <row r="27" spans="1:40" x14ac:dyDescent="0.25">
      <c r="A27" s="77">
        <v>2030</v>
      </c>
      <c r="B27" s="214"/>
      <c r="C27" s="214"/>
      <c r="D27" s="214"/>
      <c r="E27" s="214">
        <v>252524.45198997878</v>
      </c>
      <c r="F27" s="214"/>
      <c r="G27" s="214">
        <v>2220.75</v>
      </c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>
        <v>1624853.5988879143</v>
      </c>
      <c r="T27" s="214"/>
      <c r="U27" s="214"/>
      <c r="V27" s="214"/>
      <c r="W27" s="214"/>
      <c r="X27" s="214"/>
      <c r="Y27" s="214"/>
      <c r="Z27" s="214"/>
      <c r="AA27" s="214"/>
      <c r="AB27" s="214">
        <v>4100980.6451612907</v>
      </c>
      <c r="AC27" s="214"/>
      <c r="AD27" s="214"/>
      <c r="AE27" s="214"/>
      <c r="AF27" s="214"/>
      <c r="AG27" s="214"/>
      <c r="AH27" s="214"/>
      <c r="AI27" s="214"/>
      <c r="AJ27" s="214"/>
      <c r="AK27" s="214">
        <v>20824031.592073698</v>
      </c>
      <c r="AL27" s="214">
        <v>1061273.146936445</v>
      </c>
      <c r="AM27" s="214"/>
      <c r="AN27" s="214">
        <v>27865884.185049329</v>
      </c>
    </row>
    <row r="28" spans="1:40" x14ac:dyDescent="0.25">
      <c r="A28" s="77">
        <v>2050</v>
      </c>
      <c r="B28" s="214"/>
      <c r="C28" s="214"/>
      <c r="D28" s="214"/>
      <c r="E28" s="214">
        <v>193169.59086074273</v>
      </c>
      <c r="F28" s="214"/>
      <c r="G28" s="214">
        <v>1522.4916705013122</v>
      </c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>
        <v>7363.0792601451285</v>
      </c>
      <c r="T28" s="214"/>
      <c r="U28" s="214"/>
      <c r="V28" s="214"/>
      <c r="W28" s="214"/>
      <c r="X28" s="214"/>
      <c r="Y28" s="214"/>
      <c r="Z28" s="214"/>
      <c r="AA28" s="214"/>
      <c r="AB28" s="214">
        <v>0</v>
      </c>
      <c r="AC28" s="214"/>
      <c r="AD28" s="214"/>
      <c r="AE28" s="214"/>
      <c r="AF28" s="214"/>
      <c r="AG28" s="214"/>
      <c r="AH28" s="214"/>
      <c r="AI28" s="214"/>
      <c r="AJ28" s="214"/>
      <c r="AK28" s="214">
        <v>462125.73369646654</v>
      </c>
      <c r="AL28" s="214">
        <v>1394877.7111216788</v>
      </c>
      <c r="AM28" s="214"/>
      <c r="AN28" s="214">
        <v>2059058.6066095345</v>
      </c>
    </row>
    <row r="29" spans="1:40" x14ac:dyDescent="0.25">
      <c r="A29" s="76" t="s">
        <v>208</v>
      </c>
      <c r="B29" s="214"/>
      <c r="C29" s="214"/>
      <c r="D29" s="214"/>
      <c r="E29" s="214"/>
      <c r="F29" s="214"/>
      <c r="G29" s="214"/>
      <c r="H29" s="214"/>
      <c r="I29" s="214"/>
      <c r="J29" s="214"/>
      <c r="K29" s="214">
        <v>36524750.348377652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>
        <v>36524750.348377652</v>
      </c>
    </row>
    <row r="30" spans="1:40" x14ac:dyDescent="0.25">
      <c r="A30" s="77">
        <v>2019</v>
      </c>
      <c r="B30" s="214"/>
      <c r="C30" s="214"/>
      <c r="D30" s="214"/>
      <c r="E30" s="214"/>
      <c r="F30" s="214"/>
      <c r="G30" s="214"/>
      <c r="H30" s="214"/>
      <c r="I30" s="214"/>
      <c r="J30" s="214"/>
      <c r="K30" s="214">
        <v>0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>
        <v>0</v>
      </c>
    </row>
    <row r="31" spans="1:40" x14ac:dyDescent="0.25">
      <c r="A31" s="77">
        <v>2030</v>
      </c>
      <c r="B31" s="214"/>
      <c r="C31" s="214"/>
      <c r="D31" s="214"/>
      <c r="E31" s="214"/>
      <c r="F31" s="214"/>
      <c r="G31" s="214"/>
      <c r="H31" s="214"/>
      <c r="I31" s="214"/>
      <c r="J31" s="214"/>
      <c r="K31" s="214">
        <v>11844727.43507082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>
        <v>11844727.43507082</v>
      </c>
    </row>
    <row r="32" spans="1:40" x14ac:dyDescent="0.25">
      <c r="A32" s="77">
        <v>2050</v>
      </c>
      <c r="B32" s="214"/>
      <c r="C32" s="214"/>
      <c r="D32" s="214"/>
      <c r="E32" s="214"/>
      <c r="F32" s="214"/>
      <c r="G32" s="214"/>
      <c r="H32" s="214"/>
      <c r="I32" s="214"/>
      <c r="J32" s="214"/>
      <c r="K32" s="214">
        <v>24680022.913306832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>
        <v>24680022.913306832</v>
      </c>
    </row>
    <row r="33" spans="1:40" x14ac:dyDescent="0.25">
      <c r="A33" s="76" t="s">
        <v>236</v>
      </c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>
        <v>2505789.5114368787</v>
      </c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>
        <v>2505789.5114368787</v>
      </c>
    </row>
    <row r="34" spans="1:40" x14ac:dyDescent="0.25">
      <c r="A34" s="77">
        <v>2019</v>
      </c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>
        <v>678325.22851124685</v>
      </c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>
        <v>678325.22851124685</v>
      </c>
    </row>
    <row r="35" spans="1:40" x14ac:dyDescent="0.25">
      <c r="A35" s="77">
        <v>2030</v>
      </c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>
        <v>962189.31811065669</v>
      </c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>
        <v>962189.31811065669</v>
      </c>
    </row>
    <row r="36" spans="1:40" x14ac:dyDescent="0.25">
      <c r="A36" s="77">
        <v>2050</v>
      </c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>
        <v>865274.96481497539</v>
      </c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>
        <v>865274.96481497539</v>
      </c>
    </row>
    <row r="37" spans="1:40" x14ac:dyDescent="0.25">
      <c r="A37" s="76" t="s">
        <v>61</v>
      </c>
      <c r="B37" s="214">
        <v>182574.19618217932</v>
      </c>
      <c r="C37" s="214">
        <v>174242.83649693022</v>
      </c>
      <c r="D37" s="214">
        <v>1462905.7868523435</v>
      </c>
      <c r="E37" s="214">
        <v>8620016.8719404507</v>
      </c>
      <c r="F37" s="214">
        <v>281468.55244752642</v>
      </c>
      <c r="G37" s="214">
        <v>32990.916705013122</v>
      </c>
      <c r="H37" s="214">
        <v>197788.71253069426</v>
      </c>
      <c r="I37" s="214">
        <v>1445379.0531089196</v>
      </c>
      <c r="J37" s="214">
        <v>142742</v>
      </c>
      <c r="K37" s="214">
        <v>69670585.534274369</v>
      </c>
      <c r="L37" s="214">
        <v>1513844.376677237</v>
      </c>
      <c r="M37" s="214">
        <v>5320294.0044332314</v>
      </c>
      <c r="N37" s="214">
        <v>2948427</v>
      </c>
      <c r="O37" s="214">
        <v>8248577.5403640326</v>
      </c>
      <c r="P37" s="214">
        <v>995654</v>
      </c>
      <c r="Q37" s="214">
        <v>3319874.064734261</v>
      </c>
      <c r="R37" s="214">
        <v>12297127.548617851</v>
      </c>
      <c r="S37" s="214">
        <v>20623045.188153107</v>
      </c>
      <c r="T37" s="214">
        <v>2589349.3874389501</v>
      </c>
      <c r="U37" s="214">
        <v>10614071.886210339</v>
      </c>
      <c r="V37" s="214">
        <v>2647325.8446415998</v>
      </c>
      <c r="W37" s="214">
        <v>336392.95646566537</v>
      </c>
      <c r="X37" s="214">
        <v>2505789.5114368787</v>
      </c>
      <c r="Y37" s="214">
        <v>2301061.9926474653</v>
      </c>
      <c r="Z37" s="214">
        <v>134220.03593697932</v>
      </c>
      <c r="AA37" s="214">
        <v>8258401.5311287995</v>
      </c>
      <c r="AB37" s="214">
        <v>34060922.580645159</v>
      </c>
      <c r="AC37" s="214">
        <v>682979.63888483576</v>
      </c>
      <c r="AD37" s="214">
        <v>3133161.2967343521</v>
      </c>
      <c r="AE37" s="214">
        <v>8630115.4022918455</v>
      </c>
      <c r="AF37" s="214">
        <v>12567811.114788953</v>
      </c>
      <c r="AG37" s="214">
        <v>6105893.3515151953</v>
      </c>
      <c r="AH37" s="214">
        <v>15194917.245515604</v>
      </c>
      <c r="AI37" s="214">
        <v>1017205.1649991443</v>
      </c>
      <c r="AJ37" s="214">
        <v>801852.64365980122</v>
      </c>
      <c r="AK37" s="214">
        <v>30089649.061278649</v>
      </c>
      <c r="AL37" s="214">
        <v>3400968.1491124239</v>
      </c>
      <c r="AM37" s="214">
        <v>2431597.7026758408</v>
      </c>
      <c r="AN37" s="214">
        <v>284981224.68152666</v>
      </c>
    </row>
  </sheetData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3.140625" bestFit="1" customWidth="1"/>
    <col min="4" max="4" width="13.28515625" bestFit="1" customWidth="1"/>
    <col min="5" max="5" width="13.85546875" bestFit="1" customWidth="1"/>
    <col min="6" max="6" width="20.7109375" bestFit="1" customWidth="1"/>
    <col min="7" max="7" width="8.42578125" bestFit="1" customWidth="1"/>
    <col min="8" max="8" width="7.7109375" bestFit="1" customWidth="1"/>
    <col min="9" max="9" width="14.5703125" bestFit="1" customWidth="1"/>
    <col min="10" max="10" width="9.28515625" bestFit="1" customWidth="1"/>
    <col min="11" max="12" width="11.28515625" bestFit="1" customWidth="1"/>
    <col min="13" max="13" width="7.7109375" bestFit="1" customWidth="1"/>
    <col min="14" max="14" width="14.5703125" bestFit="1" customWidth="1"/>
    <col min="15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5" t="s">
        <v>277</v>
      </c>
      <c r="B2" s="76">
        <v>1</v>
      </c>
    </row>
    <row r="4" spans="1:11" x14ac:dyDescent="0.25">
      <c r="A4" s="75" t="s">
        <v>304</v>
      </c>
      <c r="B4" s="75" t="s">
        <v>62</v>
      </c>
    </row>
    <row r="5" spans="1:11" x14ac:dyDescent="0.25">
      <c r="A5" s="75" t="s">
        <v>60</v>
      </c>
      <c r="B5" t="s">
        <v>102</v>
      </c>
      <c r="C5" t="s">
        <v>103</v>
      </c>
      <c r="D5" t="s">
        <v>115</v>
      </c>
      <c r="E5" t="s">
        <v>108</v>
      </c>
      <c r="F5" t="s">
        <v>107</v>
      </c>
      <c r="G5" t="s">
        <v>158</v>
      </c>
      <c r="H5" t="s">
        <v>54</v>
      </c>
      <c r="I5" t="s">
        <v>159</v>
      </c>
      <c r="J5" t="s">
        <v>237</v>
      </c>
      <c r="K5" t="s">
        <v>61</v>
      </c>
    </row>
    <row r="6" spans="1:11" x14ac:dyDescent="0.25">
      <c r="A6" s="76">
        <v>2019</v>
      </c>
      <c r="B6" s="74">
        <v>370459.67448149773</v>
      </c>
      <c r="C6" s="74">
        <v>282332.03034110228</v>
      </c>
      <c r="D6" s="74">
        <v>944817.29105430027</v>
      </c>
      <c r="E6" s="74">
        <v>0</v>
      </c>
      <c r="F6" s="74">
        <v>0</v>
      </c>
      <c r="G6" s="74">
        <v>142742</v>
      </c>
      <c r="H6" s="74">
        <v>207824.63776728272</v>
      </c>
      <c r="I6" s="74">
        <v>5421074.2654714445</v>
      </c>
      <c r="J6" s="74">
        <v>0</v>
      </c>
      <c r="K6" s="74">
        <v>7369249.8991156276</v>
      </c>
    </row>
    <row r="7" spans="1:11" x14ac:dyDescent="0.25">
      <c r="A7" s="76">
        <v>2030</v>
      </c>
      <c r="B7" s="74">
        <v>0</v>
      </c>
      <c r="C7" s="74">
        <v>0</v>
      </c>
      <c r="D7" s="74">
        <v>1061273.146936445</v>
      </c>
      <c r="E7" s="74">
        <v>130751.19188854299</v>
      </c>
      <c r="F7" s="74">
        <v>0</v>
      </c>
      <c r="G7" s="74">
        <v>0</v>
      </c>
      <c r="H7" s="74">
        <v>0</v>
      </c>
      <c r="I7" s="74">
        <v>2827503.2748925881</v>
      </c>
      <c r="J7" s="74">
        <v>0</v>
      </c>
      <c r="K7" s="74">
        <v>4019527.6137175756</v>
      </c>
    </row>
    <row r="8" spans="1:11" x14ac:dyDescent="0.25">
      <c r="A8" s="76">
        <v>2050</v>
      </c>
      <c r="B8" s="74">
        <v>0</v>
      </c>
      <c r="C8" s="74">
        <v>0</v>
      </c>
      <c r="D8" s="74">
        <v>1394877.7111216788</v>
      </c>
      <c r="E8" s="74">
        <v>0</v>
      </c>
      <c r="F8" s="74">
        <v>4923.2590935780609</v>
      </c>
      <c r="G8" s="74">
        <v>0</v>
      </c>
      <c r="H8" s="74">
        <v>0</v>
      </c>
      <c r="I8" s="74">
        <v>0</v>
      </c>
      <c r="J8" s="74">
        <v>7553.0176966190775</v>
      </c>
      <c r="K8" s="74">
        <v>1407353.9879118758</v>
      </c>
    </row>
    <row r="9" spans="1:11" x14ac:dyDescent="0.25">
      <c r="A9" s="76" t="s">
        <v>61</v>
      </c>
      <c r="B9" s="74">
        <v>370459.67448149773</v>
      </c>
      <c r="C9" s="74">
        <v>282332.03034110228</v>
      </c>
      <c r="D9" s="74">
        <v>3400968.1491124243</v>
      </c>
      <c r="E9" s="74">
        <v>130751.19188854299</v>
      </c>
      <c r="F9" s="74">
        <v>4923.2590935780609</v>
      </c>
      <c r="G9" s="74">
        <v>142742</v>
      </c>
      <c r="H9" s="74">
        <v>207824.63776728272</v>
      </c>
      <c r="I9" s="74">
        <v>8248577.5403640326</v>
      </c>
      <c r="J9" s="74">
        <v>7553.0176966190775</v>
      </c>
      <c r="K9" s="74">
        <v>12796131.50074508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L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bestFit="1" customWidth="1"/>
    <col min="2" max="2" width="16.28515625" bestFit="1" customWidth="1"/>
    <col min="3" max="3" width="11" bestFit="1" customWidth="1"/>
    <col min="4" max="4" width="5.5703125" bestFit="1" customWidth="1"/>
    <col min="5" max="8" width="9.85546875" bestFit="1" customWidth="1"/>
    <col min="9" max="9" width="20.7109375" bestFit="1" customWidth="1"/>
    <col min="10" max="10" width="5.140625" bestFit="1" customWidth="1"/>
    <col min="11" max="11" width="9.28515625" bestFit="1" customWidth="1"/>
    <col min="12" max="12" width="11.28515625" bestFit="1" customWidth="1"/>
    <col min="13" max="13" width="13.85546875" bestFit="1" customWidth="1"/>
    <col min="14" max="14" width="9.85546875" bestFit="1" customWidth="1"/>
    <col min="15" max="15" width="16" bestFit="1" customWidth="1"/>
    <col min="16" max="16" width="10" bestFit="1" customWidth="1"/>
    <col min="17" max="17" width="8.7109375" bestFit="1" customWidth="1"/>
    <col min="18" max="19" width="9.85546875" bestFit="1" customWidth="1"/>
    <col min="20" max="20" width="21" bestFit="1" customWidth="1"/>
    <col min="21" max="21" width="20.7109375" bestFit="1" customWidth="1"/>
    <col min="22" max="22" width="9.85546875" bestFit="1" customWidth="1"/>
    <col min="23" max="23" width="5.140625" bestFit="1" customWidth="1"/>
    <col min="24" max="24" width="16" bestFit="1" customWidth="1"/>
    <col min="25" max="25" width="9.85546875" bestFit="1" customWidth="1"/>
    <col min="26" max="26" width="12.5703125" bestFit="1" customWidth="1"/>
    <col min="27" max="29" width="9.85546875" bestFit="1" customWidth="1"/>
    <col min="30" max="30" width="9.28515625" bestFit="1" customWidth="1"/>
    <col min="31" max="31" width="12" bestFit="1" customWidth="1"/>
    <col min="32" max="32" width="10.140625" bestFit="1" customWidth="1"/>
    <col min="33" max="33" width="12.140625" bestFit="1" customWidth="1"/>
    <col min="34" max="34" width="8.8554687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10.42578125" bestFit="1" customWidth="1"/>
    <col min="40" max="40" width="12.28515625" bestFit="1" customWidth="1"/>
    <col min="41" max="41" width="14.5703125" bestFit="1" customWidth="1"/>
    <col min="42" max="43" width="9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2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5" t="s">
        <v>299</v>
      </c>
      <c r="B2" s="76">
        <v>1</v>
      </c>
    </row>
    <row r="4" spans="1:12" x14ac:dyDescent="0.25">
      <c r="A4" s="75" t="s">
        <v>251</v>
      </c>
      <c r="B4" s="75" t="s">
        <v>62</v>
      </c>
    </row>
    <row r="5" spans="1:12" x14ac:dyDescent="0.25">
      <c r="A5" s="75" t="s">
        <v>60</v>
      </c>
      <c r="B5" t="s">
        <v>49</v>
      </c>
      <c r="C5" t="s">
        <v>51</v>
      </c>
      <c r="D5" t="s">
        <v>67</v>
      </c>
      <c r="E5" t="s">
        <v>12</v>
      </c>
      <c r="F5" t="s">
        <v>48</v>
      </c>
      <c r="G5" t="s">
        <v>53</v>
      </c>
      <c r="H5" t="s">
        <v>52</v>
      </c>
      <c r="I5" t="s">
        <v>107</v>
      </c>
      <c r="J5" t="s">
        <v>99</v>
      </c>
      <c r="K5" t="s">
        <v>237</v>
      </c>
      <c r="L5" t="s">
        <v>61</v>
      </c>
    </row>
    <row r="6" spans="1:12" x14ac:dyDescent="0.25">
      <c r="A6" s="76">
        <v>2019</v>
      </c>
      <c r="B6" s="94">
        <v>212954.7645341866</v>
      </c>
      <c r="C6" s="94">
        <v>4087571.5535632996</v>
      </c>
      <c r="D6" s="94"/>
      <c r="E6" s="94">
        <v>2143653.1237064754</v>
      </c>
      <c r="F6" s="94">
        <v>2221133.1346202949</v>
      </c>
      <c r="G6" s="94">
        <v>1274488.0820395502</v>
      </c>
      <c r="H6" s="94">
        <v>1637775.5474174484</v>
      </c>
      <c r="I6" s="94">
        <v>105946.31157195524</v>
      </c>
      <c r="J6" s="94">
        <v>76.5</v>
      </c>
      <c r="K6" s="94">
        <v>98784.738662362797</v>
      </c>
      <c r="L6" s="94">
        <v>11782383.756115573</v>
      </c>
    </row>
    <row r="7" spans="1:12" x14ac:dyDescent="0.25">
      <c r="A7" s="76">
        <v>2030</v>
      </c>
      <c r="B7" s="94">
        <v>653024.49980529398</v>
      </c>
      <c r="C7" s="94">
        <v>6850353.2991669225</v>
      </c>
      <c r="D7" s="94"/>
      <c r="E7" s="94">
        <v>2442577.1459222753</v>
      </c>
      <c r="F7" s="94">
        <v>2490416.771948596</v>
      </c>
      <c r="G7" s="94">
        <v>1881564.1784223968</v>
      </c>
      <c r="H7" s="94">
        <v>3026466.3818119029</v>
      </c>
      <c r="I7" s="94">
        <v>93919.791144701536</v>
      </c>
      <c r="J7" s="94">
        <v>76.5</v>
      </c>
      <c r="K7" s="94">
        <v>144457.86975355144</v>
      </c>
      <c r="L7" s="94">
        <v>17582856.437975641</v>
      </c>
    </row>
    <row r="8" spans="1:12" x14ac:dyDescent="0.25">
      <c r="A8" s="76">
        <v>2050</v>
      </c>
      <c r="B8" s="94">
        <v>848292.20060005493</v>
      </c>
      <c r="C8" s="94">
        <v>12949542.520227868</v>
      </c>
      <c r="D8" s="94">
        <v>2.9103830456733704E-11</v>
      </c>
      <c r="E8" s="94">
        <v>1339058.8429484372</v>
      </c>
      <c r="F8" s="94">
        <v>242865.13780933912</v>
      </c>
      <c r="G8" s="94">
        <v>265092.21836580423</v>
      </c>
      <c r="H8" s="94">
        <v>3100093.5358716338</v>
      </c>
      <c r="I8" s="94"/>
      <c r="J8" s="94">
        <v>76.5</v>
      </c>
      <c r="K8" s="94"/>
      <c r="L8" s="94">
        <v>18745020.955823135</v>
      </c>
    </row>
    <row r="9" spans="1:12" x14ac:dyDescent="0.25">
      <c r="A9" s="76" t="s">
        <v>61</v>
      </c>
      <c r="B9" s="94">
        <v>1714271.4649395356</v>
      </c>
      <c r="C9" s="94">
        <v>23887467.37295809</v>
      </c>
      <c r="D9" s="94">
        <v>2.9103830456733704E-11</v>
      </c>
      <c r="E9" s="94">
        <v>5925289.1125771869</v>
      </c>
      <c r="F9" s="94">
        <v>4954415.0443782294</v>
      </c>
      <c r="G9" s="94">
        <v>3421144.4788277512</v>
      </c>
      <c r="H9" s="94">
        <v>7764335.465100985</v>
      </c>
      <c r="I9" s="94">
        <v>199866.10271665678</v>
      </c>
      <c r="J9" s="94">
        <v>229.5</v>
      </c>
      <c r="K9" s="94">
        <v>243242.60841591423</v>
      </c>
      <c r="L9" s="94">
        <v>48110261.149914354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5" t="s">
        <v>62</v>
      </c>
    </row>
    <row r="4" spans="1:11" x14ac:dyDescent="0.25">
      <c r="A4" s="75" t="s">
        <v>60</v>
      </c>
      <c r="B4" t="s">
        <v>229</v>
      </c>
      <c r="C4" t="s">
        <v>158</v>
      </c>
      <c r="D4" t="s">
        <v>223</v>
      </c>
      <c r="E4" t="s">
        <v>226</v>
      </c>
      <c r="F4" t="s">
        <v>225</v>
      </c>
      <c r="G4" t="s">
        <v>221</v>
      </c>
      <c r="H4" t="s">
        <v>311</v>
      </c>
      <c r="I4" t="s">
        <v>230</v>
      </c>
      <c r="J4" t="s">
        <v>224</v>
      </c>
      <c r="K4" t="s">
        <v>61</v>
      </c>
    </row>
    <row r="5" spans="1:11" x14ac:dyDescent="0.25">
      <c r="A5" s="76" t="s">
        <v>284</v>
      </c>
      <c r="B5" s="212"/>
      <c r="C5" s="212"/>
      <c r="D5" s="212"/>
      <c r="E5" s="212"/>
      <c r="F5" s="212"/>
      <c r="G5" s="212"/>
      <c r="H5" s="212"/>
      <c r="I5" s="212"/>
      <c r="J5" s="212"/>
      <c r="K5" s="212"/>
    </row>
    <row r="6" spans="1:11" x14ac:dyDescent="0.25">
      <c r="A6" s="77">
        <v>2019</v>
      </c>
      <c r="B6" s="212">
        <v>17.543930524502301</v>
      </c>
      <c r="C6" s="212">
        <v>0</v>
      </c>
      <c r="D6" s="212">
        <v>0</v>
      </c>
      <c r="E6" s="212">
        <v>19.591464268115235</v>
      </c>
      <c r="F6" s="212">
        <v>0</v>
      </c>
      <c r="G6" s="212">
        <v>0</v>
      </c>
      <c r="H6" s="212">
        <v>0</v>
      </c>
      <c r="I6" s="212">
        <v>3.9505661308495017</v>
      </c>
      <c r="J6" s="212">
        <v>47.491430804576645</v>
      </c>
      <c r="K6" s="212">
        <v>88.577391728043679</v>
      </c>
    </row>
    <row r="7" spans="1:11" x14ac:dyDescent="0.25">
      <c r="A7" s="77">
        <v>2030</v>
      </c>
      <c r="B7" s="212">
        <v>30.013497331745157</v>
      </c>
      <c r="C7" s="212">
        <v>0</v>
      </c>
      <c r="D7" s="212">
        <v>27.572559995733922</v>
      </c>
      <c r="E7" s="212">
        <v>24.593337383854617</v>
      </c>
      <c r="F7" s="212">
        <v>8.5854849999999995E-4</v>
      </c>
      <c r="G7" s="212">
        <v>0.89287881611354847</v>
      </c>
      <c r="H7" s="212">
        <v>0</v>
      </c>
      <c r="I7" s="212">
        <v>10.776520362839355</v>
      </c>
      <c r="J7" s="212">
        <v>62.955434169868305</v>
      </c>
      <c r="K7" s="212">
        <v>156.8050866086549</v>
      </c>
    </row>
    <row r="8" spans="1:11" x14ac:dyDescent="0.25">
      <c r="A8" s="77">
        <v>2050</v>
      </c>
      <c r="B8" s="212">
        <v>29.471314146453889</v>
      </c>
      <c r="C8" s="212">
        <v>0</v>
      </c>
      <c r="D8" s="212">
        <v>33.190998468434543</v>
      </c>
      <c r="E8" s="212">
        <v>2.1577593590788768</v>
      </c>
      <c r="F8" s="212">
        <v>8.5854849999999995E-4</v>
      </c>
      <c r="G8" s="212">
        <v>0.68301122619097132</v>
      </c>
      <c r="H8" s="212">
        <v>0</v>
      </c>
      <c r="I8" s="212">
        <v>9.6910796059277224</v>
      </c>
      <c r="J8" s="212">
        <v>72.284475090226309</v>
      </c>
      <c r="K8" s="212">
        <v>147.47949644481233</v>
      </c>
    </row>
    <row r="9" spans="1:11" x14ac:dyDescent="0.25">
      <c r="A9" s="76" t="s">
        <v>242</v>
      </c>
      <c r="B9" s="212"/>
      <c r="C9" s="212"/>
      <c r="D9" s="212"/>
      <c r="E9" s="212"/>
      <c r="F9" s="212"/>
      <c r="G9" s="212"/>
      <c r="H9" s="212"/>
      <c r="I9" s="212"/>
      <c r="J9" s="212"/>
      <c r="K9" s="212"/>
    </row>
    <row r="10" spans="1:11" x14ac:dyDescent="0.25">
      <c r="A10" s="77">
        <v>2019</v>
      </c>
      <c r="B10" s="212">
        <v>7.483154704207001</v>
      </c>
      <c r="C10" s="212">
        <v>2.1694819870080004</v>
      </c>
      <c r="D10" s="212">
        <v>1.420171986175</v>
      </c>
      <c r="E10" s="212">
        <v>0.45076703431999982</v>
      </c>
      <c r="F10" s="212">
        <v>0</v>
      </c>
      <c r="G10" s="212">
        <v>5.0922829580050024</v>
      </c>
      <c r="H10" s="212">
        <v>0</v>
      </c>
      <c r="I10" s="212">
        <v>0</v>
      </c>
      <c r="J10" s="212">
        <v>0</v>
      </c>
      <c r="K10" s="212">
        <v>16.615858669715003</v>
      </c>
    </row>
    <row r="11" spans="1:11" x14ac:dyDescent="0.25">
      <c r="A11" s="77">
        <v>2030</v>
      </c>
      <c r="B11" s="212">
        <v>3.8367761700003382</v>
      </c>
      <c r="C11" s="212">
        <v>0</v>
      </c>
      <c r="D11" s="212">
        <v>0</v>
      </c>
      <c r="E11" s="212">
        <v>0</v>
      </c>
      <c r="F11" s="212">
        <v>0</v>
      </c>
      <c r="G11" s="212">
        <v>12.081143962122059</v>
      </c>
      <c r="H11" s="212">
        <v>0</v>
      </c>
      <c r="I11" s="212">
        <v>0</v>
      </c>
      <c r="J11" s="212">
        <v>0</v>
      </c>
      <c r="K11" s="212">
        <v>15.917920132122397</v>
      </c>
    </row>
    <row r="12" spans="1:11" x14ac:dyDescent="0.25">
      <c r="A12" s="77">
        <v>2050</v>
      </c>
      <c r="B12" s="212">
        <v>7.5835831560940967</v>
      </c>
      <c r="C12" s="212">
        <v>0</v>
      </c>
      <c r="D12" s="212">
        <v>0</v>
      </c>
      <c r="E12" s="212">
        <v>0</v>
      </c>
      <c r="F12" s="212">
        <v>0</v>
      </c>
      <c r="G12" s="212">
        <v>9.9318748914308159</v>
      </c>
      <c r="H12" s="212">
        <v>0</v>
      </c>
      <c r="I12" s="212">
        <v>0</v>
      </c>
      <c r="J12" s="212">
        <v>0</v>
      </c>
      <c r="K12" s="212">
        <v>17.515458047524913</v>
      </c>
    </row>
    <row r="13" spans="1:11" x14ac:dyDescent="0.25">
      <c r="A13" s="76" t="s">
        <v>285</v>
      </c>
      <c r="B13" s="212">
        <v>77.02874200270135</v>
      </c>
      <c r="C13" s="212">
        <v>0</v>
      </c>
      <c r="D13" s="212">
        <v>60.763558464168469</v>
      </c>
      <c r="E13" s="212">
        <v>46.342561011048723</v>
      </c>
      <c r="F13" s="212">
        <v>1.7170969999999999E-3</v>
      </c>
      <c r="G13" s="212">
        <v>1.5758900423045197</v>
      </c>
      <c r="H13" s="212">
        <v>0</v>
      </c>
      <c r="I13" s="212">
        <v>24.418166099616577</v>
      </c>
      <c r="J13" s="212">
        <v>182.73134006467126</v>
      </c>
      <c r="K13" s="212">
        <v>392.86197478151087</v>
      </c>
    </row>
    <row r="14" spans="1:11" x14ac:dyDescent="0.25">
      <c r="A14" s="76" t="s">
        <v>243</v>
      </c>
      <c r="B14" s="212">
        <v>18.903514030301437</v>
      </c>
      <c r="C14" s="212">
        <v>2.1694819870080004</v>
      </c>
      <c r="D14" s="212">
        <v>1.420171986175</v>
      </c>
      <c r="E14" s="212">
        <v>0.45076703431999982</v>
      </c>
      <c r="F14" s="212">
        <v>0</v>
      </c>
      <c r="G14" s="212">
        <v>27.105301811557879</v>
      </c>
      <c r="H14" s="212">
        <v>0</v>
      </c>
      <c r="I14" s="212">
        <v>0</v>
      </c>
      <c r="J14" s="212">
        <v>0</v>
      </c>
      <c r="K14" s="212">
        <v>50.049236849362316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5" t="s">
        <v>238</v>
      </c>
      <c r="B1" s="75" t="s">
        <v>62</v>
      </c>
    </row>
    <row r="2" spans="1:9" x14ac:dyDescent="0.25">
      <c r="A2" s="75" t="s">
        <v>60</v>
      </c>
      <c r="B2" t="s">
        <v>229</v>
      </c>
      <c r="C2" t="s">
        <v>158</v>
      </c>
      <c r="D2" t="s">
        <v>223</v>
      </c>
      <c r="E2" t="s">
        <v>226</v>
      </c>
      <c r="F2" t="s">
        <v>225</v>
      </c>
      <c r="G2" t="s">
        <v>221</v>
      </c>
      <c r="H2" t="s">
        <v>224</v>
      </c>
      <c r="I2" t="s">
        <v>61</v>
      </c>
    </row>
    <row r="3" spans="1:9" x14ac:dyDescent="0.25">
      <c r="A3" s="76">
        <v>2019</v>
      </c>
      <c r="B3" s="213">
        <v>1077304.94</v>
      </c>
      <c r="C3" s="213">
        <v>128467.8</v>
      </c>
      <c r="D3" s="213">
        <v>128726.35999999999</v>
      </c>
      <c r="E3" s="213">
        <v>1676887.9013836056</v>
      </c>
      <c r="F3" s="213">
        <v>0</v>
      </c>
      <c r="G3" s="213">
        <v>704016.11583333346</v>
      </c>
      <c r="H3" s="213">
        <v>1575935.1462763192</v>
      </c>
      <c r="I3" s="213">
        <v>5291338.2634932585</v>
      </c>
    </row>
    <row r="4" spans="1:9" x14ac:dyDescent="0.25">
      <c r="A4" s="76">
        <v>2030</v>
      </c>
      <c r="B4" s="213">
        <v>1360424.8851667203</v>
      </c>
      <c r="C4" s="213">
        <v>0</v>
      </c>
      <c r="D4" s="213">
        <v>3087861.453655838</v>
      </c>
      <c r="E4" s="213">
        <v>2093107.2904092923</v>
      </c>
      <c r="F4" s="213">
        <v>143.48999999999998</v>
      </c>
      <c r="G4" s="213">
        <v>1710730.9701588601</v>
      </c>
      <c r="H4" s="213">
        <v>1899304.8965703682</v>
      </c>
      <c r="I4" s="213">
        <v>10151572.98596108</v>
      </c>
    </row>
    <row r="5" spans="1:9" x14ac:dyDescent="0.25">
      <c r="A5" s="76">
        <v>2050</v>
      </c>
      <c r="B5" s="213">
        <v>1588452.3141584522</v>
      </c>
      <c r="C5" s="213">
        <v>0</v>
      </c>
      <c r="D5" s="213">
        <v>4325418.2783478722</v>
      </c>
      <c r="E5" s="213">
        <v>184334.66541393907</v>
      </c>
      <c r="F5" s="213">
        <v>143.49</v>
      </c>
      <c r="G5" s="213">
        <v>1478726.611572739</v>
      </c>
      <c r="H5" s="213">
        <v>2093333.1380149107</v>
      </c>
      <c r="I5" s="213">
        <v>9670408.4975079149</v>
      </c>
    </row>
    <row r="6" spans="1:9" x14ac:dyDescent="0.25">
      <c r="A6" s="76" t="s">
        <v>61</v>
      </c>
      <c r="B6" s="213">
        <v>4026182.1393251722</v>
      </c>
      <c r="C6" s="213">
        <v>128467.8</v>
      </c>
      <c r="D6" s="213">
        <v>7542006.0920037106</v>
      </c>
      <c r="E6" s="213">
        <v>3954329.8572068368</v>
      </c>
      <c r="F6" s="213">
        <v>286.98</v>
      </c>
      <c r="G6" s="213">
        <v>3893473.6975649325</v>
      </c>
      <c r="H6" s="213">
        <v>5568573.1808615979</v>
      </c>
      <c r="I6" s="213">
        <v>25113319.746962253</v>
      </c>
    </row>
  </sheetData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5" t="s">
        <v>197</v>
      </c>
      <c r="B1" s="75" t="s">
        <v>62</v>
      </c>
    </row>
    <row r="2" spans="1:10" x14ac:dyDescent="0.25">
      <c r="A2" s="75" t="s">
        <v>60</v>
      </c>
      <c r="B2" t="s">
        <v>111</v>
      </c>
      <c r="C2" t="s">
        <v>199</v>
      </c>
      <c r="D2" t="s">
        <v>192</v>
      </c>
      <c r="E2" t="s">
        <v>193</v>
      </c>
      <c r="F2" t="s">
        <v>10</v>
      </c>
      <c r="G2" t="s">
        <v>260</v>
      </c>
      <c r="H2" t="s">
        <v>309</v>
      </c>
      <c r="I2" t="s">
        <v>331</v>
      </c>
      <c r="J2" t="s">
        <v>61</v>
      </c>
    </row>
    <row r="3" spans="1:10" x14ac:dyDescent="0.25">
      <c r="A3" s="76">
        <v>2019</v>
      </c>
      <c r="B3" s="94">
        <v>15057851.655114504</v>
      </c>
      <c r="C3" s="94">
        <v>-158.43719999999996</v>
      </c>
      <c r="D3" s="94">
        <v>6181573.3288251217</v>
      </c>
      <c r="E3" s="94">
        <v>9725344.026449265</v>
      </c>
      <c r="F3" s="94">
        <v>-562410</v>
      </c>
      <c r="G3" s="94">
        <v>-165207.21089505972</v>
      </c>
      <c r="H3" s="94">
        <v>0</v>
      </c>
      <c r="I3" s="94">
        <v>-121290.05206481964</v>
      </c>
      <c r="J3" s="94">
        <v>30115703.310229003</v>
      </c>
    </row>
    <row r="4" spans="1:10" x14ac:dyDescent="0.25">
      <c r="A4" s="76">
        <v>2030</v>
      </c>
      <c r="B4" s="94">
        <v>9292321.163563855</v>
      </c>
      <c r="C4" s="94">
        <v>-158.43719999999996</v>
      </c>
      <c r="D4" s="94">
        <v>4544306.5246718582</v>
      </c>
      <c r="E4" s="94">
        <v>7429743.4773556339</v>
      </c>
      <c r="F4" s="94">
        <v>-2258932.8950806139</v>
      </c>
      <c r="G4" s="94">
        <v>-300027.47956145997</v>
      </c>
      <c r="H4" s="94">
        <v>0</v>
      </c>
      <c r="I4" s="94">
        <v>-122610.02662156825</v>
      </c>
      <c r="J4" s="94">
        <v>18584642.327127703</v>
      </c>
    </row>
    <row r="5" spans="1:10" x14ac:dyDescent="0.25">
      <c r="A5" s="76">
        <v>2050</v>
      </c>
      <c r="B5" s="94">
        <v>1316600.6510551362</v>
      </c>
      <c r="C5" s="94">
        <v>-158.43719999999996</v>
      </c>
      <c r="D5" s="94">
        <v>1643439.0955653384</v>
      </c>
      <c r="E5" s="94">
        <v>3700585.041819687</v>
      </c>
      <c r="F5" s="94">
        <v>-3586372.4534963565</v>
      </c>
      <c r="G5" s="94">
        <v>-1950.0172409126403</v>
      </c>
      <c r="H5" s="94">
        <v>0</v>
      </c>
      <c r="I5" s="94">
        <v>-438942.57839262037</v>
      </c>
      <c r="J5" s="94">
        <v>2633201.3021102725</v>
      </c>
    </row>
    <row r="6" spans="1:10" x14ac:dyDescent="0.25">
      <c r="A6" s="76" t="s">
        <v>61</v>
      </c>
      <c r="B6" s="94">
        <v>25666773.469733492</v>
      </c>
      <c r="C6" s="94">
        <v>-475.31159999999988</v>
      </c>
      <c r="D6" s="94">
        <v>12369318.949062318</v>
      </c>
      <c r="E6" s="94">
        <v>20855672.545624588</v>
      </c>
      <c r="F6" s="94">
        <v>-6407715.3485769704</v>
      </c>
      <c r="G6" s="94">
        <v>-467184.70769743237</v>
      </c>
      <c r="H6" s="94">
        <v>0</v>
      </c>
      <c r="I6" s="94">
        <v>-682842.65707900829</v>
      </c>
      <c r="J6" s="94">
        <v>51333546.939466976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C8" sqref="C8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4">
        <f>SUMIF('Resultater - Vestdanmark'!$F$3:$F$509,'CO2-udledning'!$D$2,'Resultater - Vestdanmark'!H$3:H$509)</f>
        <v>12925230.885890532</v>
      </c>
      <c r="D2" s="94" t="s">
        <v>111</v>
      </c>
      <c r="E2" s="94" t="s">
        <v>111</v>
      </c>
    </row>
    <row r="3" spans="1:9" x14ac:dyDescent="0.25">
      <c r="A3" t="s">
        <v>23</v>
      </c>
      <c r="B3">
        <f t="shared" si="0"/>
        <v>2019</v>
      </c>
      <c r="C3" s="94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5679335.5964851258</v>
      </c>
      <c r="D3" t="s">
        <v>69</v>
      </c>
      <c r="E3" t="s">
        <v>192</v>
      </c>
      <c r="G3" s="94" t="s">
        <v>167</v>
      </c>
      <c r="H3" s="94" t="s">
        <v>168</v>
      </c>
      <c r="I3" s="94" t="s">
        <v>169</v>
      </c>
    </row>
    <row r="4" spans="1:9" x14ac:dyDescent="0.25">
      <c r="A4" t="s">
        <v>23</v>
      </c>
      <c r="B4">
        <f t="shared" si="0"/>
        <v>2019</v>
      </c>
      <c r="C4" s="94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>
        <f t="shared" si="0"/>
        <v>2019</v>
      </c>
      <c r="C5" s="94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>
        <f t="shared" si="0"/>
        <v>2019</v>
      </c>
      <c r="C6" s="94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>
        <f t="shared" si="0"/>
        <v>2019</v>
      </c>
      <c r="C7" s="94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>
        <f t="shared" si="0"/>
        <v>2019</v>
      </c>
      <c r="C8" s="94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196</v>
      </c>
    </row>
    <row r="9" spans="1:9" x14ac:dyDescent="0.25">
      <c r="A9" t="s">
        <v>23</v>
      </c>
      <c r="B9">
        <f t="shared" si="0"/>
        <v>2019</v>
      </c>
      <c r="C9" s="94">
        <f>SUMIFS('Resultater - Vestdanmark'!H$3:H$496,'Resultater - Vestdanmark'!$F$3:$F$496,'CO2-udledning'!$D$2,'Resultater - Vestdanmark'!$A$3:$A$496,'CO2-udledning'!$G9)</f>
        <v>-93826.565102358349</v>
      </c>
      <c r="D9" t="s">
        <v>330</v>
      </c>
      <c r="E9" t="s">
        <v>331</v>
      </c>
      <c r="G9" t="s">
        <v>329</v>
      </c>
    </row>
    <row r="10" spans="1:9" x14ac:dyDescent="0.25">
      <c r="A10" t="s">
        <v>23</v>
      </c>
      <c r="B10">
        <f t="shared" si="0"/>
        <v>2019</v>
      </c>
      <c r="C10" s="94">
        <f>SUMIFS('Resultater - Vestdanmark'!H$3:H$496,'Resultater - Vestdanmark'!$F$3:$F$496,'CO2-udledning'!$D$2,'Resultater - Vestdanmark'!$A$3:$A$496,'CO2-udledning'!$G10)</f>
        <v>-151930.36566196129</v>
      </c>
      <c r="D10" t="s">
        <v>260</v>
      </c>
      <c r="E10" t="s">
        <v>260</v>
      </c>
      <c r="G10" t="s">
        <v>260</v>
      </c>
    </row>
    <row r="11" spans="1:9" x14ac:dyDescent="0.25">
      <c r="A11" t="s">
        <v>23</v>
      </c>
      <c r="B11">
        <f t="shared" si="0"/>
        <v>2019</v>
      </c>
      <c r="C11" s="94">
        <f>SUMIFS('Resultater - Vestdanmark'!H$3:H$496,'Resultater - Vestdanmark'!$F$3:$F$496,'CO2-udledning'!$D$2,'Resultater - Vestdanmark'!$A$3:$A$496,'CO2-udledning'!$G11)</f>
        <v>0</v>
      </c>
      <c r="D11" t="s">
        <v>309</v>
      </c>
      <c r="E11" t="s">
        <v>309</v>
      </c>
      <c r="G11" t="s">
        <v>309</v>
      </c>
    </row>
    <row r="12" spans="1:9" x14ac:dyDescent="0.25">
      <c r="A12" t="s">
        <v>23</v>
      </c>
      <c r="B12">
        <f t="shared" ref="B12:B21" si="1">År2</f>
        <v>2030</v>
      </c>
      <c r="C12" s="94">
        <f ca="1">SUMIF('Resultater - Vestdanmark'!$F$3:$F$509,'CO2-udledning'!$D$2,'Resultater - Vestdanmark'!I$3:I$509)</f>
        <v>7883894.5701446757</v>
      </c>
      <c r="D12" s="94" t="str">
        <f>IF(D2&lt;&gt;"",D2,"")</f>
        <v>CO2 - atmosfære</v>
      </c>
      <c r="E12" s="94" t="str">
        <f>E2</f>
        <v>CO2 - atmosfære</v>
      </c>
      <c r="F12" s="94" t="str">
        <f>IF(F2&lt;&gt;"",F2,"")</f>
        <v/>
      </c>
      <c r="G12" s="94" t="str">
        <f>IF(G2&lt;&gt;"",G2,"")</f>
        <v/>
      </c>
      <c r="H12" s="94" t="str">
        <f>IF(H2&lt;&gt;"",H2,"")</f>
        <v/>
      </c>
      <c r="I12" s="94" t="str">
        <f>IF(I2&lt;&gt;"",I2,"")</f>
        <v/>
      </c>
    </row>
    <row r="13" spans="1:9" x14ac:dyDescent="0.25">
      <c r="A13" t="s">
        <v>23</v>
      </c>
      <c r="B13">
        <f t="shared" si="1"/>
        <v>2030</v>
      </c>
      <c r="C13" s="94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4155899.9737037299</v>
      </c>
      <c r="D13" s="94" t="str">
        <f t="shared" ref="D13:I13" si="2">IF(D3&lt;&gt;"",D3,"")</f>
        <v>Landbrug</v>
      </c>
      <c r="E13" s="94" t="str">
        <f t="shared" ref="E13:E61" si="3">E3</f>
        <v>Husdyr</v>
      </c>
      <c r="F13" s="94" t="str">
        <f t="shared" si="2"/>
        <v/>
      </c>
      <c r="G13" s="94" t="str">
        <f t="shared" si="2"/>
        <v>Grisestald</v>
      </c>
      <c r="H13" s="94" t="str">
        <f t="shared" si="2"/>
        <v>Kostald</v>
      </c>
      <c r="I13" s="94" t="str">
        <f t="shared" si="2"/>
        <v>Fjerkræbrug</v>
      </c>
    </row>
    <row r="14" spans="1:9" x14ac:dyDescent="0.25">
      <c r="A14" t="s">
        <v>23</v>
      </c>
      <c r="B14">
        <f t="shared" si="1"/>
        <v>2030</v>
      </c>
      <c r="C14" s="94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3531395.5295987274</v>
      </c>
      <c r="D14" s="94" t="str">
        <f t="shared" ref="D14:I14" si="4">IF(D4&lt;&gt;"",D4,"")</f>
        <v>Landbrug</v>
      </c>
      <c r="E14" s="94" t="str">
        <f t="shared" si="3"/>
        <v>Marker</v>
      </c>
      <c r="F14" s="94" t="str">
        <f t="shared" si="4"/>
        <v>JB1-10</v>
      </c>
      <c r="G14" s="94" t="str">
        <f t="shared" si="4"/>
        <v/>
      </c>
      <c r="H14" s="94" t="str">
        <f t="shared" si="4"/>
        <v/>
      </c>
      <c r="I14" s="94" t="str">
        <f t="shared" si="4"/>
        <v/>
      </c>
    </row>
    <row r="15" spans="1:9" x14ac:dyDescent="0.25">
      <c r="A15" t="s">
        <v>23</v>
      </c>
      <c r="B15">
        <f t="shared" si="1"/>
        <v>2030</v>
      </c>
      <c r="C15" s="94">
        <f>SUMIFS('Resultater - Vestdanmark'!I$3:I$496,'Resultater - Vestdanmark'!$F$3:$F$496,'CO2-udledning'!$D$2,'Resultater - Vestdanmark'!$C$3:$C$496,'CO2-udledning'!$F5)</f>
        <v>817585.82822234533</v>
      </c>
      <c r="D15" s="94" t="str">
        <f t="shared" ref="D15:I15" si="5">IF(D5&lt;&gt;"",D5,"")</f>
        <v>Landbrug</v>
      </c>
      <c r="E15" s="94" t="str">
        <f t="shared" si="3"/>
        <v>Marker</v>
      </c>
      <c r="F15" s="94" t="str">
        <f t="shared" si="5"/>
        <v>OC6</v>
      </c>
      <c r="G15" s="94" t="str">
        <f t="shared" si="5"/>
        <v/>
      </c>
      <c r="H15" s="94" t="str">
        <f t="shared" si="5"/>
        <v/>
      </c>
      <c r="I15" s="94" t="str">
        <f t="shared" si="5"/>
        <v/>
      </c>
    </row>
    <row r="16" spans="1:9" x14ac:dyDescent="0.25">
      <c r="A16" t="s">
        <v>23</v>
      </c>
      <c r="B16">
        <f t="shared" si="1"/>
        <v>2030</v>
      </c>
      <c r="C16" s="94">
        <f>SUMIFS('Resultater - Vestdanmark'!I$3:I$496,'Resultater - Vestdanmark'!$F$3:$F$496,'CO2-udledning'!$D$2,'Resultater - Vestdanmark'!$C$3:$C$496,'CO2-udledning'!$F6)</f>
        <v>1624295.7186815178</v>
      </c>
      <c r="D16" s="94" t="str">
        <f t="shared" ref="D16:I16" si="6">IF(D6&lt;&gt;"",D6,"")</f>
        <v>Landbrug</v>
      </c>
      <c r="E16" s="94" t="str">
        <f t="shared" si="3"/>
        <v>Marker</v>
      </c>
      <c r="F16" s="94" t="str">
        <f t="shared" si="6"/>
        <v>OC12</v>
      </c>
      <c r="G16" s="94" t="str">
        <f t="shared" si="6"/>
        <v/>
      </c>
      <c r="H16" s="94" t="str">
        <f t="shared" si="6"/>
        <v/>
      </c>
      <c r="I16" s="94" t="str">
        <f t="shared" si="6"/>
        <v/>
      </c>
    </row>
    <row r="17" spans="1:9" x14ac:dyDescent="0.25">
      <c r="A17" t="s">
        <v>23</v>
      </c>
      <c r="B17">
        <f t="shared" si="1"/>
        <v>2030</v>
      </c>
      <c r="C17" s="94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-158.24317477886137</v>
      </c>
      <c r="D17" s="94" t="str">
        <f t="shared" ref="D17:I17" si="7">IF(D7&lt;&gt;"",D7,"")</f>
        <v>Hav</v>
      </c>
      <c r="E17" s="94" t="str">
        <f t="shared" si="3"/>
        <v>Hav</v>
      </c>
      <c r="F17" s="94" t="str">
        <f t="shared" si="7"/>
        <v/>
      </c>
      <c r="G17" s="94" t="str">
        <f t="shared" si="7"/>
        <v>Muslingefarm</v>
      </c>
      <c r="H17" s="94" t="str">
        <f t="shared" si="7"/>
        <v>Tangfarm</v>
      </c>
      <c r="I17" s="94" t="str">
        <f t="shared" si="7"/>
        <v/>
      </c>
    </row>
    <row r="18" spans="1:9" x14ac:dyDescent="0.25">
      <c r="A18" t="s">
        <v>23</v>
      </c>
      <c r="B18">
        <f t="shared" si="1"/>
        <v>2030</v>
      </c>
      <c r="C18" s="94">
        <f ca="1">SUMIFS('Resultater - Vestdanmark'!I$3:I$496,'Resultater - Vestdanmark'!$F$3:$F$496,'CO2-udledning'!$D$2,'Resultater - Vestdanmark'!$A$3:$A$496,'CO2-udledning'!$G8)</f>
        <v>-1878991.6015824694</v>
      </c>
      <c r="D18" s="94" t="str">
        <f t="shared" ref="D18:I18" si="8">IF(D8&lt;&gt;"",D8,"")</f>
        <v>Skov</v>
      </c>
      <c r="E18" s="94" t="str">
        <f t="shared" si="3"/>
        <v>Skov</v>
      </c>
      <c r="F18" s="94" t="str">
        <f t="shared" si="8"/>
        <v/>
      </c>
      <c r="G18" s="94" t="str">
        <f t="shared" si="8"/>
        <v>Skovproduktion</v>
      </c>
      <c r="H18" s="94" t="str">
        <f t="shared" si="8"/>
        <v/>
      </c>
      <c r="I18" s="94" t="str">
        <f t="shared" si="8"/>
        <v/>
      </c>
    </row>
    <row r="19" spans="1:9" x14ac:dyDescent="0.25">
      <c r="A19" t="s">
        <v>23</v>
      </c>
      <c r="B19">
        <f t="shared" si="1"/>
        <v>2030</v>
      </c>
      <c r="C19" s="94">
        <f ca="1">SUMIFS('Resultater - Vestdanmark'!I$3:I$496,'Resultater - Vestdanmark'!$F$3:$F$496,'CO2-udledning'!$D$2,'Resultater - Vestdanmark'!$A$3:$A$496,'CO2-udledning'!$G9)</f>
        <v>-95441.036993373244</v>
      </c>
      <c r="D19" t="s">
        <v>330</v>
      </c>
      <c r="E19" s="94" t="str">
        <f t="shared" si="3"/>
        <v>Træprodukter</v>
      </c>
      <c r="G19" t="s">
        <v>329</v>
      </c>
      <c r="H19" s="94"/>
      <c r="I19" s="94"/>
    </row>
    <row r="20" spans="1:9" x14ac:dyDescent="0.25">
      <c r="A20" t="s">
        <v>23</v>
      </c>
      <c r="B20">
        <f t="shared" si="1"/>
        <v>2030</v>
      </c>
      <c r="C20" s="94">
        <f>SUMIFS('Resultater - Vestdanmark'!I$3:I$496,'Resultater - Vestdanmark'!$F$3:$F$496,'CO2-udledning'!$D$2,'Resultater - Vestdanmark'!$A$3:$A$496,'CO2-udledning'!$G10)</f>
        <v>-270691.59831102827</v>
      </c>
      <c r="D20" s="94" t="str">
        <f t="shared" ref="D20:I20" si="9">IF(D10&lt;&gt;"",D10,"")</f>
        <v>Biogasanlæg</v>
      </c>
      <c r="E20" s="94" t="str">
        <f t="shared" si="3"/>
        <v>Biogasanlæg</v>
      </c>
      <c r="F20" s="94" t="str">
        <f t="shared" si="9"/>
        <v/>
      </c>
      <c r="G20" s="94" t="str">
        <f t="shared" si="9"/>
        <v>Biogasanlæg</v>
      </c>
      <c r="H20" s="94" t="str">
        <f t="shared" si="9"/>
        <v/>
      </c>
      <c r="I20" s="94" t="str">
        <f t="shared" si="9"/>
        <v/>
      </c>
    </row>
    <row r="21" spans="1:9" x14ac:dyDescent="0.25">
      <c r="A21" t="s">
        <v>23</v>
      </c>
      <c r="B21">
        <f t="shared" si="1"/>
        <v>2030</v>
      </c>
      <c r="C21" s="94">
        <f>SUMIFS('Resultater - Vestdanmark'!I$3:I$496,'Resultater - Vestdanmark'!$F$3:$F$496,'CO2-udledning'!$D$2,'Resultater - Vestdanmark'!$A$3:$A$496,'CO2-udledning'!$G11)</f>
        <v>0</v>
      </c>
      <c r="D21" s="94" t="str">
        <f t="shared" ref="D21:I21" si="10">IF(D11&lt;&gt;"",D11,"")</f>
        <v>Pyrolyseproces</v>
      </c>
      <c r="E21" s="94" t="str">
        <f t="shared" si="3"/>
        <v>Pyrolyseproces</v>
      </c>
      <c r="F21" s="94" t="str">
        <f t="shared" si="10"/>
        <v/>
      </c>
      <c r="G21" s="94" t="str">
        <f t="shared" si="10"/>
        <v>Pyrolyseproces</v>
      </c>
      <c r="H21" s="94" t="str">
        <f t="shared" si="10"/>
        <v/>
      </c>
      <c r="I21" s="94" t="str">
        <f t="shared" si="10"/>
        <v/>
      </c>
    </row>
    <row r="22" spans="1:9" x14ac:dyDescent="0.25">
      <c r="A22" t="s">
        <v>23</v>
      </c>
      <c r="B22">
        <f t="shared" ref="B22:B31" si="11">År3</f>
        <v>2050</v>
      </c>
      <c r="C22" s="94">
        <f ca="1">SUMIF('Resultater - Vestdanmark'!$F$3:$F$509,'CO2-udledning'!$D$2,'Resultater - Vestdanmark'!J$3:J$509)</f>
        <v>908100.21254684706</v>
      </c>
      <c r="D22" s="94" t="str">
        <f t="shared" ref="D22:I22" si="12">IF(D12&lt;&gt;"",D12,"")</f>
        <v>CO2 - atmosfære</v>
      </c>
      <c r="E22" s="94" t="str">
        <f t="shared" si="3"/>
        <v>CO2 - atmosfære</v>
      </c>
      <c r="F22" s="94" t="str">
        <f t="shared" si="12"/>
        <v/>
      </c>
      <c r="G22" s="94" t="str">
        <f t="shared" si="12"/>
        <v/>
      </c>
      <c r="H22" s="94" t="str">
        <f t="shared" si="12"/>
        <v/>
      </c>
      <c r="I22" s="94" t="str">
        <f t="shared" si="12"/>
        <v/>
      </c>
    </row>
    <row r="23" spans="1:9" x14ac:dyDescent="0.25">
      <c r="A23" t="s">
        <v>23</v>
      </c>
      <c r="B23">
        <f t="shared" si="11"/>
        <v>2050</v>
      </c>
      <c r="C23" s="94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1452409.4322177647</v>
      </c>
      <c r="D23" s="94" t="str">
        <f t="shared" ref="D23:I23" si="13">IF(D13&lt;&gt;"",D13,"")</f>
        <v>Landbrug</v>
      </c>
      <c r="E23" s="94" t="str">
        <f t="shared" si="3"/>
        <v>Husdyr</v>
      </c>
      <c r="F23" s="94" t="str">
        <f t="shared" si="13"/>
        <v/>
      </c>
      <c r="G23" s="94" t="str">
        <f t="shared" si="13"/>
        <v>Grisestald</v>
      </c>
      <c r="H23" s="94" t="str">
        <f t="shared" si="13"/>
        <v>Kostald</v>
      </c>
      <c r="I23" s="94" t="str">
        <f t="shared" si="13"/>
        <v>Fjerkræbrug</v>
      </c>
    </row>
    <row r="24" spans="1:9" x14ac:dyDescent="0.25">
      <c r="A24" t="s">
        <v>23</v>
      </c>
      <c r="B24">
        <f t="shared" si="11"/>
        <v>2050</v>
      </c>
      <c r="C24" s="94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2581014.1877439953</v>
      </c>
      <c r="D24" s="94" t="str">
        <f t="shared" ref="D24:I24" si="14">IF(D14&lt;&gt;"",D14,"")</f>
        <v>Landbrug</v>
      </c>
      <c r="E24" s="94" t="str">
        <f t="shared" si="3"/>
        <v>Marker</v>
      </c>
      <c r="F24" s="94" t="str">
        <f t="shared" si="14"/>
        <v>JB1-10</v>
      </c>
      <c r="G24" s="94" t="str">
        <f t="shared" si="14"/>
        <v/>
      </c>
      <c r="H24" s="94" t="str">
        <f t="shared" si="14"/>
        <v/>
      </c>
      <c r="I24" s="94" t="str">
        <f t="shared" si="14"/>
        <v/>
      </c>
    </row>
    <row r="25" spans="1:9" x14ac:dyDescent="0.25">
      <c r="A25" t="s">
        <v>23</v>
      </c>
      <c r="B25">
        <f t="shared" si="11"/>
        <v>2050</v>
      </c>
      <c r="C25" s="94">
        <f>SUMIFS('Resultater - Vestdanmark'!J$3:J$496,'Resultater - Vestdanmark'!$F$3:$F$496,'CO2-udledning'!$D$2,'Resultater - Vestdanmark'!$C$3:$C$496,'CO2-udledning'!$F5)</f>
        <v>73549.300726273679</v>
      </c>
      <c r="D25" s="94" t="str">
        <f t="shared" ref="D25:I25" si="15">IF(D15&lt;&gt;"",D15,"")</f>
        <v>Landbrug</v>
      </c>
      <c r="E25" s="94" t="str">
        <f t="shared" si="3"/>
        <v>Marker</v>
      </c>
      <c r="F25" s="94" t="str">
        <f t="shared" si="15"/>
        <v>OC6</v>
      </c>
      <c r="G25" s="94" t="str">
        <f t="shared" si="15"/>
        <v/>
      </c>
      <c r="H25" s="94" t="str">
        <f t="shared" si="15"/>
        <v/>
      </c>
      <c r="I25" s="94" t="str">
        <f t="shared" si="15"/>
        <v/>
      </c>
    </row>
    <row r="26" spans="1:9" x14ac:dyDescent="0.25">
      <c r="A26" t="s">
        <v>23</v>
      </c>
      <c r="B26">
        <f t="shared" si="11"/>
        <v>2050</v>
      </c>
      <c r="C26" s="94">
        <f>SUMIFS('Resultater - Vestdanmark'!J$3:J$496,'Resultater - Vestdanmark'!$F$3:$F$496,'CO2-udledning'!$D$2,'Resultater - Vestdanmark'!$C$3:$C$496,'CO2-udledning'!$F6)</f>
        <v>153049.78603004583</v>
      </c>
      <c r="D26" s="94" t="str">
        <f t="shared" ref="D26:I26" si="16">IF(D16&lt;&gt;"",D16,"")</f>
        <v>Landbrug</v>
      </c>
      <c r="E26" s="94" t="str">
        <f t="shared" si="3"/>
        <v>Marker</v>
      </c>
      <c r="F26" s="94" t="str">
        <f t="shared" si="16"/>
        <v>OC12</v>
      </c>
      <c r="G26" s="94" t="str">
        <f t="shared" si="16"/>
        <v/>
      </c>
      <c r="H26" s="94" t="str">
        <f t="shared" si="16"/>
        <v/>
      </c>
      <c r="I26" s="94" t="str">
        <f t="shared" si="16"/>
        <v/>
      </c>
    </row>
    <row r="27" spans="1:9" x14ac:dyDescent="0.25">
      <c r="A27" t="s">
        <v>23</v>
      </c>
      <c r="B27">
        <f t="shared" si="11"/>
        <v>2050</v>
      </c>
      <c r="C27" s="94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-158.24317477886137</v>
      </c>
      <c r="D27" s="94" t="str">
        <f t="shared" ref="D27:I27" si="17">IF(D17&lt;&gt;"",D17,"")</f>
        <v>Hav</v>
      </c>
      <c r="E27" s="94" t="str">
        <f t="shared" si="3"/>
        <v>Hav</v>
      </c>
      <c r="F27" s="94" t="str">
        <f t="shared" si="17"/>
        <v/>
      </c>
      <c r="G27" s="94" t="str">
        <f t="shared" si="17"/>
        <v>Muslingefarm</v>
      </c>
      <c r="H27" s="94" t="str">
        <f t="shared" si="17"/>
        <v>Tangfarm</v>
      </c>
      <c r="I27" s="94" t="str">
        <f t="shared" si="17"/>
        <v/>
      </c>
    </row>
    <row r="28" spans="1:9" x14ac:dyDescent="0.25">
      <c r="A28" t="s">
        <v>23</v>
      </c>
      <c r="B28">
        <f t="shared" si="11"/>
        <v>2050</v>
      </c>
      <c r="C28" s="94">
        <f ca="1">SUMIFS('Resultater - Vestdanmark'!J$3:J$496,'Resultater - Vestdanmark'!$F$3:$F$496,'CO2-udledning'!$D$2,'Resultater - Vestdanmark'!$A$3:$A$496,'CO2-udledning'!$G8)</f>
        <v>-2992425.2998776729</v>
      </c>
      <c r="D28" s="94" t="str">
        <f t="shared" ref="D28:I28" si="18">IF(D18&lt;&gt;"",D18,"")</f>
        <v>Skov</v>
      </c>
      <c r="E28" s="94" t="str">
        <f t="shared" si="3"/>
        <v>Skov</v>
      </c>
      <c r="F28" s="94" t="str">
        <f t="shared" si="18"/>
        <v/>
      </c>
      <c r="G28" s="94" t="str">
        <f t="shared" si="18"/>
        <v>Skovproduktion</v>
      </c>
      <c r="H28" s="94" t="str">
        <f t="shared" si="18"/>
        <v/>
      </c>
      <c r="I28" s="94" t="str">
        <f t="shared" si="18"/>
        <v/>
      </c>
    </row>
    <row r="29" spans="1:9" x14ac:dyDescent="0.25">
      <c r="A29" t="s">
        <v>23</v>
      </c>
      <c r="B29">
        <f t="shared" si="11"/>
        <v>2050</v>
      </c>
      <c r="C29" s="94">
        <f ca="1">SUMIFS('Resultater - Vestdanmark'!J$3:J$496,'Resultater - Vestdanmark'!$F$3:$F$496,'CO2-udledning'!$D$2,'Resultater - Vestdanmark'!$A$3:$A$496,'CO2-udledning'!$G9)</f>
        <v>-357518.33254056162</v>
      </c>
      <c r="D29" t="s">
        <v>330</v>
      </c>
      <c r="E29" s="94" t="str">
        <f t="shared" si="3"/>
        <v>Træprodukter</v>
      </c>
      <c r="G29" t="s">
        <v>329</v>
      </c>
      <c r="H29" s="94"/>
      <c r="I29" s="94"/>
    </row>
    <row r="30" spans="1:9" x14ac:dyDescent="0.25">
      <c r="A30" t="s">
        <v>23</v>
      </c>
      <c r="B30">
        <f t="shared" si="11"/>
        <v>2050</v>
      </c>
      <c r="C30" s="94">
        <f>SUMIFS('Resultater - Vestdanmark'!J$3:J$496,'Resultater - Vestdanmark'!$F$3:$F$496,'CO2-udledning'!$D$2,'Resultater - Vestdanmark'!$A$3:$A$496,'CO2-udledning'!$G10)</f>
        <v>-1820.6185782189057</v>
      </c>
      <c r="D30" s="94" t="str">
        <f t="shared" ref="D30:I30" si="19">IF(D20&lt;&gt;"",D20,"")</f>
        <v>Biogasanlæg</v>
      </c>
      <c r="E30" s="94" t="str">
        <f t="shared" si="3"/>
        <v>Biogasanlæg</v>
      </c>
      <c r="F30" s="94" t="str">
        <f t="shared" si="19"/>
        <v/>
      </c>
      <c r="G30" s="94" t="str">
        <f t="shared" si="19"/>
        <v>Biogasanlæg</v>
      </c>
      <c r="H30" s="94" t="str">
        <f t="shared" si="19"/>
        <v/>
      </c>
      <c r="I30" s="94" t="str">
        <f t="shared" si="19"/>
        <v/>
      </c>
    </row>
    <row r="31" spans="1:9" x14ac:dyDescent="0.25">
      <c r="A31" t="s">
        <v>23</v>
      </c>
      <c r="B31">
        <f t="shared" si="11"/>
        <v>2050</v>
      </c>
      <c r="C31" s="94">
        <f>SUMIFS('Resultater - Vestdanmark'!J$3:J$496,'Resultater - Vestdanmark'!$F$3:$F$496,'CO2-udledning'!$D$2,'Resultater - Vestdanmark'!$A$3:$A$496,'CO2-udledning'!$G11)</f>
        <v>0</v>
      </c>
      <c r="D31" s="94" t="str">
        <f t="shared" ref="D31:I31" si="20">IF(D21&lt;&gt;"",D21,"")</f>
        <v>Pyrolyseproces</v>
      </c>
      <c r="E31" s="94" t="str">
        <f t="shared" si="3"/>
        <v>Pyrolyseproces</v>
      </c>
      <c r="F31" s="94" t="str">
        <f t="shared" si="20"/>
        <v/>
      </c>
      <c r="G31" s="94" t="str">
        <f t="shared" si="20"/>
        <v>Pyrolyseproces</v>
      </c>
      <c r="H31" s="94" t="str">
        <f t="shared" si="20"/>
        <v/>
      </c>
      <c r="I31" s="94" t="str">
        <f t="shared" si="20"/>
        <v/>
      </c>
    </row>
    <row r="32" spans="1:9" x14ac:dyDescent="0.25">
      <c r="A32" t="s">
        <v>24</v>
      </c>
      <c r="B32">
        <f t="shared" ref="B32:B41" si="21">År1</f>
        <v>2019</v>
      </c>
      <c r="C32" s="94">
        <f ca="1">SUMIF('Resultater - Østdanmark'!$F$3:$F$509,'CO2-udledning'!$D$2,'Resultater - Østdanmark'!H$3:H$509)</f>
        <v>2132620.7692239708</v>
      </c>
      <c r="D32" s="94" t="str">
        <f t="shared" ref="D32:I32" si="22">IF(D22&lt;&gt;"",D22,"")</f>
        <v>CO2 - atmosfære</v>
      </c>
      <c r="E32" s="94" t="str">
        <f t="shared" si="3"/>
        <v>CO2 - atmosfære</v>
      </c>
      <c r="F32" s="94" t="str">
        <f t="shared" si="22"/>
        <v/>
      </c>
      <c r="G32" s="94" t="str">
        <f t="shared" si="22"/>
        <v/>
      </c>
      <c r="H32" s="94" t="str">
        <f t="shared" si="22"/>
        <v/>
      </c>
      <c r="I32" s="94" t="str">
        <f t="shared" si="22"/>
        <v/>
      </c>
    </row>
    <row r="33" spans="1:9" x14ac:dyDescent="0.25">
      <c r="A33" t="s">
        <v>24</v>
      </c>
      <c r="B33">
        <f t="shared" si="21"/>
        <v>2019</v>
      </c>
      <c r="C33" s="94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502237.73233999556</v>
      </c>
      <c r="D33" s="94" t="str">
        <f t="shared" ref="D33:I33" si="23">IF(D23&lt;&gt;"",D23,"")</f>
        <v>Landbrug</v>
      </c>
      <c r="E33" s="94" t="str">
        <f t="shared" si="3"/>
        <v>Husdyr</v>
      </c>
      <c r="F33" s="94" t="str">
        <f t="shared" si="23"/>
        <v/>
      </c>
      <c r="G33" s="94" t="str">
        <f t="shared" si="23"/>
        <v>Grisestald</v>
      </c>
      <c r="H33" s="94" t="str">
        <f t="shared" si="23"/>
        <v>Kostald</v>
      </c>
      <c r="I33" s="94" t="str">
        <f t="shared" si="23"/>
        <v>Fjerkræbrug</v>
      </c>
    </row>
    <row r="34" spans="1:9" x14ac:dyDescent="0.25">
      <c r="A34" t="s">
        <v>24</v>
      </c>
      <c r="B34">
        <f t="shared" si="21"/>
        <v>2019</v>
      </c>
      <c r="C34" s="74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4" t="str">
        <f t="shared" ref="D34:I34" si="24">IF(D24&lt;&gt;"",D24,"")</f>
        <v>Landbrug</v>
      </c>
      <c r="E34" s="94" t="str">
        <f t="shared" si="3"/>
        <v>Marker</v>
      </c>
      <c r="F34" s="94" t="str">
        <f t="shared" si="24"/>
        <v>JB1-10</v>
      </c>
      <c r="G34" s="94" t="str">
        <f t="shared" si="24"/>
        <v/>
      </c>
      <c r="H34" s="94" t="str">
        <f t="shared" si="24"/>
        <v/>
      </c>
      <c r="I34" s="94" t="str">
        <f t="shared" si="24"/>
        <v/>
      </c>
    </row>
    <row r="35" spans="1:9" x14ac:dyDescent="0.25">
      <c r="A35" t="s">
        <v>24</v>
      </c>
      <c r="B35">
        <f t="shared" si="21"/>
        <v>2019</v>
      </c>
      <c r="C35" s="74">
        <f>SUMIFS('Resultater - Østdanmark'!H$3:H$496,'Resultater - Østdanmark'!$F$3:$F$496,'CO2-udledning'!$D$2,'Resultater - Østdanmark'!$C$3:$C$496,'CO2-udledning'!$F5)</f>
        <v>193386.46389020365</v>
      </c>
      <c r="D35" s="94" t="str">
        <f t="shared" ref="D35:I35" si="25">IF(D25&lt;&gt;"",D25,"")</f>
        <v>Landbrug</v>
      </c>
      <c r="E35" s="94" t="str">
        <f t="shared" si="3"/>
        <v>Marker</v>
      </c>
      <c r="F35" s="94" t="str">
        <f t="shared" si="25"/>
        <v>OC6</v>
      </c>
      <c r="G35" s="94" t="str">
        <f t="shared" si="25"/>
        <v/>
      </c>
      <c r="H35" s="94" t="str">
        <f t="shared" si="25"/>
        <v/>
      </c>
      <c r="I35" s="94" t="str">
        <f t="shared" si="25"/>
        <v/>
      </c>
    </row>
    <row r="36" spans="1:9" x14ac:dyDescent="0.25">
      <c r="A36" t="s">
        <v>24</v>
      </c>
      <c r="B36">
        <f t="shared" si="21"/>
        <v>2019</v>
      </c>
      <c r="C36" s="74">
        <f>SUMIFS('Resultater - Østdanmark'!H$3:H$496,'Resultater - Østdanmark'!$F$3:$F$496,'CO2-udledning'!$D$2,'Resultater - Østdanmark'!$C$3:$C$496,'CO2-udledning'!$F6)</f>
        <v>374231.82041424053</v>
      </c>
      <c r="D36" s="94" t="str">
        <f t="shared" ref="D36:I36" si="26">IF(D26&lt;&gt;"",D26,"")</f>
        <v>Landbrug</v>
      </c>
      <c r="E36" s="94" t="str">
        <f t="shared" si="3"/>
        <v>Marker</v>
      </c>
      <c r="F36" s="94" t="str">
        <f t="shared" si="26"/>
        <v>OC12</v>
      </c>
      <c r="G36" s="94" t="str">
        <f t="shared" si="26"/>
        <v/>
      </c>
      <c r="H36" s="94" t="str">
        <f t="shared" si="26"/>
        <v/>
      </c>
      <c r="I36" s="94" t="str">
        <f t="shared" si="26"/>
        <v/>
      </c>
    </row>
    <row r="37" spans="1:9" x14ac:dyDescent="0.25">
      <c r="A37" t="s">
        <v>24</v>
      </c>
      <c r="B37">
        <f t="shared" si="21"/>
        <v>2019</v>
      </c>
      <c r="C37" s="94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4" t="str">
        <f t="shared" ref="D37:I37" si="27">IF(D27&lt;&gt;"",D27,"")</f>
        <v>Hav</v>
      </c>
      <c r="E37" s="94" t="str">
        <f t="shared" si="3"/>
        <v>Hav</v>
      </c>
      <c r="F37" s="94" t="str">
        <f t="shared" si="27"/>
        <v/>
      </c>
      <c r="G37" s="94" t="str">
        <f t="shared" si="27"/>
        <v>Muslingefarm</v>
      </c>
      <c r="H37" s="94" t="str">
        <f t="shared" si="27"/>
        <v>Tangfarm</v>
      </c>
      <c r="I37" s="94" t="str">
        <f t="shared" si="27"/>
        <v/>
      </c>
    </row>
    <row r="38" spans="1:9" x14ac:dyDescent="0.25">
      <c r="A38" t="s">
        <v>24</v>
      </c>
      <c r="B38">
        <f t="shared" si="21"/>
        <v>2019</v>
      </c>
      <c r="C38" s="94">
        <f ca="1">SUMIFS('Resultater - Østdanmark'!H$3:H$496,'Resultater - Østdanmark'!$F$3:$F$496,'CO2-udledning'!$D$2,'Resultater - Østdanmark'!$A$3:$A$496,'CO2-udledning'!$G38)</f>
        <v>-127345.4783769354</v>
      </c>
      <c r="D38" s="94" t="str">
        <f t="shared" ref="D38:I38" si="28">IF(D28&lt;&gt;"",D28,"")</f>
        <v>Skov</v>
      </c>
      <c r="E38" s="94" t="str">
        <f t="shared" si="3"/>
        <v>Skov</v>
      </c>
      <c r="F38" s="94" t="str">
        <f t="shared" si="28"/>
        <v/>
      </c>
      <c r="G38" s="94" t="str">
        <f t="shared" si="28"/>
        <v>Skovproduktion</v>
      </c>
      <c r="H38" s="94" t="str">
        <f t="shared" si="28"/>
        <v/>
      </c>
      <c r="I38" s="94" t="str">
        <f t="shared" si="28"/>
        <v/>
      </c>
    </row>
    <row r="39" spans="1:9" x14ac:dyDescent="0.25">
      <c r="A39" t="s">
        <v>24</v>
      </c>
      <c r="B39">
        <f t="shared" si="21"/>
        <v>2019</v>
      </c>
      <c r="C39" s="94">
        <f ca="1">SUMIFS('Resultater - Østdanmark'!H$3:H$496,'Resultater - Østdanmark'!$F$3:$F$496,'CO2-udledning'!$D$2,'Resultater - Østdanmark'!$A$3:$A$496,'CO2-udledning'!$G39)</f>
        <v>-27463.486962461298</v>
      </c>
      <c r="D39" t="s">
        <v>330</v>
      </c>
      <c r="E39" s="94" t="str">
        <f t="shared" si="3"/>
        <v>Træprodukter</v>
      </c>
      <c r="G39" t="s">
        <v>329</v>
      </c>
      <c r="H39" s="94"/>
      <c r="I39" s="94"/>
    </row>
    <row r="40" spans="1:9" x14ac:dyDescent="0.25">
      <c r="A40" t="s">
        <v>24</v>
      </c>
      <c r="B40">
        <f t="shared" si="21"/>
        <v>2019</v>
      </c>
      <c r="C40" s="94">
        <f>SUMIFS('Resultater - Østdanmark'!H$3:H$496,'Resultater - Østdanmark'!$F$3:$F$496,'CO2-udledning'!$D$2,'Resultater - Østdanmark'!$A$3:$A$496,'CO2-udledning'!$G40)</f>
        <v>-13276.84523309844</v>
      </c>
      <c r="D40" s="94" t="str">
        <f t="shared" ref="D40:I40" si="29">IF(D30&lt;&gt;"",D30,"")</f>
        <v>Biogasanlæg</v>
      </c>
      <c r="E40" s="94" t="str">
        <f t="shared" si="3"/>
        <v>Biogasanlæg</v>
      </c>
      <c r="F40" s="94" t="str">
        <f t="shared" si="29"/>
        <v/>
      </c>
      <c r="G40" s="94" t="str">
        <f t="shared" si="29"/>
        <v>Biogasanlæg</v>
      </c>
      <c r="H40" s="94" t="str">
        <f t="shared" si="29"/>
        <v/>
      </c>
      <c r="I40" s="94" t="str">
        <f t="shared" si="29"/>
        <v/>
      </c>
    </row>
    <row r="41" spans="1:9" x14ac:dyDescent="0.25">
      <c r="A41" t="s">
        <v>24</v>
      </c>
      <c r="B41">
        <f t="shared" si="21"/>
        <v>2019</v>
      </c>
      <c r="C41" s="94">
        <f>SUMIFS('Resultater - Østdanmark'!H$3:H$496,'Resultater - Østdanmark'!$F$3:$F$496,'CO2-udledning'!$D$2,'Resultater - Østdanmark'!$A$3:$A$496,'CO2-udledning'!$G41)</f>
        <v>0</v>
      </c>
      <c r="D41" s="94" t="str">
        <f t="shared" ref="D41:I41" si="30">IF(D31&lt;&gt;"",D31,"")</f>
        <v>Pyrolyseproces</v>
      </c>
      <c r="E41" s="94" t="str">
        <f t="shared" si="3"/>
        <v>Pyrolyseproces</v>
      </c>
      <c r="F41" s="94" t="str">
        <f t="shared" si="30"/>
        <v/>
      </c>
      <c r="G41" s="94" t="str">
        <f t="shared" si="30"/>
        <v>Pyrolyseproces</v>
      </c>
      <c r="H41" s="94" t="str">
        <f t="shared" si="30"/>
        <v/>
      </c>
      <c r="I41" s="94" t="str">
        <f t="shared" si="30"/>
        <v/>
      </c>
    </row>
    <row r="42" spans="1:9" x14ac:dyDescent="0.25">
      <c r="A42" t="s">
        <v>24</v>
      </c>
      <c r="B42">
        <f t="shared" ref="B42:B51" si="31">År2</f>
        <v>2030</v>
      </c>
      <c r="C42" s="94">
        <f ca="1">SUMIF('Resultater - Østdanmark'!$F$3:$F$509,'CO2-udledning'!$D$2,'Resultater - Østdanmark'!I$3:I$509)</f>
        <v>1408426.5934191789</v>
      </c>
      <c r="D42" s="94" t="str">
        <f t="shared" ref="D42:I42" si="32">IF(D32&lt;&gt;"",D32,"")</f>
        <v>CO2 - atmosfære</v>
      </c>
      <c r="E42" s="94" t="str">
        <f t="shared" si="3"/>
        <v>CO2 - atmosfære</v>
      </c>
      <c r="F42" s="94" t="str">
        <f t="shared" si="32"/>
        <v/>
      </c>
      <c r="G42" s="94" t="str">
        <f t="shared" si="32"/>
        <v/>
      </c>
      <c r="H42" s="94" t="str">
        <f t="shared" si="32"/>
        <v/>
      </c>
      <c r="I42" s="94" t="str">
        <f t="shared" si="32"/>
        <v/>
      </c>
    </row>
    <row r="43" spans="1:9" x14ac:dyDescent="0.25">
      <c r="A43" t="s">
        <v>24</v>
      </c>
      <c r="B43">
        <f t="shared" si="31"/>
        <v>2030</v>
      </c>
      <c r="C43" s="94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388406.55096812779</v>
      </c>
      <c r="D43" s="94" t="str">
        <f t="shared" ref="D43:I43" si="33">IF(D33&lt;&gt;"",D33,"")</f>
        <v>Landbrug</v>
      </c>
      <c r="E43" s="94" t="str">
        <f t="shared" si="3"/>
        <v>Husdyr</v>
      </c>
      <c r="F43" s="94" t="str">
        <f t="shared" si="33"/>
        <v/>
      </c>
      <c r="G43" s="94" t="str">
        <f t="shared" si="33"/>
        <v>Grisestald</v>
      </c>
      <c r="H43" s="94" t="str">
        <f t="shared" si="33"/>
        <v>Kostald</v>
      </c>
      <c r="I43" s="94" t="str">
        <f t="shared" si="33"/>
        <v>Fjerkræbrug</v>
      </c>
    </row>
    <row r="44" spans="1:9" x14ac:dyDescent="0.25">
      <c r="A44" t="s">
        <v>24</v>
      </c>
      <c r="B44">
        <f t="shared" si="31"/>
        <v>2030</v>
      </c>
      <c r="C44" s="74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1085668.0687409649</v>
      </c>
      <c r="D44" s="94" t="str">
        <f t="shared" ref="D44:I44" si="34">IF(D34&lt;&gt;"",D34,"")</f>
        <v>Landbrug</v>
      </c>
      <c r="E44" s="94" t="str">
        <f t="shared" si="3"/>
        <v>Marker</v>
      </c>
      <c r="F44" s="94" t="str">
        <f t="shared" si="34"/>
        <v>JB1-10</v>
      </c>
      <c r="G44" s="94" t="str">
        <f t="shared" si="34"/>
        <v/>
      </c>
      <c r="H44" s="94" t="str">
        <f t="shared" si="34"/>
        <v/>
      </c>
      <c r="I44" s="94" t="str">
        <f t="shared" si="34"/>
        <v/>
      </c>
    </row>
    <row r="45" spans="1:9" x14ac:dyDescent="0.25">
      <c r="A45" t="s">
        <v>24</v>
      </c>
      <c r="B45">
        <f t="shared" si="31"/>
        <v>2030</v>
      </c>
      <c r="C45" s="74">
        <f>SUMIFS('Resultater - Østdanmark'!I$3:I$496,'Resultater - Østdanmark'!$F$3:$F$496,'CO2-udledning'!$D$2,'Resultater - Østdanmark'!$C$3:$C$496,'CO2-udledning'!$F5)</f>
        <v>124173.21561020505</v>
      </c>
      <c r="D45" s="94" t="str">
        <f t="shared" ref="D45:I45" si="35">IF(D35&lt;&gt;"",D35,"")</f>
        <v>Landbrug</v>
      </c>
      <c r="E45" s="94" t="str">
        <f t="shared" si="3"/>
        <v>Marker</v>
      </c>
      <c r="F45" s="94" t="str">
        <f t="shared" si="35"/>
        <v>OC6</v>
      </c>
      <c r="G45" s="94" t="str">
        <f t="shared" si="35"/>
        <v/>
      </c>
      <c r="H45" s="94" t="str">
        <f t="shared" si="35"/>
        <v/>
      </c>
      <c r="I45" s="94" t="str">
        <f t="shared" si="35"/>
        <v/>
      </c>
    </row>
    <row r="46" spans="1:9" x14ac:dyDescent="0.25">
      <c r="A46" t="s">
        <v>24</v>
      </c>
      <c r="B46">
        <f t="shared" si="31"/>
        <v>2030</v>
      </c>
      <c r="C46" s="74">
        <f>SUMIFS('Resultater - Østdanmark'!I$3:I$496,'Resultater - Østdanmark'!$F$3:$F$496,'CO2-udledning'!$D$2,'Resultater - Østdanmark'!$C$3:$C$496,'CO2-udledning'!$F6)</f>
        <v>246625.11650187292</v>
      </c>
      <c r="D46" s="94" t="str">
        <f t="shared" ref="D46:I46" si="36">IF(D36&lt;&gt;"",D36,"")</f>
        <v>Landbrug</v>
      </c>
      <c r="E46" s="94" t="str">
        <f t="shared" si="3"/>
        <v>Marker</v>
      </c>
      <c r="F46" s="94" t="str">
        <f t="shared" si="36"/>
        <v>OC12</v>
      </c>
      <c r="G46" s="94" t="str">
        <f t="shared" si="36"/>
        <v/>
      </c>
      <c r="H46" s="94" t="str">
        <f t="shared" si="36"/>
        <v/>
      </c>
      <c r="I46" s="94" t="str">
        <f t="shared" si="36"/>
        <v/>
      </c>
    </row>
    <row r="47" spans="1:9" x14ac:dyDescent="0.25">
      <c r="A47" t="s">
        <v>24</v>
      </c>
      <c r="B47">
        <f t="shared" si="31"/>
        <v>2030</v>
      </c>
      <c r="C47" s="94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-0.19402522113858015</v>
      </c>
      <c r="D47" s="94" t="str">
        <f t="shared" ref="D47:I47" si="37">IF(D37&lt;&gt;"",D37,"")</f>
        <v>Hav</v>
      </c>
      <c r="E47" s="94" t="str">
        <f t="shared" si="3"/>
        <v>Hav</v>
      </c>
      <c r="F47" s="94" t="str">
        <f t="shared" si="37"/>
        <v/>
      </c>
      <c r="G47" s="94" t="str">
        <f t="shared" si="37"/>
        <v>Muslingefarm</v>
      </c>
      <c r="H47" s="94" t="str">
        <f t="shared" si="37"/>
        <v>Tangfarm</v>
      </c>
      <c r="I47" s="94" t="str">
        <f t="shared" si="37"/>
        <v/>
      </c>
    </row>
    <row r="48" spans="1:9" x14ac:dyDescent="0.25">
      <c r="A48" t="s">
        <v>24</v>
      </c>
      <c r="B48">
        <f t="shared" si="31"/>
        <v>2030</v>
      </c>
      <c r="C48" s="94">
        <f ca="1">SUMIFS('Resultater - Østdanmark'!I$3:I$496,'Resultater - Østdanmark'!$F$3:$F$496,'CO2-udledning'!$D$2,'Resultater - Østdanmark'!$A$3:$A$496,'CO2-udledning'!$G38)</f>
        <v>-379941.29349814425</v>
      </c>
      <c r="D48" s="94" t="str">
        <f t="shared" ref="D48:I48" si="38">IF(D38&lt;&gt;"",D38,"")</f>
        <v>Skov</v>
      </c>
      <c r="E48" s="94" t="str">
        <f t="shared" si="3"/>
        <v>Skov</v>
      </c>
      <c r="F48" s="94" t="str">
        <f t="shared" si="38"/>
        <v/>
      </c>
      <c r="G48" s="94" t="str">
        <f t="shared" si="38"/>
        <v>Skovproduktion</v>
      </c>
      <c r="H48" s="94" t="str">
        <f t="shared" si="38"/>
        <v/>
      </c>
      <c r="I48" s="94" t="str">
        <f t="shared" si="38"/>
        <v/>
      </c>
    </row>
    <row r="49" spans="1:9" x14ac:dyDescent="0.25">
      <c r="A49" t="s">
        <v>24</v>
      </c>
      <c r="B49">
        <f t="shared" si="31"/>
        <v>2030</v>
      </c>
      <c r="C49" s="94">
        <f ca="1">SUMIFS('Resultater - Østdanmark'!I$3:I$496,'Resultater - Østdanmark'!$F$3:$F$496,'CO2-udledning'!$D$2,'Resultater - Østdanmark'!$A$3:$A$496,'CO2-udledning'!$G39)</f>
        <v>-27168.989628195013</v>
      </c>
      <c r="D49" t="s">
        <v>330</v>
      </c>
      <c r="E49" s="94" t="str">
        <f t="shared" si="3"/>
        <v>Træprodukter</v>
      </c>
      <c r="G49" t="s">
        <v>329</v>
      </c>
      <c r="H49" s="94"/>
      <c r="I49" s="94"/>
    </row>
    <row r="50" spans="1:9" x14ac:dyDescent="0.25">
      <c r="A50" t="s">
        <v>24</v>
      </c>
      <c r="B50">
        <f t="shared" si="31"/>
        <v>2030</v>
      </c>
      <c r="C50" s="94">
        <f>SUMIFS('Resultater - Østdanmark'!I$3:I$496,'Resultater - Østdanmark'!$F$3:$F$496,'CO2-udledning'!$D$2,'Resultater - Østdanmark'!$A$3:$A$496,'CO2-udledning'!$G40)</f>
        <v>-29335.881250431688</v>
      </c>
      <c r="D50" s="94" t="str">
        <f t="shared" ref="D50:I50" si="39">IF(D40&lt;&gt;"",D40,"")</f>
        <v>Biogasanlæg</v>
      </c>
      <c r="E50" s="94" t="str">
        <f t="shared" si="3"/>
        <v>Biogasanlæg</v>
      </c>
      <c r="F50" s="94" t="str">
        <f t="shared" si="39"/>
        <v/>
      </c>
      <c r="G50" s="94" t="str">
        <f t="shared" si="39"/>
        <v>Biogasanlæg</v>
      </c>
      <c r="H50" s="94" t="str">
        <f t="shared" si="39"/>
        <v/>
      </c>
      <c r="I50" s="94" t="str">
        <f t="shared" si="39"/>
        <v/>
      </c>
    </row>
    <row r="51" spans="1:9" x14ac:dyDescent="0.25">
      <c r="A51" t="s">
        <v>24</v>
      </c>
      <c r="B51">
        <f t="shared" si="31"/>
        <v>2030</v>
      </c>
      <c r="C51" s="94">
        <f>SUMIFS('Resultater - Østdanmark'!I$3:I$496,'Resultater - Østdanmark'!$F$3:$F$496,'CO2-udledning'!$D$2,'Resultater - Østdanmark'!$A$3:$A$496,'CO2-udledning'!$G41)</f>
        <v>0</v>
      </c>
      <c r="D51" s="94" t="str">
        <f t="shared" ref="D51:I51" si="40">IF(D41&lt;&gt;"",D41,"")</f>
        <v>Pyrolyseproces</v>
      </c>
      <c r="E51" s="94" t="str">
        <f t="shared" si="3"/>
        <v>Pyrolyseproces</v>
      </c>
      <c r="F51" s="94" t="str">
        <f t="shared" si="40"/>
        <v/>
      </c>
      <c r="G51" s="94" t="str">
        <f t="shared" si="40"/>
        <v>Pyrolyseproces</v>
      </c>
      <c r="H51" s="94" t="str">
        <f t="shared" si="40"/>
        <v/>
      </c>
      <c r="I51" s="94" t="str">
        <f t="shared" si="40"/>
        <v/>
      </c>
    </row>
    <row r="52" spans="1:9" x14ac:dyDescent="0.25">
      <c r="A52" t="s">
        <v>24</v>
      </c>
      <c r="B52">
        <f t="shared" ref="B52:B61" si="41">År3</f>
        <v>2050</v>
      </c>
      <c r="C52" s="94">
        <f ca="1">SUMIF('Resultater - Østdanmark'!$F$3:$F$509,'CO2-udledning'!$D$2,'Resultater - Østdanmark'!J$3:J$509)</f>
        <v>408500.43850828905</v>
      </c>
      <c r="D52" s="94" t="str">
        <f t="shared" ref="D52:I52" si="42">IF(D42&lt;&gt;"",D42,"")</f>
        <v>CO2 - atmosfære</v>
      </c>
      <c r="E52" s="94" t="str">
        <f t="shared" si="3"/>
        <v>CO2 - atmosfære</v>
      </c>
      <c r="F52" s="94" t="str">
        <f t="shared" si="42"/>
        <v/>
      </c>
      <c r="G52" s="94" t="str">
        <f t="shared" si="42"/>
        <v/>
      </c>
      <c r="H52" s="94" t="str">
        <f t="shared" si="42"/>
        <v/>
      </c>
      <c r="I52" s="94" t="str">
        <f t="shared" si="42"/>
        <v/>
      </c>
    </row>
    <row r="53" spans="1:9" x14ac:dyDescent="0.25">
      <c r="A53" t="s">
        <v>24</v>
      </c>
      <c r="B53">
        <f t="shared" si="41"/>
        <v>2050</v>
      </c>
      <c r="C53" s="94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191029.66334757369</v>
      </c>
      <c r="D53" s="94" t="str">
        <f t="shared" ref="D53:I53" si="43">IF(D43&lt;&gt;"",D43,"")</f>
        <v>Landbrug</v>
      </c>
      <c r="E53" s="94" t="str">
        <f t="shared" si="3"/>
        <v>Husdyr</v>
      </c>
      <c r="F53" s="94" t="str">
        <f t="shared" si="43"/>
        <v/>
      </c>
      <c r="G53" s="94" t="str">
        <f t="shared" si="43"/>
        <v>Grisestald</v>
      </c>
      <c r="H53" s="94" t="str">
        <f t="shared" si="43"/>
        <v>Kostald</v>
      </c>
      <c r="I53" s="94" t="str">
        <f t="shared" si="43"/>
        <v>Fjerkræbrug</v>
      </c>
    </row>
    <row r="54" spans="1:9" x14ac:dyDescent="0.25">
      <c r="A54" t="s">
        <v>24</v>
      </c>
      <c r="B54">
        <f t="shared" si="41"/>
        <v>2050</v>
      </c>
      <c r="C54" s="74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858556.5476584296</v>
      </c>
      <c r="D54" s="94" t="str">
        <f t="shared" ref="D54:I54" si="44">IF(D44&lt;&gt;"",D44,"")</f>
        <v>Landbrug</v>
      </c>
      <c r="E54" s="94" t="str">
        <f t="shared" si="3"/>
        <v>Marker</v>
      </c>
      <c r="F54" s="94" t="str">
        <f t="shared" si="44"/>
        <v>JB1-10</v>
      </c>
      <c r="G54" s="94" t="str">
        <f t="shared" si="44"/>
        <v/>
      </c>
      <c r="H54" s="94" t="str">
        <f t="shared" si="44"/>
        <v/>
      </c>
      <c r="I54" s="94" t="str">
        <f t="shared" si="44"/>
        <v/>
      </c>
    </row>
    <row r="55" spans="1:9" x14ac:dyDescent="0.25">
      <c r="A55" t="s">
        <v>24</v>
      </c>
      <c r="B55">
        <f t="shared" si="41"/>
        <v>2050</v>
      </c>
      <c r="C55" s="74">
        <f>SUMIFS('Resultater - Østdanmark'!J$3:J$496,'Resultater - Østdanmark'!$F$3:$F$496,'CO2-udledning'!$D$2,'Resultater - Østdanmark'!$C$3:$C$496,'CO2-udledning'!$F5)</f>
        <v>11170.456936242925</v>
      </c>
      <c r="D55" s="94" t="str">
        <f t="shared" ref="D55:I55" si="45">IF(D45&lt;&gt;"",D45,"")</f>
        <v>Landbrug</v>
      </c>
      <c r="E55" s="94" t="str">
        <f t="shared" si="3"/>
        <v>Marker</v>
      </c>
      <c r="F55" s="94" t="str">
        <f t="shared" si="45"/>
        <v>OC6</v>
      </c>
      <c r="G55" s="94" t="str">
        <f t="shared" si="45"/>
        <v/>
      </c>
      <c r="H55" s="94" t="str">
        <f t="shared" si="45"/>
        <v/>
      </c>
      <c r="I55" s="94" t="str">
        <f t="shared" si="45"/>
        <v/>
      </c>
    </row>
    <row r="56" spans="1:9" x14ac:dyDescent="0.25">
      <c r="A56" t="s">
        <v>24</v>
      </c>
      <c r="B56">
        <f t="shared" si="41"/>
        <v>2050</v>
      </c>
      <c r="C56" s="74">
        <f>SUMIFS('Resultater - Østdanmark'!J$3:J$496,'Resultater - Østdanmark'!$F$3:$F$496,'CO2-udledning'!$D$2,'Resultater - Østdanmark'!$C$3:$C$496,'CO2-udledning'!$F6)</f>
        <v>23244.76272469978</v>
      </c>
      <c r="D56" s="94" t="str">
        <f t="shared" ref="D56:I56" si="46">IF(D46&lt;&gt;"",D46,"")</f>
        <v>Landbrug</v>
      </c>
      <c r="E56" s="94" t="str">
        <f t="shared" si="3"/>
        <v>Marker</v>
      </c>
      <c r="F56" s="94" t="str">
        <f t="shared" si="46"/>
        <v>OC12</v>
      </c>
      <c r="G56" s="94" t="str">
        <f t="shared" si="46"/>
        <v/>
      </c>
      <c r="H56" s="94" t="str">
        <f t="shared" si="46"/>
        <v/>
      </c>
      <c r="I56" s="94" t="str">
        <f t="shared" si="46"/>
        <v/>
      </c>
    </row>
    <row r="57" spans="1:9" x14ac:dyDescent="0.25">
      <c r="A57" t="s">
        <v>24</v>
      </c>
      <c r="B57">
        <f t="shared" si="41"/>
        <v>2050</v>
      </c>
      <c r="C57" s="94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-0.19402522113858015</v>
      </c>
      <c r="D57" s="94" t="str">
        <f t="shared" ref="D57:I57" si="47">IF(D47&lt;&gt;"",D47,"")</f>
        <v>Hav</v>
      </c>
      <c r="E57" s="94" t="str">
        <f t="shared" si="3"/>
        <v>Hav</v>
      </c>
      <c r="F57" s="94" t="str">
        <f t="shared" si="47"/>
        <v/>
      </c>
      <c r="G57" s="94" t="str">
        <f t="shared" si="47"/>
        <v>Muslingefarm</v>
      </c>
      <c r="H57" s="94" t="str">
        <f t="shared" si="47"/>
        <v>Tangfarm</v>
      </c>
      <c r="I57" s="94" t="str">
        <f t="shared" si="47"/>
        <v/>
      </c>
    </row>
    <row r="58" spans="1:9" x14ac:dyDescent="0.25">
      <c r="A58" t="s">
        <v>24</v>
      </c>
      <c r="B58">
        <f t="shared" si="41"/>
        <v>2050</v>
      </c>
      <c r="C58" s="94">
        <f ca="1">SUMIFS('Resultater - Østdanmark'!J$3:J$496,'Resultater - Østdanmark'!$F$3:$F$496,'CO2-udledning'!$D$2,'Resultater - Østdanmark'!$A$3:$A$496,'CO2-udledning'!$G38)</f>
        <v>-593947.15361868346</v>
      </c>
      <c r="D58" s="94" t="str">
        <f t="shared" ref="D58:I58" si="48">IF(D48&lt;&gt;"",D48,"")</f>
        <v>Skov</v>
      </c>
      <c r="E58" s="94" t="str">
        <f t="shared" si="3"/>
        <v>Skov</v>
      </c>
      <c r="F58" s="94" t="str">
        <f t="shared" si="48"/>
        <v/>
      </c>
      <c r="G58" s="94" t="str">
        <f t="shared" si="48"/>
        <v>Skovproduktion</v>
      </c>
      <c r="H58" s="94" t="str">
        <f t="shared" si="48"/>
        <v/>
      </c>
      <c r="I58" s="94" t="str">
        <f t="shared" si="48"/>
        <v/>
      </c>
    </row>
    <row r="59" spans="1:9" x14ac:dyDescent="0.25">
      <c r="A59" t="s">
        <v>24</v>
      </c>
      <c r="B59">
        <f t="shared" si="41"/>
        <v>2050</v>
      </c>
      <c r="C59" s="94">
        <f ca="1">SUMIFS('Resultater - Østdanmark'!J$3:J$496,'Resultater - Østdanmark'!$F$3:$F$496,'CO2-udledning'!$D$2,'Resultater - Østdanmark'!$A$3:$A$496,'CO2-udledning'!$G39)</f>
        <v>-81424.245852058768</v>
      </c>
      <c r="D59" t="s">
        <v>330</v>
      </c>
      <c r="E59" s="94" t="str">
        <f t="shared" si="3"/>
        <v>Træprodukter</v>
      </c>
      <c r="G59" t="s">
        <v>329</v>
      </c>
      <c r="H59" s="94"/>
      <c r="I59" s="94"/>
    </row>
    <row r="60" spans="1:9" x14ac:dyDescent="0.25">
      <c r="A60" t="s">
        <v>24</v>
      </c>
      <c r="B60">
        <f t="shared" si="41"/>
        <v>2050</v>
      </c>
      <c r="C60" s="94">
        <f>SUMIFS('Resultater - Østdanmark'!J$3:J$496,'Resultater - Østdanmark'!$F$3:$F$496,'CO2-udledning'!$D$2,'Resultater - Østdanmark'!$A$3:$A$496,'CO2-udledning'!$G40)</f>
        <v>-129.39866269373474</v>
      </c>
      <c r="D60" s="94" t="str">
        <f t="shared" ref="D60:I60" si="49">IF(D50&lt;&gt;"",D50,"")</f>
        <v>Biogasanlæg</v>
      </c>
      <c r="E60" s="94" t="str">
        <f t="shared" si="3"/>
        <v>Biogasanlæg</v>
      </c>
      <c r="F60" s="94" t="str">
        <f t="shared" si="49"/>
        <v/>
      </c>
      <c r="G60" s="94" t="str">
        <f t="shared" si="49"/>
        <v>Biogasanlæg</v>
      </c>
      <c r="H60" s="94" t="str">
        <f t="shared" si="49"/>
        <v/>
      </c>
      <c r="I60" s="94" t="str">
        <f t="shared" si="49"/>
        <v/>
      </c>
    </row>
    <row r="61" spans="1:9" x14ac:dyDescent="0.25">
      <c r="A61" t="s">
        <v>24</v>
      </c>
      <c r="B61">
        <f t="shared" si="41"/>
        <v>2050</v>
      </c>
      <c r="C61" s="94">
        <f>SUMIFS('Resultater - Østdanmark'!J$3:J$496,'Resultater - Østdanmark'!$F$3:$F$496,'CO2-udledning'!$D$2,'Resultater - Østdanmark'!$A$3:$A$496,'CO2-udledning'!$G41)</f>
        <v>0</v>
      </c>
      <c r="D61" s="94" t="str">
        <f t="shared" ref="D61:I61" si="50">IF(D51&lt;&gt;"",D51,"")</f>
        <v>Pyrolyseproces</v>
      </c>
      <c r="E61" s="94" t="str">
        <f t="shared" si="3"/>
        <v>Pyrolyseproces</v>
      </c>
      <c r="F61" s="94" t="str">
        <f t="shared" si="50"/>
        <v/>
      </c>
      <c r="G61" s="94" t="str">
        <f t="shared" si="50"/>
        <v>Pyrolyseproces</v>
      </c>
      <c r="H61" s="94" t="str">
        <f t="shared" si="50"/>
        <v/>
      </c>
      <c r="I61" s="94" t="str">
        <f t="shared" si="50"/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4" width="9.1406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5" t="s">
        <v>64</v>
      </c>
      <c r="B1" t="s">
        <v>80</v>
      </c>
    </row>
    <row r="3" spans="1:15" x14ac:dyDescent="0.25">
      <c r="A3" s="75" t="s">
        <v>126</v>
      </c>
      <c r="B3" s="75" t="s">
        <v>62</v>
      </c>
    </row>
    <row r="4" spans="1:15" x14ac:dyDescent="0.25">
      <c r="A4" s="75" t="s">
        <v>60</v>
      </c>
      <c r="B4" t="s">
        <v>49</v>
      </c>
      <c r="C4" t="s">
        <v>113</v>
      </c>
      <c r="D4" t="s">
        <v>54</v>
      </c>
      <c r="E4" t="s">
        <v>51</v>
      </c>
      <c r="F4" t="s">
        <v>6</v>
      </c>
      <c r="G4" t="s">
        <v>56</v>
      </c>
      <c r="H4" t="s">
        <v>12</v>
      </c>
      <c r="I4" t="s">
        <v>48</v>
      </c>
      <c r="J4" t="s">
        <v>53</v>
      </c>
      <c r="K4" t="s">
        <v>55</v>
      </c>
      <c r="L4" t="s">
        <v>95</v>
      </c>
      <c r="M4" t="s">
        <v>50</v>
      </c>
      <c r="N4" t="s">
        <v>52</v>
      </c>
      <c r="O4" t="s">
        <v>61</v>
      </c>
    </row>
    <row r="5" spans="1:15" x14ac:dyDescent="0.25">
      <c r="A5" s="76">
        <v>2019</v>
      </c>
      <c r="B5" s="94">
        <v>285369.85676311865</v>
      </c>
      <c r="C5" s="94">
        <v>1508282.669250763</v>
      </c>
      <c r="D5" s="94">
        <v>41728.949017214291</v>
      </c>
      <c r="E5" s="94">
        <v>17913006.538833313</v>
      </c>
      <c r="F5" s="94">
        <v>280322.43675931642</v>
      </c>
      <c r="G5" s="94">
        <v>912099.45136908058</v>
      </c>
      <c r="H5" s="94">
        <v>2263176.157376945</v>
      </c>
      <c r="I5" s="94">
        <v>9112085.8491583709</v>
      </c>
      <c r="J5" s="94">
        <v>7955921.1296188012</v>
      </c>
      <c r="K5" s="94">
        <v>2006067.2488276002</v>
      </c>
      <c r="L5" s="94">
        <v>209867.13867694439</v>
      </c>
      <c r="M5" s="94">
        <v>678325.22851124685</v>
      </c>
      <c r="N5" s="94">
        <v>2610834.0419031042</v>
      </c>
      <c r="O5" s="94">
        <v>45777086.696065806</v>
      </c>
    </row>
    <row r="6" spans="1:15" x14ac:dyDescent="0.25">
      <c r="A6" s="76">
        <v>2030</v>
      </c>
      <c r="B6" s="94">
        <v>711567.98134110344</v>
      </c>
      <c r="C6" s="94">
        <v>989487.16104781546</v>
      </c>
      <c r="D6" s="94">
        <v>638614.48161594116</v>
      </c>
      <c r="E6" s="94">
        <v>29802893.251747362</v>
      </c>
      <c r="F6" s="94">
        <v>416975.9671256108</v>
      </c>
      <c r="G6" s="94">
        <v>887583.7004243203</v>
      </c>
      <c r="H6" s="94">
        <v>3294694.3063373538</v>
      </c>
      <c r="I6" s="94">
        <v>6125005.1879481785</v>
      </c>
      <c r="J6" s="94">
        <v>5395334.9719225094</v>
      </c>
      <c r="K6" s="94">
        <v>1349220.0574663728</v>
      </c>
      <c r="L6" s="94">
        <v>1169664.3920535347</v>
      </c>
      <c r="M6" s="94">
        <v>962189.31811065669</v>
      </c>
      <c r="N6" s="94">
        <v>3789970.9535080842</v>
      </c>
      <c r="O6" s="94">
        <v>55533201.730648853</v>
      </c>
    </row>
    <row r="7" spans="1:15" x14ac:dyDescent="0.25">
      <c r="A7" s="76">
        <v>2050</v>
      </c>
      <c r="B7" s="94">
        <v>891576.46333224361</v>
      </c>
      <c r="C7" s="94">
        <v>83716.319006591395</v>
      </c>
      <c r="D7" s="94">
        <v>1032360.8523594537</v>
      </c>
      <c r="E7" s="94">
        <v>45842153.116651788</v>
      </c>
      <c r="F7" s="94">
        <v>402131.52042787225</v>
      </c>
      <c r="G7" s="94">
        <v>515416.99573239626</v>
      </c>
      <c r="H7" s="94">
        <v>3114555.2534101894</v>
      </c>
      <c r="I7" s="94">
        <v>642399.17873835156</v>
      </c>
      <c r="J7" s="94">
        <v>683960.2634967803</v>
      </c>
      <c r="K7" s="94">
        <v>120867.78516734685</v>
      </c>
      <c r="L7" s="94">
        <v>1753629.766003873</v>
      </c>
      <c r="M7" s="94">
        <v>865274.96481497539</v>
      </c>
      <c r="N7" s="94">
        <v>3664592.462337262</v>
      </c>
      <c r="O7" s="94">
        <v>59612634.941479117</v>
      </c>
    </row>
    <row r="8" spans="1:15" x14ac:dyDescent="0.25">
      <c r="A8" s="76" t="s">
        <v>61</v>
      </c>
      <c r="B8" s="94">
        <v>1888514.3014364657</v>
      </c>
      <c r="C8" s="94">
        <v>2581486.1493051699</v>
      </c>
      <c r="D8" s="94">
        <v>1712704.2829926091</v>
      </c>
      <c r="E8" s="94">
        <v>93558052.907232463</v>
      </c>
      <c r="F8" s="94">
        <v>1099429.9243127995</v>
      </c>
      <c r="G8" s="94">
        <v>2315100.1475257971</v>
      </c>
      <c r="H8" s="94">
        <v>8672425.7171244882</v>
      </c>
      <c r="I8" s="94">
        <v>15879490.215844901</v>
      </c>
      <c r="J8" s="94">
        <v>14035216.365038091</v>
      </c>
      <c r="K8" s="94">
        <v>3476155.0914613195</v>
      </c>
      <c r="L8" s="94">
        <v>3133161.2967343521</v>
      </c>
      <c r="M8" s="94">
        <v>2505789.5114368787</v>
      </c>
      <c r="N8" s="94">
        <v>10065397.45774845</v>
      </c>
      <c r="O8" s="94">
        <v>160922923.36819378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11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11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11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11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11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11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11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11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11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11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11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11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11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11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4698307.4709618408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11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545577.01129372371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11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736385.00175039668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11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23233296.600181103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11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318920.65280775877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11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2537122.9309529141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11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2891451.8691946529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11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4171283.8969927602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11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488405.10801459721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11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1037736.7550566321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11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749561.48395824642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11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682243.34675238712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11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897193.5214277351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11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482048.93054039421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11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669028.68943321821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11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649292.34846099082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11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34445105.835390486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11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301754.85239496577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11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2337126.3206842514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11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2749867.8949207771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11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513235.88893477799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11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774671.670329666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11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90697.791194463221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11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62819.759709472717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11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386762.96576702269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11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1315903.5397993135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11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11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11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11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11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11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11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11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11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11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11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11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11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11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1426697.7169863379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11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165990.97004737973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11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225804.31636026004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11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6569596.6515662586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11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98055.31431785204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11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757571.37538443948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11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898519.08431343141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11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1224051.0749297491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11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150209.37360134395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11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311483.30240974069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11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239925.67708956901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11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205340.3536719332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11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272470.87062579964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11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160350.24819795735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11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222547.77389902543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11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215982.61635398451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11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11397047.281261299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11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100376.66803290648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11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777428.93272593827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11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914724.5674164847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11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170724.37456200234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11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257689.18202978774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11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30169.993972883625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11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20896.559297118682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11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128654.0299653736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11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437726.22620455944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119</v>
      </c>
      <c r="C5" t="s">
        <v>118</v>
      </c>
      <c r="D5" t="s">
        <v>61</v>
      </c>
    </row>
    <row r="6" spans="1:4" x14ac:dyDescent="0.25">
      <c r="A6" s="76">
        <v>2019</v>
      </c>
      <c r="B6" s="213">
        <v>3010292.0648196544</v>
      </c>
      <c r="C6" s="213">
        <v>827707.93518034508</v>
      </c>
      <c r="D6" s="213">
        <v>3837999.9999999995</v>
      </c>
    </row>
    <row r="7" spans="1:4" x14ac:dyDescent="0.25">
      <c r="A7" s="76">
        <v>2030</v>
      </c>
      <c r="B7" s="213">
        <v>2858758.2285455461</v>
      </c>
      <c r="C7" s="213">
        <v>789510.6267450063</v>
      </c>
      <c r="D7" s="213">
        <v>3648268.8552905526</v>
      </c>
    </row>
    <row r="8" spans="1:4" x14ac:dyDescent="0.25">
      <c r="A8" s="76">
        <v>2050</v>
      </c>
      <c r="B8" s="213">
        <v>2761065.1089266455</v>
      </c>
      <c r="C8" s="213">
        <v>814379.14075048931</v>
      </c>
      <c r="D8" s="213">
        <v>3575444.2496771347</v>
      </c>
    </row>
    <row r="9" spans="1:4" x14ac:dyDescent="0.25">
      <c r="A9" s="76" t="s">
        <v>61</v>
      </c>
      <c r="B9" s="213">
        <v>8630115.4022918455</v>
      </c>
      <c r="C9" s="213">
        <v>2431597.7026758408</v>
      </c>
      <c r="D9" s="213">
        <v>11061713.104967687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C7" sqref="C7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5.8554687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5" t="s">
        <v>191</v>
      </c>
      <c r="B4" s="75" t="s">
        <v>62</v>
      </c>
    </row>
    <row r="5" spans="1:4" x14ac:dyDescent="0.25">
      <c r="A5" s="75" t="s">
        <v>60</v>
      </c>
      <c r="B5" t="s">
        <v>106</v>
      </c>
      <c r="C5" t="s">
        <v>99</v>
      </c>
      <c r="D5" t="s">
        <v>61</v>
      </c>
    </row>
    <row r="6" spans="1:4" x14ac:dyDescent="0.25">
      <c r="A6" s="76">
        <v>2019</v>
      </c>
      <c r="B6" s="213">
        <v>880.09999999999991</v>
      </c>
      <c r="C6" s="213">
        <v>76.5</v>
      </c>
      <c r="D6" s="213">
        <v>956.59999999999991</v>
      </c>
    </row>
    <row r="7" spans="1:4" x14ac:dyDescent="0.25">
      <c r="A7" s="76">
        <v>2030</v>
      </c>
      <c r="B7" s="213">
        <v>880.09999999999991</v>
      </c>
      <c r="C7" s="213">
        <v>76.5</v>
      </c>
      <c r="D7" s="213">
        <v>956.59999999999991</v>
      </c>
    </row>
    <row r="8" spans="1:4" x14ac:dyDescent="0.25">
      <c r="A8" s="76">
        <v>2050</v>
      </c>
      <c r="B8" s="213">
        <v>880.09999999999991</v>
      </c>
      <c r="C8" s="213">
        <v>76.5</v>
      </c>
      <c r="D8" s="213">
        <v>956.59999999999991</v>
      </c>
    </row>
    <row r="9" spans="1:4" x14ac:dyDescent="0.25">
      <c r="A9" s="76" t="s">
        <v>61</v>
      </c>
      <c r="B9" s="213">
        <v>2640.2999999999997</v>
      </c>
      <c r="C9" s="213">
        <v>229.5</v>
      </c>
      <c r="D9" s="213">
        <v>2869.7999999999997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5" t="s">
        <v>64</v>
      </c>
      <c r="B1" t="s">
        <v>80</v>
      </c>
    </row>
    <row r="3" spans="1:7" x14ac:dyDescent="0.25">
      <c r="A3" s="75" t="s">
        <v>79</v>
      </c>
      <c r="B3" s="75" t="s">
        <v>62</v>
      </c>
    </row>
    <row r="4" spans="1:7" x14ac:dyDescent="0.25">
      <c r="A4" s="75" t="s">
        <v>60</v>
      </c>
      <c r="B4" t="s">
        <v>11</v>
      </c>
      <c r="C4" t="s">
        <v>32</v>
      </c>
      <c r="D4" t="s">
        <v>9</v>
      </c>
      <c r="E4" t="s">
        <v>33</v>
      </c>
      <c r="F4" t="s">
        <v>10</v>
      </c>
      <c r="G4" t="s">
        <v>61</v>
      </c>
    </row>
    <row r="5" spans="1:7" x14ac:dyDescent="0.25">
      <c r="A5" s="76">
        <v>2019</v>
      </c>
      <c r="B5" s="213">
        <v>66640</v>
      </c>
      <c r="C5" s="213">
        <v>592120</v>
      </c>
      <c r="D5" s="213">
        <v>2578669.9999999995</v>
      </c>
      <c r="E5" s="213">
        <v>505590.00000000006</v>
      </c>
      <c r="F5" s="213">
        <v>562410</v>
      </c>
      <c r="G5" s="213">
        <v>4305430</v>
      </c>
    </row>
    <row r="6" spans="1:7" x14ac:dyDescent="0.25">
      <c r="A6" s="76">
        <v>2030</v>
      </c>
      <c r="B6" s="213">
        <v>66640</v>
      </c>
      <c r="C6" s="213">
        <v>592120</v>
      </c>
      <c r="D6" s="213">
        <v>2360113.5481481482</v>
      </c>
      <c r="E6" s="213">
        <v>599146.45185185189</v>
      </c>
      <c r="F6" s="213">
        <v>687410</v>
      </c>
      <c r="G6" s="213">
        <v>4305430</v>
      </c>
    </row>
    <row r="7" spans="1:7" x14ac:dyDescent="0.25">
      <c r="A7" s="76">
        <v>2050</v>
      </c>
      <c r="B7" s="213">
        <v>66640</v>
      </c>
      <c r="C7" s="213">
        <v>592120</v>
      </c>
      <c r="D7" s="213">
        <v>1967809.4</v>
      </c>
      <c r="E7" s="213">
        <v>866450.6</v>
      </c>
      <c r="F7" s="213">
        <v>812410</v>
      </c>
      <c r="G7" s="213">
        <v>4305430</v>
      </c>
    </row>
    <row r="8" spans="1:7" x14ac:dyDescent="0.25">
      <c r="A8" s="76" t="s">
        <v>61</v>
      </c>
      <c r="B8" s="213">
        <v>199920</v>
      </c>
      <c r="C8" s="213">
        <v>1776360</v>
      </c>
      <c r="D8" s="213">
        <v>6906592.9481481481</v>
      </c>
      <c r="E8" s="213">
        <v>1971187.0518518519</v>
      </c>
      <c r="F8" s="213">
        <v>2062230</v>
      </c>
      <c r="G8" s="213">
        <v>12916290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9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5" t="s">
        <v>63</v>
      </c>
      <c r="B1" t="s">
        <v>80</v>
      </c>
    </row>
    <row r="2" spans="1:16" x14ac:dyDescent="0.25">
      <c r="A2" s="75" t="s">
        <v>64</v>
      </c>
      <c r="B2" t="s">
        <v>80</v>
      </c>
    </row>
    <row r="4" spans="1:16" x14ac:dyDescent="0.25">
      <c r="A4" s="75" t="s">
        <v>87</v>
      </c>
      <c r="B4" s="75" t="s">
        <v>62</v>
      </c>
    </row>
    <row r="5" spans="1:16" x14ac:dyDescent="0.25">
      <c r="A5" s="75" t="s">
        <v>60</v>
      </c>
      <c r="B5" t="s">
        <v>49</v>
      </c>
      <c r="C5" t="s">
        <v>54</v>
      </c>
      <c r="D5" t="s">
        <v>51</v>
      </c>
      <c r="E5" t="s">
        <v>6</v>
      </c>
      <c r="F5" t="s">
        <v>56</v>
      </c>
      <c r="G5" t="s">
        <v>12</v>
      </c>
      <c r="H5" t="s">
        <v>48</v>
      </c>
      <c r="I5" t="s">
        <v>53</v>
      </c>
      <c r="J5" t="s">
        <v>55</v>
      </c>
      <c r="K5" t="s">
        <v>50</v>
      </c>
      <c r="L5" t="s">
        <v>52</v>
      </c>
      <c r="M5" t="s">
        <v>38</v>
      </c>
      <c r="N5" t="s">
        <v>95</v>
      </c>
      <c r="O5" t="s">
        <v>113</v>
      </c>
      <c r="P5" t="s">
        <v>61</v>
      </c>
    </row>
    <row r="6" spans="1:16" x14ac:dyDescent="0.25">
      <c r="A6" s="76">
        <v>2019</v>
      </c>
      <c r="B6" s="213">
        <v>76936.491003913645</v>
      </c>
      <c r="C6" s="213">
        <v>5112.5796318426765</v>
      </c>
      <c r="D6" s="213">
        <v>288510.97448626079</v>
      </c>
      <c r="E6" s="213">
        <v>12737.861407364735</v>
      </c>
      <c r="F6" s="213">
        <v>18955.494408534123</v>
      </c>
      <c r="G6" s="213">
        <v>55123.467536910946</v>
      </c>
      <c r="H6" s="213">
        <v>1338020.0537015593</v>
      </c>
      <c r="I6" s="213">
        <v>180387.32565123856</v>
      </c>
      <c r="J6" s="213">
        <v>69972.60108508839</v>
      </c>
      <c r="K6" s="213">
        <v>161391.51776080468</v>
      </c>
      <c r="L6" s="213">
        <v>33713.005264576917</v>
      </c>
      <c r="M6" s="213">
        <v>221142.47330260737</v>
      </c>
      <c r="N6" s="213">
        <v>8583.1535453348897</v>
      </c>
      <c r="O6" s="213">
        <v>108083.00121396239</v>
      </c>
      <c r="P6" s="213">
        <v>2578669.9999999995</v>
      </c>
    </row>
    <row r="7" spans="1:16" x14ac:dyDescent="0.25">
      <c r="A7" s="76">
        <v>2030</v>
      </c>
      <c r="B7" s="213">
        <v>180073.11350727544</v>
      </c>
      <c r="C7" s="213">
        <v>73607.866760578181</v>
      </c>
      <c r="D7" s="213">
        <v>444567.04710477311</v>
      </c>
      <c r="E7" s="213">
        <v>17671.724441322243</v>
      </c>
      <c r="F7" s="213">
        <v>17267.995311134342</v>
      </c>
      <c r="G7" s="213">
        <v>75497.99136321932</v>
      </c>
      <c r="H7" s="213">
        <v>839134.03680241993</v>
      </c>
      <c r="I7" s="213">
        <v>114170.9193097361</v>
      </c>
      <c r="J7" s="213">
        <v>43929.095606920775</v>
      </c>
      <c r="K7" s="213">
        <v>214057.37275692378</v>
      </c>
      <c r="L7" s="213">
        <v>45628.198349496306</v>
      </c>
      <c r="M7" s="213">
        <v>181436.99973857668</v>
      </c>
      <c r="N7" s="213">
        <v>46716.554233256022</v>
      </c>
      <c r="O7" s="213">
        <v>66354.632862515791</v>
      </c>
      <c r="P7" s="213">
        <v>2360113.5481481478</v>
      </c>
    </row>
    <row r="8" spans="1:16" x14ac:dyDescent="0.25">
      <c r="A8" s="76">
        <v>2050</v>
      </c>
      <c r="B8" s="213">
        <v>331489.12</v>
      </c>
      <c r="C8" s="213">
        <v>174510.60559841484</v>
      </c>
      <c r="D8" s="213">
        <v>682477.6</v>
      </c>
      <c r="E8" s="213">
        <v>25022.097261734216</v>
      </c>
      <c r="F8" s="213">
        <v>14794.037636208201</v>
      </c>
      <c r="G8" s="213">
        <v>105245.26582749051</v>
      </c>
      <c r="H8" s="213">
        <v>111888.38375016491</v>
      </c>
      <c r="I8" s="213">
        <v>15144.956432253495</v>
      </c>
      <c r="J8" s="213">
        <v>5821.7212903924656</v>
      </c>
      <c r="K8" s="213">
        <v>292490.40000000002</v>
      </c>
      <c r="L8" s="213">
        <v>64726.236910775297</v>
      </c>
      <c r="M8" s="213">
        <v>32604.873805524119</v>
      </c>
      <c r="N8" s="213">
        <v>103185.75676537695</v>
      </c>
      <c r="O8" s="213">
        <v>8408.3447216651639</v>
      </c>
      <c r="P8" s="213">
        <v>1967809.4000000004</v>
      </c>
    </row>
    <row r="9" spans="1:16" x14ac:dyDescent="0.25">
      <c r="A9" s="76" t="s">
        <v>61</v>
      </c>
      <c r="B9" s="213">
        <v>588498.72451118915</v>
      </c>
      <c r="C9" s="213">
        <v>253231.05199083569</v>
      </c>
      <c r="D9" s="213">
        <v>1415555.6215910339</v>
      </c>
      <c r="E9" s="213">
        <v>55431.683110421189</v>
      </c>
      <c r="F9" s="213">
        <v>51017.527355876664</v>
      </c>
      <c r="G9" s="213">
        <v>235866.72472762078</v>
      </c>
      <c r="H9" s="213">
        <v>2289042.4742541444</v>
      </c>
      <c r="I9" s="213">
        <v>309703.20139322814</v>
      </c>
      <c r="J9" s="213">
        <v>119723.41798240163</v>
      </c>
      <c r="K9" s="213">
        <v>667939.29051772854</v>
      </c>
      <c r="L9" s="213">
        <v>144067.44052484853</v>
      </c>
      <c r="M9" s="213">
        <v>435184.34684670815</v>
      </c>
      <c r="N9" s="213">
        <v>158485.46454396786</v>
      </c>
      <c r="O9" s="213">
        <v>182845.97879814336</v>
      </c>
      <c r="P9" s="213">
        <v>6906592.9481481481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4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4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4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4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4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4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4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4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4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4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4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4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4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4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4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4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4">
        <f>Arealanvendelse!M26</f>
        <v>1700342.5314320424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4">
        <f>Arealanvendelse!M27</f>
        <v>543583.04014158307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4">
        <f>Arealanvendelse!M28</f>
        <v>362850.67167361401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4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4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4">
        <f>Arealanvendelse!N26</f>
        <v>66892.145975308638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4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4">
        <f>Arealanvendelse!N28</f>
        <v>73747.854024691362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4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4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4">
        <f>Arealanvendelse!O26</f>
        <v>52069.673876543202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4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4">
        <f>Arealanvendelse!O28</f>
        <v>59921.4372345679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4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4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4">
        <f>Arealanvendelse!P26</f>
        <v>1463209.4724471318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4">
        <f>Arealanvendelse!P27</f>
        <v>652101.55866010161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4">
        <f>Arealanvendelse!P28</f>
        <v>491465.21214000636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4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4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4">
        <f>Arealanvendelse!Q26</f>
        <v>8725.0625185185199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4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4">
        <f>Arealanvendelse!Q28</f>
        <v>131914.93748148147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4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4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4">
        <f>Arealanvendelse!R26</f>
        <v>6791.6965925925906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4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4">
        <f>Arealanvendelse!R28</f>
        <v>105199.41451851852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4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4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4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4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4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4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4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4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4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4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4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4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4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4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4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4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4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4">
        <f>Arealanvendelse!M36</f>
        <v>522741.61671610549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4">
        <f>Arealanvendelse!M37</f>
        <v>143826.95985841687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4">
        <f>Arealanvendelse!M38</f>
        <v>82325.18017823789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4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4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4">
        <f>Arealanvendelse!N36</f>
        <v>10159.387358024691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4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4">
        <f>Arealanvendelse!N38</f>
        <v>11200.612641975309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4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4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4">
        <f>Arealanvendelse!O36</f>
        <v>7908.1927901234558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4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4">
        <f>Arealanvendelse!O38</f>
        <v>9100.6960987654329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4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4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4">
        <f>Arealanvendelse!P36</f>
        <v>486726.52755286818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4">
        <f>Arealanvendelse!P37</f>
        <v>160308.44133989836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4">
        <f>Arealanvendelse!P38</f>
        <v>101858.78785999372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4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4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4">
        <f>Arealanvendelse!Q36</f>
        <v>1325.1374814814808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4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4">
        <f>Arealanvendelse!Q38</f>
        <v>20034.862518518519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4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4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4">
        <f>Arealanvendelse!R36</f>
        <v>1031.5034074074065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4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4">
        <f>Arealanvendelse!R38</f>
        <v>15977.385481481482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4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t="str">
        <f t="shared" ref="E2:E33" si="0">Jordbund1</f>
        <v>JB1-10</v>
      </c>
      <c r="F2" t="str">
        <f>IF(I2&lt;&gt;0,"Halm",IF(B2&lt;&gt;"Permanent græs",B2,"Græs"))</f>
        <v>Halm</v>
      </c>
      <c r="G2" s="74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4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4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t="str">
        <f t="shared" si="0"/>
        <v>JB1-10</v>
      </c>
      <c r="F3" t="str">
        <f t="shared" ref="F3:F71" si="1">IF(I3&lt;&gt;0,"Halm",IF(B3&lt;&gt;"Permanent græs",B3,"Græs"))</f>
        <v>Halm</v>
      </c>
      <c r="G3" s="74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4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4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t="str">
        <f t="shared" si="0"/>
        <v>JB1-10</v>
      </c>
      <c r="F4" t="str">
        <f t="shared" si="1"/>
        <v>Halm</v>
      </c>
      <c r="G4" s="74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4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4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t="str">
        <f t="shared" si="0"/>
        <v>JB1-10</v>
      </c>
      <c r="F5" t="str">
        <f t="shared" si="1"/>
        <v>Græs</v>
      </c>
      <c r="G5" s="74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4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4">
        <f>'Landbrugsareal - resultat'!D24</f>
        <v>9581713.4418284856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t="str">
        <f t="shared" si="0"/>
        <v>JB1-10</v>
      </c>
      <c r="F6" t="str">
        <f t="shared" si="1"/>
        <v>Grøntsager</v>
      </c>
      <c r="G6" s="74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4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4">
        <f>'Landbrugsareal - resultat'!D25</f>
        <v>791373.67349799909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t="str">
        <f t="shared" si="0"/>
        <v>JB1-10</v>
      </c>
      <c r="F7" t="str">
        <f t="shared" si="1"/>
        <v>Kartofler</v>
      </c>
      <c r="G7" s="74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4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4">
        <f>'Landbrugsareal - resultat'!D26</f>
        <v>18250810.233686633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t="str">
        <f t="shared" si="0"/>
        <v>JB1-10</v>
      </c>
      <c r="F8" t="str">
        <f t="shared" si="1"/>
        <v>Roer</v>
      </c>
      <c r="G8" s="74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4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4">
        <f>'Landbrugsareal - resultat'!E24</f>
        <v>0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t="str">
        <f t="shared" si="0"/>
        <v>JB1-10</v>
      </c>
      <c r="F9" t="str">
        <f t="shared" si="1"/>
        <v>Majs</v>
      </c>
      <c r="G9" s="74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4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4">
        <f>'Landbrugsareal - resultat'!E25</f>
        <v>0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t="str">
        <f t="shared" si="0"/>
        <v>JB1-10</v>
      </c>
      <c r="F10" t="str">
        <f t="shared" si="1"/>
        <v>Frugt</v>
      </c>
      <c r="G10" s="74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4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4">
        <f>'Landbrugsareal - resultat'!E26</f>
        <v>0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t="str">
        <f t="shared" si="0"/>
        <v>JB1-10</v>
      </c>
      <c r="F11" t="str">
        <f t="shared" si="1"/>
        <v>Øvrige</v>
      </c>
      <c r="G11" s="74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4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4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t="str">
        <f t="shared" si="0"/>
        <v>JB1-10</v>
      </c>
      <c r="F12" t="str">
        <f t="shared" si="1"/>
        <v>Halm</v>
      </c>
      <c r="G12" s="74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4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4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t="str">
        <f t="shared" si="0"/>
        <v>JB1-10</v>
      </c>
      <c r="F13" t="str">
        <f t="shared" si="1"/>
        <v>Juletræer</v>
      </c>
      <c r="G13" s="74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4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4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t="str">
        <f t="shared" si="0"/>
        <v>JB1-10</v>
      </c>
      <c r="F14" t="str">
        <f>IF(I14&lt;&gt;0,"Halm",IF(B14&lt;&gt;"Permanent græs",B14,"Græs"))</f>
        <v>Pil &amp; poppel</v>
      </c>
      <c r="G14" s="74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4">
        <f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4">
        <f>'Landbrugsareal - resultat'!G24</f>
        <v>398362.63559086953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t="str">
        <f t="shared" si="0"/>
        <v>JB1-10</v>
      </c>
      <c r="F15" t="str">
        <f t="shared" si="1"/>
        <v>Græs</v>
      </c>
      <c r="G15" s="74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4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4">
        <f>'Landbrugsareal - resultat'!G25</f>
        <v>140119.4403069797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t="str">
        <f t="shared" si="0"/>
        <v>JB1-10</v>
      </c>
      <c r="F16" t="str">
        <f t="shared" si="1"/>
        <v>Halm</v>
      </c>
      <c r="G16" s="74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553518.20843543066</v>
      </c>
      <c r="H16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3880162.6411323692</v>
      </c>
      <c r="I16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1360029.4887452812</v>
      </c>
      <c r="J16" s="74">
        <f t="shared" si="2"/>
        <v>1360029.4887452812</v>
      </c>
      <c r="L16" t="s">
        <v>23</v>
      </c>
      <c r="M16" t="s">
        <v>4</v>
      </c>
      <c r="N16">
        <v>2030</v>
      </c>
      <c r="O16" t="s">
        <v>8</v>
      </c>
      <c r="P16" s="74">
        <f>'Landbrugsareal - resultat'!G26</f>
        <v>3023523.7663133652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t="str">
        <f t="shared" si="0"/>
        <v>JB1-10</v>
      </c>
      <c r="F17" t="str">
        <f t="shared" si="1"/>
        <v>Halm</v>
      </c>
      <c r="G17" s="74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121069.71545865215</v>
      </c>
      <c r="H17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467329.10167039739</v>
      </c>
      <c r="I17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148988.75846218187</v>
      </c>
      <c r="J17" s="74">
        <f t="shared" si="2"/>
        <v>148988.75846218187</v>
      </c>
      <c r="L17" t="s">
        <v>23</v>
      </c>
      <c r="M17" t="s">
        <v>22</v>
      </c>
      <c r="N17">
        <v>2050</v>
      </c>
      <c r="O17" t="s">
        <v>8</v>
      </c>
      <c r="P17" s="74">
        <f>'Landbrugsareal - resultat'!H24</f>
        <v>8593954.4000000004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t="str">
        <f t="shared" si="0"/>
        <v>JB1-10</v>
      </c>
      <c r="F18" t="str">
        <f t="shared" si="1"/>
        <v>Halm</v>
      </c>
      <c r="G18" s="74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143784.0142759982</v>
      </c>
      <c r="H1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632649.66281439213</v>
      </c>
      <c r="I1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362862.00504546956</v>
      </c>
      <c r="J18" s="74">
        <f t="shared" si="2"/>
        <v>362862.00504546956</v>
      </c>
      <c r="L18" t="s">
        <v>23</v>
      </c>
      <c r="M18" t="s">
        <v>3</v>
      </c>
      <c r="N18">
        <v>2050</v>
      </c>
      <c r="O18" t="s">
        <v>8</v>
      </c>
      <c r="P18" s="74">
        <f>'Landbrugsareal - resultat'!H25</f>
        <v>93364.229814031074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t="str">
        <f t="shared" si="0"/>
        <v>JB1-10</v>
      </c>
      <c r="F19" t="str">
        <f t="shared" si="1"/>
        <v>Græs</v>
      </c>
      <c r="G19" s="74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285623.05173795577</v>
      </c>
      <c r="H1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14172615.827237366</v>
      </c>
      <c r="I1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4">
        <f t="shared" si="2"/>
        <v>14172615.827237366</v>
      </c>
      <c r="L19" t="s">
        <v>23</v>
      </c>
      <c r="M19" t="s">
        <v>4</v>
      </c>
      <c r="N19">
        <v>2050</v>
      </c>
      <c r="O19" t="s">
        <v>8</v>
      </c>
      <c r="P19" s="74">
        <f>'Landbrugsareal - resultat'!H26</f>
        <v>21274334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t="str">
        <f t="shared" si="0"/>
        <v>JB1-10</v>
      </c>
      <c r="F20" t="str">
        <f t="shared" si="1"/>
        <v>Grøntsager</v>
      </c>
      <c r="G20" s="74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11928.206902902208</v>
      </c>
      <c r="H20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247510.29323522083</v>
      </c>
      <c r="I20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4">
        <f t="shared" si="2"/>
        <v>247510.29323522083</v>
      </c>
      <c r="L20" t="s">
        <v>24</v>
      </c>
      <c r="M20" t="s">
        <v>22</v>
      </c>
      <c r="N20">
        <v>2019</v>
      </c>
      <c r="O20" t="s">
        <v>7</v>
      </c>
      <c r="P20" s="74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t="str">
        <f t="shared" si="0"/>
        <v>JB1-10</v>
      </c>
      <c r="F21" t="str">
        <f t="shared" si="1"/>
        <v>Kartofler</v>
      </c>
      <c r="G21" s="74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50171.146455460723</v>
      </c>
      <c r="H2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2130813.7174496464</v>
      </c>
      <c r="I2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4">
        <f t="shared" si="2"/>
        <v>2130813.7174496464</v>
      </c>
      <c r="L21" t="s">
        <v>24</v>
      </c>
      <c r="M21" t="s">
        <v>3</v>
      </c>
      <c r="N21">
        <v>2019</v>
      </c>
      <c r="O21" t="s">
        <v>7</v>
      </c>
      <c r="P21" s="74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t="str">
        <f t="shared" si="0"/>
        <v>JB1-10</v>
      </c>
      <c r="F22" t="str">
        <f t="shared" si="1"/>
        <v>Roer</v>
      </c>
      <c r="G22" s="74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30855.4450029535</v>
      </c>
      <c r="H22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2507120.0387474457</v>
      </c>
      <c r="I22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4">
        <f t="shared" si="2"/>
        <v>2507120.0387474457</v>
      </c>
      <c r="L22" t="s">
        <v>24</v>
      </c>
      <c r="M22" t="s">
        <v>4</v>
      </c>
      <c r="N22">
        <v>2019</v>
      </c>
      <c r="O22" t="s">
        <v>7</v>
      </c>
      <c r="P22" s="74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t="str">
        <f t="shared" si="0"/>
        <v>JB1-10</v>
      </c>
      <c r="F23" t="str">
        <f t="shared" si="1"/>
        <v>Majs</v>
      </c>
      <c r="G23" s="74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74922.962243622984</v>
      </c>
      <c r="H23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3334821.0494636595</v>
      </c>
      <c r="I23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4">
        <f t="shared" si="2"/>
        <v>3334821.0494636595</v>
      </c>
      <c r="L23" t="s">
        <v>24</v>
      </c>
      <c r="M23" t="s">
        <v>22</v>
      </c>
      <c r="N23">
        <v>2030</v>
      </c>
      <c r="O23" t="s">
        <v>7</v>
      </c>
      <c r="P23" s="74">
        <f>'Landbrugsareal - resultat'!D51</f>
        <v>1541102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t="str">
        <f t="shared" si="0"/>
        <v>JB1-10</v>
      </c>
      <c r="F24" t="str">
        <f t="shared" si="1"/>
        <v>Frugt</v>
      </c>
      <c r="G24" s="74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49850.106336440978</v>
      </c>
      <c r="H24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423227.40279638395</v>
      </c>
      <c r="I24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4">
        <f t="shared" si="2"/>
        <v>423227.40279638395</v>
      </c>
      <c r="L24" t="s">
        <v>24</v>
      </c>
      <c r="M24" t="s">
        <v>3</v>
      </c>
      <c r="N24">
        <v>2030</v>
      </c>
      <c r="O24" t="s">
        <v>7</v>
      </c>
      <c r="P24" s="74">
        <f>'Landbrugsareal - resultat'!D52</f>
        <v>82455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t="str">
        <f t="shared" si="0"/>
        <v>JB1-10</v>
      </c>
      <c r="F25" t="str">
        <f t="shared" si="1"/>
        <v>Øvrige</v>
      </c>
      <c r="G25" s="74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28800.386873616728</v>
      </c>
      <c r="H25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858134.70030019432</v>
      </c>
      <c r="I25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4">
        <f t="shared" si="2"/>
        <v>858134.70030019432</v>
      </c>
      <c r="L25" t="s">
        <v>24</v>
      </c>
      <c r="M25" t="s">
        <v>4</v>
      </c>
      <c r="N25">
        <v>2030</v>
      </c>
      <c r="O25" t="s">
        <v>7</v>
      </c>
      <c r="P25" s="74">
        <f>'Landbrugsareal - resultat'!D53</f>
        <v>1570560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t="str">
        <f t="shared" si="0"/>
        <v>JB1-10</v>
      </c>
      <c r="F26" t="str">
        <f t="shared" si="1"/>
        <v>Halm</v>
      </c>
      <c r="G26" s="74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41596.560342098521</v>
      </c>
      <c r="H26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594367.45880212216</v>
      </c>
      <c r="I26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106035.94638659338</v>
      </c>
      <c r="J26" s="74">
        <f t="shared" si="2"/>
        <v>106035.94638659338</v>
      </c>
      <c r="L26" t="s">
        <v>24</v>
      </c>
      <c r="M26" t="s">
        <v>22</v>
      </c>
      <c r="N26">
        <v>2050</v>
      </c>
      <c r="O26" t="s">
        <v>7</v>
      </c>
      <c r="P26" s="74">
        <f>'Landbrugsareal - resultat'!E51</f>
        <v>1169559.3041937244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t="str">
        <f t="shared" si="0"/>
        <v>JB1-10</v>
      </c>
      <c r="F27" t="str">
        <f t="shared" si="1"/>
        <v>Juletræer</v>
      </c>
      <c r="G27" s="74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11437.918624561291</v>
      </c>
      <c r="H27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571895.93122806458</v>
      </c>
      <c r="I27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4">
        <f t="shared" si="2"/>
        <v>571895.93122806458</v>
      </c>
      <c r="L27" t="s">
        <v>24</v>
      </c>
      <c r="M27" t="s">
        <v>3</v>
      </c>
      <c r="N27">
        <v>2050</v>
      </c>
      <c r="O27" t="s">
        <v>7</v>
      </c>
      <c r="P27" s="74">
        <f>'Landbrugsareal - resultat'!E52</f>
        <v>-10807.957958172134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t="str">
        <f t="shared" si="0"/>
        <v>JB1-10</v>
      </c>
      <c r="F28" t="str">
        <f>IF(I28&lt;&gt;0,"Halm",IF(B28&lt;&gt;"Permanent græs",B28,"Græs"))</f>
        <v>Pil &amp; poppel</v>
      </c>
      <c r="G28" s="74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31145.785633214087</v>
      </c>
      <c r="H2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759653.30812717287</v>
      </c>
      <c r="I2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4">
        <f>IF(I28&lt;&gt;0,I28,H28)</f>
        <v>759653.30812717287</v>
      </c>
      <c r="L28" t="s">
        <v>24</v>
      </c>
      <c r="M28" t="s">
        <v>4</v>
      </c>
      <c r="N28">
        <v>2050</v>
      </c>
      <c r="O28" t="s">
        <v>7</v>
      </c>
      <c r="P28" s="74">
        <f>'Landbrugsareal - resultat'!E53</f>
        <v>272840.10660097841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t="str">
        <f t="shared" si="0"/>
        <v>JB1-10</v>
      </c>
      <c r="F29" t="str">
        <f t="shared" si="1"/>
        <v>Græs</v>
      </c>
      <c r="G29" s="74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72877.440134040429</v>
      </c>
      <c r="H2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1004979.8994484176</v>
      </c>
      <c r="I2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4">
        <f t="shared" si="2"/>
        <v>1004979.8994484176</v>
      </c>
      <c r="L29" t="s">
        <v>24</v>
      </c>
      <c r="M29" t="s">
        <v>22</v>
      </c>
      <c r="N29">
        <v>2019</v>
      </c>
      <c r="O29" t="s">
        <v>8</v>
      </c>
      <c r="P29" s="74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t="str">
        <f t="shared" si="0"/>
        <v>JB1-10</v>
      </c>
      <c r="F30" t="str">
        <f t="shared" si="1"/>
        <v>Korn</v>
      </c>
      <c r="G30" s="74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0</v>
      </c>
      <c r="H30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0</v>
      </c>
      <c r="I30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0</v>
      </c>
      <c r="J30" s="74">
        <f t="shared" si="2"/>
        <v>0</v>
      </c>
      <c r="L30" t="s">
        <v>24</v>
      </c>
      <c r="M30" t="s">
        <v>3</v>
      </c>
      <c r="N30">
        <v>2019</v>
      </c>
      <c r="O30" t="s">
        <v>8</v>
      </c>
      <c r="P30" s="74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t="str">
        <f t="shared" si="0"/>
        <v>JB1-10</v>
      </c>
      <c r="F31" t="str">
        <f t="shared" si="1"/>
        <v>Bælgsæd</v>
      </c>
      <c r="G31" s="74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0</v>
      </c>
      <c r="H3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0</v>
      </c>
      <c r="I3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0</v>
      </c>
      <c r="J31" s="74">
        <f t="shared" si="2"/>
        <v>0</v>
      </c>
      <c r="L31" t="s">
        <v>24</v>
      </c>
      <c r="M31" t="s">
        <v>4</v>
      </c>
      <c r="N31">
        <v>2019</v>
      </c>
      <c r="O31" t="s">
        <v>8</v>
      </c>
      <c r="P31" s="74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t="str">
        <f t="shared" si="0"/>
        <v>JB1-10</v>
      </c>
      <c r="F32" t="str">
        <f t="shared" si="1"/>
        <v>Raps</v>
      </c>
      <c r="G32" s="74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0</v>
      </c>
      <c r="H32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0</v>
      </c>
      <c r="I32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0</v>
      </c>
      <c r="J32" s="74">
        <f t="shared" si="2"/>
        <v>0</v>
      </c>
      <c r="L32" t="s">
        <v>24</v>
      </c>
      <c r="M32" t="s">
        <v>22</v>
      </c>
      <c r="N32">
        <v>2030</v>
      </c>
      <c r="O32" t="s">
        <v>8</v>
      </c>
      <c r="P32" s="74">
        <f>'Landbrugsareal - resultat'!G51</f>
        <v>15447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t="str">
        <f t="shared" si="0"/>
        <v>JB1-10</v>
      </c>
      <c r="F33" t="str">
        <f t="shared" si="1"/>
        <v>Græs</v>
      </c>
      <c r="G33" s="74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0</v>
      </c>
      <c r="H33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0</v>
      </c>
      <c r="I33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4">
        <f t="shared" si="2"/>
        <v>0</v>
      </c>
      <c r="L33" t="s">
        <v>24</v>
      </c>
      <c r="M33" t="s">
        <v>3</v>
      </c>
      <c r="N33">
        <v>2030</v>
      </c>
      <c r="O33" t="s">
        <v>8</v>
      </c>
      <c r="P33" s="74">
        <f>'Landbrugsareal - resultat'!G52</f>
        <v>16513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t="str">
        <f t="shared" ref="E34:E65" si="3">Jordbund1</f>
        <v>JB1-10</v>
      </c>
      <c r="F34" t="str">
        <f t="shared" si="1"/>
        <v>Grøntsager</v>
      </c>
      <c r="G34" s="74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0</v>
      </c>
      <c r="H34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0</v>
      </c>
      <c r="I34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4">
        <f t="shared" si="2"/>
        <v>0</v>
      </c>
      <c r="L34" t="s">
        <v>24</v>
      </c>
      <c r="M34" t="s">
        <v>4</v>
      </c>
      <c r="N34">
        <v>2030</v>
      </c>
      <c r="O34" t="s">
        <v>8</v>
      </c>
      <c r="P34" s="74">
        <f>'Landbrugsareal - resultat'!G53</f>
        <v>214987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t="str">
        <f t="shared" si="3"/>
        <v>JB1-10</v>
      </c>
      <c r="F35" t="str">
        <f t="shared" si="1"/>
        <v>Kartofler</v>
      </c>
      <c r="G35" s="74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0</v>
      </c>
      <c r="H35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0</v>
      </c>
      <c r="I35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4">
        <f t="shared" si="2"/>
        <v>0</v>
      </c>
      <c r="L35" t="s">
        <v>24</v>
      </c>
      <c r="M35" t="s">
        <v>22</v>
      </c>
      <c r="N35">
        <v>2050</v>
      </c>
      <c r="O35" t="s">
        <v>8</v>
      </c>
      <c r="P35" s="74">
        <f>'Landbrugsareal - resultat'!H51</f>
        <v>386989.69580627553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t="str">
        <f t="shared" si="3"/>
        <v>JB1-10</v>
      </c>
      <c r="F36" t="str">
        <f t="shared" si="1"/>
        <v>Roer</v>
      </c>
      <c r="G36" s="74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0</v>
      </c>
      <c r="H36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0</v>
      </c>
      <c r="I36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4">
        <f t="shared" si="2"/>
        <v>0</v>
      </c>
      <c r="L36" t="s">
        <v>24</v>
      </c>
      <c r="M36" t="s">
        <v>3</v>
      </c>
      <c r="N36">
        <v>2050</v>
      </c>
      <c r="O36" t="s">
        <v>8</v>
      </c>
      <c r="P36" s="74">
        <f>'Landbrugsareal - resultat'!H52</f>
        <v>109775.95795817213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t="str">
        <f t="shared" si="3"/>
        <v>JB1-10</v>
      </c>
      <c r="F37" t="str">
        <f t="shared" si="1"/>
        <v>Majs</v>
      </c>
      <c r="G37" s="74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0</v>
      </c>
      <c r="H37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0</v>
      </c>
      <c r="I37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4">
        <f t="shared" si="2"/>
        <v>0</v>
      </c>
      <c r="L37" t="s">
        <v>24</v>
      </c>
      <c r="M37" t="s">
        <v>4</v>
      </c>
      <c r="N37">
        <v>2050</v>
      </c>
      <c r="O37" t="s">
        <v>8</v>
      </c>
      <c r="P37" s="74">
        <f>'Landbrugsareal - resultat'!H53</f>
        <v>1512706.8933990216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t="str">
        <f t="shared" si="3"/>
        <v>JB1-10</v>
      </c>
      <c r="F38" t="str">
        <f t="shared" si="1"/>
        <v>Frugt</v>
      </c>
      <c r="G38" s="74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0</v>
      </c>
      <c r="H3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0</v>
      </c>
      <c r="I3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4">
        <f t="shared" si="2"/>
        <v>0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t="str">
        <f t="shared" si="3"/>
        <v>JB1-10</v>
      </c>
      <c r="F39" t="str">
        <f t="shared" si="1"/>
        <v>Øvrige</v>
      </c>
      <c r="G39" s="74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4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t="str">
        <f t="shared" si="3"/>
        <v>JB1-10</v>
      </c>
      <c r="F40" t="str">
        <f t="shared" si="1"/>
        <v>Frø</v>
      </c>
      <c r="G40" s="74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4">
        <f t="shared" si="2"/>
        <v>0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t="str">
        <f t="shared" si="3"/>
        <v>JB1-10</v>
      </c>
      <c r="F41" t="str">
        <f t="shared" si="1"/>
        <v>Juletræer</v>
      </c>
      <c r="G41" s="74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0</v>
      </c>
      <c r="H4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0</v>
      </c>
      <c r="I4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4">
        <f t="shared" si="2"/>
        <v>0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t="str">
        <f t="shared" si="3"/>
        <v>JB1-10</v>
      </c>
      <c r="F42" t="str">
        <f>IF(I42&lt;&gt;0,"Halm",IF(B42&lt;&gt;"Permanent græs",B42,"Græs"))</f>
        <v>Pil &amp; poppel</v>
      </c>
      <c r="G42" s="74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0</v>
      </c>
      <c r="H42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0</v>
      </c>
      <c r="I42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4">
        <f>IF(I42&lt;&gt;0,I42,H42)</f>
        <v>0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t="str">
        <f t="shared" si="3"/>
        <v>JB1-10</v>
      </c>
      <c r="F43" t="str">
        <f t="shared" si="1"/>
        <v>Græs</v>
      </c>
      <c r="G43" s="74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4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t="str">
        <f t="shared" si="3"/>
        <v>JB1-10</v>
      </c>
      <c r="F44" t="str">
        <f t="shared" si="1"/>
        <v>Halm</v>
      </c>
      <c r="G44" s="74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4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t="str">
        <f t="shared" si="3"/>
        <v>JB1-10</v>
      </c>
      <c r="F45" t="str">
        <f t="shared" si="1"/>
        <v>Halm</v>
      </c>
      <c r="G45" s="74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4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t="str">
        <f t="shared" si="3"/>
        <v>JB1-10</v>
      </c>
      <c r="F46" t="str">
        <f t="shared" si="1"/>
        <v>Halm</v>
      </c>
      <c r="G46" s="74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4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t="str">
        <f t="shared" si="3"/>
        <v>JB1-10</v>
      </c>
      <c r="F47" t="str">
        <f t="shared" si="1"/>
        <v>Græs</v>
      </c>
      <c r="G47" s="74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4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t="str">
        <f t="shared" si="3"/>
        <v>JB1-10</v>
      </c>
      <c r="F48" t="str">
        <f t="shared" si="1"/>
        <v>Grøntsager</v>
      </c>
      <c r="G48" s="74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4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t="str">
        <f t="shared" si="3"/>
        <v>JB1-10</v>
      </c>
      <c r="F49" t="str">
        <f t="shared" si="1"/>
        <v>Kartofler</v>
      </c>
      <c r="G49" s="74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4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t="str">
        <f t="shared" si="3"/>
        <v>JB1-10</v>
      </c>
      <c r="F50" t="str">
        <f t="shared" si="1"/>
        <v>Roer</v>
      </c>
      <c r="G50" s="74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4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t="str">
        <f t="shared" si="3"/>
        <v>JB1-10</v>
      </c>
      <c r="F51" t="str">
        <f t="shared" si="1"/>
        <v>Majs</v>
      </c>
      <c r="G51" s="74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4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t="str">
        <f t="shared" si="3"/>
        <v>JB1-10</v>
      </c>
      <c r="F52" t="str">
        <f t="shared" si="1"/>
        <v>Frugt</v>
      </c>
      <c r="G52" s="74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4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t="str">
        <f t="shared" si="3"/>
        <v>JB1-10</v>
      </c>
      <c r="F53" t="str">
        <f t="shared" si="1"/>
        <v>Øvrige</v>
      </c>
      <c r="G53" s="74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4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t="str">
        <f t="shared" si="3"/>
        <v>JB1-10</v>
      </c>
      <c r="F54" t="str">
        <f t="shared" si="1"/>
        <v>Halm</v>
      </c>
      <c r="G54" s="74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4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t="str">
        <f t="shared" si="3"/>
        <v>JB1-10</v>
      </c>
      <c r="F55" t="str">
        <f t="shared" si="1"/>
        <v>Juletræer</v>
      </c>
      <c r="G55" s="74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4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t="str">
        <f t="shared" si="3"/>
        <v>JB1-10</v>
      </c>
      <c r="F56" t="str">
        <f>IF(I56&lt;&gt;0,"Halm",IF(B56&lt;&gt;"Permanent græs",B56,"Græs"))</f>
        <v>Pil &amp; poppel</v>
      </c>
      <c r="G56" s="74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4">
        <f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t="str">
        <f t="shared" si="3"/>
        <v>JB1-10</v>
      </c>
      <c r="F57" t="str">
        <f t="shared" si="1"/>
        <v>Græs</v>
      </c>
      <c r="G57" s="74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4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t="str">
        <f t="shared" si="3"/>
        <v>JB1-10</v>
      </c>
      <c r="F58" t="str">
        <f t="shared" si="1"/>
        <v>Halm</v>
      </c>
      <c r="G58" s="74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70773.67631420336</v>
      </c>
      <c r="H5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332402.72554491891</v>
      </c>
      <c r="I5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116509.93803405669</v>
      </c>
      <c r="J58" s="74">
        <f t="shared" si="2"/>
        <v>116509.93803405669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t="str">
        <f t="shared" si="3"/>
        <v>JB1-10</v>
      </c>
      <c r="F59" t="str">
        <f t="shared" si="1"/>
        <v>Halm</v>
      </c>
      <c r="G59" s="74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15480.15715245056</v>
      </c>
      <c r="H5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34059.441766821721</v>
      </c>
      <c r="I5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10858.459112894554</v>
      </c>
      <c r="J59" s="74">
        <f t="shared" si="2"/>
        <v>10858.459112894554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t="str">
        <f t="shared" si="3"/>
        <v>JB1-10</v>
      </c>
      <c r="F60" t="str">
        <f t="shared" si="1"/>
        <v>Halm</v>
      </c>
      <c r="G60" s="74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18384.441795130875</v>
      </c>
      <c r="H60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44490.349144216721</v>
      </c>
      <c r="I60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25517.846992640829</v>
      </c>
      <c r="J60" s="74">
        <f t="shared" si="2"/>
        <v>25517.846992640829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t="str">
        <f t="shared" si="3"/>
        <v>JB1-10</v>
      </c>
      <c r="F61" t="str">
        <f t="shared" si="1"/>
        <v>Græs</v>
      </c>
      <c r="G61" s="74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36520.195909571652</v>
      </c>
      <c r="H6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1413463.0544056976</v>
      </c>
      <c r="I6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4">
        <f t="shared" si="2"/>
        <v>1413463.0544056976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t="str">
        <f t="shared" si="3"/>
        <v>JB1-10</v>
      </c>
      <c r="F62" t="str">
        <f t="shared" si="1"/>
        <v>Grøntsager</v>
      </c>
      <c r="G62" s="74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1525.1585972954053</v>
      </c>
      <c r="H62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18038.813309511406</v>
      </c>
      <c r="I62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4">
        <f t="shared" si="2"/>
        <v>18038.813309511406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t="str">
        <f t="shared" si="3"/>
        <v>JB1-10</v>
      </c>
      <c r="F63" t="str">
        <f t="shared" si="1"/>
        <v>Kartofler</v>
      </c>
      <c r="G63" s="74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6414.9587591488944</v>
      </c>
      <c r="H63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155295.96908477385</v>
      </c>
      <c r="I63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4">
        <f t="shared" si="2"/>
        <v>155295.96908477385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t="str">
        <f t="shared" si="3"/>
        <v>JB1-10</v>
      </c>
      <c r="F64" t="str">
        <f t="shared" si="1"/>
        <v>Roer</v>
      </c>
      <c r="G64" s="74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3945.2239219777639</v>
      </c>
      <c r="H64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182721.57384792177</v>
      </c>
      <c r="I64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4">
        <f t="shared" si="2"/>
        <v>182721.57384792177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t="str">
        <f t="shared" si="3"/>
        <v>JB1-10</v>
      </c>
      <c r="F65" t="str">
        <f t="shared" si="1"/>
        <v>Majs</v>
      </c>
      <c r="G65" s="74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9579.7634070966851</v>
      </c>
      <c r="H65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353908.07347739505</v>
      </c>
      <c r="I65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4">
        <f t="shared" si="2"/>
        <v>353908.07347739505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t="str">
        <f t="shared" ref="E66:E85" si="4">Jordbund1</f>
        <v>JB1-10</v>
      </c>
      <c r="F66" t="str">
        <f t="shared" si="1"/>
        <v>Frugt</v>
      </c>
      <c r="G66" s="74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6373.9100833851826</v>
      </c>
      <c r="H66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30845.263066525917</v>
      </c>
      <c r="I66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4">
        <f t="shared" si="2"/>
        <v>30845.263066525917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t="str">
        <f t="shared" si="4"/>
        <v>JB1-10</v>
      </c>
      <c r="F67" t="str">
        <f t="shared" si="1"/>
        <v>Øvrige</v>
      </c>
      <c r="G67" s="74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3682.4610776195564</v>
      </c>
      <c r="H67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62541.769276712883</v>
      </c>
      <c r="I67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4">
        <f t="shared" si="2"/>
        <v>62541.769276712883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t="str">
        <f t="shared" si="4"/>
        <v>JB1-10</v>
      </c>
      <c r="F68" t="str">
        <f t="shared" si="1"/>
        <v>Halm</v>
      </c>
      <c r="G68" s="74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5318.5991943376657</v>
      </c>
      <c r="H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43318.132294364288</v>
      </c>
      <c r="I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7728.0125038974802</v>
      </c>
      <c r="J68" s="74">
        <f t="shared" si="2"/>
        <v>7728.0125038974802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t="str">
        <f t="shared" si="4"/>
        <v>JB1-10</v>
      </c>
      <c r="F69" t="str">
        <f t="shared" si="1"/>
        <v>Juletræer</v>
      </c>
      <c r="G69" s="74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1462.4695955911445</v>
      </c>
      <c r="H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41680.383474347618</v>
      </c>
      <c r="I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4">
        <f t="shared" si="2"/>
        <v>41680.383474347618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t="str">
        <f t="shared" si="4"/>
        <v>JB1-10</v>
      </c>
      <c r="F70" t="str">
        <f>IF(I70&lt;&gt;0,"Halm",IF(B70&lt;&gt;"Permanent græs",B70,"Græs"))</f>
        <v>Pil &amp; poppel</v>
      </c>
      <c r="G70" s="74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3982.3473146209913</v>
      </c>
      <c r="H70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55364.340715462567</v>
      </c>
      <c r="I70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4">
        <f>IF(I70&lt;&gt;0,I70,H70)</f>
        <v>55364.340715462567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t="str">
        <f t="shared" si="4"/>
        <v>JB1-10</v>
      </c>
      <c r="F71" t="str">
        <f t="shared" si="1"/>
        <v>Græs</v>
      </c>
      <c r="G71" s="74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9318.2198526644916</v>
      </c>
      <c r="H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128498.25176824334</v>
      </c>
      <c r="I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4">
        <f t="shared" si="2"/>
        <v>128498.25176824334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t="str">
        <f t="shared" si="4"/>
        <v>JB1-10</v>
      </c>
      <c r="F72" t="str">
        <f t="shared" ref="F72:F139" si="5">IF(I72&lt;&gt;0,"Halm",IF(B72&lt;&gt;"Permanent græs",B72,"Græs"))</f>
        <v>Halm</v>
      </c>
      <c r="G72" s="74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83959.75199188129</v>
      </c>
      <c r="H72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394333.76718026889</v>
      </c>
      <c r="I72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157339.56580605835</v>
      </c>
      <c r="J72" s="74">
        <f t="shared" ref="J72:J139" si="6">IF(I72&lt;&gt;0,I72,H72)</f>
        <v>157339.56580605835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t="str">
        <f t="shared" si="4"/>
        <v>JB1-10</v>
      </c>
      <c r="F73" t="str">
        <f t="shared" si="5"/>
        <v>Halm</v>
      </c>
      <c r="G73" s="74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248745.6103160124</v>
      </c>
      <c r="H73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547290.09181729052</v>
      </c>
      <c r="I73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198620.39669998465</v>
      </c>
      <c r="J73" s="74">
        <f t="shared" si="6"/>
        <v>198620.39669998465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t="str">
        <f t="shared" si="4"/>
        <v>JB1-10</v>
      </c>
      <c r="F74" t="str">
        <f t="shared" si="5"/>
        <v>Halm</v>
      </c>
      <c r="G74" s="74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219481.42086706977</v>
      </c>
      <c r="H74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531145.03849830886</v>
      </c>
      <c r="I74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346790.28977475752</v>
      </c>
      <c r="J74" s="74">
        <f t="shared" si="6"/>
        <v>346790.28977475752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t="str">
        <f t="shared" si="4"/>
        <v>JB1-10</v>
      </c>
      <c r="F75" t="str">
        <f t="shared" si="5"/>
        <v>Græs</v>
      </c>
      <c r="G75" s="74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512123.31535649608</v>
      </c>
      <c r="H75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19821015.948231682</v>
      </c>
      <c r="I75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4">
        <f t="shared" si="6"/>
        <v>19821015.948231682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t="str">
        <f t="shared" si="4"/>
        <v>JB1-10</v>
      </c>
      <c r="F76" t="str">
        <f t="shared" si="5"/>
        <v>Grøntsager</v>
      </c>
      <c r="G76" s="74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18776.293034162631</v>
      </c>
      <c r="H76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222076.60586155849</v>
      </c>
      <c r="I76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4">
        <f t="shared" si="6"/>
        <v>222076.60586155849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t="str">
        <f t="shared" si="4"/>
        <v>JB1-10</v>
      </c>
      <c r="F77" t="str">
        <f t="shared" si="5"/>
        <v>Kartofler</v>
      </c>
      <c r="G77" s="74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78974.832963235996</v>
      </c>
      <c r="H77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1911855.349162224</v>
      </c>
      <c r="I77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4">
        <f t="shared" si="6"/>
        <v>1911855.349162224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t="str">
        <f t="shared" si="4"/>
        <v>JB1-10</v>
      </c>
      <c r="F78" t="str">
        <f t="shared" si="5"/>
        <v>Roer</v>
      </c>
      <c r="G78" s="74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48569.821247314576</v>
      </c>
      <c r="H7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2249493.1480017449</v>
      </c>
      <c r="I7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4">
        <f t="shared" si="6"/>
        <v>2249493.1480017449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t="str">
        <f t="shared" si="4"/>
        <v>JB1-10</v>
      </c>
      <c r="F79" t="str">
        <f t="shared" si="5"/>
        <v>Majs</v>
      </c>
      <c r="G79" s="74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11364.600536362441</v>
      </c>
      <c r="H7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419845.84699499852</v>
      </c>
      <c r="I7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4">
        <f t="shared" si="6"/>
        <v>419845.84699499852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t="str">
        <f t="shared" si="4"/>
        <v>JB1-10</v>
      </c>
      <c r="F80" t="str">
        <f t="shared" si="5"/>
        <v>Frugt</v>
      </c>
      <c r="G80" s="74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130950.74461627769</v>
      </c>
      <c r="H80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633709.93842155254</v>
      </c>
      <c r="I80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4">
        <f t="shared" si="6"/>
        <v>633709.93842155254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t="str">
        <f t="shared" si="4"/>
        <v>JB1-10</v>
      </c>
      <c r="F81" t="str">
        <f t="shared" si="5"/>
        <v>Øvrige</v>
      </c>
      <c r="G81" s="74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4368.5524745680859</v>
      </c>
      <c r="H8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74194.13136452355</v>
      </c>
      <c r="I8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4">
        <f t="shared" si="6"/>
        <v>74194.13136452355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t="str">
        <f t="shared" si="4"/>
        <v>JB1-10</v>
      </c>
      <c r="F82" t="str">
        <f t="shared" si="5"/>
        <v>Halm</v>
      </c>
      <c r="G82" s="74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6309.5248481700473</v>
      </c>
      <c r="H82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51388.875548018324</v>
      </c>
      <c r="I82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10436.209583697455</v>
      </c>
      <c r="J82" s="74">
        <f t="shared" si="6"/>
        <v>10436.209583697455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t="str">
        <f t="shared" si="4"/>
        <v>JB1-10</v>
      </c>
      <c r="F83" t="str">
        <f t="shared" si="5"/>
        <v>Juletræer</v>
      </c>
      <c r="G83" s="74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11101.275121357427</v>
      </c>
      <c r="H83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316386.3409586866</v>
      </c>
      <c r="I83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4">
        <f t="shared" si="6"/>
        <v>316386.3409586866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t="str">
        <f t="shared" si="4"/>
        <v>JB1-10</v>
      </c>
      <c r="F84" t="str">
        <f>IF(I84&lt;&gt;0,"Halm",IF(B84&lt;&gt;"Permanent græs",B84,"Græs"))</f>
        <v>Pil &amp; poppel</v>
      </c>
      <c r="G84" s="74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77429.401129434642</v>
      </c>
      <c r="H84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1076457.5278970182</v>
      </c>
      <c r="I84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4">
        <f>IF(I84&lt;&gt;0,I84,H84)</f>
        <v>1076457.5278970182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t="str">
        <f t="shared" si="4"/>
        <v>JB1-10</v>
      </c>
      <c r="F85" t="str">
        <f t="shared" si="5"/>
        <v>Græs</v>
      </c>
      <c r="G85" s="74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11054.327944788796</v>
      </c>
      <c r="H85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152439.18235863751</v>
      </c>
      <c r="I85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4">
        <f t="shared" si="6"/>
        <v>152439.18235863751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t="str">
        <f t="shared" ref="E86:E117" si="7">Organ6</f>
        <v>OC6</v>
      </c>
      <c r="F86" t="str">
        <f t="shared" si="5"/>
        <v>Halm</v>
      </c>
      <c r="G86" s="74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4">
        <f t="shared" si="6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t="str">
        <f t="shared" si="7"/>
        <v>OC6</v>
      </c>
      <c r="F87" t="str">
        <f t="shared" si="5"/>
        <v>Halm</v>
      </c>
      <c r="G87" s="74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4">
        <f t="shared" si="6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t="str">
        <f t="shared" si="7"/>
        <v>OC6</v>
      </c>
      <c r="F88" t="str">
        <f t="shared" si="5"/>
        <v>Halm</v>
      </c>
      <c r="G88" s="74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4">
        <f t="shared" si="6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t="str">
        <f t="shared" si="7"/>
        <v>OC6</v>
      </c>
      <c r="F89" t="str">
        <f t="shared" si="5"/>
        <v>Græs</v>
      </c>
      <c r="G89" s="74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4">
        <f t="shared" si="6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t="str">
        <f t="shared" si="7"/>
        <v>OC6</v>
      </c>
      <c r="F90" t="str">
        <f t="shared" si="5"/>
        <v>Grøntsager</v>
      </c>
      <c r="G90" s="74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4">
        <f t="shared" si="6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t="str">
        <f t="shared" si="7"/>
        <v>OC6</v>
      </c>
      <c r="F91" t="str">
        <f t="shared" si="5"/>
        <v>Kartofler</v>
      </c>
      <c r="G91" s="74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4">
        <f t="shared" si="6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t="str">
        <f t="shared" si="7"/>
        <v>OC6</v>
      </c>
      <c r="F92" t="str">
        <f t="shared" si="5"/>
        <v>Roer</v>
      </c>
      <c r="G92" s="74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4">
        <f t="shared" si="6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t="str">
        <f t="shared" si="7"/>
        <v>OC6</v>
      </c>
      <c r="F93" t="str">
        <f t="shared" si="5"/>
        <v>Majs</v>
      </c>
      <c r="G93" s="74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4">
        <f t="shared" si="6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t="str">
        <f t="shared" si="7"/>
        <v>OC6</v>
      </c>
      <c r="F94" t="str">
        <f t="shared" si="5"/>
        <v>Frugt</v>
      </c>
      <c r="G94" s="74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4">
        <f t="shared" si="6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t="str">
        <f t="shared" si="7"/>
        <v>OC6</v>
      </c>
      <c r="F95" t="str">
        <f t="shared" si="5"/>
        <v>Øvrige</v>
      </c>
      <c r="G95" s="74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4">
        <f t="shared" si="6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t="str">
        <f t="shared" si="7"/>
        <v>OC6</v>
      </c>
      <c r="F96" t="str">
        <f t="shared" si="5"/>
        <v>Halm</v>
      </c>
      <c r="G96" s="74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4">
        <f t="shared" si="6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t="str">
        <f t="shared" si="7"/>
        <v>OC6</v>
      </c>
      <c r="F97" t="str">
        <f t="shared" si="5"/>
        <v>Juletræer</v>
      </c>
      <c r="G97" s="74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4">
        <f t="shared" si="6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t="str">
        <f t="shared" si="7"/>
        <v>OC6</v>
      </c>
      <c r="F98" t="str">
        <f>IF(I98&lt;&gt;0,"Halm",IF(B98&lt;&gt;"Permanent græs",B98,"Græs"))</f>
        <v>Pil &amp; poppel</v>
      </c>
      <c r="G98" s="74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4">
        <f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t="str">
        <f t="shared" si="7"/>
        <v>OC6</v>
      </c>
      <c r="F99" t="str">
        <f t="shared" si="5"/>
        <v>Græs</v>
      </c>
      <c r="G99" s="74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4">
        <f t="shared" si="6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t="str">
        <f t="shared" si="7"/>
        <v>OC6</v>
      </c>
      <c r="F100" t="str">
        <f t="shared" si="5"/>
        <v>Halm</v>
      </c>
      <c r="G100" s="74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11196.260693157685</v>
      </c>
      <c r="H100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94182.944950842444</v>
      </c>
      <c r="I100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33011.910663785355</v>
      </c>
      <c r="J100" s="74">
        <f t="shared" si="6"/>
        <v>33011.910663785355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t="str">
        <f t="shared" si="7"/>
        <v>OC6</v>
      </c>
      <c r="F101" t="str">
        <f t="shared" si="5"/>
        <v>Halm</v>
      </c>
      <c r="G101" s="74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959.79052447193897</v>
      </c>
      <c r="H10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4445.7497093540214</v>
      </c>
      <c r="I10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1417.345350980137</v>
      </c>
      <c r="J101" s="74">
        <f t="shared" si="6"/>
        <v>1417.345350980137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t="str">
        <f t="shared" si="7"/>
        <v>OC6</v>
      </c>
      <c r="F102" t="str">
        <f t="shared" si="5"/>
        <v>Halm</v>
      </c>
      <c r="G102" s="74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1027.7273757818732</v>
      </c>
      <c r="H102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5426.4005441282898</v>
      </c>
      <c r="I102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3112.3617024670689</v>
      </c>
      <c r="J102" s="74">
        <f t="shared" si="6"/>
        <v>3112.3617024670689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t="str">
        <f t="shared" si="7"/>
        <v>OC6</v>
      </c>
      <c r="F103" t="str">
        <f t="shared" si="5"/>
        <v>Græs</v>
      </c>
      <c r="G103" s="74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9484.230989471238</v>
      </c>
      <c r="H103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564729.05003707542</v>
      </c>
      <c r="I103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4">
        <f t="shared" si="6"/>
        <v>564729.05003707542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t="str">
        <f t="shared" si="7"/>
        <v>OC6</v>
      </c>
      <c r="F104" t="str">
        <f t="shared" si="5"/>
        <v>Grøntsager</v>
      </c>
      <c r="G104" s="74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44.358105077588014</v>
      </c>
      <c r="H104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1104.5168164319416</v>
      </c>
      <c r="I104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4">
        <f t="shared" si="6"/>
        <v>1104.5168164319416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t="str">
        <f t="shared" si="7"/>
        <v>OC6</v>
      </c>
      <c r="F105" t="str">
        <f t="shared" si="5"/>
        <v>Kartofler</v>
      </c>
      <c r="G105" s="74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700.29950715558721</v>
      </c>
      <c r="H105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35690.81996151046</v>
      </c>
      <c r="I105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4">
        <f t="shared" si="6"/>
        <v>35690.81996151046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t="str">
        <f t="shared" si="7"/>
        <v>OC6</v>
      </c>
      <c r="F106" t="str">
        <f t="shared" si="5"/>
        <v>Roer</v>
      </c>
      <c r="G106" s="74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18.37258126009214</v>
      </c>
      <c r="H106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1791.4089381482079</v>
      </c>
      <c r="I106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4">
        <f t="shared" si="6"/>
        <v>1791.4089381482079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t="str">
        <f t="shared" si="7"/>
        <v>OC6</v>
      </c>
      <c r="F107" t="str">
        <f t="shared" si="5"/>
        <v>Majs</v>
      </c>
      <c r="G107" s="74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2371.6241464994846</v>
      </c>
      <c r="H107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126673.18891283049</v>
      </c>
      <c r="I107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4">
        <f t="shared" si="6"/>
        <v>126673.18891283049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t="str">
        <f t="shared" si="7"/>
        <v>OC6</v>
      </c>
      <c r="F108" t="str">
        <f t="shared" si="5"/>
        <v>Frugt</v>
      </c>
      <c r="G108" s="74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40.402656114127915</v>
      </c>
      <c r="H10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411.62226049073524</v>
      </c>
      <c r="I10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4">
        <f t="shared" si="6"/>
        <v>411.62226049073524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t="str">
        <f t="shared" si="7"/>
        <v>OC6</v>
      </c>
      <c r="F109" t="str">
        <f t="shared" si="5"/>
        <v>Øvrige</v>
      </c>
      <c r="G109" s="74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714.55739207378303</v>
      </c>
      <c r="H10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25549.094025104845</v>
      </c>
      <c r="I10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4">
        <f t="shared" si="6"/>
        <v>25549.094025104845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t="str">
        <f t="shared" si="7"/>
        <v>OC6</v>
      </c>
      <c r="F110" t="str">
        <f t="shared" si="5"/>
        <v>Halm</v>
      </c>
      <c r="G110" s="74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1763.7383660176956</v>
      </c>
      <c r="H110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30242.17431384448</v>
      </c>
      <c r="I110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5395.2441821422535</v>
      </c>
      <c r="J110" s="74">
        <f t="shared" si="6"/>
        <v>5395.2441821422535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t="str">
        <f t="shared" si="7"/>
        <v>OC6</v>
      </c>
      <c r="F111" t="str">
        <f t="shared" si="5"/>
        <v>Juletræer</v>
      </c>
      <c r="G111" s="74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202.64130113199909</v>
      </c>
      <c r="H11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12158.478067919947</v>
      </c>
      <c r="I11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4">
        <f t="shared" si="6"/>
        <v>12158.478067919947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t="str">
        <f t="shared" si="7"/>
        <v>OC6</v>
      </c>
      <c r="F112" t="str">
        <f>IF(I112&lt;&gt;0,"Halm",IF(B112&lt;&gt;"Permanent græs",B112,"Græs"))</f>
        <v>Pil &amp; poppel</v>
      </c>
      <c r="G112" s="74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332.81173876457098</v>
      </c>
      <c r="H112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9740.8313784752481</v>
      </c>
      <c r="I112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4">
        <f>IF(I112&lt;&gt;0,I112,H112)</f>
        <v>9740.8313784752481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t="str">
        <f t="shared" si="7"/>
        <v>OC6</v>
      </c>
      <c r="F113" t="str">
        <f t="shared" si="5"/>
        <v>Græs</v>
      </c>
      <c r="G113" s="74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30452.01387923324</v>
      </c>
      <c r="H113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503919.92567355168</v>
      </c>
      <c r="I113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4">
        <f t="shared" si="6"/>
        <v>503919.92567355168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t="str">
        <f t="shared" si="7"/>
        <v>OC6</v>
      </c>
      <c r="F114" t="str">
        <f t="shared" si="5"/>
        <v>Korn</v>
      </c>
      <c r="G114" s="74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4">
        <f t="shared" si="6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t="str">
        <f t="shared" si="7"/>
        <v>OC6</v>
      </c>
      <c r="F115" t="str">
        <f t="shared" si="5"/>
        <v>Bælgsæd</v>
      </c>
      <c r="G115" s="74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4">
        <f t="shared" si="6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t="str">
        <f t="shared" si="7"/>
        <v>OC6</v>
      </c>
      <c r="F116" t="str">
        <f t="shared" si="5"/>
        <v>Raps</v>
      </c>
      <c r="G116" s="74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4">
        <f t="shared" si="6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t="str">
        <f t="shared" si="7"/>
        <v>OC6</v>
      </c>
      <c r="F117" t="str">
        <f t="shared" si="5"/>
        <v>Græs</v>
      </c>
      <c r="G117" s="74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4">
        <f t="shared" si="6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t="str">
        <f t="shared" ref="E118:E149" si="8">Organ6</f>
        <v>OC6</v>
      </c>
      <c r="F118" t="str">
        <f t="shared" si="5"/>
        <v>Grøntsager</v>
      </c>
      <c r="G118" s="74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4">
        <f t="shared" si="6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t="str">
        <f t="shared" si="8"/>
        <v>OC6</v>
      </c>
      <c r="F119" t="str">
        <f t="shared" si="5"/>
        <v>Kartofler</v>
      </c>
      <c r="G119" s="74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4">
        <f t="shared" si="6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t="str">
        <f t="shared" si="8"/>
        <v>OC6</v>
      </c>
      <c r="F120" t="str">
        <f t="shared" si="5"/>
        <v>Roer</v>
      </c>
      <c r="G120" s="74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4">
        <f t="shared" si="6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t="str">
        <f t="shared" si="8"/>
        <v>OC6</v>
      </c>
      <c r="F121" t="str">
        <f t="shared" si="5"/>
        <v>Majs</v>
      </c>
      <c r="G121" s="74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4">
        <f t="shared" si="6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t="str">
        <f t="shared" si="8"/>
        <v>OC6</v>
      </c>
      <c r="F122" t="str">
        <f t="shared" si="5"/>
        <v>Frugt</v>
      </c>
      <c r="G122" s="74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4">
        <f t="shared" si="6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t="str">
        <f t="shared" si="8"/>
        <v>OC6</v>
      </c>
      <c r="F123" t="str">
        <f t="shared" si="5"/>
        <v>Øvrige</v>
      </c>
      <c r="G123" s="74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4">
        <f t="shared" si="6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t="str">
        <f t="shared" si="8"/>
        <v>OC6</v>
      </c>
      <c r="F124" t="str">
        <f t="shared" si="5"/>
        <v>Frø</v>
      </c>
      <c r="G124" s="74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4">
        <f t="shared" si="6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t="str">
        <f t="shared" si="8"/>
        <v>OC6</v>
      </c>
      <c r="F125" t="str">
        <f t="shared" si="5"/>
        <v>Juletræer</v>
      </c>
      <c r="G125" s="74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4">
        <f t="shared" si="6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t="str">
        <f t="shared" si="8"/>
        <v>OC6</v>
      </c>
      <c r="F126" t="str">
        <f>IF(I126&lt;&gt;0,"Halm",IF(B126&lt;&gt;"Permanent græs",B126,"Græs"))</f>
        <v>Pil &amp; poppel</v>
      </c>
      <c r="G126" s="74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4">
        <f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t="str">
        <f t="shared" si="8"/>
        <v>OC6</v>
      </c>
      <c r="F127" t="str">
        <f t="shared" si="5"/>
        <v>Græs</v>
      </c>
      <c r="G127" s="74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4">
        <f t="shared" si="6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t="str">
        <f t="shared" si="8"/>
        <v>OC6</v>
      </c>
      <c r="F128" t="str">
        <f t="shared" si="5"/>
        <v>Halm</v>
      </c>
      <c r="G128" s="74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4">
        <f t="shared" si="6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t="str">
        <f t="shared" si="8"/>
        <v>OC6</v>
      </c>
      <c r="F129" t="str">
        <f t="shared" si="5"/>
        <v>Halm</v>
      </c>
      <c r="G129" s="74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4">
        <f t="shared" si="6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t="str">
        <f t="shared" si="8"/>
        <v>OC6</v>
      </c>
      <c r="F130" t="str">
        <f t="shared" si="5"/>
        <v>Halm</v>
      </c>
      <c r="G130" s="74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4">
        <f t="shared" si="6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t="str">
        <f t="shared" si="8"/>
        <v>OC6</v>
      </c>
      <c r="F131" t="str">
        <f t="shared" si="5"/>
        <v>Græs</v>
      </c>
      <c r="G131" s="74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4">
        <f t="shared" si="6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t="str">
        <f t="shared" si="8"/>
        <v>OC6</v>
      </c>
      <c r="F132" t="str">
        <f t="shared" si="5"/>
        <v>Grøntsager</v>
      </c>
      <c r="G132" s="74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4">
        <f t="shared" si="6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t="str">
        <f t="shared" si="8"/>
        <v>OC6</v>
      </c>
      <c r="F133" t="str">
        <f t="shared" si="5"/>
        <v>Kartofler</v>
      </c>
      <c r="G133" s="74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4">
        <f t="shared" si="6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t="str">
        <f t="shared" si="8"/>
        <v>OC6</v>
      </c>
      <c r="F134" t="str">
        <f t="shared" si="5"/>
        <v>Roer</v>
      </c>
      <c r="G134" s="74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4">
        <f t="shared" si="6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t="str">
        <f t="shared" si="8"/>
        <v>OC6</v>
      </c>
      <c r="F135" t="str">
        <f t="shared" si="5"/>
        <v>Majs</v>
      </c>
      <c r="G135" s="74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4">
        <f t="shared" si="6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t="str">
        <f t="shared" si="8"/>
        <v>OC6</v>
      </c>
      <c r="F136" t="str">
        <f t="shared" si="5"/>
        <v>Frugt</v>
      </c>
      <c r="G136" s="74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4">
        <f t="shared" si="6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t="str">
        <f t="shared" si="8"/>
        <v>OC6</v>
      </c>
      <c r="F137" t="str">
        <f t="shared" si="5"/>
        <v>Øvrige</v>
      </c>
      <c r="G137" s="74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4">
        <f t="shared" si="6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t="str">
        <f t="shared" si="8"/>
        <v>OC6</v>
      </c>
      <c r="F138" t="str">
        <f t="shared" si="5"/>
        <v>Halm</v>
      </c>
      <c r="G138" s="74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4">
        <f t="shared" si="6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t="str">
        <f t="shared" si="8"/>
        <v>OC6</v>
      </c>
      <c r="F139" t="str">
        <f t="shared" si="5"/>
        <v>Juletræer</v>
      </c>
      <c r="G139" s="74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4">
        <f t="shared" si="6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t="str">
        <f t="shared" si="8"/>
        <v>OC6</v>
      </c>
      <c r="F140" t="str">
        <f>IF(I140&lt;&gt;0,"Halm",IF(B140&lt;&gt;"Permanent græs",B140,"Græs"))</f>
        <v>Pil &amp; poppel</v>
      </c>
      <c r="G140" s="74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4">
        <f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t="str">
        <f t="shared" si="8"/>
        <v>OC6</v>
      </c>
      <c r="F141" t="str">
        <f t="shared" ref="F141:F208" si="9">IF(I141&lt;&gt;0,"Halm",IF(B141&lt;&gt;"Permanent græs",B141,"Græs"))</f>
        <v>Græs</v>
      </c>
      <c r="G141" s="74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4">
        <f t="shared" ref="J141:J208" si="10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t="str">
        <f t="shared" si="8"/>
        <v>OC6</v>
      </c>
      <c r="F142" t="str">
        <f t="shared" si="9"/>
        <v>Halm</v>
      </c>
      <c r="G142" s="74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1431.5708465431917</v>
      </c>
      <c r="H142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8068.3905539512916</v>
      </c>
      <c r="I142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2828.0384342047182</v>
      </c>
      <c r="J142" s="74">
        <f t="shared" si="10"/>
        <v>2828.0384342047182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t="str">
        <f t="shared" si="8"/>
        <v>OC6</v>
      </c>
      <c r="F143" t="str">
        <f t="shared" si="9"/>
        <v>Halm</v>
      </c>
      <c r="G143" s="74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122.72026985421287</v>
      </c>
      <c r="H143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324.01096527988705</v>
      </c>
      <c r="I143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103.29763601846187</v>
      </c>
      <c r="J143" s="74">
        <f t="shared" si="10"/>
        <v>103.29763601846187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t="str">
        <f t="shared" si="8"/>
        <v>OC6</v>
      </c>
      <c r="F144" t="str">
        <f t="shared" si="9"/>
        <v>Halm</v>
      </c>
      <c r="G144" s="74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131.4067785383736</v>
      </c>
      <c r="H144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381.60528487543701</v>
      </c>
      <c r="I144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218.87320415196874</v>
      </c>
      <c r="J144" s="74">
        <f t="shared" si="10"/>
        <v>218.87320415196874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t="str">
        <f t="shared" si="8"/>
        <v>OC6</v>
      </c>
      <c r="F145" t="str">
        <f t="shared" si="9"/>
        <v>Græs</v>
      </c>
      <c r="G145" s="74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1212.6681361310182</v>
      </c>
      <c r="H145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56321.546968272574</v>
      </c>
      <c r="I145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4">
        <f t="shared" si="10"/>
        <v>56321.546968272574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t="str">
        <f t="shared" si="8"/>
        <v>OC6</v>
      </c>
      <c r="F146" t="str">
        <f t="shared" si="9"/>
        <v>Grøntsager</v>
      </c>
      <c r="G146" s="74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5.6716944859797733</v>
      </c>
      <c r="H146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80.498359839510925</v>
      </c>
      <c r="I146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4">
        <f t="shared" si="10"/>
        <v>80.498359839510925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t="str">
        <f t="shared" si="8"/>
        <v>OC6</v>
      </c>
      <c r="F147" t="str">
        <f t="shared" si="9"/>
        <v>Kartofler</v>
      </c>
      <c r="G147" s="74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89.54135543710359</v>
      </c>
      <c r="H147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2601.184903195996</v>
      </c>
      <c r="I147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4">
        <f t="shared" si="10"/>
        <v>2601.184903195996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t="str">
        <f t="shared" si="8"/>
        <v>OC6</v>
      </c>
      <c r="F148" t="str">
        <f t="shared" si="9"/>
        <v>Roer</v>
      </c>
      <c r="G148" s="74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2.3491460612173207</v>
      </c>
      <c r="H14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130.55978793389087</v>
      </c>
      <c r="I14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4">
        <f t="shared" si="10"/>
        <v>130.55978793389087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t="str">
        <f t="shared" si="8"/>
        <v>OC6</v>
      </c>
      <c r="F149" t="str">
        <f t="shared" si="9"/>
        <v>Majs</v>
      </c>
      <c r="G149" s="74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303.23945468341958</v>
      </c>
      <c r="H14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13443.199375447171</v>
      </c>
      <c r="I14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4">
        <f t="shared" si="10"/>
        <v>13443.199375447171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t="str">
        <f t="shared" ref="E150:E169" si="11">Organ6</f>
        <v>OC6</v>
      </c>
      <c r="F150" t="str">
        <f t="shared" si="9"/>
        <v>Frugt</v>
      </c>
      <c r="G150" s="74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5.1659447918395278</v>
      </c>
      <c r="H150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29.99946795737883</v>
      </c>
      <c r="I150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4">
        <f t="shared" si="10"/>
        <v>29.99946795737883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t="str">
        <f t="shared" si="11"/>
        <v>OC6</v>
      </c>
      <c r="F151" t="str">
        <f t="shared" si="9"/>
        <v>Øvrige</v>
      </c>
      <c r="G151" s="74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91.364390193228076</v>
      </c>
      <c r="H15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1862.0451348584029</v>
      </c>
      <c r="I15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4">
        <f t="shared" si="10"/>
        <v>1862.0451348584029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t="str">
        <f t="shared" si="11"/>
        <v>OC6</v>
      </c>
      <c r="F152" t="str">
        <f t="shared" si="9"/>
        <v>Halm</v>
      </c>
      <c r="G152" s="74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225.51425827943592</v>
      </c>
      <c r="H152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2204.0818157113808</v>
      </c>
      <c r="I152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393.21113190391725</v>
      </c>
      <c r="J152" s="74">
        <f t="shared" si="10"/>
        <v>393.21113190391725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t="str">
        <f t="shared" si="11"/>
        <v>OC6</v>
      </c>
      <c r="F153" t="str">
        <f t="shared" si="9"/>
        <v>Juletræer</v>
      </c>
      <c r="G153" s="74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25.910023619174421</v>
      </c>
      <c r="H153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886.12280777576507</v>
      </c>
      <c r="I153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4">
        <f t="shared" si="10"/>
        <v>886.12280777576507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t="str">
        <f t="shared" si="11"/>
        <v>OC6</v>
      </c>
      <c r="F154" t="str">
        <f>IF(I154&lt;&gt;0,"Halm",IF(B154&lt;&gt;"Permanent græs",B154,"Græs"))</f>
        <v>Pil &amp; poppel</v>
      </c>
      <c r="G154" s="74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42.553812889858399</v>
      </c>
      <c r="H154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709.92214674788158</v>
      </c>
      <c r="I154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4">
        <f>IF(I154&lt;&gt;0,I154,H154)</f>
        <v>709.92214674788158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t="str">
        <f t="shared" si="11"/>
        <v>OC6</v>
      </c>
      <c r="F155" t="str">
        <f t="shared" si="9"/>
        <v>Græs</v>
      </c>
      <c r="G155" s="74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3893.6406075896812</v>
      </c>
      <c r="H155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64431.964774394051</v>
      </c>
      <c r="I155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4">
        <f t="shared" si="10"/>
        <v>64431.964774394051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t="str">
        <f t="shared" si="11"/>
        <v>OC6</v>
      </c>
      <c r="F156" t="str">
        <f t="shared" si="9"/>
        <v>Korn</v>
      </c>
      <c r="G156" s="74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4">
        <f t="shared" si="10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t="str">
        <f t="shared" si="11"/>
        <v>OC6</v>
      </c>
      <c r="F157" t="str">
        <f t="shared" si="9"/>
        <v>Bælgsæd</v>
      </c>
      <c r="G157" s="74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4">
        <f t="shared" si="10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t="str">
        <f t="shared" si="11"/>
        <v>OC6</v>
      </c>
      <c r="F158" t="str">
        <f t="shared" si="9"/>
        <v>Raps</v>
      </c>
      <c r="G158" s="74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4">
        <f t="shared" si="10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t="str">
        <f t="shared" si="11"/>
        <v>OC6</v>
      </c>
      <c r="F159" t="str">
        <f t="shared" si="9"/>
        <v>Græs</v>
      </c>
      <c r="G159" s="74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4">
        <f t="shared" si="10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t="str">
        <f t="shared" si="11"/>
        <v>OC6</v>
      </c>
      <c r="F160" t="str">
        <f t="shared" si="9"/>
        <v>Grøntsager</v>
      </c>
      <c r="G160" s="74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4">
        <f t="shared" si="10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t="str">
        <f t="shared" si="11"/>
        <v>OC6</v>
      </c>
      <c r="F161" t="str">
        <f t="shared" si="9"/>
        <v>Kartofler</v>
      </c>
      <c r="G161" s="74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4">
        <f t="shared" si="10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t="str">
        <f t="shared" si="11"/>
        <v>OC6</v>
      </c>
      <c r="F162" t="str">
        <f t="shared" si="9"/>
        <v>Roer</v>
      </c>
      <c r="G162" s="74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4">
        <f t="shared" si="10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t="str">
        <f t="shared" si="11"/>
        <v>OC6</v>
      </c>
      <c r="F163" t="str">
        <f t="shared" si="9"/>
        <v>Majs</v>
      </c>
      <c r="G163" s="74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4">
        <f t="shared" si="10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t="str">
        <f t="shared" si="11"/>
        <v>OC6</v>
      </c>
      <c r="F164" t="str">
        <f t="shared" si="9"/>
        <v>Frugt</v>
      </c>
      <c r="G164" s="74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4">
        <f t="shared" si="10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t="str">
        <f t="shared" si="11"/>
        <v>OC6</v>
      </c>
      <c r="F165" t="str">
        <f t="shared" si="9"/>
        <v>Øvrige</v>
      </c>
      <c r="G165" s="74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4">
        <f t="shared" si="10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t="str">
        <f t="shared" si="11"/>
        <v>OC6</v>
      </c>
      <c r="F166" t="str">
        <f t="shared" si="9"/>
        <v>Frø</v>
      </c>
      <c r="G166" s="74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4">
        <f t="shared" si="10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t="str">
        <f t="shared" si="11"/>
        <v>OC6</v>
      </c>
      <c r="F167" t="str">
        <f t="shared" si="9"/>
        <v>Juletræer</v>
      </c>
      <c r="G167" s="74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4">
        <f t="shared" si="10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t="str">
        <f t="shared" si="11"/>
        <v>OC6</v>
      </c>
      <c r="F168" t="str">
        <f>IF(I168&lt;&gt;0,"Halm",IF(B168&lt;&gt;"Permanent græs",B168,"Græs"))</f>
        <v>Pil &amp; poppel</v>
      </c>
      <c r="G168" s="74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4">
        <f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t="str">
        <f t="shared" si="11"/>
        <v>OC6</v>
      </c>
      <c r="F169" t="str">
        <f t="shared" si="9"/>
        <v>Græs</v>
      </c>
      <c r="G169" s="74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8725.0625185185199</v>
      </c>
      <c r="H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144382.33455644446</v>
      </c>
      <c r="I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4">
        <f t="shared" si="10"/>
        <v>144382.33455644446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t="str">
        <f t="shared" ref="E170:E201" si="12">Organ12</f>
        <v>OC12</v>
      </c>
      <c r="F170" t="str">
        <f t="shared" si="9"/>
        <v>Halm</v>
      </c>
      <c r="G170" s="74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4">
        <f t="shared" si="10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t="str">
        <f t="shared" si="12"/>
        <v>OC12</v>
      </c>
      <c r="F171" t="str">
        <f t="shared" si="9"/>
        <v>Halm</v>
      </c>
      <c r="G171" s="74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4">
        <f t="shared" si="10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t="str">
        <f t="shared" si="12"/>
        <v>OC12</v>
      </c>
      <c r="F172" t="str">
        <f t="shared" si="9"/>
        <v>Halm</v>
      </c>
      <c r="G172" s="74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4">
        <f t="shared" si="10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t="str">
        <f t="shared" si="12"/>
        <v>OC12</v>
      </c>
      <c r="F173" t="str">
        <f t="shared" si="9"/>
        <v>Græs</v>
      </c>
      <c r="G173" s="74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4">
        <f t="shared" si="10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t="str">
        <f t="shared" si="12"/>
        <v>OC12</v>
      </c>
      <c r="F174" t="str">
        <f t="shared" si="9"/>
        <v>Grøntsager</v>
      </c>
      <c r="G174" s="74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4">
        <f t="shared" si="10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t="str">
        <f t="shared" si="12"/>
        <v>OC12</v>
      </c>
      <c r="F175" t="str">
        <f t="shared" si="9"/>
        <v>Kartofler</v>
      </c>
      <c r="G175" s="74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4">
        <f t="shared" si="10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t="str">
        <f t="shared" si="12"/>
        <v>OC12</v>
      </c>
      <c r="F176" t="str">
        <f t="shared" si="9"/>
        <v>Roer</v>
      </c>
      <c r="G176" s="74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4">
        <f t="shared" si="10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t="str">
        <f t="shared" si="12"/>
        <v>OC12</v>
      </c>
      <c r="F177" t="str">
        <f t="shared" si="9"/>
        <v>Majs</v>
      </c>
      <c r="G177" s="74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4">
        <f t="shared" si="10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t="str">
        <f t="shared" si="12"/>
        <v>OC12</v>
      </c>
      <c r="F178" t="str">
        <f t="shared" si="9"/>
        <v>Frugt</v>
      </c>
      <c r="G178" s="74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4">
        <f t="shared" si="10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t="str">
        <f t="shared" si="12"/>
        <v>OC12</v>
      </c>
      <c r="F179" t="str">
        <f t="shared" si="9"/>
        <v>Øvrige</v>
      </c>
      <c r="G179" s="74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4">
        <f t="shared" si="10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t="str">
        <f t="shared" si="12"/>
        <v>OC12</v>
      </c>
      <c r="F180" t="str">
        <f t="shared" si="9"/>
        <v>Halm</v>
      </c>
      <c r="G180" s="74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4">
        <f t="shared" si="10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t="str">
        <f t="shared" si="12"/>
        <v>OC12</v>
      </c>
      <c r="F181" t="str">
        <f t="shared" si="9"/>
        <v>Juletræer</v>
      </c>
      <c r="G181" s="74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4">
        <f t="shared" si="10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t="str">
        <f t="shared" si="12"/>
        <v>OC12</v>
      </c>
      <c r="F182" t="str">
        <f>IF(I182&lt;&gt;0,"Halm",IF(B182&lt;&gt;"Permanent græs",B182,"Græs"))</f>
        <v>Pil &amp; poppel</v>
      </c>
      <c r="G182" s="74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4">
        <f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t="str">
        <f t="shared" si="12"/>
        <v>OC12</v>
      </c>
      <c r="F183" t="str">
        <f t="shared" si="9"/>
        <v>Græs</v>
      </c>
      <c r="G183" s="74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4">
        <f t="shared" si="10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t="str">
        <f t="shared" si="12"/>
        <v>OC12</v>
      </c>
      <c r="F184" t="str">
        <f t="shared" si="9"/>
        <v>Halm</v>
      </c>
      <c r="G184" s="74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5659.6634285023883</v>
      </c>
      <c r="H184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55543.93688732243</v>
      </c>
      <c r="I184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19468.614868607579</v>
      </c>
      <c r="J184" s="74">
        <f t="shared" si="10"/>
        <v>19468.614868607579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t="str">
        <f t="shared" si="12"/>
        <v>OC12</v>
      </c>
      <c r="F185" t="str">
        <f t="shared" si="9"/>
        <v>Halm</v>
      </c>
      <c r="G185" s="74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325.87901868990201</v>
      </c>
      <c r="H185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1761.0502170002303</v>
      </c>
      <c r="I185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561.43879010015519</v>
      </c>
      <c r="J185" s="74">
        <f t="shared" si="10"/>
        <v>561.43879010015519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t="str">
        <f t="shared" si="12"/>
        <v>OC12</v>
      </c>
      <c r="F186" t="str">
        <f t="shared" si="9"/>
        <v>Halm</v>
      </c>
      <c r="G186" s="74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421.99857265679589</v>
      </c>
      <c r="H186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2599.5112075658631</v>
      </c>
      <c r="I186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1490.973447641361</v>
      </c>
      <c r="J186" s="74">
        <f t="shared" si="10"/>
        <v>1490.973447641361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t="str">
        <f t="shared" si="12"/>
        <v>OC12</v>
      </c>
      <c r="F187" t="str">
        <f t="shared" si="9"/>
        <v>Græs</v>
      </c>
      <c r="G187" s="74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9732.6192199682846</v>
      </c>
      <c r="H187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676105.59197275678</v>
      </c>
      <c r="I187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4">
        <f t="shared" si="10"/>
        <v>676105.59197275678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t="str">
        <f t="shared" si="12"/>
        <v>OC12</v>
      </c>
      <c r="F188" t="str">
        <f t="shared" si="9"/>
        <v>Grøntsager</v>
      </c>
      <c r="G188" s="74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11.31234505051532</v>
      </c>
      <c r="H18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328.62362371747008</v>
      </c>
      <c r="I18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4">
        <f t="shared" si="10"/>
        <v>328.62362371747008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t="str">
        <f t="shared" si="12"/>
        <v>OC12</v>
      </c>
      <c r="F189" t="str">
        <f t="shared" si="9"/>
        <v>Kartofler</v>
      </c>
      <c r="G189" s="74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598.76574080415071</v>
      </c>
      <c r="H18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35602.167418036428</v>
      </c>
      <c r="I18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4">
        <f t="shared" si="10"/>
        <v>35602.167418036428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t="str">
        <f t="shared" si="12"/>
        <v>OC12</v>
      </c>
      <c r="F190" t="str">
        <f t="shared" si="9"/>
        <v>Roer</v>
      </c>
      <c r="G190" s="74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6.4750902601840021</v>
      </c>
      <c r="H190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736.5753421943042</v>
      </c>
      <c r="I190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4">
        <f t="shared" si="10"/>
        <v>736.5753421943042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t="str">
        <f t="shared" si="12"/>
        <v>OC12</v>
      </c>
      <c r="F191" t="str">
        <f t="shared" si="9"/>
        <v>Majs</v>
      </c>
      <c r="G191" s="74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805.2408623097682</v>
      </c>
      <c r="H19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50177.779093970894</v>
      </c>
      <c r="I19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4">
        <f t="shared" si="10"/>
        <v>50177.779093970894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t="str">
        <f t="shared" si="12"/>
        <v>OC12</v>
      </c>
      <c r="F192" t="str">
        <f t="shared" si="9"/>
        <v>Frugt</v>
      </c>
      <c r="G192" s="74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23.075756148004398</v>
      </c>
      <c r="H192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274.27843757518031</v>
      </c>
      <c r="I192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4">
        <f t="shared" si="10"/>
        <v>274.27843757518031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t="str">
        <f t="shared" si="12"/>
        <v>OC12</v>
      </c>
      <c r="F193" t="str">
        <f t="shared" si="9"/>
        <v>Øvrige</v>
      </c>
      <c r="G193" s="74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408.11554781624284</v>
      </c>
      <c r="H193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17024.262930563389</v>
      </c>
      <c r="I193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4">
        <f t="shared" si="10"/>
        <v>17024.262930563389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t="str">
        <f t="shared" si="12"/>
        <v>OC12</v>
      </c>
      <c r="F194" t="str">
        <f t="shared" si="9"/>
        <v>Halm</v>
      </c>
      <c r="G194" s="74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1298.4872253048338</v>
      </c>
      <c r="H194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25975.464424506878</v>
      </c>
      <c r="I194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4634.0574543480388</v>
      </c>
      <c r="J194" s="74">
        <f t="shared" si="10"/>
        <v>4634.0574543480388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t="str">
        <f t="shared" si="12"/>
        <v>OC12</v>
      </c>
      <c r="F195" t="str">
        <f t="shared" si="9"/>
        <v>Juletræer</v>
      </c>
      <c r="G195" s="74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115.73747125009459</v>
      </c>
      <c r="H195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8101.6229875066201</v>
      </c>
      <c r="I195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4">
        <f t="shared" si="10"/>
        <v>8101.6229875066201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t="str">
        <f t="shared" si="12"/>
        <v>OC12</v>
      </c>
      <c r="F196" t="str">
        <f>IF(I196&lt;&gt;0,"Halm",IF(B196&lt;&gt;"Permanent græs",B196,"Græs"))</f>
        <v>Pil &amp; poppel</v>
      </c>
      <c r="G196" s="74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273.20106069089286</v>
      </c>
      <c r="H196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9328.8167065182915</v>
      </c>
      <c r="I196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4">
        <f>IF(I196&lt;&gt;0,I196,H196)</f>
        <v>9328.8167065182915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t="str">
        <f t="shared" si="12"/>
        <v>OC12</v>
      </c>
      <c r="F197" t="str">
        <f t="shared" si="9"/>
        <v>Græs</v>
      </c>
      <c r="G197" s="74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26486.154998052578</v>
      </c>
      <c r="H197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511341.70839240309</v>
      </c>
      <c r="I197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4">
        <f t="shared" si="10"/>
        <v>511341.70839240309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t="str">
        <f t="shared" si="12"/>
        <v>OC12</v>
      </c>
      <c r="F198" t="str">
        <f t="shared" si="9"/>
        <v>Korn</v>
      </c>
      <c r="G198" s="74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4">
        <f t="shared" si="10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t="str">
        <f t="shared" si="12"/>
        <v>OC12</v>
      </c>
      <c r="F199" t="str">
        <f t="shared" si="9"/>
        <v>Bælgsæd</v>
      </c>
      <c r="G199" s="74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4">
        <f t="shared" si="10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t="str">
        <f t="shared" si="12"/>
        <v>OC12</v>
      </c>
      <c r="F200" t="str">
        <f t="shared" si="9"/>
        <v>Raps</v>
      </c>
      <c r="G200" s="74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4">
        <f t="shared" si="10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t="str">
        <f t="shared" si="12"/>
        <v>OC12</v>
      </c>
      <c r="F201" t="str">
        <f t="shared" si="9"/>
        <v>Græs</v>
      </c>
      <c r="G201" s="74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4">
        <f t="shared" si="10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t="str">
        <f t="shared" ref="E202:E233" si="13">Organ12</f>
        <v>OC12</v>
      </c>
      <c r="F202" t="str">
        <f t="shared" si="9"/>
        <v>Grøntsager</v>
      </c>
      <c r="G202" s="74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4">
        <f t="shared" si="10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t="str">
        <f t="shared" si="13"/>
        <v>OC12</v>
      </c>
      <c r="F203" t="str">
        <f t="shared" si="9"/>
        <v>Kartofler</v>
      </c>
      <c r="G203" s="74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4">
        <f t="shared" si="10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t="str">
        <f t="shared" si="13"/>
        <v>OC12</v>
      </c>
      <c r="F204" t="str">
        <f t="shared" si="9"/>
        <v>Roer</v>
      </c>
      <c r="G204" s="74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4">
        <f t="shared" si="10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t="str">
        <f t="shared" si="13"/>
        <v>OC12</v>
      </c>
      <c r="F205" t="str">
        <f t="shared" si="9"/>
        <v>Majs</v>
      </c>
      <c r="G205" s="74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4">
        <f t="shared" si="10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t="str">
        <f t="shared" si="13"/>
        <v>OC12</v>
      </c>
      <c r="F206" t="str">
        <f t="shared" si="9"/>
        <v>Frugt</v>
      </c>
      <c r="G206" s="74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4">
        <f t="shared" si="10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t="str">
        <f t="shared" si="13"/>
        <v>OC12</v>
      </c>
      <c r="F207" t="str">
        <f t="shared" si="9"/>
        <v>Øvrige</v>
      </c>
      <c r="G207" s="74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4">
        <f t="shared" si="10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t="str">
        <f t="shared" si="13"/>
        <v>OC12</v>
      </c>
      <c r="F208" t="str">
        <f t="shared" si="9"/>
        <v>Frø</v>
      </c>
      <c r="G208" s="74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4">
        <f t="shared" si="10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t="str">
        <f t="shared" si="13"/>
        <v>OC12</v>
      </c>
      <c r="F209" t="str">
        <f t="shared" ref="F209:F253" si="14">IF(I209&lt;&gt;0,"Halm",IF(B209&lt;&gt;"Permanent græs",B209,"Græs"))</f>
        <v>Juletræer</v>
      </c>
      <c r="G209" s="74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4">
        <f t="shared" ref="J209:J276" si="15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t="str">
        <f t="shared" si="13"/>
        <v>OC12</v>
      </c>
      <c r="F210" t="str">
        <f>IF(I210&lt;&gt;0,"Halm",IF(B210&lt;&gt;"Permanent græs",B210,"Græs"))</f>
        <v>Pil &amp; poppel</v>
      </c>
      <c r="G210" s="74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4">
        <f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t="str">
        <f t="shared" si="13"/>
        <v>OC12</v>
      </c>
      <c r="F211" t="str">
        <f t="shared" si="14"/>
        <v>Græs</v>
      </c>
      <c r="G211" s="74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4">
        <f t="shared" si="15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t="str">
        <f t="shared" si="13"/>
        <v>OC12</v>
      </c>
      <c r="F212" t="str">
        <f t="shared" si="14"/>
        <v>Halm</v>
      </c>
      <c r="G212" s="74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4">
        <f t="shared" si="15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t="str">
        <f t="shared" si="13"/>
        <v>OC12</v>
      </c>
      <c r="F213" t="str">
        <f t="shared" si="14"/>
        <v>Halm</v>
      </c>
      <c r="G213" s="74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4">
        <f t="shared" si="15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t="str">
        <f t="shared" si="13"/>
        <v>OC12</v>
      </c>
      <c r="F214" t="str">
        <f t="shared" si="14"/>
        <v>Halm</v>
      </c>
      <c r="G214" s="74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4">
        <f t="shared" si="15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t="str">
        <f t="shared" si="13"/>
        <v>OC12</v>
      </c>
      <c r="F215" t="str">
        <f t="shared" si="14"/>
        <v>Græs</v>
      </c>
      <c r="G215" s="74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4">
        <f t="shared" si="15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t="str">
        <f t="shared" si="13"/>
        <v>OC12</v>
      </c>
      <c r="F216" t="str">
        <f t="shared" si="14"/>
        <v>Grøntsager</v>
      </c>
      <c r="G216" s="74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4">
        <f t="shared" si="15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t="str">
        <f t="shared" si="13"/>
        <v>OC12</v>
      </c>
      <c r="F217" t="str">
        <f t="shared" si="14"/>
        <v>Kartofler</v>
      </c>
      <c r="G217" s="74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4">
        <f t="shared" si="15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t="str">
        <f t="shared" si="13"/>
        <v>OC12</v>
      </c>
      <c r="F218" t="str">
        <f t="shared" si="14"/>
        <v>Roer</v>
      </c>
      <c r="G218" s="74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4">
        <f t="shared" si="15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t="str">
        <f t="shared" si="13"/>
        <v>OC12</v>
      </c>
      <c r="F219" t="str">
        <f t="shared" si="14"/>
        <v>Majs</v>
      </c>
      <c r="G219" s="74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4">
        <f t="shared" si="15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t="str">
        <f t="shared" si="13"/>
        <v>OC12</v>
      </c>
      <c r="F220" t="str">
        <f t="shared" si="14"/>
        <v>Frugt</v>
      </c>
      <c r="G220" s="74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4">
        <f t="shared" si="15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t="str">
        <f t="shared" si="13"/>
        <v>OC12</v>
      </c>
      <c r="F221" t="str">
        <f t="shared" si="14"/>
        <v>Øvrige</v>
      </c>
      <c r="G221" s="74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4">
        <f t="shared" si="15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t="str">
        <f t="shared" si="13"/>
        <v>OC12</v>
      </c>
      <c r="F222" t="str">
        <f t="shared" si="14"/>
        <v>Halm</v>
      </c>
      <c r="G222" s="74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4">
        <f t="shared" si="15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t="str">
        <f t="shared" si="13"/>
        <v>OC12</v>
      </c>
      <c r="F223" t="str">
        <f t="shared" si="14"/>
        <v>Juletræer</v>
      </c>
      <c r="G223" s="74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4">
        <f t="shared" si="15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t="str">
        <f t="shared" si="13"/>
        <v>OC12</v>
      </c>
      <c r="F224" t="str">
        <f>IF(I224&lt;&gt;0,"Halm",IF(B224&lt;&gt;"Permanent græs",B224,"Græs"))</f>
        <v>Pil &amp; poppel</v>
      </c>
      <c r="G224" s="74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4">
        <f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t="str">
        <f t="shared" si="13"/>
        <v>OC12</v>
      </c>
      <c r="F225" t="str">
        <f t="shared" si="14"/>
        <v>Græs</v>
      </c>
      <c r="G225" s="74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4">
        <f t="shared" si="15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t="str">
        <f t="shared" si="13"/>
        <v>OC12</v>
      </c>
      <c r="F226" t="str">
        <f t="shared" si="14"/>
        <v>Halm</v>
      </c>
      <c r="G226" s="74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723.65313630488879</v>
      </c>
      <c r="H226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4758.2943593964401</v>
      </c>
      <c r="I226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1667.8220073323796</v>
      </c>
      <c r="J226" s="74">
        <f t="shared" si="15"/>
        <v>1667.8220073323796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t="str">
        <f t="shared" si="13"/>
        <v>OC12</v>
      </c>
      <c r="F227" t="str">
        <f t="shared" si="14"/>
        <v>Halm</v>
      </c>
      <c r="G227" s="74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41.667384803005618</v>
      </c>
      <c r="H227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128.34721206100212</v>
      </c>
      <c r="I227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40.918255911522166</v>
      </c>
      <c r="J227" s="74">
        <f t="shared" si="15"/>
        <v>40.918255911522166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t="str">
        <f t="shared" si="13"/>
        <v>OC12</v>
      </c>
      <c r="F228" t="str">
        <f t="shared" si="14"/>
        <v>Halm</v>
      </c>
      <c r="G228" s="74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53.957376525494915</v>
      </c>
      <c r="H22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182.8075916683768</v>
      </c>
      <c r="I22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104.85096752478921</v>
      </c>
      <c r="J228" s="74">
        <f t="shared" si="15"/>
        <v>104.85096752478921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t="str">
        <f t="shared" si="13"/>
        <v>OC12</v>
      </c>
      <c r="F229" t="str">
        <f t="shared" si="14"/>
        <v>Græs</v>
      </c>
      <c r="G229" s="74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1244.4274314126412</v>
      </c>
      <c r="H22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67429.35014819121</v>
      </c>
      <c r="I22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4">
        <f t="shared" si="15"/>
        <v>67429.35014819121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t="str">
        <f t="shared" si="13"/>
        <v>OC12</v>
      </c>
      <c r="F230" t="str">
        <f t="shared" si="14"/>
        <v>Grøntsager</v>
      </c>
      <c r="G230" s="74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1.4464135682595993</v>
      </c>
      <c r="H230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23.950439070026576</v>
      </c>
      <c r="I230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4">
        <f t="shared" si="15"/>
        <v>23.950439070026576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t="str">
        <f t="shared" si="13"/>
        <v>OC12</v>
      </c>
      <c r="F231" t="str">
        <f t="shared" si="14"/>
        <v>Kartofler</v>
      </c>
      <c r="G231" s="74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76.559094320472624</v>
      </c>
      <c r="H23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2594.7238115773866</v>
      </c>
      <c r="I23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4">
        <f t="shared" si="15"/>
        <v>2594.7238115773866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t="str">
        <f t="shared" si="13"/>
        <v>OC12</v>
      </c>
      <c r="F232" t="str">
        <f t="shared" si="14"/>
        <v>Roer</v>
      </c>
      <c r="G232" s="74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0.82791484579133123</v>
      </c>
      <c r="H232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53.682394023125802</v>
      </c>
      <c r="I232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4">
        <f t="shared" si="15"/>
        <v>53.682394023125802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t="str">
        <f t="shared" si="13"/>
        <v>OC12</v>
      </c>
      <c r="F233" t="str">
        <f t="shared" si="14"/>
        <v>Majs</v>
      </c>
      <c r="G233" s="74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102.95931601810993</v>
      </c>
      <c r="H233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5325.1196592325769</v>
      </c>
      <c r="I233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4">
        <f t="shared" si="15"/>
        <v>5325.1196592325769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t="str">
        <f t="shared" ref="E234:E253" si="16">Organ12</f>
        <v>OC12</v>
      </c>
      <c r="F234" t="str">
        <f t="shared" si="14"/>
        <v>Frugt</v>
      </c>
      <c r="G234" s="74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2.9505011243272654</v>
      </c>
      <c r="H234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19.989704127339706</v>
      </c>
      <c r="I234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4">
        <f t="shared" si="15"/>
        <v>19.989704127339706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t="str">
        <f t="shared" si="16"/>
        <v>OC12</v>
      </c>
      <c r="F235" t="str">
        <f t="shared" si="14"/>
        <v>Øvrige</v>
      </c>
      <c r="G235" s="74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52.182271946542372</v>
      </c>
      <c r="H235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1240.7463815842973</v>
      </c>
      <c r="I235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4">
        <f t="shared" si="15"/>
        <v>1240.7463815842973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t="str">
        <f t="shared" si="16"/>
        <v>OC12</v>
      </c>
      <c r="F236" t="str">
        <f t="shared" si="14"/>
        <v>Halm</v>
      </c>
      <c r="G236" s="74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166.02654290562981</v>
      </c>
      <c r="H236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1893.1194628589992</v>
      </c>
      <c r="I236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337.7350339328782</v>
      </c>
      <c r="J236" s="74">
        <f t="shared" si="15"/>
        <v>337.7350339328782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t="str">
        <f t="shared" si="16"/>
        <v>OC12</v>
      </c>
      <c r="F237" t="str">
        <f t="shared" si="14"/>
        <v>Juletræer</v>
      </c>
      <c r="G237" s="74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14.798368333413432</v>
      </c>
      <c r="H237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590.45489650319587</v>
      </c>
      <c r="I237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4">
        <f t="shared" si="15"/>
        <v>590.45489650319587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t="str">
        <f t="shared" si="16"/>
        <v>OC12</v>
      </c>
      <c r="F238" t="str">
        <f>IF(I238&lt;&gt;0,"Halm",IF(B238&lt;&gt;"Permanent græs",B238,"Græs"))</f>
        <v>Pil &amp; poppel</v>
      </c>
      <c r="G238" s="74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34.931901323874534</v>
      </c>
      <c r="H23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679.89407942565549</v>
      </c>
      <c r="I23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4">
        <f>IF(I238&lt;&gt;0,I238,H238)</f>
        <v>679.89407942565549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t="str">
        <f t="shared" si="16"/>
        <v>OC12</v>
      </c>
      <c r="F239" t="str">
        <f t="shared" si="14"/>
        <v>Græs</v>
      </c>
      <c r="G239" s="74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3386.5598856061138</v>
      </c>
      <c r="H23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65380.925151511634</v>
      </c>
      <c r="I23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4">
        <f t="shared" si="15"/>
        <v>65380.925151511634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t="str">
        <f t="shared" si="16"/>
        <v>OC12</v>
      </c>
      <c r="F240" t="str">
        <f t="shared" si="14"/>
        <v>Korn</v>
      </c>
      <c r="G240" s="74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4">
        <f t="shared" si="15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t="str">
        <f t="shared" si="16"/>
        <v>OC12</v>
      </c>
      <c r="F241" t="str">
        <f t="shared" si="14"/>
        <v>Bælgsæd</v>
      </c>
      <c r="G241" s="74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4">
        <f t="shared" si="15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t="str">
        <f t="shared" si="16"/>
        <v>OC12</v>
      </c>
      <c r="F242" t="str">
        <f t="shared" si="14"/>
        <v>Raps</v>
      </c>
      <c r="G242" s="74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4">
        <f t="shared" si="15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t="str">
        <f t="shared" si="16"/>
        <v>OC12</v>
      </c>
      <c r="F243" t="str">
        <f t="shared" si="14"/>
        <v>Græs</v>
      </c>
      <c r="G243" s="74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4">
        <f t="shared" si="15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t="str">
        <f t="shared" si="16"/>
        <v>OC12</v>
      </c>
      <c r="F244" t="str">
        <f t="shared" si="14"/>
        <v>Grøntsager</v>
      </c>
      <c r="G244" s="74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4">
        <f t="shared" si="15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t="str">
        <f t="shared" si="16"/>
        <v>OC12</v>
      </c>
      <c r="F245" t="str">
        <f t="shared" si="14"/>
        <v>Kartofler</v>
      </c>
      <c r="G245" s="74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4">
        <f t="shared" si="15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t="str">
        <f t="shared" si="16"/>
        <v>OC12</v>
      </c>
      <c r="F246" t="str">
        <f t="shared" si="14"/>
        <v>Roer</v>
      </c>
      <c r="G246" s="74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4">
        <f t="shared" si="15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t="str">
        <f t="shared" si="16"/>
        <v>OC12</v>
      </c>
      <c r="F247" t="str">
        <f t="shared" si="14"/>
        <v>Majs</v>
      </c>
      <c r="G247" s="74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4">
        <f t="shared" si="15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t="str">
        <f t="shared" si="16"/>
        <v>OC12</v>
      </c>
      <c r="F248" t="str">
        <f t="shared" si="14"/>
        <v>Frugt</v>
      </c>
      <c r="G248" s="74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4">
        <f t="shared" si="15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t="str">
        <f t="shared" si="16"/>
        <v>OC12</v>
      </c>
      <c r="F249" t="str">
        <f t="shared" si="14"/>
        <v>Øvrige</v>
      </c>
      <c r="G249" s="74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4">
        <f t="shared" si="15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t="str">
        <f t="shared" si="16"/>
        <v>OC12</v>
      </c>
      <c r="F250" t="str">
        <f t="shared" si="14"/>
        <v>Frø</v>
      </c>
      <c r="G250" s="74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4">
        <f t="shared" si="15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t="str">
        <f t="shared" si="16"/>
        <v>OC12</v>
      </c>
      <c r="F251" t="str">
        <f t="shared" si="14"/>
        <v>Juletræer</v>
      </c>
      <c r="G251" s="74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4">
        <f t="shared" si="15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t="str">
        <f t="shared" si="16"/>
        <v>OC12</v>
      </c>
      <c r="F252" t="str">
        <f>IF(I252&lt;&gt;0,"Halm",IF(B252&lt;&gt;"Permanent græs",B252,"Græs"))</f>
        <v>Pil &amp; poppel</v>
      </c>
      <c r="G252" s="74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4">
        <f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t="str">
        <f t="shared" si="16"/>
        <v>OC12</v>
      </c>
      <c r="F253" t="str">
        <f t="shared" si="14"/>
        <v>Græs</v>
      </c>
      <c r="G253" s="74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6791.6965925925906</v>
      </c>
      <c r="H253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131120.49441659256</v>
      </c>
      <c r="I253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4">
        <f t="shared" si="15"/>
        <v>131120.49441659256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t="str">
        <f t="shared" ref="E254:E285" si="17">Jordbund1</f>
        <v>JB1-10</v>
      </c>
      <c r="F254" t="str">
        <f>IF(I254&lt;&gt;0,"Halm",IF(B254&lt;&gt;"Permanent græs",B254,"Græs"))</f>
        <v>Halm</v>
      </c>
      <c r="G254" s="74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4">
        <f t="shared" si="15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t="str">
        <f t="shared" si="17"/>
        <v>JB1-10</v>
      </c>
      <c r="F255" t="str">
        <f t="shared" ref="F255:F265" si="18">IF(I255&lt;&gt;0,"Halm",IF(B255&lt;&gt;"Permanent græs",B255,"Græs"))</f>
        <v>Halm</v>
      </c>
      <c r="G255" s="74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4">
        <f t="shared" si="15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t="str">
        <f t="shared" si="17"/>
        <v>JB1-10</v>
      </c>
      <c r="F256" t="str">
        <f t="shared" si="18"/>
        <v>Halm</v>
      </c>
      <c r="G256" s="74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4">
        <f t="shared" si="15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t="str">
        <f t="shared" si="17"/>
        <v>JB1-10</v>
      </c>
      <c r="F257" t="str">
        <f t="shared" si="18"/>
        <v>Græs</v>
      </c>
      <c r="G257" s="74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4">
        <f t="shared" si="15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t="str">
        <f t="shared" si="17"/>
        <v>JB1-10</v>
      </c>
      <c r="F258" t="str">
        <f t="shared" si="18"/>
        <v>Grøntsager</v>
      </c>
      <c r="G258" s="74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4">
        <f t="shared" si="15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t="str">
        <f t="shared" si="17"/>
        <v>JB1-10</v>
      </c>
      <c r="F259" t="str">
        <f t="shared" si="18"/>
        <v>Kartofler</v>
      </c>
      <c r="G259" s="74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4">
        <f t="shared" si="15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t="str">
        <f t="shared" si="17"/>
        <v>JB1-10</v>
      </c>
      <c r="F260" t="str">
        <f t="shared" si="18"/>
        <v>Roer</v>
      </c>
      <c r="G260" s="74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4">
        <f t="shared" si="15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t="str">
        <f t="shared" si="17"/>
        <v>JB1-10</v>
      </c>
      <c r="F261" t="str">
        <f t="shared" si="18"/>
        <v>Majs</v>
      </c>
      <c r="G261" s="74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4">
        <f t="shared" si="15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t="str">
        <f t="shared" si="17"/>
        <v>JB1-10</v>
      </c>
      <c r="F262" t="str">
        <f t="shared" si="18"/>
        <v>Frugt</v>
      </c>
      <c r="G262" s="74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4">
        <f t="shared" si="15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t="str">
        <f t="shared" si="17"/>
        <v>JB1-10</v>
      </c>
      <c r="F263" t="str">
        <f t="shared" si="18"/>
        <v>Øvrige</v>
      </c>
      <c r="G263" s="74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4">
        <f t="shared" si="15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t="str">
        <f t="shared" si="17"/>
        <v>JB1-10</v>
      </c>
      <c r="F264" t="str">
        <f t="shared" si="18"/>
        <v>Halm</v>
      </c>
      <c r="G264" s="74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4">
        <f t="shared" si="15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t="str">
        <f t="shared" si="17"/>
        <v>JB1-10</v>
      </c>
      <c r="F265" t="str">
        <f t="shared" si="18"/>
        <v>Juletræer</v>
      </c>
      <c r="G265" s="74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4">
        <f t="shared" si="15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t="str">
        <f t="shared" si="17"/>
        <v>JB1-10</v>
      </c>
      <c r="F266" t="str">
        <f>IF(I266&lt;&gt;0,"Halm",IF(B266&lt;&gt;"Permanent græs",B266,"Græs"))</f>
        <v>Pil &amp; poppel</v>
      </c>
      <c r="G266" s="74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4">
        <f t="shared" si="15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t="str">
        <f t="shared" si="17"/>
        <v>JB1-10</v>
      </c>
      <c r="F267" t="str">
        <f t="shared" ref="F267:F335" si="19">IF(I267&lt;&gt;0,"Halm",IF(B267&lt;&gt;"Permanent græs",B267,"Græs"))</f>
        <v>Græs</v>
      </c>
      <c r="G267" s="74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4">
        <f t="shared" si="15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t="str">
        <f t="shared" si="17"/>
        <v>JB1-10</v>
      </c>
      <c r="F268" t="str">
        <f t="shared" si="19"/>
        <v>Halm</v>
      </c>
      <c r="G268" s="74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170169.83214296759</v>
      </c>
      <c r="H2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1192890.5233222027</v>
      </c>
      <c r="I2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418118.1147833335</v>
      </c>
      <c r="J268" s="74">
        <f t="shared" si="15"/>
        <v>418118.1147833335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t="str">
        <f t="shared" si="17"/>
        <v>JB1-10</v>
      </c>
      <c r="F269" t="str">
        <f t="shared" si="19"/>
        <v>Halm</v>
      </c>
      <c r="G269" s="74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37220.840874287176</v>
      </c>
      <c r="H2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143672.44577474851</v>
      </c>
      <c r="I2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45804.07949064998</v>
      </c>
      <c r="J269" s="74">
        <f t="shared" si="15"/>
        <v>45804.07949064998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t="str">
        <f t="shared" si="17"/>
        <v>JB1-10</v>
      </c>
      <c r="F270" t="str">
        <f t="shared" si="19"/>
        <v>Halm</v>
      </c>
      <c r="G270" s="74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44203.968724622173</v>
      </c>
      <c r="H270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194497.46238833759</v>
      </c>
      <c r="I270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111555.79987907718</v>
      </c>
      <c r="J270" s="74">
        <f t="shared" si="15"/>
        <v>111555.79987907718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t="str">
        <f t="shared" si="17"/>
        <v>JB1-10</v>
      </c>
      <c r="F271" t="str">
        <f t="shared" si="19"/>
        <v>Græs</v>
      </c>
      <c r="G271" s="74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87809.987150729692</v>
      </c>
      <c r="H2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4357131.5624192078</v>
      </c>
      <c r="I2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4">
        <f t="shared" si="15"/>
        <v>4357131.5624192078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t="str">
        <f t="shared" si="17"/>
        <v>JB1-10</v>
      </c>
      <c r="F272" t="str">
        <f t="shared" si="19"/>
        <v>Grøntsager</v>
      </c>
      <c r="G272" s="74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3667.1259147389733</v>
      </c>
      <c r="H272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76092.862730833687</v>
      </c>
      <c r="I272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4">
        <f t="shared" si="15"/>
        <v>76092.862730833687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t="str">
        <f t="shared" si="17"/>
        <v>JB1-10</v>
      </c>
      <c r="F273" t="str">
        <f t="shared" si="19"/>
        <v>Kartofler</v>
      </c>
      <c r="G273" s="74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15424.272301499061</v>
      </c>
      <c r="H273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655082.7183287458</v>
      </c>
      <c r="I273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4">
        <f t="shared" si="15"/>
        <v>655082.7183287458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t="str">
        <f t="shared" si="17"/>
        <v>JB1-10</v>
      </c>
      <c r="F274" t="str">
        <f t="shared" si="19"/>
        <v>Roer</v>
      </c>
      <c r="G274" s="74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9485.9858570699034</v>
      </c>
      <c r="H274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770771.74635654548</v>
      </c>
      <c r="I274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4">
        <f t="shared" si="15"/>
        <v>770771.74635654548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t="str">
        <f t="shared" si="17"/>
        <v>JB1-10</v>
      </c>
      <c r="F275" t="str">
        <f t="shared" si="19"/>
        <v>Majs</v>
      </c>
      <c r="G275" s="74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23033.800359863864</v>
      </c>
      <c r="H275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1025234.4540175407</v>
      </c>
      <c r="I275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4">
        <f t="shared" si="15"/>
        <v>1025234.4540175407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t="str">
        <f t="shared" si="17"/>
        <v>JB1-10</v>
      </c>
      <c r="F276" t="str">
        <f t="shared" si="19"/>
        <v>Frugt</v>
      </c>
      <c r="G276" s="74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15325.573934702474</v>
      </c>
      <c r="H276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130114.12270562403</v>
      </c>
      <c r="I276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4">
        <f t="shared" si="15"/>
        <v>130114.12270562403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t="str">
        <f t="shared" si="17"/>
        <v>JB1-10</v>
      </c>
      <c r="F277" t="str">
        <f t="shared" si="19"/>
        <v>Øvrige</v>
      </c>
      <c r="G277" s="74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8854.1929158733292</v>
      </c>
      <c r="H277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263819.03193194506</v>
      </c>
      <c r="I277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4">
        <f t="shared" ref="J277:J340" si="20">IF(I277&lt;&gt;0,I277,H277)</f>
        <v>263819.03193194506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t="str">
        <f t="shared" si="17"/>
        <v>JB1-10</v>
      </c>
      <c r="F278" t="str">
        <f t="shared" si="19"/>
        <v>Halm</v>
      </c>
      <c r="G278" s="74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12788.160503604195</v>
      </c>
      <c r="H27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182728.24480605681</v>
      </c>
      <c r="I27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32598.962279363204</v>
      </c>
      <c r="J278" s="74">
        <f t="shared" si="20"/>
        <v>32598.962279363204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t="str">
        <f t="shared" si="17"/>
        <v>JB1-10</v>
      </c>
      <c r="F279" t="str">
        <f t="shared" si="19"/>
        <v>Juletræer</v>
      </c>
      <c r="G279" s="74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3516.3950575504314</v>
      </c>
      <c r="H27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175819.75287752156</v>
      </c>
      <c r="I27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4">
        <f t="shared" si="20"/>
        <v>175819.75287752156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t="str">
        <f t="shared" si="17"/>
        <v>JB1-10</v>
      </c>
      <c r="F280" t="str">
        <f t="shared" si="19"/>
        <v>Pil &amp; poppel</v>
      </c>
      <c r="G280" s="74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9575.2461841246914</v>
      </c>
      <c r="H280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233542.58985669981</v>
      </c>
      <c r="I280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4">
        <f t="shared" si="20"/>
        <v>233542.58985669981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t="str">
        <f t="shared" si="17"/>
        <v>JB1-10</v>
      </c>
      <c r="F281" t="str">
        <f t="shared" si="19"/>
        <v>Græs</v>
      </c>
      <c r="G281" s="74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22404.939107013139</v>
      </c>
      <c r="H28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308964.11028571118</v>
      </c>
      <c r="I28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4">
        <f t="shared" si="20"/>
        <v>308964.11028571118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t="str">
        <f t="shared" si="17"/>
        <v>JB1-10</v>
      </c>
      <c r="F282" t="str">
        <f t="shared" si="19"/>
        <v>Korn</v>
      </c>
      <c r="G282" s="74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0</v>
      </c>
      <c r="H282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0</v>
      </c>
      <c r="I282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0</v>
      </c>
      <c r="J282" s="74">
        <f t="shared" si="20"/>
        <v>0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t="str">
        <f t="shared" si="17"/>
        <v>JB1-10</v>
      </c>
      <c r="F283" t="str">
        <f t="shared" si="19"/>
        <v>Bælgsæd</v>
      </c>
      <c r="G283" s="74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0</v>
      </c>
      <c r="H283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0</v>
      </c>
      <c r="I283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0</v>
      </c>
      <c r="J283" s="74">
        <f t="shared" si="20"/>
        <v>0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t="str">
        <f t="shared" si="17"/>
        <v>JB1-10</v>
      </c>
      <c r="F284" t="str">
        <f t="shared" si="19"/>
        <v>Raps</v>
      </c>
      <c r="G284" s="74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0</v>
      </c>
      <c r="H284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0</v>
      </c>
      <c r="I284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0</v>
      </c>
      <c r="J284" s="74">
        <f t="shared" si="20"/>
        <v>0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t="str">
        <f t="shared" si="17"/>
        <v>JB1-10</v>
      </c>
      <c r="F285" t="str">
        <f t="shared" si="19"/>
        <v>Græs</v>
      </c>
      <c r="G285" s="74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0</v>
      </c>
      <c r="H285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0</v>
      </c>
      <c r="I285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4">
        <f t="shared" si="20"/>
        <v>0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t="str">
        <f t="shared" ref="E286:E317" si="21">Jordbund1</f>
        <v>JB1-10</v>
      </c>
      <c r="F286" t="str">
        <f t="shared" si="19"/>
        <v>Grøntsager</v>
      </c>
      <c r="G286" s="74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0</v>
      </c>
      <c r="H286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0</v>
      </c>
      <c r="I286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4">
        <f t="shared" si="20"/>
        <v>0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t="str">
        <f t="shared" si="21"/>
        <v>JB1-10</v>
      </c>
      <c r="F287" t="str">
        <f t="shared" si="19"/>
        <v>Kartofler</v>
      </c>
      <c r="G287" s="74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0</v>
      </c>
      <c r="H287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0</v>
      </c>
      <c r="I287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4">
        <f t="shared" si="20"/>
        <v>0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t="str">
        <f t="shared" si="21"/>
        <v>JB1-10</v>
      </c>
      <c r="F288" t="str">
        <f t="shared" si="19"/>
        <v>Roer</v>
      </c>
      <c r="G288" s="74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0</v>
      </c>
      <c r="H28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0</v>
      </c>
      <c r="I28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4">
        <f t="shared" si="20"/>
        <v>0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t="str">
        <f t="shared" si="21"/>
        <v>JB1-10</v>
      </c>
      <c r="F289" t="str">
        <f t="shared" si="19"/>
        <v>Majs</v>
      </c>
      <c r="G289" s="74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0</v>
      </c>
      <c r="H28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0</v>
      </c>
      <c r="I28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4">
        <f t="shared" si="20"/>
        <v>0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t="str">
        <f t="shared" si="21"/>
        <v>JB1-10</v>
      </c>
      <c r="F290" t="str">
        <f t="shared" si="19"/>
        <v>Frugt</v>
      </c>
      <c r="G290" s="74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0</v>
      </c>
      <c r="H290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0</v>
      </c>
      <c r="I290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4">
        <f t="shared" si="20"/>
        <v>0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t="str">
        <f t="shared" si="21"/>
        <v>JB1-10</v>
      </c>
      <c r="F291" t="str">
        <f t="shared" si="19"/>
        <v>Øvrige</v>
      </c>
      <c r="G291" s="74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4">
        <f t="shared" si="20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t="str">
        <f t="shared" si="21"/>
        <v>JB1-10</v>
      </c>
      <c r="F292" t="str">
        <f t="shared" si="19"/>
        <v>Frø</v>
      </c>
      <c r="G292" s="74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4">
        <f t="shared" si="20"/>
        <v>0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t="str">
        <f t="shared" si="21"/>
        <v>JB1-10</v>
      </c>
      <c r="F293" t="str">
        <f t="shared" si="19"/>
        <v>Juletræer</v>
      </c>
      <c r="G293" s="74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0</v>
      </c>
      <c r="H293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0</v>
      </c>
      <c r="I293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4">
        <f t="shared" si="20"/>
        <v>0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t="str">
        <f t="shared" si="21"/>
        <v>JB1-10</v>
      </c>
      <c r="F294" t="str">
        <f t="shared" si="19"/>
        <v>Pil &amp; poppel</v>
      </c>
      <c r="G294" s="74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0</v>
      </c>
      <c r="H294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0</v>
      </c>
      <c r="I294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4">
        <f t="shared" si="20"/>
        <v>0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t="str">
        <f t="shared" si="21"/>
        <v>JB1-10</v>
      </c>
      <c r="F295" t="str">
        <f t="shared" si="19"/>
        <v>Græs</v>
      </c>
      <c r="G295" s="74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4">
        <f t="shared" si="20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t="str">
        <f t="shared" si="21"/>
        <v>JB1-10</v>
      </c>
      <c r="F296" t="str">
        <f t="shared" si="19"/>
        <v>Halm</v>
      </c>
      <c r="G296" s="74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4">
        <f t="shared" si="20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t="str">
        <f t="shared" si="21"/>
        <v>JB1-10</v>
      </c>
      <c r="F297" t="str">
        <f t="shared" si="19"/>
        <v>Halm</v>
      </c>
      <c r="G297" s="74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4">
        <f t="shared" si="20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t="str">
        <f t="shared" si="21"/>
        <v>JB1-10</v>
      </c>
      <c r="F298" t="str">
        <f t="shared" si="19"/>
        <v>Halm</v>
      </c>
      <c r="G298" s="74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4">
        <f t="shared" si="20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t="str">
        <f t="shared" si="21"/>
        <v>JB1-10</v>
      </c>
      <c r="F299" t="str">
        <f t="shared" si="19"/>
        <v>Græs</v>
      </c>
      <c r="G299" s="74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4">
        <f t="shared" si="20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t="str">
        <f t="shared" si="21"/>
        <v>JB1-10</v>
      </c>
      <c r="F300" t="str">
        <f t="shared" si="19"/>
        <v>Grøntsager</v>
      </c>
      <c r="G300" s="74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4">
        <f t="shared" si="20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t="str">
        <f t="shared" si="21"/>
        <v>JB1-10</v>
      </c>
      <c r="F301" t="str">
        <f t="shared" si="19"/>
        <v>Kartofler</v>
      </c>
      <c r="G301" s="74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4">
        <f t="shared" si="20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t="str">
        <f t="shared" si="21"/>
        <v>JB1-10</v>
      </c>
      <c r="F302" t="str">
        <f t="shared" si="19"/>
        <v>Roer</v>
      </c>
      <c r="G302" s="74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4">
        <f t="shared" si="20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t="str">
        <f t="shared" si="21"/>
        <v>JB1-10</v>
      </c>
      <c r="F303" t="str">
        <f t="shared" si="19"/>
        <v>Majs</v>
      </c>
      <c r="G303" s="74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4">
        <f t="shared" si="20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t="str">
        <f t="shared" si="21"/>
        <v>JB1-10</v>
      </c>
      <c r="F304" t="str">
        <f t="shared" si="19"/>
        <v>Frugt</v>
      </c>
      <c r="G304" s="74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4">
        <f t="shared" si="20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t="str">
        <f t="shared" si="21"/>
        <v>JB1-10</v>
      </c>
      <c r="F305" t="str">
        <f t="shared" si="19"/>
        <v>Øvrige</v>
      </c>
      <c r="G305" s="74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4">
        <f t="shared" si="20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t="str">
        <f t="shared" si="21"/>
        <v>JB1-10</v>
      </c>
      <c r="F306" t="str">
        <f t="shared" si="19"/>
        <v>Halm</v>
      </c>
      <c r="G306" s="74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4">
        <f t="shared" si="20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t="str">
        <f t="shared" si="21"/>
        <v>JB1-10</v>
      </c>
      <c r="F307" t="str">
        <f t="shared" si="19"/>
        <v>Juletræer</v>
      </c>
      <c r="G307" s="74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4">
        <f t="shared" si="20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t="str">
        <f t="shared" si="21"/>
        <v>JB1-10</v>
      </c>
      <c r="F308" t="str">
        <f t="shared" si="19"/>
        <v>Pil &amp; poppel</v>
      </c>
      <c r="G308" s="74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4">
        <f t="shared" si="20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t="str">
        <f t="shared" si="21"/>
        <v>JB1-10</v>
      </c>
      <c r="F309" t="str">
        <f t="shared" si="19"/>
        <v>Græs</v>
      </c>
      <c r="G309" s="74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4">
        <f t="shared" si="20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t="str">
        <f t="shared" si="21"/>
        <v>JB1-10</v>
      </c>
      <c r="F310" t="str">
        <f t="shared" si="19"/>
        <v>Halm</v>
      </c>
      <c r="G310" s="74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21758.172423217798</v>
      </c>
      <c r="H310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102191.60842012704</v>
      </c>
      <c r="I310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35819.014254805305</v>
      </c>
      <c r="J310" s="74">
        <f t="shared" si="20"/>
        <v>35819.014254805305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t="str">
        <f t="shared" si="21"/>
        <v>JB1-10</v>
      </c>
      <c r="F311" t="str">
        <f t="shared" si="19"/>
        <v>Halm</v>
      </c>
      <c r="G311" s="74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4759.1130771022581</v>
      </c>
      <c r="H31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10471.000592240389</v>
      </c>
      <c r="I31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3338.2500095082087</v>
      </c>
      <c r="J311" s="74">
        <f t="shared" si="20"/>
        <v>3338.2500095082087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t="str">
        <f t="shared" si="21"/>
        <v>JB1-10</v>
      </c>
      <c r="F312" t="str">
        <f t="shared" si="19"/>
        <v>Halm</v>
      </c>
      <c r="G312" s="74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5651.9863784833815</v>
      </c>
      <c r="H312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13677.807035929785</v>
      </c>
      <c r="I312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7845.0314248228915</v>
      </c>
      <c r="J312" s="74">
        <f t="shared" si="20"/>
        <v>7845.0314248228915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t="str">
        <f t="shared" si="21"/>
        <v>JB1-10</v>
      </c>
      <c r="F313" t="str">
        <f t="shared" si="19"/>
        <v>Græs</v>
      </c>
      <c r="G313" s="74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11227.517926332235</v>
      </c>
      <c r="H313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434545.36281359236</v>
      </c>
      <c r="I313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4">
        <f t="shared" si="20"/>
        <v>434545.36281359236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t="str">
        <f t="shared" si="21"/>
        <v>JB1-10</v>
      </c>
      <c r="F314" t="str">
        <f t="shared" si="19"/>
        <v>Grøntsager</v>
      </c>
      <c r="G314" s="74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468.88427252784516</v>
      </c>
      <c r="H314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5545.7287333230888</v>
      </c>
      <c r="I314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4">
        <f t="shared" si="20"/>
        <v>5545.7287333230888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t="str">
        <f t="shared" si="21"/>
        <v>JB1-10</v>
      </c>
      <c r="F315" t="str">
        <f t="shared" si="19"/>
        <v>Kartofler</v>
      </c>
      <c r="G315" s="74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1972.1708131951523</v>
      </c>
      <c r="H315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47743.124957592416</v>
      </c>
      <c r="I315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4">
        <f t="shared" si="20"/>
        <v>47743.124957592416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t="str">
        <f t="shared" si="21"/>
        <v>JB1-10</v>
      </c>
      <c r="F316" t="str">
        <f t="shared" si="19"/>
        <v>Roer</v>
      </c>
      <c r="G316" s="74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1212.8925161595512</v>
      </c>
      <c r="H316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56174.664314095215</v>
      </c>
      <c r="I316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4">
        <f t="shared" si="20"/>
        <v>56174.664314095215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t="str">
        <f t="shared" si="21"/>
        <v>JB1-10</v>
      </c>
      <c r="F317" t="str">
        <f t="shared" si="19"/>
        <v>Majs</v>
      </c>
      <c r="G317" s="74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2945.1365937226469</v>
      </c>
      <c r="H317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108803.06472287388</v>
      </c>
      <c r="I317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4">
        <f t="shared" si="20"/>
        <v>108803.06472287388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t="str">
        <f t="shared" ref="E318:E337" si="22">Jordbund1</f>
        <v>JB1-10</v>
      </c>
      <c r="F318" t="str">
        <f t="shared" si="19"/>
        <v>Frugt</v>
      </c>
      <c r="G318" s="74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1959.5510905592043</v>
      </c>
      <c r="H31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9482.8555925431574</v>
      </c>
      <c r="I31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4">
        <f t="shared" si="20"/>
        <v>9482.8555925431574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t="str">
        <f t="shared" si="22"/>
        <v>JB1-10</v>
      </c>
      <c r="F319" t="str">
        <f t="shared" si="19"/>
        <v>Øvrige</v>
      </c>
      <c r="G319" s="74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1132.1105139843492</v>
      </c>
      <c r="H31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19227.41152422981</v>
      </c>
      <c r="I31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4">
        <f t="shared" si="20"/>
        <v>19227.41152422981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t="str">
        <f t="shared" si="22"/>
        <v>JB1-10</v>
      </c>
      <c r="F320" t="str">
        <f t="shared" si="19"/>
        <v>Halm</v>
      </c>
      <c r="G320" s="74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1635.1135668949571</v>
      </c>
      <c r="H320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13317.428747493015</v>
      </c>
      <c r="I320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2375.847028238089</v>
      </c>
      <c r="J320" s="74">
        <f t="shared" si="20"/>
        <v>2375.847028238089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t="str">
        <f t="shared" si="22"/>
        <v>JB1-10</v>
      </c>
      <c r="F321" t="str">
        <f t="shared" si="19"/>
        <v>Juletræer</v>
      </c>
      <c r="G321" s="74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449.61159687842485</v>
      </c>
      <c r="H32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12813.930511035109</v>
      </c>
      <c r="I32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4">
        <f t="shared" si="20"/>
        <v>12813.930511035109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t="str">
        <f t="shared" si="22"/>
        <v>JB1-10</v>
      </c>
      <c r="F322" t="str">
        <f t="shared" si="19"/>
        <v>Pil &amp; poppel</v>
      </c>
      <c r="G322" s="74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1224.3054767422425</v>
      </c>
      <c r="H322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17020.832237636056</v>
      </c>
      <c r="I322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4">
        <f t="shared" si="20"/>
        <v>17020.832237636056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t="str">
        <f t="shared" si="22"/>
        <v>JB1-10</v>
      </c>
      <c r="F323" t="str">
        <f t="shared" si="19"/>
        <v>Græs</v>
      </c>
      <c r="G323" s="74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2864.7294416587538</v>
      </c>
      <c r="H323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39504.619000474224</v>
      </c>
      <c r="I323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4">
        <f t="shared" si="20"/>
        <v>39504.619000474224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t="str">
        <f t="shared" si="22"/>
        <v>JB1-10</v>
      </c>
      <c r="F324" t="str">
        <f t="shared" si="19"/>
        <v>Halm</v>
      </c>
      <c r="G324" s="74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27928.63175828362</v>
      </c>
      <c r="H324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131172.40477913068</v>
      </c>
      <c r="I324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52337.920136192792</v>
      </c>
      <c r="J324" s="74">
        <f t="shared" si="20"/>
        <v>52337.920136192792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t="str">
        <f t="shared" si="22"/>
        <v>JB1-10</v>
      </c>
      <c r="F325" t="str">
        <f t="shared" si="19"/>
        <v>Halm</v>
      </c>
      <c r="G325" s="74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82743.509683987591</v>
      </c>
      <c r="H325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182052.2700067095</v>
      </c>
      <c r="I325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66069.703489053689</v>
      </c>
      <c r="J325" s="74">
        <f t="shared" si="20"/>
        <v>66069.703489053689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t="str">
        <f t="shared" si="22"/>
        <v>JB1-10</v>
      </c>
      <c r="F326" t="str">
        <f t="shared" si="19"/>
        <v>Halm</v>
      </c>
      <c r="G326" s="74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73008.979132930224</v>
      </c>
      <c r="H326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176681.72950169115</v>
      </c>
      <c r="I326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115357.39530774491</v>
      </c>
      <c r="J326" s="74">
        <f t="shared" si="20"/>
        <v>115357.39530774491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t="str">
        <f t="shared" si="22"/>
        <v>JB1-10</v>
      </c>
      <c r="F327" t="str">
        <f t="shared" si="19"/>
        <v>Græs</v>
      </c>
      <c r="G327" s="74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170354.28464350387</v>
      </c>
      <c r="H327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6593324.0911283158</v>
      </c>
      <c r="I327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4">
        <f t="shared" si="20"/>
        <v>6593324.0911283158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t="str">
        <f t="shared" si="22"/>
        <v>JB1-10</v>
      </c>
      <c r="F328" t="str">
        <f t="shared" si="19"/>
        <v>Grøntsager</v>
      </c>
      <c r="G328" s="74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6245.8042275715852</v>
      </c>
      <c r="H32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73872.249501602928</v>
      </c>
      <c r="I32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4">
        <f t="shared" si="20"/>
        <v>73872.249501602928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t="str">
        <f t="shared" si="22"/>
        <v>JB1-10</v>
      </c>
      <c r="F329" t="str">
        <f t="shared" si="19"/>
        <v>Kartofler</v>
      </c>
      <c r="G329" s="74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26270.432864254519</v>
      </c>
      <c r="H32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635965.48054381739</v>
      </c>
      <c r="I32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4">
        <f t="shared" si="20"/>
        <v>635965.48054381739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t="str">
        <f t="shared" si="22"/>
        <v>JB1-10</v>
      </c>
      <c r="F330" t="str">
        <f t="shared" si="19"/>
        <v>Roer</v>
      </c>
      <c r="G330" s="74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16156.415663460722</v>
      </c>
      <c r="H330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748278.36293987604</v>
      </c>
      <c r="I330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4">
        <f t="shared" si="20"/>
        <v>748278.36293987604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t="str">
        <f t="shared" si="22"/>
        <v>JB1-10</v>
      </c>
      <c r="F331" t="str">
        <f t="shared" si="19"/>
        <v>Majs</v>
      </c>
      <c r="G331" s="74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3780.3558958910544</v>
      </c>
      <c r="H33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139658.82196867198</v>
      </c>
      <c r="I33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4">
        <f t="shared" si="20"/>
        <v>139658.82196867198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t="str">
        <f t="shared" si="22"/>
        <v>JB1-10</v>
      </c>
      <c r="F332" t="str">
        <f t="shared" si="19"/>
        <v>Frugt</v>
      </c>
      <c r="G332" s="74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43559.860982137143</v>
      </c>
      <c r="H332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210799.23525085626</v>
      </c>
      <c r="I332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4">
        <f t="shared" si="20"/>
        <v>210799.23525085626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t="str">
        <f t="shared" si="22"/>
        <v>JB1-10</v>
      </c>
      <c r="F333" t="str">
        <f t="shared" si="19"/>
        <v>Øvrige</v>
      </c>
      <c r="G333" s="74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1453.1688158243799</v>
      </c>
      <c r="H333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24680.165488171886</v>
      </c>
      <c r="I333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4">
        <f t="shared" si="20"/>
        <v>24680.165488171886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t="str">
        <f t="shared" si="22"/>
        <v>JB1-10</v>
      </c>
      <c r="F334" t="str">
        <f t="shared" si="19"/>
        <v>Halm</v>
      </c>
      <c r="G334" s="74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2098.8198734951161</v>
      </c>
      <c r="H334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17094.154611029004</v>
      </c>
      <c r="I334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3471.5330560235702</v>
      </c>
      <c r="J334" s="74">
        <f t="shared" si="20"/>
        <v>3471.5330560235702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t="str">
        <f t="shared" si="22"/>
        <v>JB1-10</v>
      </c>
      <c r="F335" t="str">
        <f t="shared" si="19"/>
        <v>Juletræer</v>
      </c>
      <c r="G335" s="74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3692.7625148507746</v>
      </c>
      <c r="H335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105243.73167324706</v>
      </c>
      <c r="I335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4">
        <f t="shared" si="20"/>
        <v>105243.73167324706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t="str">
        <f t="shared" si="22"/>
        <v>JB1-10</v>
      </c>
      <c r="F336" t="str">
        <f t="shared" ref="F336:F399" si="23">IF(I336&lt;&gt;0,"Halm",IF(B336&lt;&gt;"Permanent græs",B336,"Græs"))</f>
        <v>Pil &amp; poppel</v>
      </c>
      <c r="G336" s="74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25756.355635942306</v>
      </c>
      <c r="H336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358076.16371919797</v>
      </c>
      <c r="I336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4">
        <f t="shared" si="20"/>
        <v>358076.16371919797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t="str">
        <f t="shared" si="22"/>
        <v>JB1-10</v>
      </c>
      <c r="F337" t="str">
        <f t="shared" si="23"/>
        <v>Græs</v>
      </c>
      <c r="G337" s="74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3677.145860735322</v>
      </c>
      <c r="H337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50707.841419540098</v>
      </c>
      <c r="I337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4">
        <f t="shared" si="20"/>
        <v>50707.841419540098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t="str">
        <f t="shared" ref="E338:E369" si="24">Organ6</f>
        <v>OC6</v>
      </c>
      <c r="F338" t="str">
        <f t="shared" si="23"/>
        <v>Halm</v>
      </c>
      <c r="G338" s="74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4">
        <f t="shared" si="20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t="str">
        <f t="shared" si="24"/>
        <v>OC6</v>
      </c>
      <c r="F339" t="str">
        <f t="shared" si="23"/>
        <v>Halm</v>
      </c>
      <c r="G339" s="74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4">
        <f t="shared" si="20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t="str">
        <f t="shared" si="24"/>
        <v>OC6</v>
      </c>
      <c r="F340" t="str">
        <f t="shared" si="23"/>
        <v>Halm</v>
      </c>
      <c r="G340" s="74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4">
        <f t="shared" si="20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t="str">
        <f t="shared" si="24"/>
        <v>OC6</v>
      </c>
      <c r="F341" t="str">
        <f t="shared" si="23"/>
        <v>Græs</v>
      </c>
      <c r="G341" s="74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4">
        <f t="shared" ref="J341:J404" si="25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t="str">
        <f t="shared" si="24"/>
        <v>OC6</v>
      </c>
      <c r="F342" t="str">
        <f t="shared" si="23"/>
        <v>Grøntsager</v>
      </c>
      <c r="G342" s="74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4">
        <f t="shared" si="25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t="str">
        <f t="shared" si="24"/>
        <v>OC6</v>
      </c>
      <c r="F343" t="str">
        <f t="shared" si="23"/>
        <v>Kartofler</v>
      </c>
      <c r="G343" s="74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4">
        <f t="shared" si="25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t="str">
        <f t="shared" si="24"/>
        <v>OC6</v>
      </c>
      <c r="F344" t="str">
        <f t="shared" si="23"/>
        <v>Roer</v>
      </c>
      <c r="G344" s="74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4">
        <f t="shared" si="25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t="str">
        <f t="shared" si="24"/>
        <v>OC6</v>
      </c>
      <c r="F345" t="str">
        <f t="shared" si="23"/>
        <v>Majs</v>
      </c>
      <c r="G345" s="74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4">
        <f t="shared" si="25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t="str">
        <f t="shared" si="24"/>
        <v>OC6</v>
      </c>
      <c r="F346" t="str">
        <f t="shared" si="23"/>
        <v>Frugt</v>
      </c>
      <c r="G346" s="74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4">
        <f t="shared" si="25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t="str">
        <f t="shared" si="24"/>
        <v>OC6</v>
      </c>
      <c r="F347" t="str">
        <f t="shared" si="23"/>
        <v>Øvrige</v>
      </c>
      <c r="G347" s="74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4">
        <f t="shared" si="25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t="str">
        <f t="shared" si="24"/>
        <v>OC6</v>
      </c>
      <c r="F348" t="str">
        <f t="shared" si="23"/>
        <v>Halm</v>
      </c>
      <c r="G348" s="74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4">
        <f t="shared" si="25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t="str">
        <f t="shared" si="24"/>
        <v>OC6</v>
      </c>
      <c r="F349" t="str">
        <f t="shared" si="23"/>
        <v>Juletræer</v>
      </c>
      <c r="G349" s="74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4">
        <f t="shared" si="25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t="str">
        <f t="shared" si="24"/>
        <v>OC6</v>
      </c>
      <c r="F350" t="str">
        <f t="shared" si="23"/>
        <v>Pil &amp; poppel</v>
      </c>
      <c r="G350" s="74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4">
        <f t="shared" si="25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t="str">
        <f t="shared" si="24"/>
        <v>OC6</v>
      </c>
      <c r="F351" t="str">
        <f t="shared" si="23"/>
        <v>Græs</v>
      </c>
      <c r="G351" s="74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4">
        <f t="shared" si="25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t="str">
        <f t="shared" si="24"/>
        <v>OC6</v>
      </c>
      <c r="F352" t="str">
        <f t="shared" si="23"/>
        <v>Halm</v>
      </c>
      <c r="G352" s="74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2230.830510672768</v>
      </c>
      <c r="H352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18765.746255779322</v>
      </c>
      <c r="I352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6577.5511612892114</v>
      </c>
      <c r="J352" s="74">
        <f t="shared" si="25"/>
        <v>6577.5511612892114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t="str">
        <f t="shared" si="24"/>
        <v>OC6</v>
      </c>
      <c r="F353" t="str">
        <f t="shared" si="23"/>
        <v>Halm</v>
      </c>
      <c r="G353" s="74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60.325222950477325</v>
      </c>
      <c r="H353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279.42643270661097</v>
      </c>
      <c r="I353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89.083682444917784</v>
      </c>
      <c r="J353" s="74">
        <f t="shared" si="25"/>
        <v>89.083682444917784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t="str">
        <f t="shared" si="24"/>
        <v>OC6</v>
      </c>
      <c r="F354" t="str">
        <f t="shared" si="23"/>
        <v>Halm</v>
      </c>
      <c r="G354" s="74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243.66299910145614</v>
      </c>
      <c r="H354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1286.5406352556884</v>
      </c>
      <c r="I354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737.90715765909226</v>
      </c>
      <c r="J354" s="74">
        <f t="shared" si="25"/>
        <v>737.90715765909226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t="str">
        <f t="shared" si="24"/>
        <v>OC6</v>
      </c>
      <c r="F355" t="str">
        <f t="shared" si="23"/>
        <v>Græs</v>
      </c>
      <c r="G355" s="74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716.47131301367313</v>
      </c>
      <c r="H355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42661.567862086158</v>
      </c>
      <c r="I355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4">
        <f t="shared" si="25"/>
        <v>42661.567862086158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t="str">
        <f t="shared" si="24"/>
        <v>OC6</v>
      </c>
      <c r="F356" t="str">
        <f t="shared" si="23"/>
        <v>Grøntsager</v>
      </c>
      <c r="G356" s="74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13.56919075168542</v>
      </c>
      <c r="H356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337.87284971696698</v>
      </c>
      <c r="I356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4">
        <f t="shared" si="25"/>
        <v>337.87284971696698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t="str">
        <f t="shared" si="24"/>
        <v>OC6</v>
      </c>
      <c r="F357" t="str">
        <f t="shared" si="23"/>
        <v>Kartofler</v>
      </c>
      <c r="G357" s="74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23.068866162854491</v>
      </c>
      <c r="H357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1175.7065948522729</v>
      </c>
      <c r="I357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4">
        <f t="shared" si="25"/>
        <v>1175.7065948522729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t="str">
        <f t="shared" si="24"/>
        <v>OC6</v>
      </c>
      <c r="F358" t="str">
        <f t="shared" si="23"/>
        <v>Roer</v>
      </c>
      <c r="G358" s="74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64.449558610774517</v>
      </c>
      <c r="H35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6284.1205446636968</v>
      </c>
      <c r="I35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4">
        <f t="shared" si="25"/>
        <v>6284.1205446636968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t="str">
        <f t="shared" si="24"/>
        <v>OC6</v>
      </c>
      <c r="F359" t="str">
        <f t="shared" si="23"/>
        <v>Majs</v>
      </c>
      <c r="G359" s="74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68.713175144526659</v>
      </c>
      <c r="H35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3670.108110819458</v>
      </c>
      <c r="I35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4">
        <f t="shared" si="25"/>
        <v>3670.108110819458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t="str">
        <f t="shared" si="24"/>
        <v>OC6</v>
      </c>
      <c r="F360" t="str">
        <f t="shared" si="23"/>
        <v>Frugt</v>
      </c>
      <c r="G360" s="74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14.822844383576701</v>
      </c>
      <c r="H360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151.01513857987945</v>
      </c>
      <c r="I360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4">
        <f t="shared" si="25"/>
        <v>151.01513857987945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t="str">
        <f t="shared" si="24"/>
        <v>OC6</v>
      </c>
      <c r="F361" t="str">
        <f t="shared" si="23"/>
        <v>Øvrige</v>
      </c>
      <c r="G361" s="74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105.84229815168821</v>
      </c>
      <c r="H36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3784.405363805176</v>
      </c>
      <c r="I36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4">
        <f t="shared" si="25"/>
        <v>3784.405363805176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t="str">
        <f t="shared" si="24"/>
        <v>OC6</v>
      </c>
      <c r="F362" t="str">
        <f t="shared" si="23"/>
        <v>Halm</v>
      </c>
      <c r="G362" s="74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768.41006535428994</v>
      </c>
      <c r="H362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13175.645316049056</v>
      </c>
      <c r="I362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2350.5526752036908</v>
      </c>
      <c r="J362" s="74">
        <f t="shared" si="25"/>
        <v>2350.5526752036908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t="str">
        <f t="shared" si="24"/>
        <v>OC6</v>
      </c>
      <c r="F363" t="str">
        <f t="shared" si="23"/>
        <v>Juletræer</v>
      </c>
      <c r="G363" s="74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23.227312797648128</v>
      </c>
      <c r="H363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1393.6387678588878</v>
      </c>
      <c r="I363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4">
        <f t="shared" si="25"/>
        <v>1393.6387678588878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t="str">
        <f t="shared" si="24"/>
        <v>OC6</v>
      </c>
      <c r="F364" t="str">
        <f t="shared" si="23"/>
        <v>Pil &amp; poppel</v>
      </c>
      <c r="G364" s="74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49.297032923373933</v>
      </c>
      <c r="H364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1442.8399880011884</v>
      </c>
      <c r="I364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4">
        <f t="shared" si="25"/>
        <v>1442.8399880011884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t="str">
        <f t="shared" si="24"/>
        <v>OC6</v>
      </c>
      <c r="F365" t="str">
        <f t="shared" si="23"/>
        <v>Græs</v>
      </c>
      <c r="G365" s="74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4624.9645652760382</v>
      </c>
      <c r="H365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76533.913626187874</v>
      </c>
      <c r="I365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4">
        <f t="shared" si="25"/>
        <v>76533.913626187874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t="str">
        <f t="shared" si="24"/>
        <v>OC6</v>
      </c>
      <c r="F366" t="str">
        <f t="shared" si="23"/>
        <v>Korn</v>
      </c>
      <c r="G366" s="74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4">
        <f t="shared" si="25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t="str">
        <f t="shared" si="24"/>
        <v>OC6</v>
      </c>
      <c r="F367" t="str">
        <f t="shared" si="23"/>
        <v>Bælgsæd</v>
      </c>
      <c r="G367" s="74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4">
        <f t="shared" si="25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t="str">
        <f t="shared" si="24"/>
        <v>OC6</v>
      </c>
      <c r="F368" t="str">
        <f t="shared" si="23"/>
        <v>Raps</v>
      </c>
      <c r="G368" s="74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4">
        <f t="shared" si="25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t="str">
        <f t="shared" si="24"/>
        <v>OC6</v>
      </c>
      <c r="F369" t="str">
        <f t="shared" si="23"/>
        <v>Græs</v>
      </c>
      <c r="G369" s="74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4">
        <f t="shared" si="25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t="str">
        <f t="shared" ref="E370:E401" si="26">Organ6</f>
        <v>OC6</v>
      </c>
      <c r="F370" t="str">
        <f t="shared" si="23"/>
        <v>Grøntsager</v>
      </c>
      <c r="G370" s="74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4">
        <f t="shared" si="25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t="str">
        <f t="shared" si="26"/>
        <v>OC6</v>
      </c>
      <c r="F371" t="str">
        <f t="shared" si="23"/>
        <v>Kartofler</v>
      </c>
      <c r="G371" s="74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4">
        <f t="shared" si="25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t="str">
        <f t="shared" si="26"/>
        <v>OC6</v>
      </c>
      <c r="F372" t="str">
        <f t="shared" si="23"/>
        <v>Roer</v>
      </c>
      <c r="G372" s="74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4">
        <f t="shared" si="25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t="str">
        <f t="shared" si="26"/>
        <v>OC6</v>
      </c>
      <c r="F373" t="str">
        <f t="shared" si="23"/>
        <v>Majs</v>
      </c>
      <c r="G373" s="74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4">
        <f t="shared" si="25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t="str">
        <f t="shared" si="26"/>
        <v>OC6</v>
      </c>
      <c r="F374" t="str">
        <f t="shared" si="23"/>
        <v>Frugt</v>
      </c>
      <c r="G374" s="74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4">
        <f t="shared" si="25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t="str">
        <f t="shared" si="26"/>
        <v>OC6</v>
      </c>
      <c r="F375" t="str">
        <f t="shared" si="23"/>
        <v>Øvrige</v>
      </c>
      <c r="G375" s="74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4">
        <f t="shared" si="25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t="str">
        <f t="shared" si="26"/>
        <v>OC6</v>
      </c>
      <c r="F376" t="str">
        <f t="shared" si="23"/>
        <v>Frø</v>
      </c>
      <c r="G376" s="74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4">
        <f t="shared" si="25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t="str">
        <f t="shared" si="26"/>
        <v>OC6</v>
      </c>
      <c r="F377" t="str">
        <f t="shared" si="23"/>
        <v>Juletræer</v>
      </c>
      <c r="G377" s="74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4">
        <f t="shared" si="25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t="str">
        <f t="shared" si="26"/>
        <v>OC6</v>
      </c>
      <c r="F378" t="str">
        <f t="shared" si="23"/>
        <v>Pil &amp; poppel</v>
      </c>
      <c r="G378" s="74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4">
        <f t="shared" si="25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t="str">
        <f t="shared" si="26"/>
        <v>OC6</v>
      </c>
      <c r="F379" t="str">
        <f t="shared" si="23"/>
        <v>Græs</v>
      </c>
      <c r="G379" s="74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4">
        <f t="shared" si="25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t="str">
        <f t="shared" si="26"/>
        <v>OC6</v>
      </c>
      <c r="F380" t="str">
        <f t="shared" si="23"/>
        <v>Halm</v>
      </c>
      <c r="G380" s="74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4">
        <f t="shared" si="25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t="str">
        <f t="shared" si="26"/>
        <v>OC6</v>
      </c>
      <c r="F381" t="str">
        <f t="shared" si="23"/>
        <v>Halm</v>
      </c>
      <c r="G381" s="74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4">
        <f t="shared" si="25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t="str">
        <f t="shared" si="26"/>
        <v>OC6</v>
      </c>
      <c r="F382" t="str">
        <f t="shared" si="23"/>
        <v>Halm</v>
      </c>
      <c r="G382" s="74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4">
        <f t="shared" si="25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t="str">
        <f t="shared" si="26"/>
        <v>OC6</v>
      </c>
      <c r="F383" t="str">
        <f t="shared" si="23"/>
        <v>Græs</v>
      </c>
      <c r="G383" s="74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4">
        <f t="shared" si="25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t="str">
        <f t="shared" si="26"/>
        <v>OC6</v>
      </c>
      <c r="F384" t="str">
        <f t="shared" si="23"/>
        <v>Grøntsager</v>
      </c>
      <c r="G384" s="74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4">
        <f t="shared" si="25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t="str">
        <f t="shared" si="26"/>
        <v>OC6</v>
      </c>
      <c r="F385" t="str">
        <f t="shared" si="23"/>
        <v>Kartofler</v>
      </c>
      <c r="G385" s="74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4">
        <f t="shared" si="25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t="str">
        <f t="shared" si="26"/>
        <v>OC6</v>
      </c>
      <c r="F386" t="str">
        <f t="shared" si="23"/>
        <v>Roer</v>
      </c>
      <c r="G386" s="74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4">
        <f t="shared" si="25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t="str">
        <f t="shared" si="26"/>
        <v>OC6</v>
      </c>
      <c r="F387" t="str">
        <f t="shared" si="23"/>
        <v>Majs</v>
      </c>
      <c r="G387" s="74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4">
        <f t="shared" si="25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t="str">
        <f t="shared" si="26"/>
        <v>OC6</v>
      </c>
      <c r="F388" t="str">
        <f t="shared" si="23"/>
        <v>Frugt</v>
      </c>
      <c r="G388" s="74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4">
        <f t="shared" si="25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t="str">
        <f t="shared" si="26"/>
        <v>OC6</v>
      </c>
      <c r="F389" t="str">
        <f t="shared" si="23"/>
        <v>Øvrige</v>
      </c>
      <c r="G389" s="74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4">
        <f t="shared" si="25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t="str">
        <f t="shared" si="26"/>
        <v>OC6</v>
      </c>
      <c r="F390" t="str">
        <f t="shared" si="23"/>
        <v>Halm</v>
      </c>
      <c r="G390" s="74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4">
        <f t="shared" si="25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t="str">
        <f t="shared" si="26"/>
        <v>OC6</v>
      </c>
      <c r="F391" t="str">
        <f t="shared" si="23"/>
        <v>Juletræer</v>
      </c>
      <c r="G391" s="74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4">
        <f t="shared" si="25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t="str">
        <f t="shared" si="26"/>
        <v>OC6</v>
      </c>
      <c r="F392" t="str">
        <f t="shared" si="23"/>
        <v>Pil &amp; poppel</v>
      </c>
      <c r="G392" s="74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4">
        <f t="shared" si="25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t="str">
        <f t="shared" si="26"/>
        <v>OC6</v>
      </c>
      <c r="F393" t="str">
        <f t="shared" si="23"/>
        <v>Græs</v>
      </c>
      <c r="G393" s="74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4">
        <f t="shared" si="25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t="str">
        <f t="shared" si="26"/>
        <v>OC6</v>
      </c>
      <c r="F394" t="str">
        <f t="shared" si="23"/>
        <v>Halm</v>
      </c>
      <c r="G394" s="74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285.23736720509544</v>
      </c>
      <c r="H394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1607.6092110626062</v>
      </c>
      <c r="I394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563.48048668022147</v>
      </c>
      <c r="J394" s="74">
        <f t="shared" si="25"/>
        <v>563.48048668022147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t="str">
        <f t="shared" si="26"/>
        <v>OC6</v>
      </c>
      <c r="F395" t="str">
        <f t="shared" si="23"/>
        <v>Halm</v>
      </c>
      <c r="G395" s="74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7.7132743559551313</v>
      </c>
      <c r="H395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20.364895485566976</v>
      </c>
      <c r="I395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6.4925134851684581</v>
      </c>
      <c r="J395" s="74">
        <f t="shared" si="25"/>
        <v>6.4925134851684581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t="str">
        <f t="shared" si="26"/>
        <v>OC6</v>
      </c>
      <c r="F396" t="str">
        <f t="shared" si="23"/>
        <v>Halm</v>
      </c>
      <c r="G396" s="74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31.155120040041375</v>
      </c>
      <c r="H396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90.474468596280161</v>
      </c>
      <c r="I396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51.89245961852545</v>
      </c>
      <c r="J396" s="74">
        <f t="shared" si="25"/>
        <v>51.89245961852545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t="str">
        <f t="shared" si="26"/>
        <v>OC6</v>
      </c>
      <c r="F397" t="str">
        <f t="shared" si="23"/>
        <v>Græs</v>
      </c>
      <c r="G397" s="74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91.609107022821874</v>
      </c>
      <c r="H397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4254.722681482187</v>
      </c>
      <c r="I397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4">
        <f t="shared" si="25"/>
        <v>4254.722681482187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t="str">
        <f t="shared" si="26"/>
        <v>OC6</v>
      </c>
      <c r="F398" t="str">
        <f t="shared" si="23"/>
        <v>Grøntsager</v>
      </c>
      <c r="G398" s="74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1.7349772771160648</v>
      </c>
      <c r="H39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24.624532494108305</v>
      </c>
      <c r="I39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4">
        <f t="shared" si="25"/>
        <v>24.624532494108305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t="str">
        <f t="shared" si="26"/>
        <v>OC6</v>
      </c>
      <c r="F399" t="str">
        <f t="shared" si="23"/>
        <v>Kartofler</v>
      </c>
      <c r="G399" s="74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2.9496201603926053</v>
      </c>
      <c r="H39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85.686746575610925</v>
      </c>
      <c r="I39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4">
        <f t="shared" si="25"/>
        <v>85.686746575610925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t="str">
        <f t="shared" si="26"/>
        <v>OC6</v>
      </c>
      <c r="F400" t="str">
        <f t="shared" ref="F400:F467" si="27">IF(I400&lt;&gt;0,"Halm",IF(B400&lt;&gt;"Permanent græs",B400,"Græs"))</f>
        <v>Roer</v>
      </c>
      <c r="G400" s="74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8.2406181588953551</v>
      </c>
      <c r="H400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457.99338620605954</v>
      </c>
      <c r="I400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4">
        <f t="shared" si="25"/>
        <v>457.99338620605954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t="str">
        <f t="shared" si="26"/>
        <v>OC6</v>
      </c>
      <c r="F401" t="str">
        <f t="shared" si="27"/>
        <v>Majs</v>
      </c>
      <c r="G401" s="74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8.7857706252262986</v>
      </c>
      <c r="H40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389.49043192670729</v>
      </c>
      <c r="I40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4">
        <f t="shared" si="25"/>
        <v>389.49043192670729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t="str">
        <f t="shared" ref="E402:E421" si="28">Organ6</f>
        <v>OC6</v>
      </c>
      <c r="F402" t="str">
        <f t="shared" si="27"/>
        <v>Frugt</v>
      </c>
      <c r="G402" s="74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1.8952713288770544</v>
      </c>
      <c r="H402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11.006143850201674</v>
      </c>
      <c r="I402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4">
        <f t="shared" si="25"/>
        <v>11.006143850201674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t="str">
        <f t="shared" si="28"/>
        <v>OC6</v>
      </c>
      <c r="F403" t="str">
        <f t="shared" si="27"/>
        <v>Øvrige</v>
      </c>
      <c r="G403" s="74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13.533156516950996</v>
      </c>
      <c r="H403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275.81148627349637</v>
      </c>
      <c r="I403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4">
        <f t="shared" si="25"/>
        <v>275.81148627349637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t="str">
        <f t="shared" si="28"/>
        <v>OC6</v>
      </c>
      <c r="F404" t="str">
        <f t="shared" si="27"/>
        <v>Halm</v>
      </c>
      <c r="G404" s="74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98.25007454710375</v>
      </c>
      <c r="H404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960.25503821239181</v>
      </c>
      <c r="I404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171.31077793955066</v>
      </c>
      <c r="J404" s="74">
        <f t="shared" si="25"/>
        <v>171.31077793955066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t="str">
        <f t="shared" si="28"/>
        <v>OC6</v>
      </c>
      <c r="F405" t="str">
        <f t="shared" si="27"/>
        <v>Juletræer</v>
      </c>
      <c r="G405" s="74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2.96987938705049</v>
      </c>
      <c r="H405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101.56987503712675</v>
      </c>
      <c r="I405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4">
        <f t="shared" ref="J405:J468" si="29">IF(I405&lt;&gt;0,I405,H405)</f>
        <v>101.56987503712675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t="str">
        <f t="shared" si="28"/>
        <v>OC6</v>
      </c>
      <c r="F406" t="str">
        <f t="shared" si="27"/>
        <v>Pil &amp; poppel</v>
      </c>
      <c r="G406" s="74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6.3031932792803271</v>
      </c>
      <c r="H406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105.15571226896935</v>
      </c>
      <c r="I406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4">
        <f t="shared" si="29"/>
        <v>105.15571226896935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t="str">
        <f t="shared" si="28"/>
        <v>OC6</v>
      </c>
      <c r="F407" t="str">
        <f t="shared" si="27"/>
        <v>Græs</v>
      </c>
      <c r="G407" s="74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591.35497282505401</v>
      </c>
      <c r="H407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9785.7420903089933</v>
      </c>
      <c r="I407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4">
        <f t="shared" si="29"/>
        <v>9785.7420903089933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t="str">
        <f t="shared" si="28"/>
        <v>OC6</v>
      </c>
      <c r="F408" t="str">
        <f t="shared" si="27"/>
        <v>Korn</v>
      </c>
      <c r="G408" s="74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4">
        <f t="shared" si="29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t="str">
        <f t="shared" si="28"/>
        <v>OC6</v>
      </c>
      <c r="F409" t="str">
        <f t="shared" si="27"/>
        <v>Bælgsæd</v>
      </c>
      <c r="G409" s="74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4">
        <f t="shared" si="29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t="str">
        <f t="shared" si="28"/>
        <v>OC6</v>
      </c>
      <c r="F410" t="str">
        <f t="shared" si="27"/>
        <v>Raps</v>
      </c>
      <c r="G410" s="74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4">
        <f t="shared" si="29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t="str">
        <f t="shared" si="28"/>
        <v>OC6</v>
      </c>
      <c r="F411" t="str">
        <f t="shared" si="27"/>
        <v>Græs</v>
      </c>
      <c r="G411" s="74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4">
        <f t="shared" si="29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t="str">
        <f t="shared" si="28"/>
        <v>OC6</v>
      </c>
      <c r="F412" t="str">
        <f t="shared" si="27"/>
        <v>Grøntsager</v>
      </c>
      <c r="G412" s="74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4">
        <f t="shared" si="29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t="str">
        <f t="shared" si="28"/>
        <v>OC6</v>
      </c>
      <c r="F413" t="str">
        <f t="shared" si="27"/>
        <v>Kartofler</v>
      </c>
      <c r="G413" s="74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4">
        <f t="shared" si="29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t="str">
        <f t="shared" si="28"/>
        <v>OC6</v>
      </c>
      <c r="F414" t="str">
        <f t="shared" si="27"/>
        <v>Roer</v>
      </c>
      <c r="G414" s="74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4">
        <f t="shared" si="29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t="str">
        <f t="shared" si="28"/>
        <v>OC6</v>
      </c>
      <c r="F415" t="str">
        <f t="shared" si="27"/>
        <v>Majs</v>
      </c>
      <c r="G415" s="74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4">
        <f t="shared" si="29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t="str">
        <f t="shared" si="28"/>
        <v>OC6</v>
      </c>
      <c r="F416" t="str">
        <f t="shared" si="27"/>
        <v>Frugt</v>
      </c>
      <c r="G416" s="74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4">
        <f t="shared" si="29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t="str">
        <f t="shared" si="28"/>
        <v>OC6</v>
      </c>
      <c r="F417" t="str">
        <f t="shared" si="27"/>
        <v>Øvrige</v>
      </c>
      <c r="G417" s="74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4">
        <f t="shared" si="29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t="str">
        <f t="shared" si="28"/>
        <v>OC6</v>
      </c>
      <c r="F418" t="str">
        <f t="shared" si="27"/>
        <v>Frø</v>
      </c>
      <c r="G418" s="74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4">
        <f t="shared" si="29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t="str">
        <f t="shared" si="28"/>
        <v>OC6</v>
      </c>
      <c r="F419" t="str">
        <f t="shared" si="27"/>
        <v>Juletræer</v>
      </c>
      <c r="G419" s="74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4">
        <f t="shared" si="29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t="str">
        <f t="shared" si="28"/>
        <v>OC6</v>
      </c>
      <c r="F420" t="str">
        <f t="shared" si="27"/>
        <v>Pil &amp; poppel</v>
      </c>
      <c r="G420" s="74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4">
        <f t="shared" si="29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t="str">
        <f t="shared" si="28"/>
        <v>OC6</v>
      </c>
      <c r="F421" t="str">
        <f t="shared" si="27"/>
        <v>Græs</v>
      </c>
      <c r="G421" s="74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1325.1374814814808</v>
      </c>
      <c r="H42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21928.375043555545</v>
      </c>
      <c r="I42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4">
        <f t="shared" si="29"/>
        <v>21928.375043555545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t="str">
        <f t="shared" ref="E422:E453" si="30">Organ12</f>
        <v>OC12</v>
      </c>
      <c r="F422" t="str">
        <f t="shared" si="27"/>
        <v>Halm</v>
      </c>
      <c r="G422" s="74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4">
        <f t="shared" si="29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t="str">
        <f t="shared" si="30"/>
        <v>OC12</v>
      </c>
      <c r="F423" t="str">
        <f t="shared" si="27"/>
        <v>Halm</v>
      </c>
      <c r="G423" s="74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4">
        <f t="shared" si="29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t="str">
        <f t="shared" si="30"/>
        <v>OC12</v>
      </c>
      <c r="F424" t="str">
        <f t="shared" si="27"/>
        <v>Halm</v>
      </c>
      <c r="G424" s="74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4">
        <f t="shared" si="29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t="str">
        <f t="shared" si="30"/>
        <v>OC12</v>
      </c>
      <c r="F425" t="str">
        <f t="shared" si="27"/>
        <v>Græs</v>
      </c>
      <c r="G425" s="74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4">
        <f t="shared" si="29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t="str">
        <f t="shared" si="30"/>
        <v>OC12</v>
      </c>
      <c r="F426" t="str">
        <f t="shared" si="27"/>
        <v>Grøntsager</v>
      </c>
      <c r="G426" s="74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4">
        <f t="shared" si="29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t="str">
        <f t="shared" si="30"/>
        <v>OC12</v>
      </c>
      <c r="F427" t="str">
        <f t="shared" si="27"/>
        <v>Kartofler</v>
      </c>
      <c r="G427" s="74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4">
        <f t="shared" si="29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t="str">
        <f t="shared" si="30"/>
        <v>OC12</v>
      </c>
      <c r="F428" t="str">
        <f t="shared" si="27"/>
        <v>Roer</v>
      </c>
      <c r="G428" s="74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4">
        <f t="shared" si="29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t="str">
        <f t="shared" si="30"/>
        <v>OC12</v>
      </c>
      <c r="F429" t="str">
        <f t="shared" si="27"/>
        <v>Majs</v>
      </c>
      <c r="G429" s="74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4">
        <f t="shared" si="29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t="str">
        <f t="shared" si="30"/>
        <v>OC12</v>
      </c>
      <c r="F430" t="str">
        <f t="shared" si="27"/>
        <v>Frugt</v>
      </c>
      <c r="G430" s="74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4">
        <f t="shared" si="29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t="str">
        <f t="shared" si="30"/>
        <v>OC12</v>
      </c>
      <c r="F431" t="str">
        <f t="shared" si="27"/>
        <v>Øvrige</v>
      </c>
      <c r="G431" s="74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4">
        <f t="shared" si="29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t="str">
        <f t="shared" si="30"/>
        <v>OC12</v>
      </c>
      <c r="F432" t="str">
        <f t="shared" si="27"/>
        <v>Halm</v>
      </c>
      <c r="G432" s="74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4">
        <f t="shared" si="29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t="str">
        <f t="shared" si="30"/>
        <v>OC12</v>
      </c>
      <c r="F433" t="str">
        <f t="shared" si="27"/>
        <v>Juletræer</v>
      </c>
      <c r="G433" s="74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4">
        <f t="shared" si="29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t="str">
        <f t="shared" si="30"/>
        <v>OC12</v>
      </c>
      <c r="F434" t="str">
        <f t="shared" si="27"/>
        <v>Pil &amp; poppel</v>
      </c>
      <c r="G434" s="74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4">
        <f t="shared" si="29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t="str">
        <f t="shared" si="30"/>
        <v>OC12</v>
      </c>
      <c r="F435" t="str">
        <f t="shared" si="27"/>
        <v>Græs</v>
      </c>
      <c r="G435" s="74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4">
        <f t="shared" si="29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t="str">
        <f t="shared" si="30"/>
        <v>OC12</v>
      </c>
      <c r="F436" t="str">
        <f t="shared" si="27"/>
        <v>Halm</v>
      </c>
      <c r="G436" s="74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1229.7001774151138</v>
      </c>
      <c r="H436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12068.277541151925</v>
      </c>
      <c r="I436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4230.0323085269065</v>
      </c>
      <c r="J436" s="74">
        <f t="shared" si="29"/>
        <v>4230.0323085269065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t="str">
        <f t="shared" si="30"/>
        <v>OC12</v>
      </c>
      <c r="F437" t="str">
        <f t="shared" si="27"/>
        <v>Halm</v>
      </c>
      <c r="G437" s="74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22.335410277576099</v>
      </c>
      <c r="H437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120.70055714002125</v>
      </c>
      <c r="I437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38.480432931969773</v>
      </c>
      <c r="J437" s="74">
        <f t="shared" si="29"/>
        <v>38.480432931969773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t="str">
        <f t="shared" si="30"/>
        <v>OC12</v>
      </c>
      <c r="F438" t="str">
        <f t="shared" si="27"/>
        <v>Halm</v>
      </c>
      <c r="G438" s="74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109.10325291425241</v>
      </c>
      <c r="H43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672.07603795179477</v>
      </c>
      <c r="I43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385.47536339357953</v>
      </c>
      <c r="J438" s="74">
        <f t="shared" si="29"/>
        <v>385.47536339357953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t="str">
        <f t="shared" si="30"/>
        <v>OC12</v>
      </c>
      <c r="F439" t="str">
        <f t="shared" si="27"/>
        <v>Græs</v>
      </c>
      <c r="G439" s="74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801.75462298516175</v>
      </c>
      <c r="H43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55696.290149533219</v>
      </c>
      <c r="I43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4">
        <f t="shared" si="29"/>
        <v>55696.290149533219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t="str">
        <f t="shared" si="30"/>
        <v>OC12</v>
      </c>
      <c r="F440" t="str">
        <f t="shared" si="27"/>
        <v>Grøntsager</v>
      </c>
      <c r="G440" s="74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3.7735374359053933</v>
      </c>
      <c r="H440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109.62126251305168</v>
      </c>
      <c r="I440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4">
        <f t="shared" si="29"/>
        <v>109.62126251305168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t="str">
        <f t="shared" si="30"/>
        <v>OC12</v>
      </c>
      <c r="F441" t="str">
        <f t="shared" si="27"/>
        <v>Kartofler</v>
      </c>
      <c r="G441" s="74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21.50871323094557</v>
      </c>
      <c r="H44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1278.8921563318527</v>
      </c>
      <c r="I44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4">
        <f t="shared" si="29"/>
        <v>1278.8921563318527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t="str">
        <f t="shared" si="30"/>
        <v>OC12</v>
      </c>
      <c r="F442" t="str">
        <f t="shared" si="27"/>
        <v>Roer</v>
      </c>
      <c r="G442" s="74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24.769124387034655</v>
      </c>
      <c r="H442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2817.6172899734825</v>
      </c>
      <c r="I442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4">
        <f t="shared" si="29"/>
        <v>2817.6172899734825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t="str">
        <f t="shared" si="30"/>
        <v>OC12</v>
      </c>
      <c r="F443" t="str">
        <f t="shared" si="27"/>
        <v>Majs</v>
      </c>
      <c r="G443" s="74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25.441049088005123</v>
      </c>
      <c r="H443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1585.3335328699513</v>
      </c>
      <c r="I443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4">
        <f t="shared" si="29"/>
        <v>1585.3335328699513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t="str">
        <f t="shared" si="30"/>
        <v>OC12</v>
      </c>
      <c r="F444" t="str">
        <f t="shared" si="27"/>
        <v>Frugt</v>
      </c>
      <c r="G444" s="74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9.2319327042333263</v>
      </c>
      <c r="H444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109.73075212251732</v>
      </c>
      <c r="I444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4">
        <f t="shared" si="29"/>
        <v>109.73075212251732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t="str">
        <f t="shared" si="30"/>
        <v>OC12</v>
      </c>
      <c r="F445" t="str">
        <f t="shared" si="27"/>
        <v>Øvrige</v>
      </c>
      <c r="G445" s="74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65.920477103599382</v>
      </c>
      <c r="H445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2749.82793653615</v>
      </c>
      <c r="I445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4">
        <f t="shared" si="29"/>
        <v>2749.82793653615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t="str">
        <f t="shared" si="30"/>
        <v>OC12</v>
      </c>
      <c r="F446" t="str">
        <f t="shared" si="27"/>
        <v>Halm</v>
      </c>
      <c r="G446" s="74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616.89552694179065</v>
      </c>
      <c r="H446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12340.628002676012</v>
      </c>
      <c r="I446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2201.5844742003133</v>
      </c>
      <c r="J446" s="74">
        <f t="shared" si="29"/>
        <v>2201.5844742003133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t="str">
        <f t="shared" si="30"/>
        <v>OC12</v>
      </c>
      <c r="F447" t="str">
        <f t="shared" si="27"/>
        <v>Juletræer</v>
      </c>
      <c r="G447" s="74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14.466386011962104</v>
      </c>
      <c r="H447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1012.6470208373472</v>
      </c>
      <c r="I447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4">
        <f t="shared" si="29"/>
        <v>1012.6470208373472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t="str">
        <f t="shared" si="30"/>
        <v>OC12</v>
      </c>
      <c r="F448" t="str">
        <f t="shared" si="27"/>
        <v>Pil &amp; poppel</v>
      </c>
      <c r="G448" s="74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44.128542424612569</v>
      </c>
      <c r="H44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1506.8282779136</v>
      </c>
      <c r="I44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4">
        <f t="shared" si="29"/>
        <v>1506.8282779136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t="str">
        <f t="shared" si="30"/>
        <v>OC12</v>
      </c>
      <c r="F449" t="str">
        <f t="shared" si="27"/>
        <v>Græs</v>
      </c>
      <c r="G449" s="74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4022.6412881001361</v>
      </c>
      <c r="H44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77661.11270806122</v>
      </c>
      <c r="I44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4">
        <f t="shared" si="29"/>
        <v>77661.11270806122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t="str">
        <f t="shared" si="30"/>
        <v>OC12</v>
      </c>
      <c r="F450" t="str">
        <f t="shared" si="27"/>
        <v>Korn</v>
      </c>
      <c r="G450" s="74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4">
        <f t="shared" si="29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t="str">
        <f t="shared" si="30"/>
        <v>OC12</v>
      </c>
      <c r="F451" t="str">
        <f t="shared" si="27"/>
        <v>Bælgsæd</v>
      </c>
      <c r="G451" s="74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4">
        <f t="shared" si="29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t="str">
        <f t="shared" si="30"/>
        <v>OC12</v>
      </c>
      <c r="F452" t="str">
        <f t="shared" si="27"/>
        <v>Raps</v>
      </c>
      <c r="G452" s="74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4">
        <f t="shared" si="29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t="str">
        <f t="shared" si="30"/>
        <v>OC12</v>
      </c>
      <c r="F453" t="str">
        <f t="shared" si="27"/>
        <v>Græs</v>
      </c>
      <c r="G453" s="74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4">
        <f t="shared" si="29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t="str">
        <f t="shared" ref="E454:E485" si="31">Organ12</f>
        <v>OC12</v>
      </c>
      <c r="F454" t="str">
        <f t="shared" si="27"/>
        <v>Grøntsager</v>
      </c>
      <c r="G454" s="74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4">
        <f t="shared" si="29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t="str">
        <f t="shared" si="31"/>
        <v>OC12</v>
      </c>
      <c r="F455" t="str">
        <f t="shared" si="27"/>
        <v>Kartofler</v>
      </c>
      <c r="G455" s="74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4">
        <f t="shared" si="29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t="str">
        <f t="shared" si="31"/>
        <v>OC12</v>
      </c>
      <c r="F456" t="str">
        <f t="shared" si="27"/>
        <v>Roer</v>
      </c>
      <c r="G456" s="74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4">
        <f t="shared" si="29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t="str">
        <f t="shared" si="31"/>
        <v>OC12</v>
      </c>
      <c r="F457" t="str">
        <f t="shared" si="27"/>
        <v>Majs</v>
      </c>
      <c r="G457" s="74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4">
        <f t="shared" si="29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t="str">
        <f t="shared" si="31"/>
        <v>OC12</v>
      </c>
      <c r="F458" t="str">
        <f t="shared" si="27"/>
        <v>Frugt</v>
      </c>
      <c r="G458" s="74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4">
        <f t="shared" si="29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t="str">
        <f t="shared" si="31"/>
        <v>OC12</v>
      </c>
      <c r="F459" t="str">
        <f t="shared" si="27"/>
        <v>Øvrige</v>
      </c>
      <c r="G459" s="74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4">
        <f t="shared" si="29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t="str">
        <f t="shared" si="31"/>
        <v>OC12</v>
      </c>
      <c r="F460" t="str">
        <f t="shared" si="27"/>
        <v>Frø</v>
      </c>
      <c r="G460" s="74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4">
        <f t="shared" si="29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t="str">
        <f t="shared" si="31"/>
        <v>OC12</v>
      </c>
      <c r="F461" t="str">
        <f t="shared" si="27"/>
        <v>Juletræer</v>
      </c>
      <c r="G461" s="74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4">
        <f t="shared" si="29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t="str">
        <f t="shared" si="31"/>
        <v>OC12</v>
      </c>
      <c r="F462" t="str">
        <f t="shared" si="27"/>
        <v>Pil &amp; poppel</v>
      </c>
      <c r="G462" s="74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4">
        <f t="shared" si="29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t="str">
        <f t="shared" si="31"/>
        <v>OC12</v>
      </c>
      <c r="F463" t="str">
        <f t="shared" si="27"/>
        <v>Græs</v>
      </c>
      <c r="G463" s="74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4">
        <f t="shared" si="29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t="str">
        <f t="shared" si="31"/>
        <v>OC12</v>
      </c>
      <c r="F464" t="str">
        <f t="shared" si="27"/>
        <v>Halm</v>
      </c>
      <c r="G464" s="74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4">
        <f t="shared" si="29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t="str">
        <f t="shared" si="31"/>
        <v>OC12</v>
      </c>
      <c r="F465" t="str">
        <f t="shared" si="27"/>
        <v>Halm</v>
      </c>
      <c r="G465" s="74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4">
        <f t="shared" si="29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t="str">
        <f t="shared" si="31"/>
        <v>OC12</v>
      </c>
      <c r="F466" t="str">
        <f t="shared" si="27"/>
        <v>Halm</v>
      </c>
      <c r="G466" s="74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4">
        <f t="shared" si="29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t="str">
        <f t="shared" si="31"/>
        <v>OC12</v>
      </c>
      <c r="F467" t="str">
        <f t="shared" si="27"/>
        <v>Græs</v>
      </c>
      <c r="G467" s="74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4">
        <f t="shared" si="29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t="str">
        <f t="shared" si="31"/>
        <v>OC12</v>
      </c>
      <c r="F468" t="str">
        <f t="shared" ref="F468:F505" si="32">IF(I468&lt;&gt;0,"Halm",IF(B468&lt;&gt;"Permanent græs",B468,"Græs"))</f>
        <v>Grøntsager</v>
      </c>
      <c r="G468" s="74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4">
        <f t="shared" si="29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t="str">
        <f t="shared" si="31"/>
        <v>OC12</v>
      </c>
      <c r="F469" t="str">
        <f t="shared" si="32"/>
        <v>Kartofler</v>
      </c>
      <c r="G469" s="74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4">
        <f t="shared" ref="J469:J487" si="33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t="str">
        <f t="shared" si="31"/>
        <v>OC12</v>
      </c>
      <c r="F470" t="str">
        <f t="shared" si="32"/>
        <v>Roer</v>
      </c>
      <c r="G470" s="74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4">
        <f t="shared" si="33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t="str">
        <f t="shared" si="31"/>
        <v>OC12</v>
      </c>
      <c r="F471" t="str">
        <f t="shared" si="32"/>
        <v>Majs</v>
      </c>
      <c r="G471" s="74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4">
        <f t="shared" si="33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t="str">
        <f t="shared" si="31"/>
        <v>OC12</v>
      </c>
      <c r="F472" t="str">
        <f t="shared" si="32"/>
        <v>Frugt</v>
      </c>
      <c r="G472" s="74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4">
        <f t="shared" si="33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t="str">
        <f t="shared" si="31"/>
        <v>OC12</v>
      </c>
      <c r="F473" t="str">
        <f t="shared" si="32"/>
        <v>Øvrige</v>
      </c>
      <c r="G473" s="74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4">
        <f t="shared" si="33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t="str">
        <f t="shared" si="31"/>
        <v>OC12</v>
      </c>
      <c r="F474" t="str">
        <f t="shared" si="32"/>
        <v>Halm</v>
      </c>
      <c r="G474" s="74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4">
        <f t="shared" si="33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t="str">
        <f t="shared" si="31"/>
        <v>OC12</v>
      </c>
      <c r="F475" t="str">
        <f t="shared" si="32"/>
        <v>Juletræer</v>
      </c>
      <c r="G475" s="74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4">
        <f t="shared" si="33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t="str">
        <f t="shared" si="31"/>
        <v>OC12</v>
      </c>
      <c r="F476" t="str">
        <f t="shared" si="32"/>
        <v>Pil &amp; poppel</v>
      </c>
      <c r="G476" s="74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4">
        <f t="shared" si="33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t="str">
        <f t="shared" si="31"/>
        <v>OC12</v>
      </c>
      <c r="F477" t="str">
        <f t="shared" si="32"/>
        <v>Græs</v>
      </c>
      <c r="G477" s="74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4">
        <f t="shared" si="33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t="str">
        <f t="shared" si="31"/>
        <v>OC12</v>
      </c>
      <c r="F478" t="str">
        <f t="shared" si="32"/>
        <v>Halm</v>
      </c>
      <c r="G478" s="74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157.2313267993388</v>
      </c>
      <c r="H47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1033.8557216098363</v>
      </c>
      <c r="I47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362.37508541318959</v>
      </c>
      <c r="J478" s="74">
        <f t="shared" si="33"/>
        <v>362.37508541318959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t="str">
        <f t="shared" si="31"/>
        <v>OC12</v>
      </c>
      <c r="F479" t="str">
        <f t="shared" si="32"/>
        <v>Halm</v>
      </c>
      <c r="G479" s="74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2.8558393802405542</v>
      </c>
      <c r="H47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8.7967849261673745</v>
      </c>
      <c r="I47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2.8044948622371098</v>
      </c>
      <c r="J479" s="74">
        <f t="shared" si="33"/>
        <v>2.8044948622371098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t="str">
        <f t="shared" si="31"/>
        <v>OC12</v>
      </c>
      <c r="F480" t="str">
        <f t="shared" si="32"/>
        <v>Halm</v>
      </c>
      <c r="G480" s="74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13.950107130903383</v>
      </c>
      <c r="H480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47.262962959500669</v>
      </c>
      <c r="I480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27.108105025428031</v>
      </c>
      <c r="J480" s="74">
        <f t="shared" si="33"/>
        <v>27.108105025428031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t="str">
        <f t="shared" si="31"/>
        <v>OC12</v>
      </c>
      <c r="F481" t="str">
        <f t="shared" si="32"/>
        <v>Græs</v>
      </c>
      <c r="G481" s="74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102.51356017891004</v>
      </c>
      <c r="H48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5554.7013588366472</v>
      </c>
      <c r="I48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4">
        <f t="shared" si="33"/>
        <v>5554.7013588366472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t="str">
        <f t="shared" si="31"/>
        <v>OC12</v>
      </c>
      <c r="F482" t="str">
        <f t="shared" si="32"/>
        <v>Grøntsager</v>
      </c>
      <c r="G482" s="74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0.48249021076142495</v>
      </c>
      <c r="H482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7.9893141548930551</v>
      </c>
      <c r="I482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4">
        <f t="shared" si="33"/>
        <v>7.9893141548930551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t="str">
        <f t="shared" si="31"/>
        <v>OC12</v>
      </c>
      <c r="F483" t="str">
        <f t="shared" si="32"/>
        <v>Kartofler</v>
      </c>
      <c r="G483" s="74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2.7501366440044395</v>
      </c>
      <c r="H483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93.207019997122003</v>
      </c>
      <c r="I483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4">
        <f t="shared" si="33"/>
        <v>93.207019997122003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t="str">
        <f t="shared" si="31"/>
        <v>OC12</v>
      </c>
      <c r="F484" t="str">
        <f t="shared" si="32"/>
        <v>Roer</v>
      </c>
      <c r="G484" s="74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3.1670177516097451</v>
      </c>
      <c r="H484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205.35094361986913</v>
      </c>
      <c r="I484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4">
        <f t="shared" si="33"/>
        <v>205.35094361986913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t="str">
        <f t="shared" si="31"/>
        <v>OC12</v>
      </c>
      <c r="F485" t="str">
        <f t="shared" si="32"/>
        <v>Majs</v>
      </c>
      <c r="G485" s="74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3.2529310613605098</v>
      </c>
      <c r="H485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168.24361131082361</v>
      </c>
      <c r="I485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4">
        <f t="shared" si="33"/>
        <v>168.24361131082361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t="str">
        <f t="shared" ref="E486:E505" si="34">Organ12</f>
        <v>OC12</v>
      </c>
      <c r="F486" t="str">
        <f t="shared" si="32"/>
        <v>Frugt</v>
      </c>
      <c r="G486" s="74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1.1804088953292959</v>
      </c>
      <c r="H486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7.9972938740338861</v>
      </c>
      <c r="I486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4">
        <f t="shared" si="33"/>
        <v>7.9972938740338861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t="str">
        <f t="shared" si="34"/>
        <v>OC12</v>
      </c>
      <c r="F487" t="str">
        <f t="shared" si="32"/>
        <v>Øvrige</v>
      </c>
      <c r="G487" s="74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8.4286920247759696</v>
      </c>
      <c r="H487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200.41038347166389</v>
      </c>
      <c r="I487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4">
        <f t="shared" si="33"/>
        <v>200.41038347166389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t="str">
        <f t="shared" si="34"/>
        <v>OC12</v>
      </c>
      <c r="F488" t="str">
        <f t="shared" si="32"/>
        <v>Halm</v>
      </c>
      <c r="G488" s="74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78.877196229672492</v>
      </c>
      <c r="H48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899.39808867198917</v>
      </c>
      <c r="I48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160.45381707610923</v>
      </c>
      <c r="J488" s="74">
        <f t="shared" ref="J488:J505" si="35">IF(I488&lt;&gt;0,I488,H488)</f>
        <v>160.45381707610923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t="str">
        <f t="shared" si="34"/>
        <v>OC12</v>
      </c>
      <c r="F489" t="str">
        <f t="shared" si="32"/>
        <v>Juletræer</v>
      </c>
      <c r="G489" s="74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1.8496940217032787</v>
      </c>
      <c r="H48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73.802791465960794</v>
      </c>
      <c r="I48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4">
        <f t="shared" si="35"/>
        <v>73.802791465960794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t="str">
        <f t="shared" si="34"/>
        <v>OC12</v>
      </c>
      <c r="F490" t="str">
        <f t="shared" si="32"/>
        <v>Pil &amp; poppel</v>
      </c>
      <c r="G490" s="74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5.6423422575473294</v>
      </c>
      <c r="H490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109.81924686640899</v>
      </c>
      <c r="I490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4">
        <f t="shared" si="35"/>
        <v>109.81924686640899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t="str">
        <f t="shared" si="34"/>
        <v>OC12</v>
      </c>
      <c r="F491" t="str">
        <f t="shared" si="32"/>
        <v>Græs</v>
      </c>
      <c r="G491" s="74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514.34100651696951</v>
      </c>
      <c r="H49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9929.8674718166149</v>
      </c>
      <c r="I49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4">
        <f t="shared" si="35"/>
        <v>9929.8674718166149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t="str">
        <f t="shared" si="34"/>
        <v>OC12</v>
      </c>
      <c r="F492" t="str">
        <f t="shared" si="32"/>
        <v>Korn</v>
      </c>
      <c r="G492" s="74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4">
        <f t="shared" si="35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t="str">
        <f t="shared" si="34"/>
        <v>OC12</v>
      </c>
      <c r="F493" t="str">
        <f t="shared" si="32"/>
        <v>Bælgsæd</v>
      </c>
      <c r="G493" s="74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4">
        <f t="shared" si="35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t="str">
        <f t="shared" si="34"/>
        <v>OC12</v>
      </c>
      <c r="F494" t="str">
        <f t="shared" si="32"/>
        <v>Raps</v>
      </c>
      <c r="G494" s="74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4">
        <f t="shared" si="35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t="str">
        <f t="shared" si="34"/>
        <v>OC12</v>
      </c>
      <c r="F495" t="str">
        <f t="shared" si="32"/>
        <v>Græs</v>
      </c>
      <c r="G495" s="74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4">
        <f t="shared" si="35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t="str">
        <f t="shared" si="34"/>
        <v>OC12</v>
      </c>
      <c r="F496" t="str">
        <f t="shared" si="32"/>
        <v>Grøntsager</v>
      </c>
      <c r="G496" s="74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4">
        <f t="shared" si="35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t="str">
        <f t="shared" si="34"/>
        <v>OC12</v>
      </c>
      <c r="F497" t="str">
        <f t="shared" si="32"/>
        <v>Kartofler</v>
      </c>
      <c r="G497" s="74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4">
        <f t="shared" si="35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t="str">
        <f t="shared" si="34"/>
        <v>OC12</v>
      </c>
      <c r="F498" t="str">
        <f t="shared" si="32"/>
        <v>Roer</v>
      </c>
      <c r="G498" s="74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4">
        <f t="shared" si="35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t="str">
        <f t="shared" si="34"/>
        <v>OC12</v>
      </c>
      <c r="F499" t="str">
        <f t="shared" si="32"/>
        <v>Majs</v>
      </c>
      <c r="G499" s="74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4">
        <f t="shared" si="35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t="str">
        <f t="shared" si="34"/>
        <v>OC12</v>
      </c>
      <c r="F500" t="str">
        <f t="shared" si="32"/>
        <v>Frugt</v>
      </c>
      <c r="G500" s="74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4">
        <f t="shared" si="35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t="str">
        <f t="shared" si="34"/>
        <v>OC12</v>
      </c>
      <c r="F501" t="str">
        <f t="shared" si="32"/>
        <v>Øvrige</v>
      </c>
      <c r="G501" s="74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4">
        <f t="shared" si="35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t="str">
        <f t="shared" si="34"/>
        <v>OC12</v>
      </c>
      <c r="F502" t="str">
        <f t="shared" si="32"/>
        <v>Frø</v>
      </c>
      <c r="G502" s="74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4">
        <f t="shared" si="35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t="str">
        <f t="shared" si="34"/>
        <v>OC12</v>
      </c>
      <c r="F503" t="str">
        <f t="shared" si="32"/>
        <v>Juletræer</v>
      </c>
      <c r="G503" s="74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4">
        <f t="shared" si="35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t="str">
        <f t="shared" si="34"/>
        <v>OC12</v>
      </c>
      <c r="F504" t="str">
        <f t="shared" si="32"/>
        <v>Pil &amp; poppel</v>
      </c>
      <c r="G504" s="74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4">
        <f t="shared" si="35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t="str">
        <f t="shared" si="34"/>
        <v>OC12</v>
      </c>
      <c r="F505" t="str">
        <f t="shared" si="32"/>
        <v>Græs</v>
      </c>
      <c r="G505" s="74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1031.5034074074065</v>
      </c>
      <c r="H505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19914.204783407389</v>
      </c>
      <c r="I505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4">
        <f t="shared" si="35"/>
        <v>19914.204783407389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11</vt:i4>
      </vt:variant>
    </vt:vector>
  </HeadingPairs>
  <TitlesOfParts>
    <vt:vector size="52" baseType="lpstr">
      <vt:lpstr>Overblik</vt:lpstr>
      <vt:lpstr>Resume</vt:lpstr>
      <vt:lpstr>Farvekoder</vt:lpstr>
      <vt:lpstr>Arealanvendelse</vt:lpstr>
      <vt:lpstr>Landbrug</vt:lpstr>
      <vt:lpstr>Landbrugsproduktivititet</vt:lpstr>
      <vt:lpstr>Græsprotein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Produktion &amp; forbrug</vt:lpstr>
      <vt:lpstr>CONCITO</vt:lpstr>
      <vt:lpstr>Kategorisering af kcal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2023-12-15T13:52:28Z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