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A0F0E0B9-9926-4B3F-8849-A42848F59446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6" r:id="rId37"/>
    <pivotCache cacheId="57" r:id="rId38"/>
    <pivotCache cacheId="58" r:id="rId39"/>
    <pivotCache cacheId="59" r:id="rId40"/>
    <pivotCache cacheId="60" r:id="rId41"/>
    <pivotCache cacheId="61" r:id="rId42"/>
    <pivotCache cacheId="62" r:id="rId43"/>
    <pivotCache cacheId="63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8" i="70" l="1"/>
  <c r="R37" i="70"/>
  <c r="R36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26" i="72" a="1"/>
  <c r="D126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D34" i="72" a="1"/>
  <c r="D34" i="72" s="1"/>
  <c r="D35" i="72" s="1" a="1"/>
  <c r="D35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D10" i="53" s="1"/>
  <c r="A32" i="53"/>
  <c r="A36" i="53"/>
  <c r="C275" i="38"/>
  <c r="D132" i="72" l="1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Z202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Z216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Y202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Y58" i="66" l="1"/>
  <c r="Y216" i="66"/>
  <c r="Z58" i="66"/>
  <c r="Y72" i="66"/>
  <c r="Z72" i="66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J26" i="41" l="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58" l="1"/>
  <c r="J4" i="37"/>
  <c r="I4" i="58"/>
  <c r="I4" i="37"/>
  <c r="I4" i="41" l="1"/>
  <c r="D45" i="39" s="1"/>
  <c r="F53" i="66"/>
  <c r="E19" i="53"/>
  <c r="N4" i="58"/>
  <c r="E25" i="53"/>
  <c r="F197" i="66"/>
  <c r="L45" i="39"/>
  <c r="J4" i="41"/>
  <c r="E45" i="39" s="1"/>
  <c r="F101" i="66"/>
  <c r="E31" i="53"/>
  <c r="H4" i="37"/>
  <c r="H4" i="58"/>
  <c r="E37" i="53"/>
  <c r="F245" i="66"/>
  <c r="O4" i="58"/>
  <c r="M45" i="39"/>
  <c r="M4" i="58" l="1"/>
  <c r="E13" i="53"/>
  <c r="F149" i="66"/>
  <c r="H4" i="41"/>
  <c r="K45" i="39" s="1"/>
  <c r="F5" i="66"/>
  <c r="E7" i="53"/>
  <c r="C45" i="39"/>
  <c r="E56" i="39"/>
  <c r="E124" i="38"/>
  <c r="E59" i="39"/>
  <c r="E60" i="39" s="1"/>
  <c r="L59" i="39"/>
  <c r="L60" i="39" s="1"/>
  <c r="E158" i="38"/>
  <c r="L56" i="39"/>
  <c r="E175" i="38"/>
  <c r="M56" i="39"/>
  <c r="M59" i="39"/>
  <c r="M60" i="39" s="1"/>
  <c r="E107" i="38"/>
  <c r="D56" i="39"/>
  <c r="D59" i="39"/>
  <c r="D60" i="39" s="1"/>
  <c r="D57" i="39" l="1"/>
  <c r="D58" i="39"/>
  <c r="J474" i="37"/>
  <c r="J101" i="66"/>
  <c r="J466" i="37"/>
  <c r="D31" i="53"/>
  <c r="F31" i="53" s="1"/>
  <c r="H37" i="53" s="1"/>
  <c r="I474" i="37"/>
  <c r="D19" i="53"/>
  <c r="F19" i="53" s="1"/>
  <c r="H25" i="53" s="1"/>
  <c r="I466" i="37"/>
  <c r="J53" i="66"/>
  <c r="E58" i="39"/>
  <c r="E57" i="39"/>
  <c r="C59" i="39"/>
  <c r="C60" i="39" s="1"/>
  <c r="E90" i="38"/>
  <c r="C56" i="39"/>
  <c r="M57" i="39"/>
  <c r="M58" i="39"/>
  <c r="J466" i="58"/>
  <c r="J474" i="58"/>
  <c r="D37" i="53"/>
  <c r="F37" i="53" s="1"/>
  <c r="J245" i="66"/>
  <c r="K56" i="39"/>
  <c r="K59" i="39"/>
  <c r="K60" i="39" s="1"/>
  <c r="E141" i="38"/>
  <c r="L57" i="39"/>
  <c r="L58" i="39"/>
  <c r="J197" i="66"/>
  <c r="D25" i="53"/>
  <c r="F25" i="53" s="1"/>
  <c r="I474" i="58"/>
  <c r="I466" i="58"/>
  <c r="K58" i="39" l="1"/>
  <c r="K57" i="39"/>
  <c r="S245" i="66"/>
  <c r="W245" i="66"/>
  <c r="W53" i="66"/>
  <c r="S53" i="66"/>
  <c r="G37" i="53"/>
  <c r="H31" i="53"/>
  <c r="G31" i="53" s="1"/>
  <c r="I489" i="37"/>
  <c r="F54" i="66"/>
  <c r="I466" i="41"/>
  <c r="I489" i="58"/>
  <c r="F198" i="66"/>
  <c r="J479" i="58"/>
  <c r="F247" i="66"/>
  <c r="I474" i="41"/>
  <c r="I479" i="58"/>
  <c r="F199" i="66"/>
  <c r="J489" i="58"/>
  <c r="F246" i="66"/>
  <c r="I479" i="37"/>
  <c r="F55" i="66"/>
  <c r="H19" i="53"/>
  <c r="G19" i="53" s="1"/>
  <c r="G25" i="53"/>
  <c r="S197" i="66"/>
  <c r="W197" i="66"/>
  <c r="J489" i="37"/>
  <c r="F102" i="66"/>
  <c r="J466" i="41"/>
  <c r="S101" i="66"/>
  <c r="W101" i="66"/>
  <c r="C57" i="39"/>
  <c r="C58" i="39"/>
  <c r="J474" i="41"/>
  <c r="J479" i="37"/>
  <c r="F103" i="66"/>
  <c r="H474" i="37"/>
  <c r="H466" i="37"/>
  <c r="J5" i="66"/>
  <c r="D7" i="53"/>
  <c r="F7" i="53" s="1"/>
  <c r="J149" i="66"/>
  <c r="H466" i="58"/>
  <c r="D13" i="53"/>
  <c r="F13" i="53" s="1"/>
  <c r="H7" i="53" s="1"/>
  <c r="H474" i="58"/>
  <c r="H13" i="53" l="1"/>
  <c r="G13" i="53" s="1"/>
  <c r="G7" i="53"/>
  <c r="L246" i="66"/>
  <c r="P246" i="66" s="1"/>
  <c r="N246" i="66"/>
  <c r="O246" i="66" s="1"/>
  <c r="E331" i="38"/>
  <c r="E337" i="38"/>
  <c r="S5" i="66"/>
  <c r="W5" i="66"/>
  <c r="E349" i="38"/>
  <c r="M245" i="66" s="1"/>
  <c r="E343" i="38"/>
  <c r="H466" i="41"/>
  <c r="F6" i="66"/>
  <c r="H489" i="37"/>
  <c r="L102" i="66"/>
  <c r="P102" i="66" s="1"/>
  <c r="N102" i="66"/>
  <c r="H479" i="37"/>
  <c r="F7" i="66"/>
  <c r="H474" i="41"/>
  <c r="J489" i="41"/>
  <c r="E378" i="38"/>
  <c r="K199" i="66" s="1"/>
  <c r="N199" i="66" s="1"/>
  <c r="I480" i="58"/>
  <c r="E379" i="38" s="1"/>
  <c r="K218" i="66" s="1"/>
  <c r="N218" i="66" s="1"/>
  <c r="J480" i="37"/>
  <c r="E366" i="38"/>
  <c r="K103" i="66" s="1"/>
  <c r="N103" i="66" s="1"/>
  <c r="J479" i="41"/>
  <c r="E384" i="38"/>
  <c r="K247" i="66" s="1"/>
  <c r="N247" i="66" s="1"/>
  <c r="J480" i="58"/>
  <c r="E385" i="38" s="1"/>
  <c r="K266" i="66" s="1"/>
  <c r="N266" i="66" s="1"/>
  <c r="L198" i="66"/>
  <c r="P198" i="66" s="1"/>
  <c r="H479" i="58"/>
  <c r="F151" i="66"/>
  <c r="E319" i="38"/>
  <c r="E325" i="38"/>
  <c r="M197" i="66" s="1"/>
  <c r="E307" i="38"/>
  <c r="E313" i="38"/>
  <c r="L54" i="66"/>
  <c r="P54" i="66" s="1"/>
  <c r="H489" i="58"/>
  <c r="F150" i="66"/>
  <c r="W149" i="66"/>
  <c r="S149" i="66"/>
  <c r="I479" i="41"/>
  <c r="E360" i="38"/>
  <c r="K55" i="66" s="1"/>
  <c r="N55" i="66" s="1"/>
  <c r="I480" i="37"/>
  <c r="I489" i="41"/>
  <c r="Z55" i="66" l="1"/>
  <c r="Y55" i="66"/>
  <c r="Z199" i="66"/>
  <c r="Y199" i="66"/>
  <c r="L197" i="66"/>
  <c r="I486" i="58"/>
  <c r="I486" i="37"/>
  <c r="L53" i="66"/>
  <c r="E372" i="38"/>
  <c r="K151" i="66" s="1"/>
  <c r="N151" i="66" s="1"/>
  <c r="H480" i="58"/>
  <c r="E373" i="38" s="1"/>
  <c r="K170" i="66" s="1"/>
  <c r="N170" i="66" s="1"/>
  <c r="N198" i="66"/>
  <c r="H480" i="37"/>
  <c r="H479" i="41"/>
  <c r="E354" i="38"/>
  <c r="K7" i="66" s="1"/>
  <c r="N7" i="66" s="1"/>
  <c r="L150" i="66"/>
  <c r="P150" i="66" s="1"/>
  <c r="V150" i="66" s="1"/>
  <c r="X150" i="66" s="1"/>
  <c r="Z102" i="66"/>
  <c r="Z246" i="66"/>
  <c r="Y246" i="66"/>
  <c r="O102" i="66"/>
  <c r="Y102" i="66"/>
  <c r="M101" i="66"/>
  <c r="G18" i="39" s="1"/>
  <c r="D20" i="8"/>
  <c r="L101" i="66"/>
  <c r="J486" i="37"/>
  <c r="N54" i="66"/>
  <c r="H489" i="41"/>
  <c r="Q246" i="66"/>
  <c r="V246" i="66"/>
  <c r="X246" i="66" s="1"/>
  <c r="U246" i="66"/>
  <c r="Y247" i="66"/>
  <c r="Z103" i="66"/>
  <c r="Z247" i="66"/>
  <c r="Y103" i="66"/>
  <c r="L6" i="66"/>
  <c r="P6" i="66" s="1"/>
  <c r="V6" i="66" s="1"/>
  <c r="X6" i="66" s="1"/>
  <c r="E361" i="38"/>
  <c r="K74" i="66" s="1"/>
  <c r="N74" i="66" s="1"/>
  <c r="I480" i="41"/>
  <c r="M53" i="66"/>
  <c r="F18" i="39" s="1"/>
  <c r="C20" i="8"/>
  <c r="J480" i="41"/>
  <c r="E367" i="38"/>
  <c r="K122" i="66" s="1"/>
  <c r="N122" i="66" s="1"/>
  <c r="E283" i="38"/>
  <c r="E289" i="38"/>
  <c r="L245" i="66"/>
  <c r="J486" i="58"/>
  <c r="E295" i="38"/>
  <c r="E301" i="38"/>
  <c r="M149" i="66" s="1"/>
  <c r="I486" i="41" l="1"/>
  <c r="N6" i="66"/>
  <c r="Z218" i="66"/>
  <c r="Y218" i="66"/>
  <c r="Y74" i="66"/>
  <c r="Z74" i="66"/>
  <c r="J486" i="41"/>
  <c r="P101" i="66"/>
  <c r="N101" i="66"/>
  <c r="E355" i="38"/>
  <c r="K26" i="66" s="1"/>
  <c r="N26" i="66" s="1"/>
  <c r="H480" i="41"/>
  <c r="H486" i="58"/>
  <c r="L149" i="66"/>
  <c r="O198" i="66"/>
  <c r="P245" i="66"/>
  <c r="N245" i="66"/>
  <c r="B20" i="8"/>
  <c r="M5" i="66"/>
  <c r="Q102" i="66"/>
  <c r="U102" i="66"/>
  <c r="V102" i="66"/>
  <c r="X102" i="66" s="1"/>
  <c r="P53" i="66"/>
  <c r="N53" i="66"/>
  <c r="H486" i="37"/>
  <c r="H486" i="41" s="1"/>
  <c r="L5" i="66"/>
  <c r="Y122" i="66"/>
  <c r="Z122" i="66"/>
  <c r="Y266" i="66"/>
  <c r="Z266" i="66"/>
  <c r="P197" i="66"/>
  <c r="N197" i="66"/>
  <c r="N150" i="66"/>
  <c r="O54" i="66"/>
  <c r="Z54" i="66"/>
  <c r="Z198" i="66"/>
  <c r="Y198" i="66"/>
  <c r="Y54" i="66"/>
  <c r="Y7" i="66"/>
  <c r="Z7" i="66"/>
  <c r="Z151" i="66"/>
  <c r="Y151" i="66"/>
  <c r="O245" i="66" l="1"/>
  <c r="Q245" i="66" s="1"/>
  <c r="R245" i="66" s="1"/>
  <c r="T245" i="66" s="1"/>
  <c r="O150" i="66"/>
  <c r="Q150" i="66" s="1"/>
  <c r="O197" i="66"/>
  <c r="U197" i="66" s="1"/>
  <c r="U54" i="66"/>
  <c r="Q54" i="66"/>
  <c r="V54" i="66"/>
  <c r="X54" i="66" s="1"/>
  <c r="O101" i="66"/>
  <c r="Z245" i="66"/>
  <c r="Y245" i="66"/>
  <c r="Z101" i="66"/>
  <c r="Y101" i="66"/>
  <c r="Y6" i="66"/>
  <c r="U150" i="66"/>
  <c r="Z150" i="66"/>
  <c r="O6" i="66"/>
  <c r="Z6" i="66"/>
  <c r="Y150" i="66"/>
  <c r="Q198" i="66"/>
  <c r="U198" i="66"/>
  <c r="V198" i="66"/>
  <c r="X198" i="66" s="1"/>
  <c r="R5" i="66"/>
  <c r="T5" i="66" s="1"/>
  <c r="P5" i="66"/>
  <c r="V5" i="66" s="1"/>
  <c r="X5" i="66" s="1"/>
  <c r="N5" i="66"/>
  <c r="R149" i="66"/>
  <c r="T149" i="66" s="1"/>
  <c r="P149" i="66"/>
  <c r="V149" i="66" s="1"/>
  <c r="X149" i="66" s="1"/>
  <c r="N149" i="66"/>
  <c r="Y53" i="66"/>
  <c r="O53" i="66"/>
  <c r="Z53" i="66"/>
  <c r="Y197" i="66"/>
  <c r="Z197" i="66"/>
  <c r="Y26" i="66"/>
  <c r="Z170" i="66"/>
  <c r="Y170" i="66"/>
  <c r="Z26" i="66"/>
  <c r="U245" i="66" l="1"/>
  <c r="O149" i="66"/>
  <c r="Q149" i="66" s="1"/>
  <c r="V245" i="66"/>
  <c r="X245" i="66" s="1"/>
  <c r="Q197" i="66"/>
  <c r="R197" i="66" s="1"/>
  <c r="T197" i="66" s="1"/>
  <c r="V197" i="66"/>
  <c r="X197" i="66" s="1"/>
  <c r="U53" i="66"/>
  <c r="Q53" i="66"/>
  <c r="R53" i="66" s="1"/>
  <c r="T53" i="66" s="1"/>
  <c r="V53" i="66"/>
  <c r="X53" i="66" s="1"/>
  <c r="Q6" i="66"/>
  <c r="U6" i="66"/>
  <c r="V101" i="66"/>
  <c r="X101" i="66" s="1"/>
  <c r="U101" i="66"/>
  <c r="Q101" i="66"/>
  <c r="R101" i="66" s="1"/>
  <c r="T101" i="66" s="1"/>
  <c r="Z149" i="66"/>
  <c r="Y5" i="66"/>
  <c r="Y149" i="66"/>
  <c r="Z5" i="66"/>
  <c r="O5" i="66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<sst xmlns="http://schemas.openxmlformats.org/spreadsheetml/2006/main" count="4678" uniqueCount="345">
  <si>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</si>
  <si>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</si>
  <si>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</si>
  <si>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</si>
  <si>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</si>
  <si>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</si>
  <si>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</si>
  <si>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</si>
  <si>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</si>
  <si>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</si>
  <si>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</si>
  <si>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</si>
  <si>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</si>
  <si>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</si>
  <si>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</si>
  <si>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</si>
  <si>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</si>
  <si>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</si>
  <si>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</si>
  <si>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</si>
  <si>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</si>
  <si>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</si>
  <si>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</si>
  <si>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</si>
  <si>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</si>
  <si>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</si>
  <si>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</si>
  <si>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</si>
  <si>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</si>
  <si>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</si>
  <si>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</si>
  <si>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</si>
  <si>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</si>
  <si>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</si>
  <si>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</si>
  <si>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</si>
  <si>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</si>
  <si>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</si>
  <si>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</si>
  <si>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</si>
  <si>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</si>
  <si>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</si>
  <si>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</si>
  <si>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</si>
  <si>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</si>
  <si>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</si>
  <si>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</si>
  <si>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</si>
  <si>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</si>
  <si>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</si>
  <si>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</si>
  <si>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</si>
  <si>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</si>
  <si>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</si>
  <si>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</si>
  <si>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</si>
  <si>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</si>
  <si>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</si>
  <si>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</si>
  <si>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</si>
  <si>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</si>
  <si>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</si>
  <si>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</si>
  <si>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</si>
  <si>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</si>
  <si>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</si>
  <si>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</si>
  <si>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</si>
  <si>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</si>
  <si>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</si>
  <si>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</si>
  <si>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</si>
  <si>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</si>
  <si>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</si>
  <si>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</si>
  <si>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</si>
  <si>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</si>
  <si>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</si>
  <si>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</si>
  <si>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</si>
  <si>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</si>
  <si>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</si>
  <si>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</si>
  <si>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</si>
  <si>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</si>
  <si>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</si>
  <si>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</si>
  <si>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</si>
  <si>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</si>
  <si>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</si>
  <si>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</si>
  <si>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</si>
  <si>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</si>
  <si>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</si>
  <si>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</si>
  <si>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</si>
  <si>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</si>
  <si>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</si>
  <si>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</si>
  <si>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</si>
  <si>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</si>
  <si>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</si>
  <si>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</si>
  <si>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</si>
  <si>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</si>
  <si>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</si>
  <si>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</si>
  <si>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</si>
  <si>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</si>
  <si>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</si>
  <si>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</si>
  <si>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</si>
  <si>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</si>
  <si>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</si>
  <si>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</si>
  <si>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</si>
  <si>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</si>
  <si>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</si>
  <si>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</si>
  <si>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</si>
  <si>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</si>
  <si>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</si>
  <si>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</si>
  <si>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</si>
  <si>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</si>
  <si>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</si>
  <si>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</si>
  <si>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</si>
  <si>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</si>
  <si>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</si>
  <si>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</si>
  <si>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</si>
  <si>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</si>
  <si>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</si>
  <si>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</si>
  <si>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</si>
  <si>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</si>
  <si>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</si>
  <si>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</si>
  <si>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</si>
  <si>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</si>
  <si>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</si>
  <si>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</si>
  <si>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</si>
  <si>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</si>
  <si>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</si>
  <si>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</si>
  <si>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</si>
  <si>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</si>
  <si>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</si>
  <si>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</si>
  <si>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</si>
  <si>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</si>
  <si>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</si>
  <si>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</si>
  <si>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</si>
  <si>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</si>
  <si>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</si>
  <si>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</si>
  <si>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</si>
  <si>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</si>
  <si>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</si>
  <si>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</si>
  <si>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</si>
  <si>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</si>
  <si>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</si>
  <si>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</si>
  <si>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</si>
  <si>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</si>
  <si>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</si>
  <si>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</si>
  <si>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</si>
  <si>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</si>
  <si>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</si>
  <si>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</si>
  <si>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</si>
  <si>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</si>
  <si>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</si>
  <si>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</si>
  <si>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</si>
  <si>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</si>
  <si>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</si>
  <si>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</si>
  <si>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</si>
  <si>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</si>
  <si>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</si>
  <si>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</si>
  <si>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</si>
  <si>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</si>
  <si>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</si>
  <si>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</si>
  <si>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</si>
  <si>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</si>
  <si>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</si>
  <si>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</si>
  <si>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</si>
  <si>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</si>
  <si>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</si>
  <si>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</si>
  <si>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</si>
  <si>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</si>
  <si>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</si>
  <si>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</si>
  <si>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</si>
  <si>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</si>
  <si>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</si>
  <si>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</si>
  <si>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</si>
  <si>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</si>
  <si>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</si>
  <si>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</si>
  <si>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</si>
  <si>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</si>
  <si>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</si>
  <si>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</si>
  <si>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</si>
  <si>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</si>
  <si>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</si>
  <si>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</si>
  <si>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</si>
  <si>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</si>
  <si>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</si>
  <si>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</si>
  <si>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</si>
  <si>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</si>
  <si>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</si>
  <si>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</si>
  <si>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</si>
  <si>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</si>
  <si>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</si>
  <si>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</si>
  <si>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</si>
  <si>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</si>
  <si>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</si>
  <si>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</si>
  <si>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</si>
  <si>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</si>
  <si>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</si>
  <si>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</si>
  <si>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</si>
  <si>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</si>
  <si>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</si>
  <si>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</si>
  <si>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</si>
  <si>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</si>
  <si>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</si>
  <si>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</si>
  <si>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</si>
  <si>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</si>
  <si>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</si>
  <si>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</si>
  <si>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</si>
  <si>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</si>
  <si>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</si>
  <si>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</si>
  <si>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</si>
  <si>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</si>
  <si>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</si>
  <si>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</si>
  <si>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</si>
  <si>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</si>
  <si>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</si>
  <si>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</si>
  <si>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</si>
  <si>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</si>
  <si>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</si>
  <si>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</si>
  <si>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</si>
  <si>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</si>
  <si>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</si>
  <si>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</si>
  <si>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</si>
  <si>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</si>
  <si>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</si>
  <si>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</si>
  <si>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</si>
  <si>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</si>
  <si>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</si>
  <si>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</si>
  <si>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</si>
  <si>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</si>
  <si>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</si>
  <si>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</si>
  <si>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</si>
  <si>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</si>
  <si>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</si>
  <si>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</si>
  <si>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</si>
  <si>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</si>
  <si>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</si>
  <si>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</si>
  <si>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</si>
  <si>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</si>
  <si>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</si>
  <si>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</si>
  <si>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</si>
  <si>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</si>
  <si>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</si>
  <si>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</si>
  <si>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</si>
  <si>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</si>
  <si>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</si>
  <si>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</si>
  <si>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</si>
  <si>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</si>
  <si>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</si>
  <si>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</si>
  <si>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</si>
  <si>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</si>
  <si>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</si>
  <si>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</si>
  <si>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</si>
  <si>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</si>
  <si>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</si>
  <si>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</si>
  <si>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</si>
  <si>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</si>
  <si>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</si>
  <si>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</si>
  <si>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</si>
  <si>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</si>
  <si>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</si>
  <si>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</si>
  <si>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</si>
  <si>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</si>
  <si>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</si>
  <si>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</si>
  <si>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</si>
  <si>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</si>
  <si>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</si>
  <si>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</si>
  <si>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</si>
  <si>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</si>
  <si>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</si>
  <si>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</si>
  <si>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</si>
  <si>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</si>
  <si>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</si>
  <si>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</si>
  <si>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</si>
  <si>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</si>
  <si>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</si>
  <si>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</si>
  <si>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BAU-scenariet fra MFVM-projekt minus 20% husdyrhold</t>
  </si>
  <si>
    <t>Reduktion fra 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</si>
</sst>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28" fillId="3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230377.75918826333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6" t="s">
        <v>276</v>
      </c>
      <c r="B1" s="346"/>
      <c r="D1" s="75" t="s">
        <v>289</v>
      </c>
    </row>
    <row r="2" spans="1:6" ht="30" x14ac:dyDescent="0.25">
      <c r="A2" s="6" t="s">
        <v>0</v>
      </c>
      <c r="B2" s="225" t="s">
        <v>343</v>
      </c>
    </row>
    <row r="4" spans="1:6" ht="30" customHeight="1" thickBot="1" x14ac:dyDescent="0.3">
      <c r="A4" s="345" t="s">
        <v>275</v>
      </c>
      <c r="B4" s="345"/>
      <c r="D4" s="75"/>
    </row>
    <row r="5" spans="1:6" ht="15.75" thickTop="1" x14ac:dyDescent="0.25">
      <c r="A5" s="257" t="s">
        <v>86</v>
      </c>
      <c r="B5" s="256" t="s">
        <v>309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7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7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310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60" zoomScaleNormal="60" workbookViewId="0">
      <selection activeCell="R35" sqref="R3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48" t="s">
        <v>302</v>
      </c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</row>
    <row r="2" spans="1:18" ht="15" customHeight="1" x14ac:dyDescent="0.25">
      <c r="A2" s="254"/>
      <c r="B2" s="254"/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</row>
    <row r="3" spans="1:18" x14ac:dyDescent="0.25">
      <c r="A3" s="75"/>
    </row>
    <row r="34" spans="16:18" ht="15.75" x14ac:dyDescent="0.25">
      <c r="P34" s="344" t="s">
        <v>94</v>
      </c>
      <c r="Q34" s="344" t="s">
        <v>342</v>
      </c>
      <c r="R34" s="344" t="s">
        <v>344</v>
      </c>
    </row>
    <row r="35" spans="16:18" ht="15.75" x14ac:dyDescent="0.25">
      <c r="P35" s="344">
        <v>1990</v>
      </c>
      <c r="Q35" s="384">
        <v>20000000</v>
      </c>
      <c r="R35" s="386"/>
    </row>
    <row r="36" spans="16:18" ht="15.75" x14ac:dyDescent="0.25">
      <c r="P36" s="344">
        <f>År1</f>
        <v>2019</v>
      </c>
      <c r="Q36" s="385">
        <f>GETPIVOTDATA("Total",'CO2-pivot'!$A$1,"År",P36,"Sted2","CO2 - atmosfære")</f>
        <v>13911562.11827757</v>
      </c>
      <c r="R36" s="386">
        <f>1-Q36/$Q$35</f>
        <v>0.30442189408612153</v>
      </c>
    </row>
    <row r="37" spans="16:18" ht="15.75" x14ac:dyDescent="0.25">
      <c r="P37" s="344">
        <f>År2</f>
        <v>2030</v>
      </c>
      <c r="Q37" s="385">
        <f>GETPIVOTDATA("Total",'CO2-pivot'!$A$1,"År",P37,"Sted2","CO2 - atmosfære")</f>
        <v>13105225.196730688</v>
      </c>
      <c r="R37" s="386">
        <f t="shared" ref="R37:R38" si="0">1-Q37/$Q$35</f>
        <v>0.34473874016346562</v>
      </c>
    </row>
    <row r="38" spans="16:18" ht="15.75" x14ac:dyDescent="0.25">
      <c r="P38" s="344">
        <f>År3</f>
        <v>2050</v>
      </c>
      <c r="Q38" s="385">
        <f>GETPIVOTDATA("Total",'CO2-pivot'!$A$1,"År",P38,"Sted2","CO2 - atmosfære")</f>
        <v>12143621.112267544</v>
      </c>
      <c r="R38" s="386">
        <f t="shared" si="0"/>
        <v>0.39281894438662279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311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1" t="s">
        <v>331</v>
      </c>
      <c r="C20" s="25"/>
      <c r="D20" s="25"/>
      <c r="E20" s="25"/>
      <c r="F20" s="12"/>
      <c r="I20" s="1"/>
    </row>
    <row r="21" spans="2:11" ht="29.45" customHeight="1" x14ac:dyDescent="0.25">
      <c r="B21" s="351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9" t="s">
        <v>330</v>
      </c>
      <c r="C30" s="25"/>
      <c r="D30" s="25"/>
      <c r="E30" s="25"/>
      <c r="K30" s="12"/>
    </row>
    <row r="31" spans="2:11" x14ac:dyDescent="0.25">
      <c r="B31" s="350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321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322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323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2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335</v>
      </c>
    </row>
    <row r="48" spans="1:10" hidden="1" x14ac:dyDescent="0.25">
      <c r="A48" s="353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336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338</v>
      </c>
      <c r="E1" s="171" t="s">
        <v>337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4" t="s">
        <v>324</v>
      </c>
      <c r="D2" s="354"/>
      <c r="E2" s="354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325</v>
      </c>
      <c r="G3" s="12" t="s">
        <v>321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5" t="s">
        <v>326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5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6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6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308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230377.75918826333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320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60" t="s">
        <v>332</v>
      </c>
      <c r="G2" s="361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0.85085506224669805</v>
      </c>
      <c r="AC3" s="126">
        <f>SUM(E12:E14)/SUM(E12:E15)</f>
        <v>0.84156678039128929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0.34031562314868813</v>
      </c>
      <c r="AC5" s="147">
        <f t="shared" si="0"/>
        <v>0.3303788017692923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0.39319844103504681</v>
      </c>
      <c r="AC6" s="147">
        <f t="shared" si="0"/>
        <v>0.39109334699095094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8" t="s">
        <v>211</v>
      </c>
      <c r="D10" s="358"/>
      <c r="E10" s="358"/>
      <c r="F10" s="357" t="s">
        <v>333</v>
      </c>
      <c r="G10" s="357"/>
      <c r="J10" s="359" t="s">
        <v>212</v>
      </c>
      <c r="K10" s="359"/>
      <c r="L10" s="359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7317872.3979037404</v>
      </c>
      <c r="E12" s="133">
        <f>SUMIFS('Resultater - Danmark'!J$3:J$504,'Resultater - Danmark'!$F$3:$F$504,$A12)*D3</f>
        <v>7005959.4247079371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0.34031562314868813</v>
      </c>
      <c r="L12" s="134">
        <f t="shared" ref="L12:L28" si="3">E12/E$29</f>
        <v>0.3303788017692923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8455021.8174732141</v>
      </c>
      <c r="E13" s="136">
        <f>SUMIFS('Resultater - Danmark'!J$3:J$504,'Resultater - Danmark'!$F$3:$F$504,$A13)*D4</f>
        <v>8293462.2488436466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0.39319844103504681</v>
      </c>
      <c r="L13" s="137">
        <f t="shared" si="3"/>
        <v>0.39109334699095094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3617.1712242793346</v>
      </c>
      <c r="E14" s="136">
        <f>SUMIFS('Resultater - Danmark'!J$3:J$504,'Resultater - Danmark'!$F$3:$F$504,$A14)*D5</f>
        <v>3735.4520479403895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1.6821554302842836E-4</v>
      </c>
      <c r="L14" s="137">
        <f t="shared" si="3"/>
        <v>1.7615205810539539E-4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2765437.8672976275</v>
      </c>
      <c r="E15" s="136">
        <f>SUMIFS('Resultater - Danmark'!J$3:J$504,'Resultater - Danmark'!$F$3:$F$504,$A15)*D6</f>
        <v>2880969.7698136591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0.12860591985150802</v>
      </c>
      <c r="L15" s="137">
        <f t="shared" si="3"/>
        <v>0.1358573869451534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1204392.371220411</v>
      </c>
      <c r="E16" s="136">
        <f>SUMIFS('Resultater - Danmark'!J$3:J$504,'Resultater - Danmark'!$F$3:$F$504,$A16)*D7</f>
        <v>1262014.3338818299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5.6009932674531422E-2</v>
      </c>
      <c r="L16" s="137">
        <f t="shared" si="3"/>
        <v>5.9512588950075447E-2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1.6927486366596273E-2</v>
      </c>
      <c r="L18" s="137">
        <f t="shared" si="3"/>
        <v>1.7437509236921743E-2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3.3760940184851887E-2</v>
      </c>
      <c r="L19" s="137">
        <f t="shared" si="3"/>
        <v>3.4095893413030022E-2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3.531289577497277E-3</v>
      </c>
      <c r="L20" s="137">
        <f t="shared" si="3"/>
        <v>3.5808063411094139E-3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3445654.0507503473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1.7606687834704731E-4</v>
      </c>
      <c r="L21" s="137">
        <f t="shared" si="3"/>
        <v>1.7853573902916006E-4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7186166.448623132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3.9843850861436799E-3</v>
      </c>
      <c r="L22" s="137">
        <f t="shared" si="3"/>
        <v>4.0402552860014122E-3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2759146.642854617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1.5347767457306561E-2</v>
      </c>
      <c r="L23" s="137">
        <f t="shared" si="3"/>
        <v>1.5562978290765341E-2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1919162.7967223886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1.3321277681593159E-3</v>
      </c>
      <c r="L24" s="137">
        <f t="shared" si="3"/>
        <v>1.3508072489409114E-3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3.6273683336158717E-6</v>
      </c>
      <c r="L25" s="137">
        <f t="shared" si="3"/>
        <v>3.6782323413297636E-6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6.638177059961497E-3</v>
      </c>
      <c r="L26" s="137">
        <f t="shared" si="3"/>
        <v>6.7312594982832452E-3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21503192.625119273</v>
      </c>
      <c r="E29" s="145">
        <f>SUM(E12:E28)</f>
        <v>21205838.229295012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0.10536609436161316</v>
      </c>
      <c r="E30" s="149">
        <f>SUMPRODUCT(E12:E28,$H$12:$H$28)/E29</f>
        <v>0.10668972466527758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2.0840347189956605E-2</v>
      </c>
      <c r="E31" s="149">
        <f>SUM(E21:E24)/E29</f>
        <v>2.1132576564736823E-2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539354838.00291681</v>
      </c>
      <c r="E32" s="125">
        <f>SUMPRODUCT(E12:E28,$I$12:$I$28)</f>
        <v>538646145.97033834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19.362838684304716</v>
      </c>
      <c r="E33" s="125">
        <f>E32*[1]Energiindhold!$C$10</f>
        <v>19.33739664033515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6391729.2665735735</v>
      </c>
      <c r="E39" s="133">
        <f>SUMIFS('Resultater - Vestdanmark'!J$3:J$504,'Resultater - Vestdanmark'!$F$3:$F$504,$A39)*D3</f>
        <v>6119291.7094537346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926143.13133016659</v>
      </c>
      <c r="M39" s="133">
        <f>SUMIFS('Resultater - Østdanmark'!J$3:J$504,'Resultater - Østdanmark'!$F$3:$F$504,$A39)*D3</f>
        <v>886667.7152542026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7893966.0004921574</v>
      </c>
      <c r="E40" s="136">
        <f>SUMIFS('Resultater - Vestdanmark'!J$3:J$504,'Resultater - Vestdanmark'!$F$3:$F$504,$A40)*D4</f>
        <v>7743127.1535502924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561055.81698105508</v>
      </c>
      <c r="M40" s="136">
        <f>SUMIFS('Resultater - Østdanmark'!J$3:J$504,'Resultater - Østdanmark'!$F$3:$F$504,$A40)*D4</f>
        <v>550335.09529335448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3337.0904542181925</v>
      </c>
      <c r="E41" s="136">
        <f>SUMIFS('Resultater - Vestdanmark'!J$3:J$504,'Resultater - Vestdanmark'!$F$3:$F$504,$A41)*D5</f>
        <v>3446.2126889929687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280.08077006114183</v>
      </c>
      <c r="M41" s="136">
        <f>SUMIFS('Resultater - Østdanmark'!J$3:J$504,'Resultater - Østdanmark'!$F$3:$F$504,$A41)*D5</f>
        <v>289.23935894742124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1497865.6247316466</v>
      </c>
      <c r="E42" s="136">
        <f>SUMIFS('Resultater - Vestdanmark'!J$3:J$504,'Resultater - Vestdanmark'!$F$3:$F$504,$A42)*D6</f>
        <v>1554136.2730559006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1267572.2425659813</v>
      </c>
      <c r="M42" s="136">
        <f>SUMIFS('Resultater - Østdanmark'!J$3:J$504,'Resultater - Østdanmark'!$F$3:$F$504,$A42)*D6</f>
        <v>1326833.4967577588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1061170.3273835385</v>
      </c>
      <c r="E43" s="136">
        <f>SUMIFS('Resultater - Vestdanmark'!J$3:J$504,'Resultater - Vestdanmark'!$F$3:$F$504,$A43)*D7</f>
        <v>1111191.0910754299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143222.04383687259</v>
      </c>
      <c r="M43" s="136">
        <f>SUMIFS('Resultater - Østdanmark'!J$3:J$504,'Resultater - Østdanmark'!$F$3:$F$504,$A43)*D7</f>
        <v>150823.24280639994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508461.98144503916</v>
      </c>
      <c r="E46" s="136">
        <f>SUMIFS('Resultater - Vestdanmark'!J$3:J$504,'Resultater - Vestdanmark'!$F$3:$F$504,$A46)/SUMIFS('Resultater - Danmark'!J$3:J$504,'Resultater - Danmark'!$F$3:$F$504,$A46)*E19</f>
        <v>505095.54922592157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217506.01855496093</v>
      </c>
      <c r="M46" s="136">
        <f>SUMIFS('Resultater - Østdanmark'!J$3:J$504,'Resultater - Østdanmark'!$F$3:$F$504,$A46)/SUMIFS('Resultater - Danmark'!J$3:J$504,'Resultater - Danmark'!$F$3:$F$504,$A46)*E19</f>
        <v>217936.45077407858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53644.580306161413</v>
      </c>
      <c r="E47" s="136">
        <f>SUMIFS('Resultater - Vestdanmark'!J$3:J$504,'Resultater - Vestdanmark'!$F$3:$F$504,$A47)/SUMIFS('Resultater - Danmark'!J$3:J$504,'Resultater - Danmark'!$F$3:$F$504,$A47)*E20</f>
        <v>53363.755309158871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22289.419693838598</v>
      </c>
      <c r="M47" s="136">
        <f>SUMIFS('Resultater - Østdanmark'!J$3:J$504,'Resultater - Østdanmark'!$F$3:$F$504,$A47)/SUMIFS('Resultater - Danmark'!J$3:J$504,'Resultater - Danmark'!$F$3:$F$504,$A47)*E20</f>
        <v>22570.244690841144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18116708.54364533</v>
      </c>
      <c r="E56" s="145">
        <f ca="1">SUM(E39:E55)</f>
        <v>17798283.23987589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3386484.0814739461</v>
      </c>
      <c r="M56" s="145">
        <f ca="1">SUM(M39:M55)</f>
        <v>3407554.9894191246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0.10276680091556224</v>
      </c>
      <c r="E57" s="149">
        <f ca="1">SUMPRODUCT(E39:E55,$F$39:$F$55)/E56</f>
        <v>0.10416928393267103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0.11927156110782515</v>
      </c>
      <c r="M57" s="149">
        <f ca="1">SUMPRODUCT(M39:M55,$N$39:$N$55)/M56</f>
        <v>0.11985444781356019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2.1925397003635872E-2</v>
      </c>
      <c r="E58" s="149">
        <f ca="1">SUM(E48:E51)/E56</f>
        <v>2.230057807856935E-2</v>
      </c>
      <c r="I58" s="148" t="s">
        <v>161</v>
      </c>
      <c r="K58" s="149">
        <f ca="1">SUM(K48:K51)/K56</f>
        <v>1.8896340963997331E-2</v>
      </c>
      <c r="L58" s="149">
        <f ca="1">SUM(L48:L51)/L56</f>
        <v>1.5035645098692627E-2</v>
      </c>
      <c r="M58" s="149">
        <f ca="1">SUM(M48:M51)/M56</f>
        <v>1.5031890931681514E-2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436104134.24282026</v>
      </c>
      <c r="E59" s="125">
        <f ca="1">SUMPRODUCT(E39:E55,$I$12:$I$28)</f>
        <v>434305248.86575383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103250703.76009664</v>
      </c>
      <c r="M59" s="125">
        <f ca="1">SUMPRODUCT(M39:M55,$I$12:$I$28)</f>
        <v>104340897.10458456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15.65613841931725</v>
      </c>
      <c r="E60" s="125">
        <f ca="1">E59*[1]Energiindhold!$C$10</f>
        <v>15.591558434280564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3.7067002649874699</v>
      </c>
      <c r="M60" s="125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315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334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316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1385491.0293729189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756737.32303016982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1303036.156330572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736790.52495436871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14170727.436337013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809729.86780953256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13769683.498114759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781289.12421925121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2648877.5690380111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395773.41834279301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2636262.8953785724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385663.66895741841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317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317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317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317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317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317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313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314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313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314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313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314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313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314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313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314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313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314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8615319.5971695222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8570219.1026509143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16654690.164173149</v>
      </c>
      <c r="J474" s="286">
        <f ca="1">SUMIFS('Forbrug af biomasse'!$E$1:$E$425,'Forbrug af biomasse'!$A$1:$A$425,"Biogas",'Forbrug af biomasse'!$B$1:$B$425,$A$1,'Forbrug af biomasse'!$D$1:$D$425,J$2)*'[1]Processer - data'!J474</f>
        <v>16361961.782417906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99195092.054359093</v>
      </c>
      <c r="J479" s="286">
        <f ca="1">J474*'[1]Processer - data'!J$479*Biogasanlæg!AC$3</f>
        <v>96387784.486803308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129556778.84952521</v>
      </c>
      <c r="J480" s="286">
        <f ca="1">-SUMIFS('Resultater - Vestdanmark'!J$3:J$504,'Resultater - Vestdanmark'!$F$3:$F$504,"Gødning",'Resultater - Vestdanmark'!$A$3:$A$504,"&lt;&gt;Gødning")-SUM(J475:J479)</f>
        <v>125006259.8750802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14.320166964206413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13.467929364722803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15.644878670886264</v>
      </c>
      <c r="J489" s="286">
        <f ca="1">SUM(J455:J473)*'[1]Processer - data'!$H$489</f>
        <v>15.580582515330825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3579680.8028304786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3624781.2973490874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3113194.8160989988</v>
      </c>
      <c r="J474" s="286">
        <f ca="1">SUMIFS('Forbrug af biomasse'!$E$1:$E$425,'Forbrug af biomasse'!$A$1:$A$425,"Biogas",'Forbrug af biomasse'!$B$1:$B$425,$A$1,'Forbrug af biomasse'!$D$1:$D$425,J$2)*'[1]Processer - data'!J474</f>
        <v>3132565.3017730014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18542142.983266078</v>
      </c>
      <c r="J479" s="286">
        <f ca="1">J474*'[1]Processer - data'!J$479*Biogasanlæg!AC$3</f>
        <v>18453840.267650008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63323746.934846878</v>
      </c>
      <c r="J480" s="286">
        <f ca="1">-SUMIFS('Resultater - Østdanmark'!J$3:J$504,'Resultater - Østdanmark'!$F$3:$F$504,"Gødning",'Resultater - Østdanmark'!$A$3:$A$504,"&lt;&gt;Gødning")-SUM(J475:J479)</f>
        <v>61706187.03318695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7.8214904204347988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7.6153241784375005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3.7056843880811146</v>
      </c>
      <c r="J489" s="286">
        <f ca="1">SUM(J455:J473)*'[1]Processer - data'!$H$489</f>
        <v>3.7448516917247332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12089246.676465895</v>
      </c>
      <c r="O3" s="98">
        <f>SUMIF($F$3:$F$509,$L$3,J$3:J$509)</f>
        <v>11129878.783220479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12799320.650900256</v>
      </c>
      <c r="J95" s="280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13807306.411139132</v>
      </c>
      <c r="J96" s="280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1769997.0584818162</v>
      </c>
      <c r="J97" s="280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144673.8645132767</v>
      </c>
      <c r="J98" s="280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-7899064778.4300537</v>
      </c>
      <c r="J99" s="280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-606647.28855816624</v>
      </c>
      <c r="J100" s="280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1034388.9484922757</v>
      </c>
      <c r="J101" s="280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286226.56294538995</v>
      </c>
      <c r="J102" s="280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310246.95545695163</v>
      </c>
      <c r="J104" s="280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9488.6186867232918</v>
      </c>
      <c r="J105" s="280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-518070170.56194645</v>
      </c>
      <c r="J106" s="280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-34973.233836315019</v>
      </c>
      <c r="J107" s="280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74625.88058269133</v>
      </c>
      <c r="J108" s="280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343504.41336069477</v>
      </c>
      <c r="J109" s="280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9967942.9800798073</v>
      </c>
      <c r="J110" s="280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195343.77170144278</v>
      </c>
      <c r="J111" s="280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3731303.0466279737</v>
      </c>
      <c r="J112" s="280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42507.033653433064</v>
      </c>
      <c r="J113" s="280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-2586204586.6692138</v>
      </c>
      <c r="J114" s="280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-10817.013072585138</v>
      </c>
      <c r="J115" s="280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2797326.9329336165</v>
      </c>
      <c r="J116" s="280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21412.262565954799</v>
      </c>
      <c r="J117" s="280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1157085.7271217881</v>
      </c>
      <c r="J118" s="280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9553.1632986567565</v>
      </c>
      <c r="J119" s="280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441971.06065624644</v>
      </c>
      <c r="J120" s="280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8833.5743465669384</v>
      </c>
      <c r="J121" s="280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-537450594.13078606</v>
      </c>
      <c r="J122" s="280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-2709.8349283905177</v>
      </c>
      <c r="J123" s="280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486132.10955144238</v>
      </c>
      <c r="J124" s="280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82323881.005690798</v>
      </c>
      <c r="J125" s="280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5239.8247641809012</v>
      </c>
      <c r="J126" s="280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116133.63423732575</v>
      </c>
      <c r="J127" s="280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171561.69845929107</v>
      </c>
      <c r="J128" s="280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7245.7392422613466</v>
      </c>
      <c r="J129" s="280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-285090575.83192879</v>
      </c>
      <c r="J130" s="280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-6757.0168947177917</v>
      </c>
      <c r="J131" s="280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11008.392730152173</v>
      </c>
      <c r="J132" s="280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1128905.9256907196</v>
      </c>
      <c r="J133" s="280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1994.5176843777681</v>
      </c>
      <c r="J134" s="280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7510.1592646289591</v>
      </c>
      <c r="J135" s="280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13826.644973337128</v>
      </c>
      <c r="J136" s="280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1418.8674777386532</v>
      </c>
      <c r="J137" s="280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-55826704.872071199</v>
      </c>
      <c r="J138" s="280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-2492.2636103603218</v>
      </c>
      <c r="J139" s="280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2371.2412074498138</v>
      </c>
      <c r="J140" s="280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2679978.7351939101</v>
      </c>
      <c r="J426" s="280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104331.85268210551</v>
      </c>
      <c r="J427" s="280">
        <f>'Resultater - Vestdanmark'!J427+'Resultater - Østdanmark'!J427</f>
        <v>102393.86056963103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13709.205442428665</v>
      </c>
      <c r="J428" s="280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1388963.5194082048</v>
      </c>
      <c r="J429" s="280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1262146.510248078</v>
      </c>
      <c r="J430" s="280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24180.745341776219</v>
      </c>
      <c r="J431" s="280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112563.08046776136</v>
      </c>
      <c r="J432" s="280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111066.04139884243</v>
      </c>
      <c r="J433" s="280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90971.147089593054</v>
      </c>
      <c r="J434" s="280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44121.743543858545</v>
      </c>
      <c r="J435" s="280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5823.9227067081456</v>
      </c>
      <c r="J436" s="280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59861.078960088766</v>
      </c>
      <c r="J437" s="280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157498.34817848625</v>
      </c>
      <c r="J438" s="280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580.93006043583182</v>
      </c>
      <c r="J439" s="283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4752039274.4896984</v>
      </c>
      <c r="J440" s="277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131956390.2838318</v>
      </c>
      <c r="J441" s="280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62759746.598407798</v>
      </c>
      <c r="J443" s="280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115059535.4304143</v>
      </c>
      <c r="J444" s="280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1346116103.3222597</v>
      </c>
      <c r="J445" s="280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193911524.74636257</v>
      </c>
      <c r="J446" s="280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1828078772.7125964</v>
      </c>
      <c r="J449" s="280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131151778.14795476</v>
      </c>
      <c r="J450" s="280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97358068.441119805</v>
      </c>
      <c r="J453" s="280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3223276216.3233547</v>
      </c>
      <c r="J454" s="280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12195000.4</v>
      </c>
      <c r="J455" s="280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87814468.774844885</v>
      </c>
      <c r="J458" s="280">
        <f>'Resultater - Vestdanmark'!J458+'Resultater - Østdanmark'!J458</f>
        <v>84071513.096495241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-93138.953061874388</v>
      </c>
      <c r="J459" s="286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119215807.62637229</v>
      </c>
      <c r="J460" s="280">
        <f>'Resultater - Vestdanmark'!J460+'Resultater - Østdanmark'!J460</f>
        <v>116937817.70869543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-248800.47137658359</v>
      </c>
      <c r="J461" s="286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47384.943038059275</v>
      </c>
      <c r="J462" s="280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72263542.273224667</v>
      </c>
      <c r="J463" s="280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74480686.960000008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38439586.355437025</v>
      </c>
      <c r="J473" s="280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19767884.980272148</v>
      </c>
      <c r="J474" s="286">
        <f ca="1">'Resultater - Vestdanmark'!J474+'Resultater - Østdanmark'!J474</f>
        <v>19494527.084190909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34394000.270147577</v>
      </c>
      <c r="J475" s="286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21360055.117827062</v>
      </c>
      <c r="J476" s="286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25320.198569955341</v>
      </c>
      <c r="J477" s="286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6383279.5674681785</v>
      </c>
      <c r="J478" s="286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117737235.03762516</v>
      </c>
      <c r="J479" s="286">
        <f ca="1">'Resultater - Vestdanmark'!J479+'Resultater - Østdanmark'!J479</f>
        <v>114841624.75445332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192880525.78437209</v>
      </c>
      <c r="J480" s="286">
        <f ca="1">'Resultater - Vestdanmark'!J480+'Resultater - Østdanmark'!J480</f>
        <v>186712446.90826714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22.141657384641213</v>
      </c>
      <c r="J481" s="290">
        <f>'Resultater - Vestdanmark'!J481+'Resultater - Østdanmark'!J481</f>
        <v>21.083253543160303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19.350563058967378</v>
      </c>
      <c r="J489" s="293">
        <f ca="1">'Resultater - Vestdanmark'!J489+'Resultater - Østdanmark'!J489</f>
        <v>19.325434207055558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5" t="s">
        <v>251</v>
      </c>
      <c r="B1" s="365"/>
      <c r="C1" s="365"/>
      <c r="F1" s="366" t="s">
        <v>253</v>
      </c>
      <c r="G1" s="366"/>
      <c r="H1" s="366"/>
      <c r="I1" s="366"/>
      <c r="J1" s="366"/>
      <c r="K1" s="366"/>
      <c r="L1" s="366"/>
      <c r="M1" s="367"/>
      <c r="N1" s="368" t="s">
        <v>254</v>
      </c>
      <c r="O1" s="369"/>
      <c r="P1" s="370"/>
      <c r="Q1" s="362" t="s">
        <v>123</v>
      </c>
      <c r="R1" s="362"/>
      <c r="S1" s="362"/>
      <c r="T1" s="363"/>
      <c r="U1" s="364" t="s">
        <v>230</v>
      </c>
      <c r="V1" s="362"/>
      <c r="W1" s="362"/>
      <c r="X1" s="363"/>
    </row>
    <row r="2" spans="1:26" x14ac:dyDescent="0.25">
      <c r="A2" s="197" t="s">
        <v>129</v>
      </c>
      <c r="B2" s="197" t="s">
        <v>318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313</v>
      </c>
      <c r="B35" s="192" t="s">
        <v>319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314</v>
      </c>
      <c r="B36" s="192" t="s">
        <v>319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138453.77532930995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218519.66268109329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436104134.24282026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436104134.24282026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16654690.164173149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2483962.7278361358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659441.56058834167</v>
      </c>
      <c r="O57" s="193">
        <f t="shared" si="1"/>
        <v>659441.56058834167</v>
      </c>
      <c r="P57" s="203">
        <f t="shared" si="10"/>
        <v>1061170.3273835385</v>
      </c>
      <c r="Q57" s="190">
        <f>IFERROR(VLOOKUP(A57,[1]Energiindhold!$A$2:$C$11,3,FALSE),IFERROR(VLOOKUP(A57,[1]Biogasudbytte!$A$2:$B$18,2,FALSE)*[1]Energiindhold!$C$10,0))*O57</f>
        <v>1.420437121507288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90">
        <f>IFERROR(VLOOKUP(A57,[1]Biogasudbytte!$A$2:$B$18,2,FALSE)*[1]Energiindhold!$C$10,0)*J57*IFERROR(VLOOKUP(A57,Biogasanlæg!$F$3:$G$8,2,FALSE),1)</f>
        <v>2.2857608851841418</v>
      </c>
      <c r="T57" s="191">
        <f t="shared" si="11"/>
        <v>1.420437121507288</v>
      </c>
      <c r="U57" s="189">
        <f>O57*IFERROR(VLOOKUP(A57,[1]Tørstofindhold!A$2:B$24,2,FALSE),0)</f>
        <v>197832.4681765025</v>
      </c>
      <c r="V57" s="190">
        <f>IF(D57=År1,P57,SUM(O57,P57))*IFERROR(VLOOKUP(A57,[1]Tørstofindhold!A$2:B$24,2,FALSE),0)</f>
        <v>516183.56639156403</v>
      </c>
      <c r="W57" s="190">
        <f>J57*IFERROR(VLOOKUP(A57,[1]Tørstofindhold!A$2:B$24,2,FALSE),0)</f>
        <v>318351.09821506153</v>
      </c>
      <c r="X57" s="191">
        <f t="shared" si="12"/>
        <v>197832.4681765025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3337.0904542181925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90">
        <f>IFERROR(VLOOKUP(A59,[1]Biogasudbytte!$A$2:$B$18,2,FALSE)*[1]Energiindhold!$C$10,0)*J59*IFERROR(VLOOKUP(A59,Biogasanlæg!$F$3:$G$8,2,FALSE),1)</f>
        <v>1.5694002697142738E-3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210.23669861574612</v>
      </c>
      <c r="W59" s="190">
        <f>J59*IFERROR(VLOOKUP(A59,[1]Tørstofindhold!A$2:B$24,2,FALSE),0)</f>
        <v>210.23669861574612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110008.34505172751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6597597.615337275</v>
      </c>
      <c r="O64" s="193">
        <f t="shared" si="1"/>
        <v>6597597.615337275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12.138754912518669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12.138754912518669</v>
      </c>
      <c r="U64" s="189">
        <f>O64*IFERROR(VLOOKUP(A64,[1]Tørstofindhold!A$2:B$24,2,FALSE),0)</f>
        <v>1847327.3322944371</v>
      </c>
      <c r="V64" s="190">
        <f>IF(D64=År1,P64,SUM(O64,P64))*IFERROR(VLOOKUP(A64,[1]Tørstofindhold!A$2:B$24,2,FALSE),0)</f>
        <v>1868499.2689717831</v>
      </c>
      <c r="W64" s="190">
        <f>J64*IFERROR(VLOOKUP(A64,[1]Tørstofindhold!A$2:B$24,2,FALSE),0)</f>
        <v>21171.936677345977</v>
      </c>
      <c r="X64" s="191">
        <f t="shared" si="12"/>
        <v>1847327.3322944371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1439135.6096790803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90">
        <f>IFERROR(VLOOKUP(A67,[1]Biogasudbytte!$A$2:$B$18,2,FALSE)*[1]Energiindhold!$C$10,0)*J67*IFERROR(VLOOKUP(A67,Biogasanlæg!$F$3:$G$8,2,FALSE),1)</f>
        <v>0.30928997353838589</v>
      </c>
      <c r="T67" s="191">
        <f t="shared" si="11"/>
        <v>14.320166964206413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1223265.2682272182</v>
      </c>
      <c r="W67" s="190">
        <f>J67*IFERROR(VLOOKUP(A67,[1]Tørstofindhold!A$2:B$24,2,FALSE),0)</f>
        <v>45597.893260237201</v>
      </c>
      <c r="X67" s="191">
        <f t="shared" si="12"/>
        <v>1177667.3749669809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-3862742.0312364982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-51961.836502145103</v>
      </c>
      <c r="O70" s="193">
        <f t="shared" si="20"/>
        <v>0</v>
      </c>
      <c r="P70" s="203">
        <f t="shared" si="10"/>
        <v>508461.98144503916</v>
      </c>
      <c r="Q70" s="190">
        <f>IFERROR(VLOOKUP(A70,[1]Energiindhold!$A$2:$C$11,3,FALSE),IFERROR(VLOOKUP(A70,[1]Biogasudbytte!$A$2:$B$18,2,FALSE)*[1]Energiindhold!$C$10,0))*O70</f>
        <v>0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90">
        <f>IFERROR(VLOOKUP(A70,[1]Biogasudbytte!$A$2:$B$18,2,FALSE)*[1]Energiindhold!$C$10,0)*J70*IFERROR(VLOOKUP(A70,Biogasanlæg!$F$3:$G$8,2,FALSE),1)</f>
        <v>1.8727470858101014</v>
      </c>
      <c r="T70" s="191">
        <f t="shared" si="11"/>
        <v>0</v>
      </c>
      <c r="U70" s="189">
        <f>O70*IFERROR(VLOOKUP(A70,[1]Tørstofindhold!A$2:B$24,2,FALSE),0)</f>
        <v>0</v>
      </c>
      <c r="V70" s="190">
        <f>IF(D70=År1,P70,SUM(O70,P70))*IFERROR(VLOOKUP(A70,[1]Tørstofindhold!A$2:B$24,2,FALSE),0)</f>
        <v>213554.03220691642</v>
      </c>
      <c r="W70" s="190">
        <f>J70*IFERROR(VLOOKUP(A70,[1]Tørstofindhold!A$2:B$24,2,FALSE),0)</f>
        <v>213554.03220691642</v>
      </c>
      <c r="X70" s="191">
        <f t="shared" si="12"/>
        <v>0</v>
      </c>
      <c r="Y70" s="171">
        <f t="shared" si="21"/>
        <v>1</v>
      </c>
      <c r="Z70" s="103">
        <f t="shared" si="22"/>
        <v>0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2169017.6219496708</v>
      </c>
      <c r="O73" s="193">
        <f t="shared" si="20"/>
        <v>2169017.6219496708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7.4285816927105506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7.4285816927105506</v>
      </c>
      <c r="U73" s="189">
        <f>O73*IFERROR(VLOOKUP(A73,[1]Tørstofindhold!A$2:B$24,2,FALSE),0)</f>
        <v>672395.46280439792</v>
      </c>
      <c r="V73" s="190">
        <f>IF(D73=År1,P73,SUM(O73,P73))*IFERROR(VLOOKUP(A73,[1]Tørstofindhold!A$2:B$24,2,FALSE),0)</f>
        <v>673273.98214902682</v>
      </c>
      <c r="W73" s="190">
        <f>J73*IFERROR(VLOOKUP(A73,[1]Tørstofindhold!A$2:B$24,2,FALSE),0)</f>
        <v>878.51934462886106</v>
      </c>
      <c r="X73" s="191">
        <f t="shared" si="12"/>
        <v>672395.46280439792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809729.86780953256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-809729.86780953256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7893966.0004921574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90">
        <f>IFERROR(VLOOKUP(A75,[1]Biogasudbytte!$A$2:$B$18,2,FALSE)*[1]Energiindhold!$C$10,0)*J75*IFERROR(VLOOKUP(A75,Biogasanlæg!$F$3:$G$8,2,FALSE),1)</f>
        <v>3.9958466497891258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599941.41603740398</v>
      </c>
      <c r="W75" s="190">
        <f>J75*IFERROR(VLOOKUP(A75,[1]Tørstofindhold!A$2:B$24,2,FALSE),0)</f>
        <v>599941.41603740398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84223.753359721275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3142972.4098101053</v>
      </c>
      <c r="O77" s="193">
        <f t="shared" si="20"/>
        <v>2961150.4845719668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10.630530239613362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10.630530239613362</v>
      </c>
      <c r="U77" s="189">
        <f>O77*IFERROR(VLOOKUP(A77,[1]Tørstofindhold!A$2:B$24,2,FALSE),0)</f>
        <v>888345.14537159004</v>
      </c>
      <c r="V77" s="190">
        <f>IF(D77=År1,P77,SUM(O77,P77))*IFERROR(VLOOKUP(A77,[1]Tørstofindhold!A$2:B$24,2,FALSE),0)</f>
        <v>982752.83942266752</v>
      </c>
      <c r="W77" s="190">
        <f>J77*IFERROR(VLOOKUP(A77,[1]Tørstofindhold!A$2:B$24,2,FALSE),0)</f>
        <v>94407.694051077502</v>
      </c>
      <c r="X77" s="191">
        <f t="shared" si="12"/>
        <v>888345.14537159004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2029734.6292751078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24906.257794285637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3896345.2282942934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82616.067703844164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-281910.65780216159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152898.46172507474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72222.074160927164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2451693.2150962139</v>
      </c>
      <c r="O92" s="193">
        <f t="shared" si="20"/>
        <v>2451693.2150962139</v>
      </c>
      <c r="P92" s="203">
        <f t="shared" si="24"/>
        <v>1497865.6247316466</v>
      </c>
      <c r="Q92" s="190">
        <f>IFERROR(VLOOKUP(A92,[1]Energiindhold!$A$2:$C$11,3,FALSE),IFERROR(VLOOKUP(A92,[1]Biogasudbytte!$A$2:$B$18,2,FALSE)*[1]Energiindhold!$C$10,0))*O92</f>
        <v>1.2234194312651618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90">
        <f>IFERROR(VLOOKUP(A92,[1]Biogasudbytte!$A$2:$B$18,2,FALSE)*[1]Energiindhold!$C$10,0)*J92*IFERROR(VLOOKUP(A92,Biogasanlæg!$F$3:$G$8,2,FALSE),1)</f>
        <v>0.74744992539733912</v>
      </c>
      <c r="T92" s="191">
        <f t="shared" si="25"/>
        <v>1.2234194312651616</v>
      </c>
      <c r="U92" s="189">
        <f>O92*IFERROR(VLOOKUP(A92,[1]Tørstofindhold!A$2:B$24,2,FALSE),0)</f>
        <v>147101.59290577282</v>
      </c>
      <c r="V92" s="190">
        <f>IF(D92=År1,P92,SUM(O92,P92))*IFERROR(VLOOKUP(A92,[1]Tørstofindhold!A$2:B$24,2,FALSE),0)</f>
        <v>236973.53038967162</v>
      </c>
      <c r="W92" s="190">
        <f>J92*IFERROR(VLOOKUP(A92,[1]Tørstofindhold!A$2:B$24,2,FALSE),0)</f>
        <v>89871.937483898801</v>
      </c>
      <c r="X92" s="191">
        <f t="shared" si="26"/>
        <v>147101.59290577282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6391729.2665735735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90">
        <f>IFERROR(VLOOKUP(A93,[1]Biogasudbytte!$A$2:$B$18,2,FALSE)*[1]Energiindhold!$C$10,0)*J93*IFERROR(VLOOKUP(A93,Biogasanlæg!$F$3:$G$8,2,FALSE),1)</f>
        <v>2.7535569680398959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319586.46332867868</v>
      </c>
      <c r="W93" s="190">
        <f>J93*IFERROR(VLOOKUP(A93,[1]Tørstofindhold!A$2:B$24,2,FALSE),0)</f>
        <v>319586.46332867868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980534.87657675741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132728.62230789059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208864.25233337711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434305248.86575383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434305248.86575383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16361961.782417906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2592278.2843031473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690525.89231115999</v>
      </c>
      <c r="O105" s="193">
        <f t="shared" si="20"/>
        <v>690525.89231115999</v>
      </c>
      <c r="P105" s="203">
        <f t="shared" si="24"/>
        <v>1111191.0910754299</v>
      </c>
      <c r="Q105" s="190">
        <f>IFERROR(VLOOKUP(A105,[1]Energiindhold!$A$2:$C$11,3,FALSE),IFERROR(VLOOKUP(A105,[1]Biogasudbytte!$A$2:$B$18,2,FALSE)*[1]Energiindhold!$C$10,0))*O105</f>
        <v>1.4873927720382387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0">
        <f>IFERROR(VLOOKUP(A105,[1]Biogasudbytte!$A$2:$B$18,2,FALSE)*[1]Energiindhold!$C$10,0)*J105*IFERROR(VLOOKUP(A105,Biogasanlæg!$F$3:$G$8,2,FALSE),1)</f>
        <v>2.3935056101764762</v>
      </c>
      <c r="T105" s="191">
        <f t="shared" si="25"/>
        <v>1.4873927720382389</v>
      </c>
      <c r="U105" s="189">
        <f>O105*IFERROR(VLOOKUP(A105,[1]Tørstofindhold!A$2:B$24,2,FALSE),0)</f>
        <v>207157.767693348</v>
      </c>
      <c r="V105" s="190">
        <f>IF(D105=År1,P105,SUM(O105,P105))*IFERROR(VLOOKUP(A105,[1]Tørstofindhold!A$2:B$24,2,FALSE),0)</f>
        <v>540515.09501597693</v>
      </c>
      <c r="W105" s="190">
        <f>J105*IFERROR(VLOOKUP(A105,[1]Tørstofindhold!A$2:B$24,2,FALSE),0)</f>
        <v>333357.32732262899</v>
      </c>
      <c r="X105" s="191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3446.2126889929687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90">
        <f>IFERROR(VLOOKUP(A107,[1]Biogasudbytte!$A$2:$B$18,2,FALSE)*[1]Energiindhold!$C$10,0)*J107*IFERROR(VLOOKUP(A107,Biogasanlæg!$F$3:$G$8,2,FALSE),1)</f>
        <v>1.6207193655065032E-3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217.11139940655701</v>
      </c>
      <c r="W107" s="190">
        <f>J107*IFERROR(VLOOKUP(A107,[1]Tørstofindhold!A$2:B$24,2,FALSE),0)</f>
        <v>217.11139940655701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102256.20137296121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6234320.5706386827</v>
      </c>
      <c r="O112" s="193">
        <f t="shared" si="20"/>
        <v>6234320.5706386827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11.470370559903847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11.609330897790654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11.470370559903847</v>
      </c>
      <c r="U112" s="189">
        <f>O112*IFERROR(VLOOKUP(A112,[1]Tørstofindhold!A$2:B$24,2,FALSE),0)</f>
        <v>1745609.7597788314</v>
      </c>
      <c r="V112" s="190">
        <f>IF(D112=År1,P112,SUM(O112,P112))*IFERROR(VLOOKUP(A112,[1]Tørstofindhold!A$2:B$24,2,FALSE),0)</f>
        <v>1766757.3348088232</v>
      </c>
      <c r="W112" s="190">
        <f>J112*IFERROR(VLOOKUP(A112,[1]Tørstofindhold!A$2:B$24,2,FALSE),0)</f>
        <v>21147.575029991774</v>
      </c>
      <c r="X112" s="191">
        <f t="shared" si="26"/>
        <v>1745609.7597788314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1356399.9116397309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90">
        <f>IFERROR(VLOOKUP(A115,[1]Biogasudbytte!$A$2:$B$18,2,FALSE)*[1]Energiindhold!$C$10,0)*J115*IFERROR(VLOOKUP(A115,Biogasanlæg!$F$3:$G$8,2,FALSE),1)</f>
        <v>0.30767086578516784</v>
      </c>
      <c r="T115" s="191">
        <f t="shared" si="25"/>
        <v>13.467929364722803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1152939.9248937713</v>
      </c>
      <c r="W115" s="190">
        <f>J115*IFERROR(VLOOKUP(A115,[1]Tørstofindhold!A$2:B$24,2,FALSE),0)</f>
        <v>45359.192012785039</v>
      </c>
      <c r="X115" s="191">
        <f t="shared" si="26"/>
        <v>1107580.7328809863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-3862742.0312364982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-51417.493458536803</v>
      </c>
      <c r="O118" s="193">
        <f t="shared" si="20"/>
        <v>0</v>
      </c>
      <c r="P118" s="203">
        <f t="shared" si="24"/>
        <v>505095.54922592157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0">
        <f>IFERROR(VLOOKUP(A118,[1]Biogasudbytte!$A$2:$B$18,2,FALSE)*[1]Energiindhold!$C$10,0)*J118*IFERROR(VLOOKUP(A118,Biogasanlæg!$F$3:$G$8,2,FALSE),1)</f>
        <v>1.8603479756347201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212140.13067488704</v>
      </c>
      <c r="W118" s="190">
        <f>J118*IFERROR(VLOOKUP(A118,[1]Tørstofindhold!A$2:B$24,2,FALSE),0)</f>
        <v>212140.13067488704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1931921.2106545279</v>
      </c>
      <c r="O121" s="193">
        <f t="shared" si="20"/>
        <v>1931921.2106545279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6.6165596775222673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6.6262374962907611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6.6165596775222673</v>
      </c>
      <c r="U121" s="189">
        <f>O121*IFERROR(VLOOKUP(A121,[1]Tørstofindhold!A$2:B$24,2,FALSE),0)</f>
        <v>598895.57530290366</v>
      </c>
      <c r="V121" s="190">
        <f>IF(D121=År1,P121,SUM(O121,P121))*IFERROR(VLOOKUP(A121,[1]Tørstofindhold!A$2:B$24,2,FALSE),0)</f>
        <v>599771.55966963188</v>
      </c>
      <c r="W121" s="190">
        <f>J121*IFERROR(VLOOKUP(A121,[1]Tørstofindhold!A$2:B$24,2,FALSE),0)</f>
        <v>875.9843667282845</v>
      </c>
      <c r="X121" s="191">
        <f t="shared" si="26"/>
        <v>598895.57530290354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781289.12421925121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-781289.12421925121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7743127.1535502924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90">
        <f>IFERROR(VLOOKUP(A123,[1]Biogasudbytte!$A$2:$B$18,2,FALSE)*[1]Energiindhold!$C$10,0)*J123*IFERROR(VLOOKUP(A123,Biogasanlæg!$F$3:$G$8,2,FALSE),1)</f>
        <v>3.9194935338556229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588477.66366982216</v>
      </c>
      <c r="W123" s="190">
        <f>J123*IFERROR(VLOOKUP(A123,[1]Tørstofindhold!A$2:B$24,2,FALSE),0)</f>
        <v>588477.66366982216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60135.437128841644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2946382.2533553997</v>
      </c>
      <c r="O125" s="193">
        <f t="shared" si="20"/>
        <v>2759146.6428546174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9.905336447848077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11.034481645088372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9.905336447848077</v>
      </c>
      <c r="U125" s="189">
        <f>O125*IFERROR(VLOOKUP(A125,[1]Tørstofindhold!A$2:B$24,2,FALSE),0)</f>
        <v>827743.99285638519</v>
      </c>
      <c r="V125" s="190">
        <f>IF(D125=År1,P125,SUM(O125,P125))*IFERROR(VLOOKUP(A125,[1]Tørstofindhold!A$2:B$24,2,FALSE),0)</f>
        <v>922101.530230226</v>
      </c>
      <c r="W125" s="190">
        <f>J125*IFERROR(VLOOKUP(A125,[1]Tørstofindhold!A$2:B$24,2,FALSE),0)</f>
        <v>94357.537373840722</v>
      </c>
      <c r="X125" s="191">
        <f t="shared" si="26"/>
        <v>827743.9928563853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1964839.0076939645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19861.924916870877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3823969.5719075543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73240.693697966664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-296257.42264590901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148453.72937457461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69347.610603876325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2543796.5149034681</v>
      </c>
      <c r="O140" s="193">
        <f t="shared" si="39"/>
        <v>2543796.5149034681</v>
      </c>
      <c r="P140" s="203">
        <f t="shared" si="24"/>
        <v>1554136.2730559006</v>
      </c>
      <c r="Q140" s="190">
        <f>IFERROR(VLOOKUP(A140,[1]Energiindhold!$A$2:$C$11,3,FALSE),IFERROR(VLOOKUP(A140,[1]Biogasudbytte!$A$2:$B$18,2,FALSE)*[1]Energiindhold!$C$10,0))*O140</f>
        <v>1.2693798989019798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0">
        <f>IFERROR(VLOOKUP(A140,[1]Biogasudbytte!$A$2:$B$18,2,FALSE)*[1]Energiindhold!$C$10,0)*J140*IFERROR(VLOOKUP(A140,Biogasanlæg!$F$3:$G$8,2,FALSE),1)</f>
        <v>0.77552954161762511</v>
      </c>
      <c r="T140" s="191">
        <f t="shared" si="25"/>
        <v>1.2693798989019798</v>
      </c>
      <c r="U140" s="189">
        <f>O140*IFERROR(VLOOKUP(A140,[1]Tørstofindhold!A$2:B$24,2,FALSE),0)</f>
        <v>152627.79089420807</v>
      </c>
      <c r="V140" s="190">
        <f>IF(D140=År1,P140,SUM(O140,P140))*IFERROR(VLOOKUP(A140,[1]Tørstofindhold!A$2:B$24,2,FALSE),0)</f>
        <v>245875.96727756213</v>
      </c>
      <c r="W140" s="190">
        <f>J140*IFERROR(VLOOKUP(A140,[1]Tørstofindhold!A$2:B$24,2,FALSE),0)</f>
        <v>93248.176383354032</v>
      </c>
      <c r="X140" s="191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6119291.7094537346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90">
        <f>IFERROR(VLOOKUP(A141,[1]Biogasudbytte!$A$2:$B$18,2,FALSE)*[1]Energiindhold!$C$10,0)*J141*IFERROR(VLOOKUP(A141,Biogasanlæg!$F$3:$G$8,2,FALSE),1)</f>
        <v>2.6361908684326694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305964.58547268674</v>
      </c>
      <c r="W141" s="190">
        <f>J141*IFERROR(VLOOKUP(A141,[1]Tørstofindhold!A$2:B$24,2,FALSE),0)</f>
        <v>305964.58547268674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945493.60796413617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313</v>
      </c>
      <c r="B179" s="192" t="s">
        <v>319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314</v>
      </c>
      <c r="B180" s="192" t="s">
        <v>319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-13854.556574310172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22219.132039015061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103250703.76009664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103250703.76009664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3113194.8160989988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464317.24706098763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89002.270098627952</v>
      </c>
      <c r="O201" s="193">
        <f t="shared" si="59"/>
        <v>89002.270098627952</v>
      </c>
      <c r="P201" s="203">
        <f t="shared" si="49"/>
        <v>143222.04383687259</v>
      </c>
      <c r="Q201" s="190">
        <f>IFERROR(VLOOKUP(A201,[1]Energiindhold!$A$2:$C$11,3,FALSE),IFERROR(VLOOKUP(A201,[1]Biogasudbytte!$A$2:$B$18,2,FALSE)*[1]Energiindhold!$C$10,0))*O201</f>
        <v>0.19171088979244461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90">
        <f>IFERROR(VLOOKUP(A201,[1]Biogasudbytte!$A$2:$B$18,2,FALSE)*[1]Energiindhold!$C$10,0)*J201*IFERROR(VLOOKUP(A201,Biogasanlæg!$F$3:$G$8,2,FALSE),1)</f>
        <v>0.30850028242462357</v>
      </c>
      <c r="T201" s="191">
        <f t="shared" si="50"/>
        <v>0.19171088979244455</v>
      </c>
      <c r="U201" s="189">
        <f>O201*IFERROR(VLOOKUP(A201,[1]Tørstofindhold!A$2:B$24,2,FALSE),0)</f>
        <v>26700.681029588384</v>
      </c>
      <c r="V201" s="190">
        <f>IF(D201=År1,P201,SUM(O201,P201))*IFERROR(VLOOKUP(A201,[1]Tørstofindhold!A$2:B$24,2,FALSE),0)</f>
        <v>69667.294180650162</v>
      </c>
      <c r="W201" s="190">
        <f>J201*IFERROR(VLOOKUP(A201,[1]Tørstofindhold!A$2:B$24,2,FALSE),0)</f>
        <v>42966.613151061778</v>
      </c>
      <c r="X201" s="191">
        <f t="shared" si="51"/>
        <v>26700.681029588384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280.08077006114183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90">
        <f>IFERROR(VLOOKUP(A203,[1]Biogasudbytte!$A$2:$B$18,2,FALSE)*[1]Energiindhold!$C$10,0)*J203*IFERROR(VLOOKUP(A203,Biogasanlæg!$F$3:$G$8,2,FALSE),1)</f>
        <v>1.317191853520544E-4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17.645088513851935</v>
      </c>
      <c r="W203" s="190">
        <f>J203*IFERROR(VLOOKUP(A203,[1]Tørstofindhold!A$2:B$24,2,FALSE),0)</f>
        <v>17.645088513851935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-18364.881940672021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979275.23027812573</v>
      </c>
      <c r="O208" s="193">
        <f t="shared" si="59"/>
        <v>979275.23027812573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1.8017440143079666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1.8017440143079666</v>
      </c>
      <c r="U208" s="189">
        <f>O208*IFERROR(VLOOKUP(A208,[1]Tørstofindhold!A$2:B$24,2,FALSE),0)</f>
        <v>274197.06447787525</v>
      </c>
      <c r="V208" s="190">
        <f>IF(D208=År1,P208,SUM(O208,P208))*IFERROR(VLOOKUP(A208,[1]Tørstofindhold!A$2:B$24,2,FALSE),0)</f>
        <v>277014.68780052924</v>
      </c>
      <c r="W208" s="190">
        <f>J208*IFERROR(VLOOKUP(A208,[1]Tørstofindhold!A$2:B$24,2,FALSE),0)</f>
        <v>2817.623322654033</v>
      </c>
      <c r="X208" s="191">
        <f t="shared" si="51"/>
        <v>274197.06447787519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779026.74272400839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90">
        <f>IFERROR(VLOOKUP(A211,[1]Biogasudbytte!$A$2:$B$18,2,FALSE)*[1]Energiindhold!$C$10,0)*J211*IFERROR(VLOOKUP(A211,Biogasanlæg!$F$3:$G$8,2,FALSE),1)</f>
        <v>0.1285105408216142</v>
      </c>
      <c r="T211" s="191">
        <f t="shared" si="50"/>
        <v>7.8214904204347988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662172.73131540709</v>
      </c>
      <c r="W211" s="190">
        <f>J211*IFERROR(VLOOKUP(A211,[1]Tørstofindhold!A$2:B$24,2,FALSE),0)</f>
        <v>18946.006739762808</v>
      </c>
      <c r="X211" s="191">
        <f t="shared" si="51"/>
        <v>643226.72457564424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-474117.38114065683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-22227.841189355648</v>
      </c>
      <c r="O214" s="193">
        <f t="shared" si="59"/>
        <v>0</v>
      </c>
      <c r="P214" s="203">
        <f t="shared" si="49"/>
        <v>217506.01855496093</v>
      </c>
      <c r="Q214" s="190">
        <f>IFERROR(VLOOKUP(A214,[1]Energiindhold!$A$2:$C$11,3,FALSE),IFERROR(VLOOKUP(A214,[1]Biogasudbytte!$A$2:$B$18,2,FALSE)*[1]Energiindhold!$C$10,0))*O214</f>
        <v>0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90">
        <f>IFERROR(VLOOKUP(A214,[1]Biogasudbytte!$A$2:$B$18,2,FALSE)*[1]Energiindhold!$C$10,0)*J214*IFERROR(VLOOKUP(A214,Biogasanlæg!$F$3:$G$8,2,FALSE),1)</f>
        <v>0.80110957605389932</v>
      </c>
      <c r="T214" s="191">
        <f t="shared" si="50"/>
        <v>0</v>
      </c>
      <c r="U214" s="189">
        <f>O214*IFERROR(VLOOKUP(A214,[1]Tørstofindhold!A$2:B$24,2,FALSE),0)</f>
        <v>0</v>
      </c>
      <c r="V214" s="190">
        <f>IF(D214=År1,P214,SUM(O214,P214))*IFERROR(VLOOKUP(A214,[1]Tørstofindhold!A$2:B$24,2,FALSE),0)</f>
        <v>91352.527793083587</v>
      </c>
      <c r="W214" s="190">
        <f>J214*IFERROR(VLOOKUP(A214,[1]Tørstofindhold!A$2:B$24,2,FALSE),0)</f>
        <v>91352.527793083587</v>
      </c>
      <c r="X214" s="191">
        <f t="shared" si="51"/>
        <v>0</v>
      </c>
      <c r="Y214" s="171">
        <f t="shared" si="60"/>
        <v>1</v>
      </c>
      <c r="Z214" s="103">
        <f t="shared" si="61"/>
        <v>0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1574682.9124116749</v>
      </c>
      <c r="O217" s="193">
        <f t="shared" si="59"/>
        <v>1574682.9124116749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5.3930685194022496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5.3930685194022496</v>
      </c>
      <c r="U217" s="189">
        <f>O217*IFERROR(VLOOKUP(A217,[1]Tørstofindhold!A$2:B$24,2,FALSE),0)</f>
        <v>488151.70284761919</v>
      </c>
      <c r="V217" s="190">
        <f>IF(D217=År1,P217,SUM(O217,P217))*IFERROR(VLOOKUP(A217,[1]Tørstofindhold!A$2:B$24,2,FALSE),0)</f>
        <v>488446.84350299038</v>
      </c>
      <c r="W217" s="190">
        <f>J217*IFERROR(VLOOKUP(A217,[1]Tørstofindhold!A$2:B$24,2,FALSE),0)</f>
        <v>295.14065537113913</v>
      </c>
      <c r="X217" s="191">
        <f t="shared" si="65"/>
        <v>488151.70284761925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395773.41834279301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-395773.41834279301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561055.81698105508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90">
        <f>IFERROR(VLOOKUP(A219,[1]Biogasudbytte!$A$2:$B$18,2,FALSE)*[1]Energiindhold!$C$10,0)*J219*IFERROR(VLOOKUP(A219,Biogasanlæg!$F$3:$G$8,2,FALSE),1)</f>
        <v>0.28400084399764031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42640.242090560183</v>
      </c>
      <c r="W219" s="190">
        <f>J219*IFERROR(VLOOKUP(A219,[1]Tørstofindhold!A$2:B$24,2,FALSE),0)</f>
        <v>42640.242090560183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-56663.967855439478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-181821.92523813841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-231198.20190680941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-45939.072923222928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276928.87898992695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81180.880041585086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2274572.6185528086</v>
      </c>
      <c r="O233" s="193">
        <f t="shared" si="59"/>
        <v>1992661.9607506471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5.4081642679556863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5.4081642679556863</v>
      </c>
      <c r="U233" s="189">
        <f>O233*IFERROR(VLOOKUP(A233,[1]Tørstofindhold!A$2:B$24,2,FALSE),0)</f>
        <v>398532.39215012942</v>
      </c>
      <c r="V233" s="190">
        <f>IF(D233=År1,P233,SUM(O233,P233))*IFERROR(VLOOKUP(A233,[1]Tørstofindhold!A$2:B$24,2,FALSE),0)</f>
        <v>403446.24799347471</v>
      </c>
      <c r="W233" s="190">
        <f>J233*IFERROR(VLOOKUP(A233,[1]Tørstofindhold!A$2:B$24,2,FALSE),0)</f>
        <v>4913.8558433452836</v>
      </c>
      <c r="X233" s="191">
        <f t="shared" si="65"/>
        <v>398532.39215012942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18028.658633856463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10761.995034953325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2074751.0427045652</v>
      </c>
      <c r="O236" s="193">
        <f t="shared" si="59"/>
        <v>2074751.0427045652</v>
      </c>
      <c r="P236" s="203">
        <f t="shared" si="63"/>
        <v>1267572.2425659813</v>
      </c>
      <c r="Q236" s="190">
        <f>IFERROR(VLOOKUP(A236,[1]Energiindhold!$A$2:$C$11,3,FALSE),IFERROR(VLOOKUP(A236,[1]Biogasudbytte!$A$2:$B$18,2,FALSE)*[1]Energiindhold!$C$10,0))*O236</f>
        <v>1.0353215178200053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90">
        <f>IFERROR(VLOOKUP(A236,[1]Biogasudbytte!$A$2:$B$18,2,FALSE)*[1]Energiindhold!$C$10,0)*J236*IFERROR(VLOOKUP(A236,Biogasanlæg!$F$3:$G$8,2,FALSE),1)</f>
        <v>0.6325312247628504</v>
      </c>
      <c r="T236" s="191">
        <f t="shared" si="64"/>
        <v>1.0353215178200053</v>
      </c>
      <c r="U236" s="189">
        <f>O236*IFERROR(VLOOKUP(A236,[1]Tørstofindhold!A$2:B$24,2,FALSE),0)</f>
        <v>124485.0625622739</v>
      </c>
      <c r="V236" s="190">
        <f>IF(D236=År1,P236,SUM(O236,P236))*IFERROR(VLOOKUP(A236,[1]Tørstofindhold!A$2:B$24,2,FALSE),0)</f>
        <v>200539.39711623278</v>
      </c>
      <c r="W236" s="190">
        <f>J236*IFERROR(VLOOKUP(A236,[1]Tørstofindhold!A$2:B$24,2,FALSE),0)</f>
        <v>76054.334553958877</v>
      </c>
      <c r="X236" s="191">
        <f t="shared" si="65"/>
        <v>124485.0625622739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926143.13133016659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90">
        <f>IFERROR(VLOOKUP(A237,[1]Biogasudbytte!$A$2:$B$18,2,FALSE)*[1]Energiindhold!$C$10,0)*J237*IFERROR(VLOOKUP(A237,Biogasanlæg!$F$3:$G$8,2,FALSE),1)</f>
        <v>0.39898246097703582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46307.156566508333</v>
      </c>
      <c r="W237" s="190">
        <f>J237*IFERROR(VLOOKUP(A237,[1]Tørstofindhold!A$2:B$24,2,FALSE),0)</f>
        <v>46307.156566508333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54209.6497730923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-15551.122347381201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21513.506854886218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104340897.10458454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104340897.10458454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3132565.3017730014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496302.40639442904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93725.872315405693</v>
      </c>
      <c r="O249" s="193">
        <f t="shared" si="59"/>
        <v>93725.872315405693</v>
      </c>
      <c r="P249" s="203">
        <f t="shared" si="63"/>
        <v>150823.24280639994</v>
      </c>
      <c r="Q249" s="190">
        <f>IFERROR(VLOOKUP(A249,[1]Energiindhold!$A$2:$C$11,3,FALSE),IFERROR(VLOOKUP(A249,[1]Biogasudbytte!$A$2:$B$18,2,FALSE)*[1]Energiindhold!$C$10,0))*O249</f>
        <v>0.20188552896738388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0">
        <f>IFERROR(VLOOKUP(A249,[1]Biogasudbytte!$A$2:$B$18,2,FALSE)*[1]Energiindhold!$C$10,0)*J249*IFERROR(VLOOKUP(A249,Biogasanlæg!$F$3:$G$8,2,FALSE),1)</f>
        <v>0.32487326500498548</v>
      </c>
      <c r="T249" s="191">
        <f t="shared" si="64"/>
        <v>0.20188552896738388</v>
      </c>
      <c r="U249" s="189">
        <f>O249*IFERROR(VLOOKUP(A249,[1]Tørstofindhold!A$2:B$24,2,FALSE),0)</f>
        <v>28117.761694621706</v>
      </c>
      <c r="V249" s="190">
        <f>IF(D249=År1,P249,SUM(O249,P249))*IFERROR(VLOOKUP(A249,[1]Tørstofindhold!A$2:B$24,2,FALSE),0)</f>
        <v>73364.734536541684</v>
      </c>
      <c r="W249" s="190">
        <f>J249*IFERROR(VLOOKUP(A249,[1]Tørstofindhold!A$2:B$24,2,FALSE),0)</f>
        <v>45246.972841919982</v>
      </c>
      <c r="X249" s="191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289.23935894742124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90">
        <f>IFERROR(VLOOKUP(A251,[1]Biogasudbytte!$A$2:$B$18,2,FALSE)*[1]Energiindhold!$C$10,0)*J251*IFERROR(VLOOKUP(A251,Biogasanlæg!$F$3:$G$8,2,FALSE),1)</f>
        <v>1.3602637811938273E-4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18.222079613687537</v>
      </c>
      <c r="W251" s="190">
        <f>J251*IFERROR(VLOOKUP(A251,[1]Tørstofindhold!A$2:B$24,2,FALSE),0)</f>
        <v>18.222079613687537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-20332.910274194179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951845.8779844488</v>
      </c>
      <c r="O256" s="193">
        <f t="shared" si="59"/>
        <v>951845.8779844488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1.7512774347566378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1.7699520672448303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1.7512774347566378</v>
      </c>
      <c r="U256" s="189">
        <f>O256*IFERROR(VLOOKUP(A256,[1]Tørstofindhold!A$2:B$24,2,FALSE),0)</f>
        <v>266516.84583564568</v>
      </c>
      <c r="V256" s="190">
        <f>IF(D256=År1,P256,SUM(O256,P256))*IFERROR(VLOOKUP(A256,[1]Tørstofindhold!A$2:B$24,2,FALSE),0)</f>
        <v>269358.83080565394</v>
      </c>
      <c r="W256" s="190">
        <f>J256*IFERROR(VLOOKUP(A256,[1]Tørstofindhold!A$2:B$24,2,FALSE),0)</f>
        <v>2841.9849700082286</v>
      </c>
      <c r="X256" s="191">
        <f t="shared" si="65"/>
        <v>266516.84583564568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759360.76964520989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90">
        <f>IFERROR(VLOOKUP(A259,[1]Biogasudbytte!$A$2:$B$18,2,FALSE)*[1]Energiindhold!$C$10,0)*J259*IFERROR(VLOOKUP(A259,Biogasanlæg!$F$3:$G$8,2,FALSE),1)</f>
        <v>0.13012964857483225</v>
      </c>
      <c r="T259" s="191">
        <f t="shared" si="64"/>
        <v>7.6153241784375005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645456.65419842838</v>
      </c>
      <c r="W259" s="190">
        <f>J259*IFERROR(VLOOKUP(A259,[1]Tørstofindhold!A$2:B$24,2,FALSE),0)</f>
        <v>19184.707987214973</v>
      </c>
      <c r="X259" s="191">
        <f t="shared" si="65"/>
        <v>626271.94621121336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-474117.381140657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-22185.398483962403</v>
      </c>
      <c r="O262" s="193">
        <f t="shared" si="75"/>
        <v>0</v>
      </c>
      <c r="P262" s="203">
        <f t="shared" si="63"/>
        <v>217936.45077407858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0">
        <f>IFERROR(VLOOKUP(A262,[1]Biogasudbytte!$A$2:$B$18,2,FALSE)*[1]Energiindhold!$C$10,0)*J262*IFERROR(VLOOKUP(A262,Biogasanlæg!$F$3:$G$8,2,FALSE),1)</f>
        <v>0.80269492700128076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91533.309325113005</v>
      </c>
      <c r="W262" s="190">
        <f>J262*IFERROR(VLOOKUP(A262,[1]Tørstofindhold!A$2:B$24,2,FALSE),0)</f>
        <v>91533.309325113005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1513732.8400958194</v>
      </c>
      <c r="O265" s="193">
        <f t="shared" si="75"/>
        <v>1513732.8400958194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5.1843230547305694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5.1876117559220756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5.1843230547305694</v>
      </c>
      <c r="U265" s="189">
        <f>O265*IFERROR(VLOOKUP(A265,[1]Tørstofindhold!A$2:B$24,2,FALSE),0)</f>
        <v>469257.18042970402</v>
      </c>
      <c r="V265" s="190">
        <f>IF(D265=År1,P265,SUM(O265,P265))*IFERROR(VLOOKUP(A265,[1]Tørstofindhold!A$2:B$24,2,FALSE),0)</f>
        <v>469554.85606297577</v>
      </c>
      <c r="W265" s="190">
        <f>J265*IFERROR(VLOOKUP(A265,[1]Tørstofindhold!A$2:B$24,2,FALSE),0)</f>
        <v>297.67563327171547</v>
      </c>
      <c r="X265" s="191">
        <f t="shared" si="65"/>
        <v>469257.18042970408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385663.66895741841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-385663.66895741841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550335.09529335448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90">
        <f>IFERROR(VLOOKUP(A267,[1]Biogasudbytte!$A$2:$B$18,2,FALSE)*[1]Energiindhold!$C$10,0)*J267*IFERROR(VLOOKUP(A267,Biogasanlæg!$F$3:$G$8,2,FALSE),1)</f>
        <v>0.27857412188654312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41825.467242294937</v>
      </c>
      <c r="W267" s="190">
        <f>J267*IFERROR(VLOOKUP(A267,[1]Tørstofindhold!A$2:B$24,2,FALSE),0)</f>
        <v>41825.467242294937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-58376.021079607381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-187235.61050078244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-253680.1735764404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-48568.262884772746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271784.85087768652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78558.573618925613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2215420.2193682976</v>
      </c>
      <c r="O281" s="193">
        <f t="shared" si="89"/>
        <v>1919162.7967223886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5.2086845968164317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5.2754796431685431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5.2086845968164317</v>
      </c>
      <c r="U281" s="189">
        <f>O281*IFERROR(VLOOKUP(A281,[1]Tørstofindhold!A$2:B$24,2,FALSE),0)</f>
        <v>383832.55934447772</v>
      </c>
      <c r="V281" s="190">
        <f>IF(D281=År1,P281,SUM(O281,P281))*IFERROR(VLOOKUP(A281,[1]Tørstofindhold!A$2:B$24,2,FALSE),0)</f>
        <v>388754.7451893519</v>
      </c>
      <c r="W281" s="190">
        <f>J281*IFERROR(VLOOKUP(A281,[1]Tørstofindhold!A$2:B$24,2,FALSE),0)</f>
        <v>4922.1858448741459</v>
      </c>
      <c r="X281" s="191">
        <f t="shared" si="65"/>
        <v>383832.55934447778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17515.983585710339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10358.273057913673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2171749.3397621554</v>
      </c>
      <c r="O284" s="193">
        <f t="shared" si="89"/>
        <v>2171749.3397621554</v>
      </c>
      <c r="P284" s="203">
        <f t="shared" si="94"/>
        <v>1326833.4967577588</v>
      </c>
      <c r="Q284" s="190">
        <f>IFERROR(VLOOKUP(A284,[1]Energiindhold!$A$2:$C$11,3,FALSE),IFERROR(VLOOKUP(A284,[1]Biogasudbytte!$A$2:$B$18,2,FALSE)*[1]Energiindhold!$C$10,0))*O284</f>
        <v>1.0837246380347134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0">
        <f>IFERROR(VLOOKUP(A284,[1]Biogasudbytte!$A$2:$B$18,2,FALSE)*[1]Energiindhold!$C$10,0)*J284*IFERROR(VLOOKUP(A284,Biogasanlæg!$F$3:$G$8,2,FALSE),1)</f>
        <v>0.66210318321708928</v>
      </c>
      <c r="T284" s="191">
        <f t="shared" si="95"/>
        <v>1.0837246380347136</v>
      </c>
      <c r="U284" s="189">
        <f>O284*IFERROR(VLOOKUP(A284,[1]Tørstofindhold!A$2:B$24,2,FALSE),0)</f>
        <v>130304.96038572933</v>
      </c>
      <c r="V284" s="190">
        <f>IF(D284=År1,P284,SUM(O284,P284))*IFERROR(VLOOKUP(A284,[1]Tørstofindhold!A$2:B$24,2,FALSE),0)</f>
        <v>209914.97019119485</v>
      </c>
      <c r="W284" s="190">
        <f>J284*IFERROR(VLOOKUP(A284,[1]Tørstofindhold!A$2:B$24,2,FALSE),0)</f>
        <v>79610.009805465525</v>
      </c>
      <c r="X284" s="191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886667.7152542026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90">
        <f>IFERROR(VLOOKUP(A285,[1]Biogasudbytte!$A$2:$B$18,2,FALSE)*[1]Energiindhold!$C$10,0)*J285*IFERROR(VLOOKUP(A285,Biogasanlæg!$F$3:$G$8,2,FALSE),1)</f>
        <v>0.38197645173151057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44333.385762710132</v>
      </c>
      <c r="W285" s="190">
        <f>J285*IFERROR(VLOOKUP(A285,[1]Tørstofindhold!A$2:B$24,2,FALSE),0)</f>
        <v>44333.385762710132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44872.898915976679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5" t="s">
        <v>23</v>
      </c>
      <c r="B2" s="376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7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1" t="s">
        <v>7</v>
      </c>
      <c r="D3" s="372"/>
      <c r="E3" s="372"/>
      <c r="F3" s="372"/>
      <c r="G3" s="372"/>
      <c r="H3" s="372"/>
      <c r="I3" s="372"/>
      <c r="J3" s="372"/>
      <c r="K3" s="373"/>
      <c r="L3" s="371" t="s">
        <v>8</v>
      </c>
      <c r="M3" s="372"/>
      <c r="N3" s="372"/>
      <c r="O3" s="372"/>
      <c r="P3" s="372"/>
      <c r="Q3" s="372"/>
      <c r="R3" s="372"/>
      <c r="S3" s="372"/>
      <c r="T3" s="373"/>
      <c r="U3" s="71"/>
      <c r="W3" s="31" t="s">
        <v>279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1" t="s">
        <v>7</v>
      </c>
      <c r="D22" s="372"/>
      <c r="E22" s="373"/>
      <c r="F22" s="374" t="s">
        <v>8</v>
      </c>
      <c r="G22" s="372"/>
      <c r="H22" s="373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8" t="s">
        <v>24</v>
      </c>
      <c r="B29" s="379"/>
      <c r="C29" s="379"/>
      <c r="D29" s="379"/>
      <c r="E29" s="379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80"/>
    </row>
    <row r="30" spans="1:21" x14ac:dyDescent="0.25">
      <c r="A30" s="56"/>
      <c r="B30" s="53"/>
      <c r="C30" s="381" t="s">
        <v>7</v>
      </c>
      <c r="D30" s="382"/>
      <c r="E30" s="382"/>
      <c r="F30" s="382"/>
      <c r="G30" s="382"/>
      <c r="H30" s="382"/>
      <c r="I30" s="382"/>
      <c r="J30" s="382"/>
      <c r="K30" s="383"/>
      <c r="L30" s="381" t="s">
        <v>8</v>
      </c>
      <c r="M30" s="382"/>
      <c r="N30" s="382"/>
      <c r="O30" s="382"/>
      <c r="P30" s="382"/>
      <c r="Q30" s="382"/>
      <c r="R30" s="382"/>
      <c r="S30" s="382"/>
      <c r="T30" s="38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1" t="s">
        <v>7</v>
      </c>
      <c r="D49" s="372"/>
      <c r="E49" s="373"/>
      <c r="F49" s="374" t="s">
        <v>8</v>
      </c>
      <c r="G49" s="372"/>
      <c r="H49" s="373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312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319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317</v>
      </c>
      <c r="I2" s="171" t="s">
        <v>341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340</v>
      </c>
      <c r="E9" s="171" t="s">
        <v>341</v>
      </c>
      <c r="G9" s="171" t="s">
        <v>339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317</v>
      </c>
      <c r="E11" s="171" t="s">
        <v>317</v>
      </c>
      <c r="G11" s="171" t="s">
        <v>317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10410169.524502344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340</v>
      </c>
      <c r="E19" s="98" t="str">
        <f t="shared" si="4"/>
        <v>Træprodukter</v>
      </c>
      <c r="G19" s="171" t="s">
        <v>339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9607697.9195836745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340</v>
      </c>
      <c r="E29" s="98" t="str">
        <f t="shared" si="4"/>
        <v>Træprodukter</v>
      </c>
      <c r="G29" s="171" t="s">
        <v>339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340</v>
      </c>
      <c r="E39" s="98" t="str">
        <f t="shared" si="4"/>
        <v>Træprodukter</v>
      </c>
      <c r="G39" s="171" t="s">
        <v>339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1679077.1519635522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340</v>
      </c>
      <c r="E49" s="98" t="str">
        <f t="shared" si="4"/>
        <v>Træprodukter</v>
      </c>
      <c r="G49" s="171" t="s">
        <v>339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1522180.8636368103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340</v>
      </c>
      <c r="E59" s="98" t="str">
        <f t="shared" si="4"/>
        <v>Træprodukter</v>
      </c>
      <c r="G59" s="171" t="s">
        <v>339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2021-09-23T07:01:48Z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166363000869750</vt:r8>
  </property>
</Properties>
</file>