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4A29210A-F13A-41B8-BFAC-EE7EB813B534}" xr6:coauthVersionLast="47" xr6:coauthVersionMax="47" xr10:uidLastSave="{00000000-0000-0000-0000-000000000000}"/>
  <bookViews>
    <workbookView xWindow="-165" yWindow="-165" windowWidth="29130" windowHeight="15930" tabRatio="945" activeTab="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heet1" sheetId="72" r:id="rId7"/>
    <sheet name="Havbrug" sheetId="32" r:id="rId8"/>
    <sheet name="Adfærd" sheetId="6" r:id="rId9"/>
    <sheet name="Biogasanlæg" sheetId="39" r:id="rId10"/>
    <sheet name="Forbrug til andet" sheetId="8" r:id="rId11"/>
    <sheet name="Avanceret" sheetId="69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13" hidden="1">'Forbrug af biomasse'!$A$1:$G$415</definedName>
    <definedName name="_xlnm._FilterDatabase" localSheetId="17" hidden="1">'Resultater - Danmark'!$A$2:$O$475</definedName>
    <definedName name="_xlnm._FilterDatabase" localSheetId="15" hidden="1">'Resultater - Vestdanmark'!$A$2:$U$475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788" r:id="rId38"/>
    <pivotCache cacheId="1792" r:id="rId39"/>
    <pivotCache cacheId="1797" r:id="rId40"/>
    <pivotCache cacheId="1802" r:id="rId41"/>
    <pivotCache cacheId="1808" r:id="rId42"/>
    <pivotCache cacheId="1813" r:id="rId43"/>
    <pivotCache cacheId="1818" r:id="rId44"/>
    <pivotCache cacheId="182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70" i="70" l="1"/>
  <c r="R69" i="70"/>
  <c r="R65" i="70"/>
  <c r="R64" i="70"/>
  <c r="R63" i="70"/>
  <c r="R62" i="70"/>
  <c r="R61" i="70"/>
  <c r="R60" i="70"/>
  <c r="R59" i="70"/>
  <c r="R58" i="70"/>
  <c r="R57" i="70"/>
  <c r="R56" i="70"/>
  <c r="R55" i="70"/>
  <c r="R54" i="70"/>
  <c r="R53" i="70"/>
  <c r="R52" i="70"/>
  <c r="R51" i="70"/>
  <c r="R50" i="70"/>
  <c r="R49" i="70"/>
  <c r="R48" i="70"/>
  <c r="R47" i="70"/>
  <c r="R46" i="70"/>
  <c r="R45" i="70"/>
  <c r="R44" i="70"/>
  <c r="R43" i="70"/>
  <c r="R42" i="70"/>
  <c r="R41" i="70"/>
  <c r="R40" i="70"/>
  <c r="R39" i="70"/>
  <c r="R38" i="70"/>
  <c r="R37" i="70"/>
  <c r="R36" i="70"/>
  <c r="R35" i="70"/>
  <c r="R34" i="70"/>
  <c r="U65" i="70"/>
  <c r="T65" i="70"/>
  <c r="U64" i="70"/>
  <c r="T64" i="70"/>
  <c r="U63" i="70"/>
  <c r="T63" i="70"/>
  <c r="T62" i="70"/>
  <c r="U62" i="70" s="1"/>
  <c r="U61" i="70"/>
  <c r="T61" i="70"/>
  <c r="U60" i="70"/>
  <c r="T60" i="70"/>
  <c r="U59" i="70"/>
  <c r="T59" i="70"/>
  <c r="T58" i="70"/>
  <c r="U58" i="70" s="1"/>
  <c r="U57" i="70"/>
  <c r="T57" i="70"/>
  <c r="U56" i="70"/>
  <c r="T56" i="70"/>
  <c r="U55" i="70"/>
  <c r="T55" i="70"/>
  <c r="T54" i="70"/>
  <c r="U54" i="70" s="1"/>
  <c r="U53" i="70"/>
  <c r="T53" i="70"/>
  <c r="U52" i="70"/>
  <c r="T52" i="70"/>
  <c r="U51" i="70"/>
  <c r="T51" i="70"/>
  <c r="T50" i="70"/>
  <c r="U50" i="70" s="1"/>
  <c r="U49" i="70"/>
  <c r="T49" i="70"/>
  <c r="U48" i="70"/>
  <c r="T48" i="70"/>
  <c r="U47" i="70"/>
  <c r="T47" i="70"/>
  <c r="T46" i="70"/>
  <c r="U46" i="70" s="1"/>
  <c r="U45" i="70"/>
  <c r="T45" i="70"/>
  <c r="T44" i="70"/>
  <c r="T43" i="70"/>
  <c r="T42" i="70"/>
  <c r="T41" i="70"/>
  <c r="T40" i="70"/>
  <c r="T39" i="70"/>
  <c r="T38" i="70"/>
  <c r="T37" i="70"/>
  <c r="T36" i="70"/>
  <c r="T35" i="70"/>
  <c r="T34" i="70"/>
  <c r="Q36" i="70"/>
  <c r="Q37" i="70" s="1"/>
  <c r="Q38" i="70" s="1"/>
  <c r="Q39" i="70" s="1"/>
  <c r="Q40" i="70" s="1"/>
  <c r="Q41" i="70" s="1"/>
  <c r="Q42" i="70" s="1"/>
  <c r="Q43" i="70" s="1"/>
  <c r="Q44" i="70" s="1"/>
  <c r="Q45" i="70" s="1"/>
  <c r="Q46" i="70" s="1"/>
  <c r="Q47" i="70" s="1"/>
  <c r="Q48" i="70" s="1"/>
  <c r="Q49" i="70" s="1"/>
  <c r="Q50" i="70" s="1"/>
  <c r="Q51" i="70" s="1"/>
  <c r="Q52" i="70" s="1"/>
  <c r="Q53" i="70" s="1"/>
  <c r="Q54" i="70" s="1"/>
  <c r="Q55" i="70" s="1"/>
  <c r="Q56" i="70" s="1"/>
  <c r="Q57" i="70" s="1"/>
  <c r="Q58" i="70" s="1"/>
  <c r="Q59" i="70" s="1"/>
  <c r="Q60" i="70" s="1"/>
  <c r="Q61" i="70" s="1"/>
  <c r="Q62" i="70" s="1"/>
  <c r="Q63" i="70" s="1"/>
  <c r="Q64" i="70" s="1"/>
  <c r="Q65" i="70" s="1"/>
  <c r="Q35" i="70"/>
  <c r="P62" i="70"/>
  <c r="P63" i="70" s="1"/>
  <c r="P64" i="70" s="1"/>
  <c r="P65" i="70" s="1"/>
  <c r="P53" i="70"/>
  <c r="P54" i="70" s="1"/>
  <c r="P55" i="70" s="1"/>
  <c r="P56" i="70" s="1"/>
  <c r="P57" i="70" s="1"/>
  <c r="P58" i="70" s="1"/>
  <c r="P59" i="70" s="1"/>
  <c r="P60" i="70" s="1"/>
  <c r="P61" i="70" s="1"/>
  <c r="P52" i="70"/>
  <c r="P36" i="70"/>
  <c r="P37" i="70" s="1"/>
  <c r="P38" i="70" s="1"/>
  <c r="P39" i="70" s="1"/>
  <c r="P40" i="70" s="1"/>
  <c r="P41" i="70" s="1"/>
  <c r="P42" i="70" s="1"/>
  <c r="P43" i="70" s="1"/>
  <c r="P44" i="70" s="1"/>
  <c r="P45" i="70" s="1"/>
  <c r="P46" i="70" s="1"/>
  <c r="P47" i="70" s="1"/>
  <c r="P48" i="70" s="1"/>
  <c r="P49" i="70" s="1"/>
  <c r="P50" i="70" s="1"/>
  <c r="P51" i="70" s="1"/>
  <c r="P35" i="70"/>
  <c r="D14" i="34"/>
  <c r="D7" i="34"/>
  <c r="D6" i="34"/>
  <c r="D5" i="34"/>
  <c r="D4" i="34"/>
  <c r="D3" i="34"/>
  <c r="E14" i="34"/>
  <c r="R67" i="70" l="1"/>
  <c r="C341" i="38" l="1"/>
  <c r="C347" i="38"/>
  <c r="C329" i="38"/>
  <c r="C335" i="38"/>
  <c r="C317" i="38"/>
  <c r="C323" i="38"/>
  <c r="C305" i="38"/>
  <c r="C311" i="38"/>
  <c r="C293" i="38"/>
  <c r="C299" i="38"/>
  <c r="D45" i="17"/>
  <c r="B59" i="26"/>
  <c r="B60" i="26"/>
  <c r="C60" i="26" s="1"/>
  <c r="D60" i="26" s="1"/>
  <c r="C33" i="17"/>
  <c r="C34" i="17"/>
  <c r="C35" i="17"/>
  <c r="C36" i="17"/>
  <c r="C37" i="17"/>
  <c r="D37" i="17" s="1"/>
  <c r="C38" i="17"/>
  <c r="C39" i="17"/>
  <c r="C40" i="17"/>
  <c r="D40" i="17" s="1"/>
  <c r="C41" i="17"/>
  <c r="D41" i="17" s="1"/>
  <c r="C42" i="17"/>
  <c r="D42" i="17" s="1"/>
  <c r="C43" i="17"/>
  <c r="D43" i="17" s="1"/>
  <c r="C44" i="17"/>
  <c r="D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B61" i="26" l="1"/>
  <c r="C59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06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14" i="37"/>
  <c r="D14" i="37"/>
  <c r="D14" i="41" s="1"/>
  <c r="B14" i="37"/>
  <c r="B14" i="41" s="1"/>
  <c r="C14" i="37"/>
  <c r="C14" i="41" s="1"/>
  <c r="F14" i="37"/>
  <c r="F14" i="41" s="1"/>
  <c r="A15" i="37"/>
  <c r="D15" i="37"/>
  <c r="D15" i="41" s="1"/>
  <c r="B15" i="37"/>
  <c r="B15" i="41" s="1"/>
  <c r="C15" i="37"/>
  <c r="C15" i="41" s="1"/>
  <c r="F15" i="37"/>
  <c r="F15" i="41" s="1"/>
  <c r="A16" i="37"/>
  <c r="D16" i="37"/>
  <c r="D16" i="41" s="1"/>
  <c r="B16" i="37"/>
  <c r="B16" i="41" s="1"/>
  <c r="C16" i="37"/>
  <c r="C16" i="41" s="1"/>
  <c r="F16" i="37"/>
  <c r="F16" i="41" s="1"/>
  <c r="A17" i="37"/>
  <c r="D17" i="37"/>
  <c r="D17" i="41" s="1"/>
  <c r="B17" i="37"/>
  <c r="B17" i="41" s="1"/>
  <c r="C17" i="37"/>
  <c r="C17" i="41" s="1"/>
  <c r="F17" i="37"/>
  <c r="F17" i="41" s="1"/>
  <c r="A18" i="37"/>
  <c r="D18" i="37"/>
  <c r="D18" i="41" s="1"/>
  <c r="B18" i="37"/>
  <c r="B18" i="41" s="1"/>
  <c r="C18" i="37"/>
  <c r="C18" i="41" s="1"/>
  <c r="F18" i="37"/>
  <c r="F18" i="41" s="1"/>
  <c r="A19" i="37"/>
  <c r="D19" i="37"/>
  <c r="D19" i="41" s="1"/>
  <c r="B19" i="37"/>
  <c r="B19" i="41" s="1"/>
  <c r="C19" i="37"/>
  <c r="C19" i="41" s="1"/>
  <c r="F19" i="37"/>
  <c r="F19" i="41" s="1"/>
  <c r="A20" i="37"/>
  <c r="D20" i="37"/>
  <c r="D20" i="41" s="1"/>
  <c r="B20" i="37"/>
  <c r="B20" i="41" s="1"/>
  <c r="C20" i="37"/>
  <c r="C20" i="41" s="1"/>
  <c r="F20" i="37"/>
  <c r="F20" i="41" s="1"/>
  <c r="A21" i="37"/>
  <c r="D21" i="37"/>
  <c r="D21" i="41" s="1"/>
  <c r="B21" i="37"/>
  <c r="B21" i="41" s="1"/>
  <c r="C21" i="37"/>
  <c r="C21" i="41" s="1"/>
  <c r="F21" i="37"/>
  <c r="F21" i="41" s="1"/>
  <c r="A22" i="37"/>
  <c r="D22" i="37"/>
  <c r="D22" i="41" s="1"/>
  <c r="B22" i="37"/>
  <c r="B22" i="41" s="1"/>
  <c r="C22" i="37"/>
  <c r="C22" i="41" s="1"/>
  <c r="F22" i="37"/>
  <c r="F22" i="41" s="1"/>
  <c r="A23" i="37"/>
  <c r="D23" i="37"/>
  <c r="D23" i="41" s="1"/>
  <c r="B23" i="37"/>
  <c r="B23" i="41" s="1"/>
  <c r="C23" i="37"/>
  <c r="C23" i="41" s="1"/>
  <c r="F23" i="37"/>
  <c r="F23" i="41" s="1"/>
  <c r="A24" i="37"/>
  <c r="D24" i="37"/>
  <c r="D24" i="41" s="1"/>
  <c r="B24" i="37"/>
  <c r="B24" i="41" s="1"/>
  <c r="C24" i="37"/>
  <c r="C24" i="41" s="1"/>
  <c r="F24" i="37"/>
  <c r="F24" i="41" s="1"/>
  <c r="A25" i="37"/>
  <c r="D25" i="37"/>
  <c r="D25" i="41" s="1"/>
  <c r="B25" i="37"/>
  <c r="B25" i="41" s="1"/>
  <c r="C25" i="37"/>
  <c r="C25" i="41" s="1"/>
  <c r="F25" i="37"/>
  <c r="F25" i="41" s="1"/>
  <c r="A26" i="37"/>
  <c r="D26" i="37"/>
  <c r="D26" i="41" s="1"/>
  <c r="B26" i="37"/>
  <c r="B26" i="41" s="1"/>
  <c r="C26" i="37"/>
  <c r="C26" i="41" s="1"/>
  <c r="F26" i="37"/>
  <c r="F26" i="41" s="1"/>
  <c r="A27" i="37"/>
  <c r="D27" i="37"/>
  <c r="D27" i="41" s="1"/>
  <c r="B27" i="37"/>
  <c r="B27" i="41" s="1"/>
  <c r="C27" i="37"/>
  <c r="C27" i="41" s="1"/>
  <c r="F27" i="37"/>
  <c r="F27" i="41" s="1"/>
  <c r="A28" i="37"/>
  <c r="D28" i="37"/>
  <c r="D28" i="41" s="1"/>
  <c r="B28" i="37"/>
  <c r="B28" i="41" s="1"/>
  <c r="C28" i="37"/>
  <c r="C28" i="41" s="1"/>
  <c r="F28" i="37"/>
  <c r="F28" i="41" s="1"/>
  <c r="A29" i="37"/>
  <c r="D29" i="37"/>
  <c r="D29" i="41" s="1"/>
  <c r="B29" i="37"/>
  <c r="B29" i="41" s="1"/>
  <c r="C29" i="37"/>
  <c r="C29" i="41" s="1"/>
  <c r="F29" i="37"/>
  <c r="F29" i="41" s="1"/>
  <c r="A30" i="37"/>
  <c r="D30" i="37"/>
  <c r="D30" i="41" s="1"/>
  <c r="B30" i="37"/>
  <c r="B30" i="41" s="1"/>
  <c r="C30" i="37"/>
  <c r="C30" i="41" s="1"/>
  <c r="F30" i="37"/>
  <c r="F30" i="41" s="1"/>
  <c r="A31" i="37"/>
  <c r="D31" i="37"/>
  <c r="D31" i="41" s="1"/>
  <c r="B31" i="37"/>
  <c r="B31" i="41" s="1"/>
  <c r="C31" i="37"/>
  <c r="C31" i="41" s="1"/>
  <c r="F31" i="37"/>
  <c r="F31" i="41" s="1"/>
  <c r="A32" i="37"/>
  <c r="D32" i="37"/>
  <c r="D32" i="41" s="1"/>
  <c r="B32" i="37"/>
  <c r="B32" i="41" s="1"/>
  <c r="C32" i="37"/>
  <c r="C32" i="41" s="1"/>
  <c r="F32" i="37"/>
  <c r="F32" i="41" s="1"/>
  <c r="A33" i="37"/>
  <c r="D33" i="37"/>
  <c r="D33" i="41" s="1"/>
  <c r="B33" i="37"/>
  <c r="B33" i="41" s="1"/>
  <c r="C33" i="37"/>
  <c r="C33" i="41" s="1"/>
  <c r="F33" i="37"/>
  <c r="F33" i="41" s="1"/>
  <c r="A34" i="37"/>
  <c r="D34" i="37"/>
  <c r="D34" i="41" s="1"/>
  <c r="B34" i="37"/>
  <c r="B34" i="41" s="1"/>
  <c r="C34" i="37"/>
  <c r="C34" i="41" s="1"/>
  <c r="F34" i="37"/>
  <c r="F34" i="41" s="1"/>
  <c r="A35" i="37"/>
  <c r="D35" i="37"/>
  <c r="D35" i="41" s="1"/>
  <c r="B35" i="37"/>
  <c r="B35" i="41" s="1"/>
  <c r="C35" i="37"/>
  <c r="C35" i="41" s="1"/>
  <c r="F35" i="37"/>
  <c r="F35" i="41" s="1"/>
  <c r="A36" i="37"/>
  <c r="D36" i="37"/>
  <c r="D36" i="41" s="1"/>
  <c r="B36" i="37"/>
  <c r="B36" i="41" s="1"/>
  <c r="C36" i="37"/>
  <c r="C36" i="41" s="1"/>
  <c r="F36" i="37"/>
  <c r="F36" i="41" s="1"/>
  <c r="A37" i="37"/>
  <c r="D37" i="37"/>
  <c r="D37" i="41" s="1"/>
  <c r="B37" i="37"/>
  <c r="B37" i="41" s="1"/>
  <c r="C37" i="37"/>
  <c r="C37" i="41" s="1"/>
  <c r="F37" i="37"/>
  <c r="F37" i="41" s="1"/>
  <c r="A38" i="37"/>
  <c r="D38" i="37"/>
  <c r="D38" i="41" s="1"/>
  <c r="B38" i="37"/>
  <c r="B38" i="41" s="1"/>
  <c r="C38" i="37"/>
  <c r="C38" i="41" s="1"/>
  <c r="F38" i="37"/>
  <c r="F38" i="41" s="1"/>
  <c r="A39" i="37"/>
  <c r="D39" i="37"/>
  <c r="D39" i="41" s="1"/>
  <c r="B39" i="37"/>
  <c r="B39" i="41" s="1"/>
  <c r="C39" i="37"/>
  <c r="C39" i="41" s="1"/>
  <c r="F39" i="37"/>
  <c r="F39" i="41" s="1"/>
  <c r="A40" i="37"/>
  <c r="D40" i="37"/>
  <c r="D40" i="41" s="1"/>
  <c r="B40" i="37"/>
  <c r="B40" i="41" s="1"/>
  <c r="C40" i="37"/>
  <c r="C40" i="41" s="1"/>
  <c r="F40" i="37"/>
  <c r="F40" i="41" s="1"/>
  <c r="A41" i="37"/>
  <c r="D41" i="37"/>
  <c r="D41" i="41" s="1"/>
  <c r="B41" i="37"/>
  <c r="B41" i="41" s="1"/>
  <c r="C41" i="37"/>
  <c r="C41" i="41" s="1"/>
  <c r="F41" i="37"/>
  <c r="F41" i="41" s="1"/>
  <c r="A42" i="37"/>
  <c r="D42" i="37"/>
  <c r="D42" i="41" s="1"/>
  <c r="B42" i="37"/>
  <c r="B42" i="41" s="1"/>
  <c r="C42" i="37"/>
  <c r="C42" i="41" s="1"/>
  <c r="F42" i="37"/>
  <c r="F42" i="41" s="1"/>
  <c r="A43" i="37"/>
  <c r="D43" i="37"/>
  <c r="D43" i="41" s="1"/>
  <c r="B43" i="37"/>
  <c r="B43" i="41" s="1"/>
  <c r="C43" i="37"/>
  <c r="C43" i="41" s="1"/>
  <c r="F43" i="37"/>
  <c r="F43" i="41" s="1"/>
  <c r="A44" i="37"/>
  <c r="D44" i="37"/>
  <c r="D44" i="41" s="1"/>
  <c r="B44" i="37"/>
  <c r="B44" i="41" s="1"/>
  <c r="C44" i="37"/>
  <c r="C44" i="41" s="1"/>
  <c r="F44" i="37"/>
  <c r="F44" i="41" s="1"/>
  <c r="A45" i="37"/>
  <c r="D45" i="37"/>
  <c r="D45" i="41" s="1"/>
  <c r="B45" i="37"/>
  <c r="B45" i="41" s="1"/>
  <c r="C45" i="37"/>
  <c r="C45" i="41" s="1"/>
  <c r="F45" i="37"/>
  <c r="F45" i="41" s="1"/>
  <c r="A46" i="37"/>
  <c r="D46" i="37"/>
  <c r="D46" i="41" s="1"/>
  <c r="B46" i="37"/>
  <c r="B46" i="41" s="1"/>
  <c r="C46" i="37"/>
  <c r="C46" i="41" s="1"/>
  <c r="F46" i="37"/>
  <c r="F46" i="41" s="1"/>
  <c r="A47" i="37"/>
  <c r="D47" i="37"/>
  <c r="D47" i="41" s="1"/>
  <c r="B47" i="37"/>
  <c r="B47" i="41" s="1"/>
  <c r="C47" i="37"/>
  <c r="C47" i="41" s="1"/>
  <c r="F47" i="37"/>
  <c r="F47" i="41" s="1"/>
  <c r="A48" i="37"/>
  <c r="D48" i="37"/>
  <c r="D48" i="41" s="1"/>
  <c r="B48" i="37"/>
  <c r="B48" i="41" s="1"/>
  <c r="C48" i="37"/>
  <c r="C48" i="41" s="1"/>
  <c r="F48" i="37"/>
  <c r="F48" i="41" s="1"/>
  <c r="A49" i="37"/>
  <c r="D49" i="37"/>
  <c r="D49" i="41" s="1"/>
  <c r="B49" i="37"/>
  <c r="B49" i="41" s="1"/>
  <c r="C49" i="37"/>
  <c r="C49" i="41" s="1"/>
  <c r="F49" i="37"/>
  <c r="F49" i="41" s="1"/>
  <c r="A50" i="37"/>
  <c r="D50" i="37"/>
  <c r="D50" i="41" s="1"/>
  <c r="B50" i="37"/>
  <c r="B50" i="41" s="1"/>
  <c r="C50" i="37"/>
  <c r="C50" i="41" s="1"/>
  <c r="F50" i="37"/>
  <c r="F50" i="41" s="1"/>
  <c r="A51" i="37"/>
  <c r="D51" i="37"/>
  <c r="D51" i="41" s="1"/>
  <c r="B51" i="37"/>
  <c r="B51" i="41" s="1"/>
  <c r="C51" i="37"/>
  <c r="C51" i="41" s="1"/>
  <c r="F51" i="37"/>
  <c r="F51" i="41" s="1"/>
  <c r="A52" i="37"/>
  <c r="D52" i="37"/>
  <c r="D52" i="41" s="1"/>
  <c r="B52" i="37"/>
  <c r="B52" i="41" s="1"/>
  <c r="C52" i="37"/>
  <c r="C52" i="41" s="1"/>
  <c r="F52" i="37"/>
  <c r="F52" i="41" s="1"/>
  <c r="A53" i="37"/>
  <c r="D53" i="37"/>
  <c r="D53" i="41" s="1"/>
  <c r="B53" i="37"/>
  <c r="B53" i="41" s="1"/>
  <c r="C53" i="37"/>
  <c r="C53" i="41" s="1"/>
  <c r="F53" i="37"/>
  <c r="F53" i="41" s="1"/>
  <c r="A54" i="37"/>
  <c r="D54" i="37"/>
  <c r="D54" i="41" s="1"/>
  <c r="B54" i="37"/>
  <c r="B54" i="41" s="1"/>
  <c r="C54" i="37"/>
  <c r="C54" i="41" s="1"/>
  <c r="F54" i="37"/>
  <c r="F54" i="41" s="1"/>
  <c r="A55" i="37"/>
  <c r="D55" i="37"/>
  <c r="D55" i="41" s="1"/>
  <c r="B55" i="37"/>
  <c r="B55" i="41" s="1"/>
  <c r="C55" i="37"/>
  <c r="C55" i="41" s="1"/>
  <c r="F55" i="37"/>
  <c r="F55" i="41" s="1"/>
  <c r="A56" i="37"/>
  <c r="D56" i="37"/>
  <c r="D56" i="41" s="1"/>
  <c r="B56" i="37"/>
  <c r="B56" i="41" s="1"/>
  <c r="C56" i="37"/>
  <c r="C56" i="41" s="1"/>
  <c r="F56" i="37"/>
  <c r="F56" i="41" s="1"/>
  <c r="A57" i="37"/>
  <c r="D57" i="37"/>
  <c r="D57" i="41" s="1"/>
  <c r="B57" i="37"/>
  <c r="B57" i="41" s="1"/>
  <c r="C57" i="37"/>
  <c r="C57" i="41" s="1"/>
  <c r="F57" i="37"/>
  <c r="F57" i="41" s="1"/>
  <c r="A58" i="37"/>
  <c r="D58" i="37"/>
  <c r="D58" i="41" s="1"/>
  <c r="B58" i="37"/>
  <c r="B58" i="41" s="1"/>
  <c r="C58" i="37"/>
  <c r="C58" i="41" s="1"/>
  <c r="F58" i="37"/>
  <c r="F58" i="41" s="1"/>
  <c r="A59" i="37"/>
  <c r="D59" i="37"/>
  <c r="D59" i="41" s="1"/>
  <c r="B59" i="37"/>
  <c r="B59" i="41" s="1"/>
  <c r="C59" i="37"/>
  <c r="C59" i="41" s="1"/>
  <c r="F59" i="37"/>
  <c r="F59" i="41" s="1"/>
  <c r="A60" i="37"/>
  <c r="D60" i="37"/>
  <c r="D60" i="41" s="1"/>
  <c r="B60" i="37"/>
  <c r="B60" i="41" s="1"/>
  <c r="C60" i="37"/>
  <c r="C60" i="41" s="1"/>
  <c r="F60" i="37"/>
  <c r="F60" i="41" s="1"/>
  <c r="A61" i="37"/>
  <c r="D61" i="37"/>
  <c r="D61" i="41" s="1"/>
  <c r="B61" i="37"/>
  <c r="B61" i="41" s="1"/>
  <c r="C61" i="37"/>
  <c r="C61" i="41" s="1"/>
  <c r="F61" i="37"/>
  <c r="F61" i="41" s="1"/>
  <c r="A62" i="37"/>
  <c r="D62" i="37"/>
  <c r="D62" i="41" s="1"/>
  <c r="B62" i="37"/>
  <c r="B62" i="41" s="1"/>
  <c r="C62" i="37"/>
  <c r="C62" i="41" s="1"/>
  <c r="F62" i="37"/>
  <c r="F62" i="41" s="1"/>
  <c r="A63" i="37"/>
  <c r="D63" i="37"/>
  <c r="D63" i="41" s="1"/>
  <c r="B63" i="37"/>
  <c r="B63" i="41" s="1"/>
  <c r="C63" i="37"/>
  <c r="C63" i="41" s="1"/>
  <c r="F63" i="37"/>
  <c r="F63" i="41" s="1"/>
  <c r="A64" i="37"/>
  <c r="D64" i="37"/>
  <c r="D64" i="41" s="1"/>
  <c r="B64" i="37"/>
  <c r="B64" i="41" s="1"/>
  <c r="C64" i="37"/>
  <c r="C64" i="41" s="1"/>
  <c r="F64" i="37"/>
  <c r="F64" i="41" s="1"/>
  <c r="A65" i="37"/>
  <c r="D65" i="37"/>
  <c r="D65" i="41" s="1"/>
  <c r="B65" i="37"/>
  <c r="B65" i="41" s="1"/>
  <c r="C65" i="37"/>
  <c r="C65" i="41" s="1"/>
  <c r="F65" i="37"/>
  <c r="F65" i="41" s="1"/>
  <c r="A66" i="37"/>
  <c r="D66" i="37"/>
  <c r="D66" i="41" s="1"/>
  <c r="B66" i="37"/>
  <c r="B66" i="41" s="1"/>
  <c r="C66" i="37"/>
  <c r="C66" i="41" s="1"/>
  <c r="F66" i="37"/>
  <c r="F66" i="41" s="1"/>
  <c r="A67" i="37"/>
  <c r="D67" i="37"/>
  <c r="D67" i="41" s="1"/>
  <c r="B67" i="37"/>
  <c r="B67" i="41" s="1"/>
  <c r="C67" i="37"/>
  <c r="C67" i="41" s="1"/>
  <c r="F67" i="37"/>
  <c r="F67" i="41" s="1"/>
  <c r="A68" i="37"/>
  <c r="D68" i="37"/>
  <c r="D68" i="41" s="1"/>
  <c r="B68" i="37"/>
  <c r="B68" i="41" s="1"/>
  <c r="C68" i="37"/>
  <c r="C68" i="41" s="1"/>
  <c r="F68" i="37"/>
  <c r="F68" i="41" s="1"/>
  <c r="A69" i="37"/>
  <c r="D69" i="37"/>
  <c r="D69" i="41" s="1"/>
  <c r="B69" i="37"/>
  <c r="B69" i="41" s="1"/>
  <c r="C69" i="37"/>
  <c r="C69" i="41" s="1"/>
  <c r="F69" i="37"/>
  <c r="F69" i="41" s="1"/>
  <c r="A70" i="37"/>
  <c r="D70" i="37"/>
  <c r="D70" i="41" s="1"/>
  <c r="B70" i="37"/>
  <c r="B70" i="41" s="1"/>
  <c r="C70" i="37"/>
  <c r="C70" i="41" s="1"/>
  <c r="F70" i="37"/>
  <c r="F70" i="41" s="1"/>
  <c r="A71" i="37"/>
  <c r="D71" i="37"/>
  <c r="D71" i="41" s="1"/>
  <c r="B71" i="37"/>
  <c r="B71" i="41" s="1"/>
  <c r="C71" i="37"/>
  <c r="C71" i="41" s="1"/>
  <c r="F71" i="37"/>
  <c r="F71" i="41" s="1"/>
  <c r="A72" i="37"/>
  <c r="D72" i="37"/>
  <c r="D72" i="41" s="1"/>
  <c r="B72" i="37"/>
  <c r="B72" i="41" s="1"/>
  <c r="C72" i="37"/>
  <c r="C72" i="41" s="1"/>
  <c r="F72" i="37"/>
  <c r="F72" i="41" s="1"/>
  <c r="A73" i="37"/>
  <c r="D73" i="37"/>
  <c r="D73" i="41" s="1"/>
  <c r="B73" i="37"/>
  <c r="B73" i="41" s="1"/>
  <c r="C73" i="37"/>
  <c r="C73" i="41" s="1"/>
  <c r="F73" i="37"/>
  <c r="F73" i="41" s="1"/>
  <c r="A74" i="37"/>
  <c r="D74" i="37"/>
  <c r="D74" i="41" s="1"/>
  <c r="B74" i="37"/>
  <c r="B74" i="41" s="1"/>
  <c r="C74" i="37"/>
  <c r="C74" i="41" s="1"/>
  <c r="F74" i="37"/>
  <c r="F74" i="41" s="1"/>
  <c r="A75" i="37"/>
  <c r="D75" i="37"/>
  <c r="D75" i="41" s="1"/>
  <c r="B75" i="37"/>
  <c r="B75" i="41" s="1"/>
  <c r="C75" i="37"/>
  <c r="C75" i="41" s="1"/>
  <c r="F75" i="37"/>
  <c r="F75" i="41" s="1"/>
  <c r="A76" i="37"/>
  <c r="D76" i="37"/>
  <c r="D76" i="41" s="1"/>
  <c r="B76" i="37"/>
  <c r="B76" i="41" s="1"/>
  <c r="C76" i="37"/>
  <c r="C76" i="41" s="1"/>
  <c r="F76" i="37"/>
  <c r="F76" i="41" s="1"/>
  <c r="A77" i="37"/>
  <c r="D77" i="37"/>
  <c r="D77" i="41" s="1"/>
  <c r="B77" i="37"/>
  <c r="B77" i="41" s="1"/>
  <c r="C77" i="37"/>
  <c r="C77" i="41" s="1"/>
  <c r="F77" i="37"/>
  <c r="F77" i="41" s="1"/>
  <c r="A78" i="37"/>
  <c r="D78" i="37"/>
  <c r="D78" i="41" s="1"/>
  <c r="B78" i="37"/>
  <c r="B78" i="41" s="1"/>
  <c r="C78" i="37"/>
  <c r="C78" i="41" s="1"/>
  <c r="F78" i="37"/>
  <c r="F78" i="41" s="1"/>
  <c r="A79" i="37"/>
  <c r="D79" i="37"/>
  <c r="D79" i="41" s="1"/>
  <c r="B79" i="37"/>
  <c r="B79" i="41" s="1"/>
  <c r="C79" i="37"/>
  <c r="C79" i="41" s="1"/>
  <c r="F79" i="37"/>
  <c r="F79" i="41" s="1"/>
  <c r="A80" i="37"/>
  <c r="D80" i="37"/>
  <c r="D80" i="41" s="1"/>
  <c r="B80" i="37"/>
  <c r="B80" i="41" s="1"/>
  <c r="C80" i="37"/>
  <c r="C80" i="41" s="1"/>
  <c r="F80" i="37"/>
  <c r="F80" i="41" s="1"/>
  <c r="A81" i="37"/>
  <c r="D81" i="37"/>
  <c r="D81" i="41" s="1"/>
  <c r="B81" i="37"/>
  <c r="B81" i="41" s="1"/>
  <c r="C81" i="37"/>
  <c r="C81" i="41" s="1"/>
  <c r="F81" i="37"/>
  <c r="F81" i="41" s="1"/>
  <c r="A82" i="37"/>
  <c r="D82" i="37"/>
  <c r="D82" i="41" s="1"/>
  <c r="B82" i="37"/>
  <c r="B82" i="41" s="1"/>
  <c r="C82" i="37"/>
  <c r="C82" i="41" s="1"/>
  <c r="F82" i="37"/>
  <c r="F82" i="41" s="1"/>
  <c r="A83" i="37"/>
  <c r="D83" i="37"/>
  <c r="D83" i="41" s="1"/>
  <c r="B83" i="37"/>
  <c r="B83" i="41" s="1"/>
  <c r="C83" i="37"/>
  <c r="C83" i="41" s="1"/>
  <c r="F83" i="37"/>
  <c r="F83" i="41" s="1"/>
  <c r="A84" i="37"/>
  <c r="D84" i="37"/>
  <c r="D84" i="41" s="1"/>
  <c r="B84" i="37"/>
  <c r="B84" i="41" s="1"/>
  <c r="C84" i="37"/>
  <c r="C84" i="41" s="1"/>
  <c r="F84" i="37"/>
  <c r="F84" i="41" s="1"/>
  <c r="A85" i="37"/>
  <c r="D85" i="37"/>
  <c r="D85" i="41" s="1"/>
  <c r="B85" i="37"/>
  <c r="B85" i="41" s="1"/>
  <c r="C85" i="37"/>
  <c r="C85" i="41" s="1"/>
  <c r="F85" i="37"/>
  <c r="F85" i="41" s="1"/>
  <c r="A86" i="37"/>
  <c r="D86" i="37"/>
  <c r="D86" i="41" s="1"/>
  <c r="B86" i="37"/>
  <c r="B86" i="41" s="1"/>
  <c r="C86" i="37"/>
  <c r="C86" i="41" s="1"/>
  <c r="F86" i="37"/>
  <c r="F86" i="41" s="1"/>
  <c r="A87" i="37"/>
  <c r="D87" i="37"/>
  <c r="D87" i="41" s="1"/>
  <c r="B87" i="37"/>
  <c r="B87" i="41" s="1"/>
  <c r="C87" i="37"/>
  <c r="C87" i="41" s="1"/>
  <c r="F87" i="37"/>
  <c r="F87" i="41" s="1"/>
  <c r="A88" i="37"/>
  <c r="D88" i="37"/>
  <c r="D88" i="41" s="1"/>
  <c r="B88" i="37"/>
  <c r="B88" i="41" s="1"/>
  <c r="C88" i="37"/>
  <c r="C88" i="41" s="1"/>
  <c r="F88" i="37"/>
  <c r="F88" i="41" s="1"/>
  <c r="A89" i="37"/>
  <c r="D89" i="37"/>
  <c r="D89" i="41" s="1"/>
  <c r="B89" i="37"/>
  <c r="B89" i="41" s="1"/>
  <c r="C89" i="37"/>
  <c r="C89" i="41" s="1"/>
  <c r="F89" i="37"/>
  <c r="F89" i="41" s="1"/>
  <c r="A90" i="37"/>
  <c r="D90" i="37"/>
  <c r="D90" i="41" s="1"/>
  <c r="B90" i="37"/>
  <c r="B90" i="41" s="1"/>
  <c r="C90" i="37"/>
  <c r="C90" i="41" s="1"/>
  <c r="F90" i="37"/>
  <c r="F90" i="41" s="1"/>
  <c r="A91" i="37"/>
  <c r="D91" i="37"/>
  <c r="D91" i="41" s="1"/>
  <c r="B91" i="37"/>
  <c r="B91" i="41" s="1"/>
  <c r="C91" i="37"/>
  <c r="C91" i="41" s="1"/>
  <c r="F91" i="37"/>
  <c r="F91" i="41" s="1"/>
  <c r="A92" i="37"/>
  <c r="D92" i="37"/>
  <c r="D92" i="41" s="1"/>
  <c r="B92" i="37"/>
  <c r="B92" i="41" s="1"/>
  <c r="C92" i="37"/>
  <c r="C92" i="41" s="1"/>
  <c r="F92" i="37"/>
  <c r="F92" i="41" s="1"/>
  <c r="A93" i="37"/>
  <c r="D93" i="37"/>
  <c r="D93" i="41" s="1"/>
  <c r="B93" i="37"/>
  <c r="B93" i="41" s="1"/>
  <c r="C93" i="37"/>
  <c r="C93" i="41" s="1"/>
  <c r="F93" i="37"/>
  <c r="F93" i="41" s="1"/>
  <c r="A94" i="37"/>
  <c r="D94" i="37"/>
  <c r="D94" i="41" s="1"/>
  <c r="B94" i="37"/>
  <c r="B94" i="41" s="1"/>
  <c r="C94" i="37"/>
  <c r="C94" i="41" s="1"/>
  <c r="F94" i="37"/>
  <c r="F94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F120" i="37"/>
  <c r="F120" i="41" s="1"/>
  <c r="A121" i="37"/>
  <c r="D121" i="37"/>
  <c r="D121" i="41" s="1"/>
  <c r="B121" i="37"/>
  <c r="B121" i="41" s="1"/>
  <c r="F121" i="37"/>
  <c r="F121" i="41" s="1"/>
  <c r="A122" i="37"/>
  <c r="D122" i="37"/>
  <c r="D122" i="41" s="1"/>
  <c r="B122" i="37"/>
  <c r="B122" i="41" s="1"/>
  <c r="F122" i="37"/>
  <c r="F122" i="41" s="1"/>
  <c r="A123" i="37"/>
  <c r="D123" i="37"/>
  <c r="D123" i="41" s="1"/>
  <c r="B123" i="37"/>
  <c r="B123" i="41" s="1"/>
  <c r="F123" i="37"/>
  <c r="F123" i="41" s="1"/>
  <c r="A124" i="37"/>
  <c r="D124" i="37"/>
  <c r="D124" i="41" s="1"/>
  <c r="B124" i="37"/>
  <c r="B124" i="41" s="1"/>
  <c r="F124" i="37"/>
  <c r="F124" i="41" s="1"/>
  <c r="A125" i="37"/>
  <c r="D125" i="37"/>
  <c r="D125" i="41" s="1"/>
  <c r="B125" i="37"/>
  <c r="B125" i="41" s="1"/>
  <c r="F125" i="37"/>
  <c r="F125" i="41" s="1"/>
  <c r="A126" i="37"/>
  <c r="D126" i="37"/>
  <c r="D126" i="41" s="1"/>
  <c r="B126" i="37"/>
  <c r="B126" i="41" s="1"/>
  <c r="F126" i="37"/>
  <c r="F126" i="41" s="1"/>
  <c r="A127" i="37"/>
  <c r="D127" i="37"/>
  <c r="D127" i="41" s="1"/>
  <c r="B127" i="37"/>
  <c r="B127" i="41" s="1"/>
  <c r="F127" i="37"/>
  <c r="F127" i="41" s="1"/>
  <c r="A128" i="37"/>
  <c r="D128" i="37"/>
  <c r="D128" i="41" s="1"/>
  <c r="B128" i="37"/>
  <c r="B128" i="41" s="1"/>
  <c r="F128" i="37"/>
  <c r="F128" i="41" s="1"/>
  <c r="A129" i="37"/>
  <c r="D129" i="37"/>
  <c r="D129" i="41" s="1"/>
  <c r="B129" i="37"/>
  <c r="B129" i="41" s="1"/>
  <c r="F129" i="37"/>
  <c r="F129" i="41" s="1"/>
  <c r="A130" i="37"/>
  <c r="D130" i="37"/>
  <c r="D130" i="41" s="1"/>
  <c r="B130" i="37"/>
  <c r="B130" i="41" s="1"/>
  <c r="F130" i="37"/>
  <c r="F130" i="41" s="1"/>
  <c r="A131" i="37"/>
  <c r="D131" i="37"/>
  <c r="D131" i="41" s="1"/>
  <c r="B131" i="37"/>
  <c r="B131" i="41" s="1"/>
  <c r="F131" i="37"/>
  <c r="F131" i="41" s="1"/>
  <c r="A132" i="37"/>
  <c r="D132" i="37"/>
  <c r="D132" i="41" s="1"/>
  <c r="B132" i="37"/>
  <c r="B132" i="41" s="1"/>
  <c r="F132" i="37"/>
  <c r="F132" i="41" s="1"/>
  <c r="A133" i="37"/>
  <c r="D133" i="37"/>
  <c r="D133" i="41" s="1"/>
  <c r="B133" i="37"/>
  <c r="B133" i="41" s="1"/>
  <c r="F133" i="37"/>
  <c r="F133" i="41" s="1"/>
  <c r="A134" i="37"/>
  <c r="D134" i="37"/>
  <c r="D134" i="41" s="1"/>
  <c r="B134" i="37"/>
  <c r="B134" i="41" s="1"/>
  <c r="F134" i="37"/>
  <c r="F134" i="41" s="1"/>
  <c r="A135" i="37"/>
  <c r="D135" i="37"/>
  <c r="D135" i="41" s="1"/>
  <c r="B135" i="37"/>
  <c r="B135" i="41" s="1"/>
  <c r="F135" i="37"/>
  <c r="F135" i="41" s="1"/>
  <c r="A136" i="37"/>
  <c r="D136" i="37"/>
  <c r="D136" i="41" s="1"/>
  <c r="B136" i="37"/>
  <c r="B136" i="41" s="1"/>
  <c r="F136" i="37"/>
  <c r="F136" i="41" s="1"/>
  <c r="A137" i="37"/>
  <c r="D137" i="37"/>
  <c r="D137" i="41" s="1"/>
  <c r="B137" i="37"/>
  <c r="B137" i="41" s="1"/>
  <c r="F137" i="37"/>
  <c r="F137" i="41" s="1"/>
  <c r="A138" i="37"/>
  <c r="D138" i="37"/>
  <c r="D138" i="41" s="1"/>
  <c r="B138" i="37"/>
  <c r="B138" i="41" s="1"/>
  <c r="F138" i="37"/>
  <c r="F138" i="41" s="1"/>
  <c r="A139" i="37"/>
  <c r="D139" i="37"/>
  <c r="D139" i="41" s="1"/>
  <c r="B139" i="37"/>
  <c r="B139" i="41" s="1"/>
  <c r="F139" i="37"/>
  <c r="F139" i="41" s="1"/>
  <c r="A140" i="37"/>
  <c r="D140" i="37"/>
  <c r="D140" i="41" s="1"/>
  <c r="B140" i="37"/>
  <c r="B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C162" i="37"/>
  <c r="C162" i="41" s="1"/>
  <c r="F162" i="37"/>
  <c r="F162" i="41" s="1"/>
  <c r="A163" i="37"/>
  <c r="D163" i="37"/>
  <c r="D163" i="41" s="1"/>
  <c r="B163" i="37"/>
  <c r="B163" i="41" s="1"/>
  <c r="C163" i="37"/>
  <c r="C163" i="41" s="1"/>
  <c r="F163" i="37"/>
  <c r="F163" i="41" s="1"/>
  <c r="A164" i="37"/>
  <c r="D164" i="37"/>
  <c r="D164" i="41" s="1"/>
  <c r="B164" i="37"/>
  <c r="B164" i="41" s="1"/>
  <c r="C164" i="37"/>
  <c r="C164" i="41" s="1"/>
  <c r="F164" i="37"/>
  <c r="F164" i="41" s="1"/>
  <c r="A165" i="37"/>
  <c r="D165" i="37"/>
  <c r="D165" i="41" s="1"/>
  <c r="B165" i="37"/>
  <c r="B165" i="41" s="1"/>
  <c r="C165" i="37"/>
  <c r="C165" i="41" s="1"/>
  <c r="F165" i="37"/>
  <c r="F165" i="41" s="1"/>
  <c r="A166" i="37"/>
  <c r="D166" i="37"/>
  <c r="D166" i="41" s="1"/>
  <c r="B166" i="37"/>
  <c r="B166" i="41" s="1"/>
  <c r="C166" i="37"/>
  <c r="C166" i="41" s="1"/>
  <c r="F166" i="37"/>
  <c r="F166" i="41" s="1"/>
  <c r="A167" i="37"/>
  <c r="D167" i="37"/>
  <c r="D167" i="41" s="1"/>
  <c r="B167" i="37"/>
  <c r="B167" i="41" s="1"/>
  <c r="C167" i="37"/>
  <c r="C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F183" i="37"/>
  <c r="F183" i="41" s="1"/>
  <c r="A184" i="37"/>
  <c r="D184" i="37"/>
  <c r="D184" i="41" s="1"/>
  <c r="B184" i="37"/>
  <c r="B184" i="41" s="1"/>
  <c r="F184" i="37"/>
  <c r="F184" i="41" s="1"/>
  <c r="A185" i="37"/>
  <c r="D185" i="37"/>
  <c r="D185" i="41" s="1"/>
  <c r="B185" i="37"/>
  <c r="B185" i="41" s="1"/>
  <c r="F185" i="37"/>
  <c r="F185" i="41" s="1"/>
  <c r="A186" i="37"/>
  <c r="D186" i="37"/>
  <c r="D186" i="41" s="1"/>
  <c r="B186" i="37"/>
  <c r="B186" i="41" s="1"/>
  <c r="F186" i="37"/>
  <c r="F186" i="41" s="1"/>
  <c r="A187" i="37"/>
  <c r="D187" i="37"/>
  <c r="D187" i="41" s="1"/>
  <c r="B187" i="37"/>
  <c r="B187" i="41" s="1"/>
  <c r="F187" i="37"/>
  <c r="F187" i="41" s="1"/>
  <c r="A188" i="37"/>
  <c r="D188" i="37"/>
  <c r="D188" i="41" s="1"/>
  <c r="B188" i="37"/>
  <c r="B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D403" i="37"/>
  <c r="D403" i="41" s="1"/>
  <c r="F402" i="37"/>
  <c r="F402" i="41" s="1"/>
  <c r="C403" i="37"/>
  <c r="C403" i="41" s="1"/>
  <c r="A404" i="37"/>
  <c r="D404" i="37"/>
  <c r="D404" i="41" s="1"/>
  <c r="C404" i="37"/>
  <c r="C404" i="41" s="1"/>
  <c r="A405" i="37"/>
  <c r="D405" i="37"/>
  <c r="D405" i="41" s="1"/>
  <c r="C405" i="37"/>
  <c r="C405" i="41" s="1"/>
  <c r="A407" i="37"/>
  <c r="D407" i="37"/>
  <c r="D407" i="41" s="1"/>
  <c r="C407" i="37"/>
  <c r="C407" i="41" s="1"/>
  <c r="A408" i="37"/>
  <c r="D408" i="37"/>
  <c r="D408" i="41" s="1"/>
  <c r="C408" i="37"/>
  <c r="C408" i="41" s="1"/>
  <c r="A409" i="37"/>
  <c r="D409" i="37"/>
  <c r="D409" i="41" s="1"/>
  <c r="C409" i="37"/>
  <c r="C409" i="41" s="1"/>
  <c r="A410" i="37"/>
  <c r="D410" i="37"/>
  <c r="D410" i="41" s="1"/>
  <c r="C410" i="37"/>
  <c r="C410" i="41" s="1"/>
  <c r="A411" i="37"/>
  <c r="D411" i="37"/>
  <c r="D411" i="41" s="1"/>
  <c r="C411" i="37"/>
  <c r="C411" i="41" s="1"/>
  <c r="A412" i="37"/>
  <c r="D412" i="37"/>
  <c r="D412" i="41" s="1"/>
  <c r="C412" i="37"/>
  <c r="C412" i="41" s="1"/>
  <c r="A413" i="37"/>
  <c r="D413" i="37"/>
  <c r="D413" i="41" s="1"/>
  <c r="C413" i="37"/>
  <c r="C413" i="41" s="1"/>
  <c r="A414" i="37"/>
  <c r="D414" i="37"/>
  <c r="D414" i="41" s="1"/>
  <c r="C414" i="37"/>
  <c r="C414" i="41" s="1"/>
  <c r="A415" i="37"/>
  <c r="D415" i="37"/>
  <c r="D415" i="41" s="1"/>
  <c r="C415" i="37"/>
  <c r="C415" i="41" s="1"/>
  <c r="A416" i="37"/>
  <c r="D416" i="37"/>
  <c r="D416" i="41" s="1"/>
  <c r="C416" i="37"/>
  <c r="C416" i="41" s="1"/>
  <c r="A417" i="37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6" i="8" s="1"/>
  <c r="D460" i="37"/>
  <c r="D460" i="41" s="1"/>
  <c r="A10" i="8"/>
  <c r="A17" i="8" s="1"/>
  <c r="A472" i="37"/>
  <c r="A472" i="41" s="1"/>
  <c r="D472" i="37"/>
  <c r="D472" i="41" s="1"/>
  <c r="C472" i="37"/>
  <c r="C472" i="41" s="1"/>
  <c r="A11" i="8"/>
  <c r="C280" i="38" s="1"/>
  <c r="A12" i="8"/>
  <c r="C282" i="38" s="1"/>
  <c r="A13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6" i="38"/>
  <c r="D318" i="38"/>
  <c r="D319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50" i="26"/>
  <c r="E51" i="26"/>
  <c r="E52" i="26"/>
  <c r="E53" i="26"/>
  <c r="E54" i="26"/>
  <c r="B50" i="26"/>
  <c r="B51" i="26"/>
  <c r="B52" i="26"/>
  <c r="B53" i="26"/>
  <c r="B54" i="26"/>
  <c r="H54" i="26" s="1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H51" i="26" l="1"/>
  <c r="H53" i="26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16" i="41"/>
  <c r="A412" i="41"/>
  <c r="A408" i="41"/>
  <c r="A165" i="41"/>
  <c r="A111" i="41"/>
  <c r="A99" i="41"/>
  <c r="A87" i="41"/>
  <c r="A75" i="41"/>
  <c r="A63" i="41"/>
  <c r="A51" i="41"/>
  <c r="A39" i="41"/>
  <c r="A27" i="41"/>
  <c r="A15" i="41"/>
  <c r="A3" i="41"/>
  <c r="H48" i="26"/>
  <c r="D299" i="38"/>
  <c r="B58" i="26"/>
  <c r="D287" i="38"/>
  <c r="A403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88" i="41"/>
  <c r="A185" i="41"/>
  <c r="A182" i="41"/>
  <c r="A179" i="41"/>
  <c r="A176" i="41"/>
  <c r="A173" i="41"/>
  <c r="A170" i="41"/>
  <c r="A118" i="41"/>
  <c r="A106" i="41"/>
  <c r="A94" i="41"/>
  <c r="A82" i="41"/>
  <c r="A70" i="41"/>
  <c r="A58" i="41"/>
  <c r="A46" i="41"/>
  <c r="A34" i="41"/>
  <c r="A22" i="41"/>
  <c r="A10" i="41"/>
  <c r="A167" i="41"/>
  <c r="A113" i="41"/>
  <c r="A101" i="41"/>
  <c r="A89" i="41"/>
  <c r="A77" i="41"/>
  <c r="A65" i="41"/>
  <c r="A53" i="41"/>
  <c r="A41" i="41"/>
  <c r="A29" i="41"/>
  <c r="A17" i="41"/>
  <c r="A7" i="41"/>
  <c r="A415" i="41"/>
  <c r="A411" i="41"/>
  <c r="A407" i="41"/>
  <c r="A162" i="41"/>
  <c r="A159" i="41"/>
  <c r="A156" i="41"/>
  <c r="A153" i="41"/>
  <c r="A150" i="41"/>
  <c r="A147" i="41"/>
  <c r="A144" i="41"/>
  <c r="A141" i="41"/>
  <c r="A138" i="41"/>
  <c r="A135" i="41"/>
  <c r="A132" i="41"/>
  <c r="A129" i="41"/>
  <c r="A126" i="41"/>
  <c r="A123" i="41"/>
  <c r="A120" i="41"/>
  <c r="A108" i="41"/>
  <c r="A96" i="41"/>
  <c r="A84" i="41"/>
  <c r="A72" i="41"/>
  <c r="A60" i="41"/>
  <c r="A48" i="41"/>
  <c r="A36" i="41"/>
  <c r="A24" i="41"/>
  <c r="A12" i="41"/>
  <c r="A115" i="41"/>
  <c r="A103" i="41"/>
  <c r="A91" i="41"/>
  <c r="A79" i="41"/>
  <c r="A67" i="41"/>
  <c r="A55" i="41"/>
  <c r="A43" i="41"/>
  <c r="A31" i="41"/>
  <c r="A19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7" i="41"/>
  <c r="A184" i="41"/>
  <c r="A181" i="41"/>
  <c r="A178" i="41"/>
  <c r="A175" i="41"/>
  <c r="A172" i="41"/>
  <c r="A169" i="41"/>
  <c r="A164" i="41"/>
  <c r="A110" i="41"/>
  <c r="A98" i="41"/>
  <c r="A86" i="41"/>
  <c r="A74" i="41"/>
  <c r="A62" i="41"/>
  <c r="A50" i="41"/>
  <c r="A38" i="41"/>
  <c r="A26" i="41"/>
  <c r="A14" i="41"/>
  <c r="A414" i="41"/>
  <c r="A410" i="41"/>
  <c r="A405" i="41"/>
  <c r="C133" i="66" s="1"/>
  <c r="O133" i="66" s="1"/>
  <c r="A117" i="41"/>
  <c r="A105" i="41"/>
  <c r="A93" i="41"/>
  <c r="A81" i="41"/>
  <c r="A69" i="41"/>
  <c r="A57" i="41"/>
  <c r="A45" i="41"/>
  <c r="A33" i="41"/>
  <c r="A21" i="41"/>
  <c r="A9" i="41"/>
  <c r="A5" i="41"/>
  <c r="A166" i="41"/>
  <c r="A161" i="41"/>
  <c r="A158" i="41"/>
  <c r="A155" i="41"/>
  <c r="A152" i="41"/>
  <c r="A149" i="41"/>
  <c r="A146" i="41"/>
  <c r="A143" i="41"/>
  <c r="A140" i="41"/>
  <c r="A137" i="41"/>
  <c r="A134" i="41"/>
  <c r="A131" i="41"/>
  <c r="A128" i="41"/>
  <c r="A125" i="41"/>
  <c r="A122" i="41"/>
  <c r="A112" i="41"/>
  <c r="A100" i="41"/>
  <c r="A88" i="41"/>
  <c r="A76" i="41"/>
  <c r="A64" i="41"/>
  <c r="A52" i="41"/>
  <c r="A40" i="41"/>
  <c r="A28" i="41"/>
  <c r="A16" i="41"/>
  <c r="J48" i="26"/>
  <c r="D335" i="38"/>
  <c r="D347" i="38"/>
  <c r="D58" i="26"/>
  <c r="A119" i="41"/>
  <c r="A107" i="41"/>
  <c r="A95" i="41"/>
  <c r="A83" i="41"/>
  <c r="A71" i="41"/>
  <c r="A59" i="41"/>
  <c r="A47" i="41"/>
  <c r="A35" i="41"/>
  <c r="A23" i="41"/>
  <c r="A11" i="41"/>
  <c r="H50" i="26"/>
  <c r="A417" i="41"/>
  <c r="A413" i="41"/>
  <c r="A409" i="41"/>
  <c r="A404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86" i="41"/>
  <c r="A183" i="41"/>
  <c r="A180" i="41"/>
  <c r="A177" i="41"/>
  <c r="A174" i="41"/>
  <c r="A171" i="41"/>
  <c r="A168" i="41"/>
  <c r="A114" i="41"/>
  <c r="A102" i="41"/>
  <c r="A90" i="41"/>
  <c r="A78" i="41"/>
  <c r="A66" i="41"/>
  <c r="A54" i="41"/>
  <c r="A42" i="41"/>
  <c r="A30" i="41"/>
  <c r="A18" i="41"/>
  <c r="A163" i="41"/>
  <c r="A109" i="41"/>
  <c r="A97" i="41"/>
  <c r="A85" i="41"/>
  <c r="A73" i="41"/>
  <c r="A61" i="41"/>
  <c r="A49" i="41"/>
  <c r="A37" i="41"/>
  <c r="A25" i="41"/>
  <c r="A13" i="41"/>
  <c r="A8" i="41"/>
  <c r="A160" i="41"/>
  <c r="A157" i="41"/>
  <c r="A154" i="41"/>
  <c r="A151" i="41"/>
  <c r="A148" i="41"/>
  <c r="A145" i="41"/>
  <c r="A142" i="41"/>
  <c r="A139" i="41"/>
  <c r="A136" i="41"/>
  <c r="A133" i="41"/>
  <c r="A130" i="41"/>
  <c r="A127" i="41"/>
  <c r="A124" i="41"/>
  <c r="A121" i="41"/>
  <c r="A116" i="41"/>
  <c r="A104" i="41"/>
  <c r="A92" i="41"/>
  <c r="A80" i="41"/>
  <c r="A68" i="41"/>
  <c r="A56" i="41"/>
  <c r="A44" i="41"/>
  <c r="A32" i="41"/>
  <c r="A20" i="41"/>
  <c r="C58" i="26"/>
  <c r="D311" i="38"/>
  <c r="D323" i="38"/>
  <c r="H52" i="26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C229" i="66" l="1"/>
  <c r="O229" i="66" s="1"/>
  <c r="U229" i="66" s="1"/>
  <c r="C37" i="66"/>
  <c r="O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3" i="26"/>
  <c r="H217" i="35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9" i="26"/>
  <c r="H213" i="35" s="1"/>
  <c r="G41" i="26"/>
  <c r="H225" i="35" s="1"/>
  <c r="G34" i="26"/>
  <c r="H218" i="35" s="1"/>
  <c r="D33" i="26"/>
  <c r="H196" i="35" s="1"/>
  <c r="D34" i="26"/>
  <c r="H197" i="35" s="1"/>
  <c r="D25" i="26"/>
  <c r="H188" i="35" s="1"/>
  <c r="D37" i="26"/>
  <c r="H200" i="35" s="1"/>
  <c r="D26" i="26"/>
  <c r="H189" i="35" s="1"/>
  <c r="D38" i="26"/>
  <c r="H201" i="35" s="1"/>
  <c r="D29" i="26"/>
  <c r="H192" i="35" s="1"/>
  <c r="D41" i="26"/>
  <c r="H204" i="35" s="1"/>
  <c r="D30" i="26"/>
  <c r="H193" i="35" s="1"/>
  <c r="D42" i="26"/>
  <c r="H205" i="35" s="1"/>
  <c r="E4" i="22"/>
  <c r="C22" i="26"/>
  <c r="G30" i="26"/>
  <c r="H214" i="35" s="1"/>
  <c r="G42" i="26"/>
  <c r="H226" i="35" s="1"/>
  <c r="G25" i="26"/>
  <c r="H209" i="35" s="1"/>
  <c r="G37" i="26"/>
  <c r="H221" i="35" s="1"/>
  <c r="G38" i="26"/>
  <c r="H222" i="35" s="1"/>
  <c r="G26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G22" i="26" s="1"/>
  <c r="H22" i="26" s="1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B2" i="72" l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C220" i="38"/>
  <c r="E6" i="22"/>
  <c r="A22" i="53"/>
  <c r="C230" i="38"/>
  <c r="H185" i="35"/>
  <c r="C49" i="26"/>
  <c r="I10" i="41"/>
  <c r="C223" i="38"/>
  <c r="J10" i="41"/>
  <c r="B3" i="72" l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F49" i="26"/>
  <c r="I49" i="26" s="1"/>
  <c r="D49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B4" i="72" l="1"/>
  <c r="B5" i="72" s="1"/>
  <c r="B6" i="72" s="1"/>
  <c r="B7" i="72" s="1"/>
  <c r="B8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E52" i="20"/>
  <c r="P27" i="18" s="1"/>
  <c r="P36" i="18"/>
  <c r="E51" i="20"/>
  <c r="P35" i="18"/>
  <c r="B9" i="72" l="1"/>
  <c r="Z5" i="20"/>
  <c r="P28" i="18"/>
  <c r="P26" i="18"/>
  <c r="Z3" i="20"/>
  <c r="Z4" i="20"/>
  <c r="C265" i="38"/>
  <c r="C268" i="38"/>
  <c r="D10" i="53" s="1"/>
  <c r="A32" i="53"/>
  <c r="A36" i="53"/>
  <c r="C275" i="38"/>
  <c r="B10" i="72" l="1"/>
  <c r="D11" i="53"/>
  <c r="D34" i="53"/>
  <c r="D9" i="53"/>
  <c r="D23" i="53"/>
  <c r="D22" i="53"/>
  <c r="D35" i="53"/>
  <c r="D33" i="53"/>
  <c r="D21" i="53"/>
  <c r="B11" i="72" l="1"/>
  <c r="B12" i="72" s="1"/>
  <c r="B13" i="72" s="1"/>
  <c r="B14" i="72" s="1"/>
  <c r="B15" i="72" s="1"/>
  <c r="B16" i="72" s="1"/>
  <c r="B17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B18" i="72" l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B31" i="72" s="1"/>
  <c r="B32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16" i="37" l="1"/>
  <c r="H118" i="37"/>
  <c r="H114" i="37"/>
  <c r="H113" i="37"/>
  <c r="H112" i="37"/>
  <c r="H117" i="37"/>
  <c r="H115" i="37"/>
  <c r="H119" i="37"/>
  <c r="H85" i="37"/>
  <c r="H87" i="37"/>
  <c r="H82" i="37"/>
  <c r="H86" i="37"/>
  <c r="H83" i="37"/>
  <c r="H84" i="37"/>
  <c r="H81" i="37"/>
  <c r="H96" i="37"/>
  <c r="H100" i="37"/>
  <c r="H98" i="37"/>
  <c r="H97" i="37"/>
  <c r="H101" i="37"/>
  <c r="H99" i="37"/>
  <c r="H103" i="37"/>
  <c r="H102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04" i="37" l="1"/>
  <c r="H105" i="37"/>
  <c r="H107" i="37"/>
  <c r="H106" i="37"/>
  <c r="H110" i="37"/>
  <c r="H109" i="37"/>
  <c r="H111" i="37"/>
  <c r="H108" i="37"/>
  <c r="H94" i="37"/>
  <c r="H91" i="37"/>
  <c r="H88" i="37"/>
  <c r="H90" i="37"/>
  <c r="H95" i="37"/>
  <c r="H93" i="37"/>
  <c r="H89" i="37"/>
  <c r="H92" i="37"/>
  <c r="H79" i="37"/>
  <c r="H80" i="37"/>
  <c r="H78" i="37"/>
  <c r="H77" i="37"/>
  <c r="H74" i="37"/>
  <c r="H75" i="37"/>
  <c r="H76" i="37"/>
  <c r="I181" i="35"/>
  <c r="H181" i="35"/>
  <c r="I179" i="35"/>
  <c r="H179" i="35"/>
  <c r="I180" i="35"/>
  <c r="I182" i="35"/>
  <c r="J113" i="58" s="1"/>
  <c r="H182" i="35"/>
  <c r="I118" i="58" s="1"/>
  <c r="H180" i="35"/>
  <c r="I110" i="58" s="1"/>
  <c r="I178" i="35"/>
  <c r="J101" i="58" s="1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J78" i="58" s="1"/>
  <c r="H172" i="35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J114" i="58"/>
  <c r="H118" i="58"/>
  <c r="H93" i="58"/>
  <c r="I99" i="58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C400" i="58"/>
  <c r="C400" i="37"/>
  <c r="C309" i="58"/>
  <c r="C309" i="37"/>
  <c r="C200" i="58"/>
  <c r="C200" i="37"/>
  <c r="I7" i="58"/>
  <c r="H117" i="58"/>
  <c r="H85" i="58"/>
  <c r="I115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112" i="58"/>
  <c r="H115" i="58"/>
  <c r="H82" i="58"/>
  <c r="H114" i="58"/>
  <c r="I98" i="58"/>
  <c r="H86" i="58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H113" i="58"/>
  <c r="H81" i="58"/>
  <c r="H83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I3" i="58"/>
  <c r="H112" i="58"/>
  <c r="H80" i="58"/>
  <c r="I97" i="58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H110" i="58"/>
  <c r="H78" i="58"/>
  <c r="I80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H108" i="58"/>
  <c r="I96" i="58"/>
  <c r="I78" i="58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H101" i="58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I101" i="58"/>
  <c r="C321" i="58"/>
  <c r="C321" i="37"/>
  <c r="C211" i="58"/>
  <c r="C211" i="37"/>
  <c r="H9" i="58"/>
  <c r="H99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H98" i="58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J118" i="58"/>
  <c r="H9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117" i="58" l="1"/>
  <c r="I112" i="58"/>
  <c r="I113" i="58"/>
  <c r="I116" i="58"/>
  <c r="J99" i="58"/>
  <c r="J96" i="58"/>
  <c r="J98" i="58"/>
  <c r="J97" i="58"/>
  <c r="J79" i="58"/>
  <c r="J80" i="58"/>
  <c r="J85" i="58"/>
  <c r="E277" i="38" s="1"/>
  <c r="I77" i="37"/>
  <c r="I76" i="37"/>
  <c r="I74" i="37"/>
  <c r="I75" i="37"/>
  <c r="I80" i="37"/>
  <c r="I80" i="41" s="1"/>
  <c r="I78" i="37"/>
  <c r="I78" i="41" s="1"/>
  <c r="I79" i="37"/>
  <c r="J118" i="37"/>
  <c r="J118" i="41" s="1"/>
  <c r="J115" i="37"/>
  <c r="J117" i="37"/>
  <c r="J117" i="41" s="1"/>
  <c r="J119" i="37"/>
  <c r="J112" i="37"/>
  <c r="J114" i="37"/>
  <c r="J114" i="41" s="1"/>
  <c r="J113" i="37"/>
  <c r="J116" i="37"/>
  <c r="H412" i="37"/>
  <c r="H415" i="37"/>
  <c r="H414" i="37"/>
  <c r="H413" i="37"/>
  <c r="H407" i="37"/>
  <c r="H406" i="37"/>
  <c r="H404" i="37"/>
  <c r="H405" i="37"/>
  <c r="H408" i="37"/>
  <c r="H411" i="37"/>
  <c r="H410" i="37"/>
  <c r="H409" i="37"/>
  <c r="I99" i="37"/>
  <c r="I99" i="41" s="1"/>
  <c r="I97" i="37"/>
  <c r="I97" i="41" s="1"/>
  <c r="I103" i="37"/>
  <c r="I101" i="37"/>
  <c r="I101" i="41" s="1"/>
  <c r="I100" i="37"/>
  <c r="I96" i="37"/>
  <c r="I96" i="41" s="1"/>
  <c r="I102" i="37"/>
  <c r="I102" i="41" s="1"/>
  <c r="I98" i="37"/>
  <c r="I98" i="41" s="1"/>
  <c r="J99" i="37"/>
  <c r="J99" i="41" s="1"/>
  <c r="J103" i="37"/>
  <c r="J101" i="37"/>
  <c r="J101" i="41" s="1"/>
  <c r="J98" i="37"/>
  <c r="J102" i="37"/>
  <c r="J100" i="37"/>
  <c r="J96" i="37"/>
  <c r="J96" i="41" s="1"/>
  <c r="J97" i="37"/>
  <c r="I92" i="37"/>
  <c r="I90" i="37"/>
  <c r="I93" i="37"/>
  <c r="I88" i="37"/>
  <c r="I91" i="37"/>
  <c r="I89" i="37"/>
  <c r="I94" i="37"/>
  <c r="I94" i="41" s="1"/>
  <c r="I95" i="37"/>
  <c r="J91" i="37"/>
  <c r="J90" i="37"/>
  <c r="J89" i="37"/>
  <c r="J92" i="37"/>
  <c r="J94" i="37"/>
  <c r="J93" i="37"/>
  <c r="J93" i="41" s="1"/>
  <c r="J88" i="37"/>
  <c r="J95" i="37"/>
  <c r="J75" i="37"/>
  <c r="J74" i="37"/>
  <c r="J79" i="37"/>
  <c r="J79" i="41" s="1"/>
  <c r="J76" i="37"/>
  <c r="J78" i="37"/>
  <c r="J78" i="41" s="1"/>
  <c r="J77" i="37"/>
  <c r="J80" i="37"/>
  <c r="I107" i="37"/>
  <c r="I109" i="37"/>
  <c r="I106" i="37"/>
  <c r="I110" i="37"/>
  <c r="I110" i="41" s="1"/>
  <c r="I111" i="37"/>
  <c r="I108" i="37"/>
  <c r="I105" i="37"/>
  <c r="I104" i="37"/>
  <c r="I84" i="37"/>
  <c r="I82" i="37"/>
  <c r="I86" i="37"/>
  <c r="I83" i="37"/>
  <c r="I85" i="37"/>
  <c r="I87" i="37"/>
  <c r="I81" i="37"/>
  <c r="I81" i="41" s="1"/>
  <c r="J110" i="37"/>
  <c r="J109" i="37"/>
  <c r="J109" i="41" s="1"/>
  <c r="J105" i="37"/>
  <c r="J108" i="37"/>
  <c r="J108" i="41" s="1"/>
  <c r="J107" i="37"/>
  <c r="J104" i="37"/>
  <c r="J111" i="37"/>
  <c r="J111" i="41" s="1"/>
  <c r="J106" i="37"/>
  <c r="J82" i="37"/>
  <c r="J86" i="37"/>
  <c r="J86" i="41" s="1"/>
  <c r="J85" i="37"/>
  <c r="J81" i="37"/>
  <c r="J84" i="37"/>
  <c r="J83" i="37"/>
  <c r="J87" i="37"/>
  <c r="I113" i="37"/>
  <c r="I113" i="41" s="1"/>
  <c r="I112" i="37"/>
  <c r="I112" i="41" s="1"/>
  <c r="I119" i="37"/>
  <c r="I114" i="37"/>
  <c r="I117" i="37"/>
  <c r="I117" i="41" s="1"/>
  <c r="I116" i="37"/>
  <c r="I116" i="41" s="1"/>
  <c r="I115" i="37"/>
  <c r="I115" i="41" s="1"/>
  <c r="I118" i="37"/>
  <c r="I118" i="41" s="1"/>
  <c r="H416" i="37"/>
  <c r="H417" i="37"/>
  <c r="I82" i="58"/>
  <c r="I85" i="58"/>
  <c r="I93" i="58"/>
  <c r="J81" i="58"/>
  <c r="J83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86" i="41"/>
  <c r="H114" i="41"/>
  <c r="H82" i="41"/>
  <c r="H115" i="41"/>
  <c r="J112" i="41"/>
  <c r="H117" i="41"/>
  <c r="J113" i="41"/>
  <c r="H109" i="41"/>
  <c r="H98" i="41"/>
  <c r="H110" i="41"/>
  <c r="H113" i="41"/>
  <c r="H108" i="41"/>
  <c r="H80" i="41"/>
  <c r="I111" i="58"/>
  <c r="H111" i="58"/>
  <c r="C211" i="41"/>
  <c r="C321" i="41"/>
  <c r="H96" i="41"/>
  <c r="H119" i="58"/>
  <c r="J110" i="58"/>
  <c r="J82" i="58"/>
  <c r="H95" i="58"/>
  <c r="H94" i="58"/>
  <c r="J119" i="58"/>
  <c r="J115" i="58"/>
  <c r="I119" i="58"/>
  <c r="H74" i="58"/>
  <c r="I79" i="58"/>
  <c r="I74" i="58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58"/>
  <c r="I83" i="58"/>
  <c r="J74" i="58"/>
  <c r="C178" i="41"/>
  <c r="C212" i="41"/>
  <c r="C277" i="41"/>
  <c r="C322" i="41"/>
  <c r="H97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58"/>
  <c r="I108" i="58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H99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58"/>
  <c r="J102" i="58"/>
  <c r="J87" i="58"/>
  <c r="I86" i="58"/>
  <c r="J116" i="58"/>
  <c r="H87" i="58"/>
  <c r="I109" i="58"/>
  <c r="H116" i="58"/>
  <c r="J95" i="58"/>
  <c r="H102" i="58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C121" i="41"/>
  <c r="C136" i="41"/>
  <c r="C159" i="41"/>
  <c r="C173" i="41"/>
  <c r="C185" i="41"/>
  <c r="C196" i="41"/>
  <c r="C272" i="41"/>
  <c r="C295" i="41"/>
  <c r="C396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H101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H83" i="41"/>
  <c r="H81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J98" i="41" l="1"/>
  <c r="J97" i="41"/>
  <c r="I82" i="41"/>
  <c r="J80" i="41"/>
  <c r="J85" i="41"/>
  <c r="I85" i="41"/>
  <c r="J81" i="41"/>
  <c r="J83" i="41"/>
  <c r="I93" i="41"/>
  <c r="I416" i="37"/>
  <c r="I417" i="37"/>
  <c r="J408" i="37"/>
  <c r="J411" i="37"/>
  <c r="J409" i="37"/>
  <c r="J410" i="37"/>
  <c r="J412" i="37"/>
  <c r="J415" i="37"/>
  <c r="J414" i="37"/>
  <c r="J413" i="37"/>
  <c r="J416" i="37"/>
  <c r="J417" i="37"/>
  <c r="I408" i="37"/>
  <c r="I411" i="37"/>
  <c r="I409" i="37"/>
  <c r="I410" i="37"/>
  <c r="I407" i="37"/>
  <c r="I406" i="37"/>
  <c r="I405" i="37"/>
  <c r="I404" i="37"/>
  <c r="I412" i="37"/>
  <c r="I415" i="37"/>
  <c r="I414" i="37"/>
  <c r="I413" i="37"/>
  <c r="J407" i="37"/>
  <c r="J405" i="37"/>
  <c r="J406" i="37"/>
  <c r="J404" i="37"/>
  <c r="I111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58"/>
  <c r="C39" i="63" s="1"/>
  <c r="J271" i="66"/>
  <c r="J107" i="58"/>
  <c r="F243" i="66" s="1"/>
  <c r="N243" i="66" s="1"/>
  <c r="J77" i="58"/>
  <c r="J103" i="58"/>
  <c r="H77" i="58"/>
  <c r="I77" i="58"/>
  <c r="I107" i="58"/>
  <c r="F195" i="66" s="1"/>
  <c r="N195" i="66" s="1"/>
  <c r="H76" i="58"/>
  <c r="H103" i="58"/>
  <c r="C30" i="63" s="1"/>
  <c r="H105" i="58"/>
  <c r="H455" i="58" s="1"/>
  <c r="H455" i="37"/>
  <c r="J76" i="58"/>
  <c r="J453" i="37"/>
  <c r="J75" i="58"/>
  <c r="J453" i="58" s="1"/>
  <c r="I76" i="58"/>
  <c r="I455" i="37"/>
  <c r="I105" i="58"/>
  <c r="I455" i="58" s="1"/>
  <c r="I75" i="58"/>
  <c r="I453" i="58" s="1"/>
  <c r="I453" i="37"/>
  <c r="J455" i="37"/>
  <c r="J105" i="58"/>
  <c r="J455" i="58" s="1"/>
  <c r="H107" i="58"/>
  <c r="F147" i="66" s="1"/>
  <c r="N147" i="66" s="1"/>
  <c r="H75" i="58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74" i="41"/>
  <c r="I79" i="41"/>
  <c r="H111" i="41"/>
  <c r="I410" i="58"/>
  <c r="I411" i="58"/>
  <c r="I409" i="58"/>
  <c r="I408" i="58"/>
  <c r="F238" i="66" s="1"/>
  <c r="N238" i="66" s="1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74" i="41"/>
  <c r="S223" i="66" l="1"/>
  <c r="M6" i="41"/>
  <c r="N6" i="41"/>
  <c r="J239" i="66"/>
  <c r="I409" i="41"/>
  <c r="H106" i="58"/>
  <c r="J88" i="58"/>
  <c r="J91" i="58"/>
  <c r="J106" i="58"/>
  <c r="H84" i="58"/>
  <c r="J104" i="58"/>
  <c r="J84" i="58"/>
  <c r="H410" i="41"/>
  <c r="P127" i="66"/>
  <c r="S127" i="66"/>
  <c r="H411" i="41"/>
  <c r="I454" i="37"/>
  <c r="I89" i="58"/>
  <c r="I454" i="58" s="1"/>
  <c r="I410" i="41"/>
  <c r="K41" i="39"/>
  <c r="E139" i="38" s="1"/>
  <c r="F155" i="66"/>
  <c r="E370" i="38"/>
  <c r="K155" i="66" s="1"/>
  <c r="I104" i="58"/>
  <c r="I408" i="41"/>
  <c r="F94" i="66"/>
  <c r="N94" i="66" s="1"/>
  <c r="J92" i="58"/>
  <c r="J89" i="58"/>
  <c r="J454" i="58" s="1"/>
  <c r="J454" i="37"/>
  <c r="H92" i="58"/>
  <c r="I90" i="58"/>
  <c r="J409" i="41"/>
  <c r="H104" i="58"/>
  <c r="H89" i="58"/>
  <c r="I411" i="41"/>
  <c r="H90" i="58"/>
  <c r="F142" i="66"/>
  <c r="N142" i="66" s="1"/>
  <c r="J408" i="41"/>
  <c r="S47" i="66"/>
  <c r="P47" i="66"/>
  <c r="R47" i="66"/>
  <c r="H75" i="41"/>
  <c r="F45" i="66"/>
  <c r="J76" i="41"/>
  <c r="H88" i="58"/>
  <c r="I91" i="58"/>
  <c r="J411" i="41"/>
  <c r="F189" i="66"/>
  <c r="I92" i="58"/>
  <c r="J90" i="58"/>
  <c r="I88" i="58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58"/>
  <c r="I84" i="58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O14" i="39"/>
  <c r="P14" i="39"/>
  <c r="Q14" i="39" s="1"/>
  <c r="M40" i="39"/>
  <c r="E172" i="38" s="1"/>
  <c r="F267" i="66"/>
  <c r="I104" i="41"/>
  <c r="T31" i="66"/>
  <c r="H405" i="58"/>
  <c r="F181" i="66"/>
  <c r="N181" i="66" s="1"/>
  <c r="H406" i="58"/>
  <c r="H407" i="58"/>
  <c r="F172" i="66" s="1"/>
  <c r="I88" i="41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11" i="66"/>
  <c r="Y51" i="66"/>
  <c r="Y195" i="66"/>
  <c r="Z51" i="66"/>
  <c r="Z195" i="66"/>
  <c r="J251" i="66"/>
  <c r="F37" i="66"/>
  <c r="N37" i="66" s="1"/>
  <c r="H91" i="41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37" i="37"/>
  <c r="J141" i="66"/>
  <c r="J203" i="66"/>
  <c r="T47" i="66"/>
  <c r="F133" i="66"/>
  <c r="N133" i="66" s="1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I437" i="37"/>
  <c r="J93" i="66"/>
  <c r="I91" i="41"/>
  <c r="F85" i="66"/>
  <c r="N85" i="66" s="1"/>
  <c r="H88" i="41"/>
  <c r="E43" i="39"/>
  <c r="E126" i="38" s="1"/>
  <c r="H89" i="41"/>
  <c r="B4" i="39" s="1"/>
  <c r="H454" i="5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104" i="41"/>
  <c r="H455" i="41"/>
  <c r="E352" i="38"/>
  <c r="K11" i="66" s="1"/>
  <c r="J59" i="66"/>
  <c r="I437" i="58"/>
  <c r="J237" i="66"/>
  <c r="J100" i="58"/>
  <c r="R175" i="66"/>
  <c r="S175" i="66"/>
  <c r="P175" i="66"/>
  <c r="H453" i="58" l="1"/>
  <c r="E368" i="38" s="1"/>
  <c r="K189" i="66" s="1"/>
  <c r="H453" i="37"/>
  <c r="E350" i="38" s="1"/>
  <c r="H454" i="37"/>
  <c r="E351" i="38" s="1"/>
  <c r="C12" i="39"/>
  <c r="P12" i="39" s="1"/>
  <c r="K40" i="39"/>
  <c r="E138" i="38" s="1"/>
  <c r="H439" i="58" s="1"/>
  <c r="E16" i="39"/>
  <c r="J249" i="66"/>
  <c r="J201" i="66"/>
  <c r="D16" i="39"/>
  <c r="B7" i="39"/>
  <c r="H456" i="37" s="1"/>
  <c r="H406" i="41"/>
  <c r="T175" i="66"/>
  <c r="J100" i="41"/>
  <c r="I406" i="41"/>
  <c r="J417" i="41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E369" i="38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O12" i="39" l="1"/>
  <c r="H438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K27" i="66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J140" i="66"/>
  <c r="N140" i="66" s="1"/>
  <c r="S105" i="66"/>
  <c r="P105" i="66"/>
  <c r="E353" i="38"/>
  <c r="K9" i="66" s="1"/>
  <c r="K45" i="66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P171" i="66" l="1"/>
  <c r="S171" i="66"/>
  <c r="T171" i="66" s="1"/>
  <c r="G15" i="39"/>
  <c r="F15" i="39"/>
  <c r="J153" i="66"/>
  <c r="R153" i="66" s="1"/>
  <c r="P16" i="39"/>
  <c r="Q16" i="39" s="1"/>
  <c r="H456" i="41"/>
  <c r="H437" i="41"/>
  <c r="C36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D27" i="26" l="1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D24" i="26"/>
  <c r="D32" i="26"/>
  <c r="D36" i="26"/>
  <c r="D40" i="26"/>
  <c r="D39" i="26"/>
  <c r="D31" i="26"/>
  <c r="D35" i="26"/>
  <c r="E19" i="22"/>
  <c r="M7" i="9"/>
  <c r="D23" i="26"/>
  <c r="D28" i="26"/>
  <c r="H40" i="26"/>
  <c r="I224" i="35" s="1"/>
  <c r="H27" i="26"/>
  <c r="H31" i="26"/>
  <c r="H28" i="26"/>
  <c r="I212" i="35" s="1"/>
  <c r="H32" i="26"/>
  <c r="I216" i="35" s="1"/>
  <c r="H36" i="26"/>
  <c r="I220" i="35" s="1"/>
  <c r="H24" i="26"/>
  <c r="I208" i="35" s="1"/>
  <c r="H35" i="26"/>
  <c r="H23" i="26"/>
  <c r="H39" i="26"/>
  <c r="E79" i="22"/>
  <c r="G40" i="26"/>
  <c r="G28" i="26"/>
  <c r="G32" i="26"/>
  <c r="G31" i="26"/>
  <c r="G27" i="26"/>
  <c r="G23" i="26"/>
  <c r="G24" i="26"/>
  <c r="E64" i="22"/>
  <c r="G35" i="26"/>
  <c r="G36" i="26"/>
  <c r="G39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1" i="26" l="1"/>
  <c r="C7" i="72"/>
  <c r="C12" i="72"/>
  <c r="C5" i="72"/>
  <c r="C2" i="72"/>
  <c r="C8" i="72"/>
  <c r="C9" i="72"/>
  <c r="C10" i="72"/>
  <c r="C3" i="72"/>
  <c r="C11" i="72"/>
  <c r="C4" i="72"/>
  <c r="C6" i="72"/>
  <c r="C32" i="72"/>
  <c r="C21" i="72"/>
  <c r="C29" i="72"/>
  <c r="C23" i="72"/>
  <c r="C31" i="72"/>
  <c r="C13" i="72"/>
  <c r="C25" i="72"/>
  <c r="C18" i="72"/>
  <c r="C28" i="72"/>
  <c r="C14" i="72"/>
  <c r="C22" i="72"/>
  <c r="C30" i="72"/>
  <c r="C15" i="72"/>
  <c r="C16" i="72"/>
  <c r="C24" i="72"/>
  <c r="C17" i="72"/>
  <c r="C26" i="72"/>
  <c r="C19" i="72"/>
  <c r="C27" i="72"/>
  <c r="C20" i="72"/>
  <c r="R7" i="9"/>
  <c r="E32" i="22"/>
  <c r="E35" i="26"/>
  <c r="I198" i="35" s="1"/>
  <c r="R40" i="9"/>
  <c r="E39" i="26"/>
  <c r="E23" i="26"/>
  <c r="I186" i="35" s="1"/>
  <c r="O40" i="9"/>
  <c r="O30" i="9"/>
  <c r="E36" i="26"/>
  <c r="I199" i="35" s="1"/>
  <c r="E39" i="22"/>
  <c r="P9" i="9"/>
  <c r="K42" i="39"/>
  <c r="E140" i="38" s="1"/>
  <c r="C42" i="39"/>
  <c r="E89" i="38" s="1"/>
  <c r="P15" i="39"/>
  <c r="O15" i="39"/>
  <c r="Q7" i="9"/>
  <c r="E40" i="26"/>
  <c r="I203" i="35" s="1"/>
  <c r="E24" i="26"/>
  <c r="I187" i="35" s="1"/>
  <c r="E28" i="26"/>
  <c r="I191" i="35" s="1"/>
  <c r="E27" i="26"/>
  <c r="I190" i="35" s="1"/>
  <c r="E32" i="26"/>
  <c r="I195" i="35" s="1"/>
  <c r="R30" i="9"/>
  <c r="N30" i="9"/>
  <c r="K10" i="9"/>
  <c r="H25" i="26"/>
  <c r="I209" i="35" s="1"/>
  <c r="H207" i="35"/>
  <c r="F50" i="26"/>
  <c r="I207" i="35"/>
  <c r="E41" i="26"/>
  <c r="I204" i="35" s="1"/>
  <c r="H202" i="35"/>
  <c r="C54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9" i="26"/>
  <c r="I213" i="35" s="1"/>
  <c r="H211" i="35"/>
  <c r="F51" i="26"/>
  <c r="I219" i="35"/>
  <c r="E30" i="26"/>
  <c r="I193" i="35" s="1"/>
  <c r="H191" i="35"/>
  <c r="E42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3" i="26"/>
  <c r="I217" i="35" s="1"/>
  <c r="H215" i="35"/>
  <c r="F52" i="26"/>
  <c r="E25" i="26"/>
  <c r="I188" i="35" s="1"/>
  <c r="H186" i="35"/>
  <c r="C50" i="26"/>
  <c r="E38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4" i="26"/>
  <c r="I218" i="35" s="1"/>
  <c r="H216" i="35"/>
  <c r="E34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8" i="26"/>
  <c r="I222" i="35" s="1"/>
  <c r="H220" i="35"/>
  <c r="H30" i="26"/>
  <c r="I214" i="35" s="1"/>
  <c r="H212" i="35"/>
  <c r="E29" i="26"/>
  <c r="I192" i="35" s="1"/>
  <c r="H190" i="35"/>
  <c r="C51" i="26"/>
  <c r="E26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202" i="35"/>
  <c r="H41" i="26"/>
  <c r="I225" i="35" s="1"/>
  <c r="F54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7" i="26"/>
  <c r="I221" i="35" s="1"/>
  <c r="F53" i="26"/>
  <c r="H219" i="35"/>
  <c r="H42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7" i="26"/>
  <c r="I200" i="35" s="1"/>
  <c r="H198" i="35"/>
  <c r="C53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6" i="26"/>
  <c r="I210" i="35" s="1"/>
  <c r="H208" i="35"/>
  <c r="E33" i="26"/>
  <c r="I196" i="35" s="1"/>
  <c r="C52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H209" i="37" l="1"/>
  <c r="H309" i="37"/>
  <c r="H125" i="37"/>
  <c r="H345" i="37"/>
  <c r="H321" i="37"/>
  <c r="H341" i="37"/>
  <c r="H329" i="37"/>
  <c r="H225" i="37"/>
  <c r="H129" i="37"/>
  <c r="H141" i="37"/>
  <c r="H221" i="37"/>
  <c r="H305" i="37"/>
  <c r="H213" i="37"/>
  <c r="H333" i="37"/>
  <c r="H137" i="37"/>
  <c r="H317" i="37"/>
  <c r="I52" i="26"/>
  <c r="I50" i="26"/>
  <c r="I51" i="26"/>
  <c r="I54" i="26"/>
  <c r="I53" i="26"/>
  <c r="E26" i="17"/>
  <c r="E24" i="17"/>
  <c r="D26" i="17"/>
  <c r="D24" i="17"/>
  <c r="E27" i="17"/>
  <c r="E25" i="17"/>
  <c r="D27" i="17"/>
  <c r="D25" i="17"/>
  <c r="Q10" i="9"/>
  <c r="D54" i="26"/>
  <c r="D51" i="26"/>
  <c r="D52" i="26"/>
  <c r="G52" i="26"/>
  <c r="Q15" i="39"/>
  <c r="J44" i="66"/>
  <c r="J188" i="66"/>
  <c r="D50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4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D53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50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3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1" i="26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05" i="37"/>
  <c r="J209" i="37"/>
  <c r="I209" i="37"/>
  <c r="J317" i="37"/>
  <c r="J309" i="37"/>
  <c r="I317" i="37"/>
  <c r="H313" i="37"/>
  <c r="J221" i="37"/>
  <c r="H205" i="37"/>
  <c r="I213" i="37"/>
  <c r="I137" i="37"/>
  <c r="J141" i="37"/>
  <c r="J225" i="37"/>
  <c r="H217" i="37"/>
  <c r="H301" i="37"/>
  <c r="H163" i="37"/>
  <c r="H164" i="37"/>
  <c r="H162" i="37"/>
  <c r="J129" i="37"/>
  <c r="I341" i="37"/>
  <c r="I305" i="37"/>
  <c r="I345" i="37"/>
  <c r="J321" i="37"/>
  <c r="J137" i="37"/>
  <c r="I221" i="37"/>
  <c r="J329" i="37"/>
  <c r="I125" i="37"/>
  <c r="I225" i="37"/>
  <c r="H167" i="37"/>
  <c r="H166" i="37"/>
  <c r="H165" i="37"/>
  <c r="I129" i="37"/>
  <c r="I329" i="37"/>
  <c r="I141" i="37"/>
  <c r="H337" i="37"/>
  <c r="H325" i="37"/>
  <c r="J333" i="37"/>
  <c r="H121" i="37"/>
  <c r="I321" i="37"/>
  <c r="J345" i="37"/>
  <c r="H133" i="37"/>
  <c r="J341" i="37"/>
  <c r="J213" i="37"/>
  <c r="I309" i="37"/>
  <c r="I333" i="37"/>
  <c r="J125" i="37"/>
  <c r="J53" i="26"/>
  <c r="J50" i="26"/>
  <c r="J52" i="26"/>
  <c r="J51" i="26"/>
  <c r="J54" i="26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66" i="58" l="1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G473" i="58" l="1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58"/>
  <c r="G6" i="58"/>
  <c r="G6" i="37"/>
  <c r="G6" i="41" s="1"/>
  <c r="H417" i="58"/>
  <c r="H409" i="58"/>
  <c r="G68" i="18" l="1" a="1"/>
  <c r="G68" i="18" s="1"/>
  <c r="H68" i="18" s="1"/>
  <c r="G70" i="18" a="1"/>
  <c r="G70" i="18" s="1"/>
  <c r="H70" i="18" s="1"/>
  <c r="O20" i="20"/>
  <c r="H49" i="35" a="1"/>
  <c r="H49" i="35" s="1"/>
  <c r="I166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37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17" i="41"/>
  <c r="H409" i="41"/>
  <c r="H413" i="41"/>
  <c r="H16" i="18" l="1"/>
  <c r="I70" i="18"/>
  <c r="H61" i="18"/>
  <c r="I68" i="18"/>
  <c r="I69" i="18"/>
  <c r="J69" i="18" s="1"/>
  <c r="I28" i="18"/>
  <c r="F28" i="18" s="1"/>
  <c r="I165" i="37"/>
  <c r="I167" i="37"/>
  <c r="I59" i="18"/>
  <c r="F59" i="18" s="1"/>
  <c r="I217" i="37"/>
  <c r="I121" i="37"/>
  <c r="I205" i="37"/>
  <c r="I164" i="37"/>
  <c r="I162" i="37"/>
  <c r="I163" i="37"/>
  <c r="I313" i="37"/>
  <c r="J164" i="37"/>
  <c r="J163" i="37"/>
  <c r="J162" i="37"/>
  <c r="I133" i="37"/>
  <c r="I325" i="37"/>
  <c r="I301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28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29" i="41"/>
  <c r="F69" i="18" l="1"/>
  <c r="J59" i="18"/>
  <c r="J27" i="18"/>
  <c r="F25" i="18"/>
  <c r="F18" i="18"/>
  <c r="F71" i="18"/>
  <c r="J313" i="37"/>
  <c r="J325" i="37"/>
  <c r="J165" i="37"/>
  <c r="J166" i="37"/>
  <c r="J167" i="37"/>
  <c r="J205" i="37"/>
  <c r="J217" i="37"/>
  <c r="J301" i="37"/>
  <c r="J337" i="37"/>
  <c r="J133" i="37"/>
  <c r="J121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20" i="58"/>
  <c r="G220" i="37"/>
  <c r="G176" i="58"/>
  <c r="G176" i="37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65" i="37"/>
  <c r="G365" i="58"/>
  <c r="G339" i="37"/>
  <c r="J339" i="37" s="1"/>
  <c r="G339" i="58"/>
  <c r="G318" i="58"/>
  <c r="G318" i="37"/>
  <c r="G297" i="37"/>
  <c r="G297" i="58"/>
  <c r="G265" i="58"/>
  <c r="G265" i="37"/>
  <c r="G257" i="37"/>
  <c r="G257" i="58"/>
  <c r="G233" i="58"/>
  <c r="G233" i="37"/>
  <c r="G203" i="37"/>
  <c r="G203" i="58"/>
  <c r="G171" i="58"/>
  <c r="G171" i="37"/>
  <c r="G140" i="37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24" i="38"/>
  <c r="G107" i="66" s="1"/>
  <c r="E269" i="38"/>
  <c r="G251" i="66" s="1"/>
  <c r="H438" i="58"/>
  <c r="E242" i="38"/>
  <c r="E234" i="38"/>
  <c r="I440" i="37"/>
  <c r="I440" i="58"/>
  <c r="E261" i="38"/>
  <c r="E216" i="38"/>
  <c r="E255" i="38"/>
  <c r="G201" i="66" s="1"/>
  <c r="E210" i="38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58"/>
  <c r="G294" i="58"/>
  <c r="G294" i="37"/>
  <c r="G238" i="58"/>
  <c r="G238" i="37"/>
  <c r="J238" i="37" s="1"/>
  <c r="G184" i="58"/>
  <c r="G184" i="37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58"/>
  <c r="G373" i="58"/>
  <c r="G373" i="37"/>
  <c r="G349" i="37"/>
  <c r="G349" i="58"/>
  <c r="G273" i="58"/>
  <c r="G273" i="37"/>
  <c r="G249" i="37"/>
  <c r="G249" i="58"/>
  <c r="G214" i="58"/>
  <c r="G214" i="37"/>
  <c r="G187" i="58"/>
  <c r="G187" i="37"/>
  <c r="G157" i="58"/>
  <c r="G157" i="37"/>
  <c r="G130" i="37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58"/>
  <c r="G388" i="37"/>
  <c r="G388" i="58"/>
  <c r="G380" i="37"/>
  <c r="G380" i="58"/>
  <c r="G372" i="37"/>
  <c r="G372" i="58"/>
  <c r="G364" i="58"/>
  <c r="G364" i="37"/>
  <c r="G356" i="58"/>
  <c r="G356" i="37"/>
  <c r="G348" i="37"/>
  <c r="G348" i="58"/>
  <c r="G338" i="37"/>
  <c r="G338" i="58"/>
  <c r="G327" i="58"/>
  <c r="G327" i="37"/>
  <c r="J327" i="37" s="1"/>
  <c r="G316" i="58"/>
  <c r="G316" i="37"/>
  <c r="G306" i="58"/>
  <c r="G306" i="37"/>
  <c r="G296" i="37"/>
  <c r="G296" i="58"/>
  <c r="G288" i="58"/>
  <c r="G288" i="37"/>
  <c r="G280" i="37"/>
  <c r="G280" i="58"/>
  <c r="G272" i="58"/>
  <c r="G272" i="37"/>
  <c r="G264" i="58"/>
  <c r="G264" i="37"/>
  <c r="J264" i="37" s="1"/>
  <c r="G256" i="37"/>
  <c r="G256" i="58"/>
  <c r="G248" i="58"/>
  <c r="G248" i="37"/>
  <c r="G240" i="37"/>
  <c r="G240" i="58"/>
  <c r="G232" i="37"/>
  <c r="G232" i="58"/>
  <c r="G223" i="37"/>
  <c r="G223" i="58"/>
  <c r="G212" i="37"/>
  <c r="G212" i="58"/>
  <c r="G202" i="58"/>
  <c r="G202" i="37"/>
  <c r="G194" i="58"/>
  <c r="G194" i="37"/>
  <c r="G186" i="37"/>
  <c r="G186" i="58"/>
  <c r="G178" i="58"/>
  <c r="G178" i="37"/>
  <c r="G170" i="58"/>
  <c r="G170" i="37"/>
  <c r="J170" i="37" s="1"/>
  <c r="G156" i="58"/>
  <c r="G156" i="37"/>
  <c r="G148" i="58"/>
  <c r="G148" i="37"/>
  <c r="G139" i="37"/>
  <c r="G139" i="58"/>
  <c r="G128" i="58"/>
  <c r="G128" i="37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58"/>
  <c r="G67" i="58"/>
  <c r="G67" i="37"/>
  <c r="G63" i="37"/>
  <c r="G63" i="58"/>
  <c r="G59" i="37"/>
  <c r="G59" i="58"/>
  <c r="G55" i="58"/>
  <c r="G55" i="37"/>
  <c r="G51" i="58"/>
  <c r="G51" i="37"/>
  <c r="G47" i="58"/>
  <c r="G47" i="37"/>
  <c r="G43" i="37"/>
  <c r="G43" i="58"/>
  <c r="G39" i="58"/>
  <c r="G39" i="37"/>
  <c r="G35" i="58"/>
  <c r="G35" i="37"/>
  <c r="G31" i="58"/>
  <c r="G31" i="37"/>
  <c r="G27" i="37"/>
  <c r="G27" i="58"/>
  <c r="G23" i="58"/>
  <c r="G23" i="37"/>
  <c r="G19" i="58"/>
  <c r="G19" i="37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J386" i="37" s="1"/>
  <c r="G324" i="58"/>
  <c r="G324" i="37"/>
  <c r="G262" i="58"/>
  <c r="G262" i="37"/>
  <c r="G200" i="37"/>
  <c r="G200" i="58"/>
  <c r="G146" i="37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57" i="37"/>
  <c r="J357" i="37" s="1"/>
  <c r="G357" i="58"/>
  <c r="G328" i="58"/>
  <c r="G328" i="37"/>
  <c r="G307" i="58"/>
  <c r="G307" i="37"/>
  <c r="G289" i="37"/>
  <c r="G289" i="58"/>
  <c r="G281" i="37"/>
  <c r="G281" i="58"/>
  <c r="G241" i="58"/>
  <c r="G241" i="37"/>
  <c r="G224" i="58"/>
  <c r="G224" i="37"/>
  <c r="G195" i="58"/>
  <c r="G195" i="37"/>
  <c r="G179" i="58"/>
  <c r="G179" i="37"/>
  <c r="G149" i="58"/>
  <c r="G149" i="37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87" i="58"/>
  <c r="G387" i="37"/>
  <c r="G379" i="37"/>
  <c r="G379" i="58"/>
  <c r="G371" i="58"/>
  <c r="G371" i="37"/>
  <c r="G363" i="58"/>
  <c r="G363" i="37"/>
  <c r="G355" i="58"/>
  <c r="G355" i="37"/>
  <c r="G347" i="37"/>
  <c r="G347" i="58"/>
  <c r="G336" i="37"/>
  <c r="G336" i="58"/>
  <c r="G326" i="37"/>
  <c r="J326" i="37" s="1"/>
  <c r="G326" i="58"/>
  <c r="G315" i="58"/>
  <c r="G315" i="37"/>
  <c r="G304" i="37"/>
  <c r="G304" i="58"/>
  <c r="G295" i="37"/>
  <c r="G295" i="58"/>
  <c r="G287" i="58"/>
  <c r="G287" i="37"/>
  <c r="G279" i="37"/>
  <c r="G279" i="58"/>
  <c r="G271" i="58"/>
  <c r="G271" i="37"/>
  <c r="G263" i="37"/>
  <c r="G263" i="58"/>
  <c r="G255" i="58"/>
  <c r="G255" i="37"/>
  <c r="G247" i="58"/>
  <c r="G247" i="37"/>
  <c r="G239" i="58"/>
  <c r="G239" i="37"/>
  <c r="G231" i="37"/>
  <c r="G231" i="58"/>
  <c r="G222" i="37"/>
  <c r="G222" i="58"/>
  <c r="G211" i="58"/>
  <c r="G211" i="37"/>
  <c r="G201" i="58"/>
  <c r="G201" i="37"/>
  <c r="G193" i="58"/>
  <c r="G193" i="37"/>
  <c r="G185" i="37"/>
  <c r="G185" i="58"/>
  <c r="G177" i="58"/>
  <c r="G177" i="37"/>
  <c r="J177" i="37" s="1"/>
  <c r="G169" i="58"/>
  <c r="G169" i="37"/>
  <c r="J169" i="37" s="1"/>
  <c r="G155" i="58"/>
  <c r="G155" i="37"/>
  <c r="G147" i="37"/>
  <c r="G147" i="58"/>
  <c r="G138" i="37"/>
  <c r="G138" i="58"/>
  <c r="G127" i="58"/>
  <c r="G127" i="37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286" i="58"/>
  <c r="G286" i="37"/>
  <c r="G230" i="58"/>
  <c r="G230" i="37"/>
  <c r="J230" i="37" s="1"/>
  <c r="G154" i="58"/>
  <c r="G154" i="37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G62" i="37"/>
  <c r="G58" i="37"/>
  <c r="G58" i="58"/>
  <c r="G42" i="58"/>
  <c r="G42" i="37"/>
  <c r="G22" i="58"/>
  <c r="G22" i="37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G385" i="37"/>
  <c r="J385" i="37" s="1"/>
  <c r="G385" i="58"/>
  <c r="G361" i="58"/>
  <c r="G361" i="37"/>
  <c r="G353" i="58"/>
  <c r="G353" i="37"/>
  <c r="G344" i="58"/>
  <c r="G344" i="37"/>
  <c r="G334" i="37"/>
  <c r="G334" i="58"/>
  <c r="G323" i="58"/>
  <c r="G323" i="37"/>
  <c r="G312" i="37"/>
  <c r="G312" i="58"/>
  <c r="G302" i="37"/>
  <c r="J302" i="37" s="1"/>
  <c r="G302" i="58"/>
  <c r="G293" i="37"/>
  <c r="J293" i="37" s="1"/>
  <c r="G293" i="58"/>
  <c r="G285" i="58"/>
  <c r="G285" i="37"/>
  <c r="G277" i="37"/>
  <c r="G277" i="58"/>
  <c r="G269" i="37"/>
  <c r="G269" i="58"/>
  <c r="G261" i="58"/>
  <c r="G261" i="37"/>
  <c r="G253" i="58"/>
  <c r="G253" i="37"/>
  <c r="G245" i="58"/>
  <c r="G245" i="37"/>
  <c r="G237" i="37"/>
  <c r="G237" i="58"/>
  <c r="G229" i="37"/>
  <c r="G229" i="58"/>
  <c r="G219" i="58"/>
  <c r="G219" i="37"/>
  <c r="J219" i="37" s="1"/>
  <c r="G208" i="58"/>
  <c r="G208" i="37"/>
  <c r="G199" i="58"/>
  <c r="G199" i="37"/>
  <c r="G191" i="37"/>
  <c r="G191" i="58"/>
  <c r="G183" i="58"/>
  <c r="G183" i="37"/>
  <c r="G175" i="37"/>
  <c r="G175" i="58"/>
  <c r="G161" i="37"/>
  <c r="G161" i="58"/>
  <c r="G153" i="37"/>
  <c r="J153" i="37" s="1"/>
  <c r="G153" i="58"/>
  <c r="G145" i="58"/>
  <c r="G145" i="37"/>
  <c r="G135" i="37"/>
  <c r="J135" i="37" s="1"/>
  <c r="G135" i="58"/>
  <c r="G124" i="58"/>
  <c r="G124" i="37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H163" i="58"/>
  <c r="G118" i="58"/>
  <c r="G118" i="37"/>
  <c r="G118" i="41" s="1"/>
  <c r="G454" i="58"/>
  <c r="G454" i="37"/>
  <c r="G454" i="41" s="1"/>
  <c r="G370" i="58"/>
  <c r="G370" i="37"/>
  <c r="G314" i="58"/>
  <c r="G314" i="37"/>
  <c r="G246" i="58"/>
  <c r="G246" i="37"/>
  <c r="J246" i="37" s="1"/>
  <c r="G168" i="58"/>
  <c r="G168" i="37"/>
  <c r="J168" i="37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54" i="58"/>
  <c r="G54" i="37"/>
  <c r="G46" i="37"/>
  <c r="G46" i="58"/>
  <c r="G34" i="37"/>
  <c r="G34" i="58"/>
  <c r="G30" i="37"/>
  <c r="G30" i="58"/>
  <c r="G14" i="37"/>
  <c r="G14" i="58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58"/>
  <c r="G392" i="58"/>
  <c r="G392" i="37"/>
  <c r="G384" i="37"/>
  <c r="J384" i="37" s="1"/>
  <c r="G384" i="58"/>
  <c r="G376" i="37"/>
  <c r="G376" i="58"/>
  <c r="G368" i="37"/>
  <c r="J368" i="37" s="1"/>
  <c r="G368" i="58"/>
  <c r="G360" i="58"/>
  <c r="G360" i="37"/>
  <c r="G352" i="58"/>
  <c r="G352" i="37"/>
  <c r="G343" i="37"/>
  <c r="G343" i="58"/>
  <c r="G332" i="58"/>
  <c r="G332" i="37"/>
  <c r="G322" i="58"/>
  <c r="G322" i="37"/>
  <c r="G311" i="37"/>
  <c r="G311" i="58"/>
  <c r="G300" i="58"/>
  <c r="G300" i="37"/>
  <c r="G292" i="58"/>
  <c r="G292" i="37"/>
  <c r="J292" i="37" s="1"/>
  <c r="G284" i="58"/>
  <c r="G284" i="37"/>
  <c r="J284" i="37" s="1"/>
  <c r="G276" i="58"/>
  <c r="G276" i="37"/>
  <c r="G268" i="58"/>
  <c r="G268" i="37"/>
  <c r="G260" i="58"/>
  <c r="G260" i="37"/>
  <c r="G252" i="58"/>
  <c r="G252" i="37"/>
  <c r="G244" i="37"/>
  <c r="G244" i="58"/>
  <c r="G236" i="58"/>
  <c r="G236" i="37"/>
  <c r="G228" i="58"/>
  <c r="G228" i="37"/>
  <c r="J228" i="37" s="1"/>
  <c r="G218" i="58"/>
  <c r="G218" i="37"/>
  <c r="G207" i="37"/>
  <c r="J207" i="37" s="1"/>
  <c r="G207" i="58"/>
  <c r="G198" i="58"/>
  <c r="G198" i="37"/>
  <c r="G190" i="58"/>
  <c r="G190" i="37"/>
  <c r="G182" i="37"/>
  <c r="G182" i="58"/>
  <c r="G174" i="58"/>
  <c r="G174" i="37"/>
  <c r="G160" i="37"/>
  <c r="G160" i="58"/>
  <c r="G152" i="37"/>
  <c r="G152" i="58"/>
  <c r="G144" i="58"/>
  <c r="G144" i="37"/>
  <c r="G134" i="58"/>
  <c r="G134" i="37"/>
  <c r="J134" i="37" s="1"/>
  <c r="G123" i="58"/>
  <c r="G123" i="37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69" i="37"/>
  <c r="G69" i="58"/>
  <c r="G65" i="58"/>
  <c r="G65" i="37"/>
  <c r="G61" i="37"/>
  <c r="G61" i="58"/>
  <c r="G57" i="58"/>
  <c r="G57" i="37"/>
  <c r="G53" i="37"/>
  <c r="G53" i="58"/>
  <c r="G49" i="37"/>
  <c r="G49" i="58"/>
  <c r="G45" i="58"/>
  <c r="G45" i="37"/>
  <c r="G41" i="37"/>
  <c r="G41" i="58"/>
  <c r="G37" i="37"/>
  <c r="G37" i="58"/>
  <c r="G33" i="37"/>
  <c r="G33" i="58"/>
  <c r="G29" i="58"/>
  <c r="G29" i="37"/>
  <c r="G25" i="58"/>
  <c r="G25" i="37"/>
  <c r="G21" i="58"/>
  <c r="G21" i="37"/>
  <c r="G17" i="37"/>
  <c r="G17" i="58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62" i="58"/>
  <c r="G110" i="37"/>
  <c r="G110" i="41" s="1"/>
  <c r="G110" i="58"/>
  <c r="G425" i="37"/>
  <c r="G425" i="41" s="1"/>
  <c r="G425" i="58"/>
  <c r="G378" i="58"/>
  <c r="G378" i="37"/>
  <c r="G335" i="58"/>
  <c r="G335" i="37"/>
  <c r="G278" i="58"/>
  <c r="G278" i="37"/>
  <c r="G210" i="58"/>
  <c r="G210" i="37"/>
  <c r="G136" i="58"/>
  <c r="G136" i="37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G70" i="58"/>
  <c r="G50" i="37"/>
  <c r="G50" i="58"/>
  <c r="G38" i="58"/>
  <c r="G38" i="37"/>
  <c r="G26" i="37"/>
  <c r="G26" i="58"/>
  <c r="G18" i="58"/>
  <c r="G18" i="37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K219" i="66" s="1"/>
  <c r="I456" i="58"/>
  <c r="E377" i="38" s="1"/>
  <c r="K201" i="66" s="1"/>
  <c r="I456" i="37"/>
  <c r="G399" i="37"/>
  <c r="G399" i="58"/>
  <c r="G391" i="37"/>
  <c r="G391" i="58"/>
  <c r="G383" i="58"/>
  <c r="G383" i="37"/>
  <c r="G375" i="58"/>
  <c r="G375" i="37"/>
  <c r="G367" i="37"/>
  <c r="J367" i="37" s="1"/>
  <c r="G367" i="58"/>
  <c r="G359" i="58"/>
  <c r="G359" i="37"/>
  <c r="J359" i="37" s="1"/>
  <c r="G351" i="37"/>
  <c r="G351" i="58"/>
  <c r="G342" i="37"/>
  <c r="G342" i="58"/>
  <c r="G331" i="58"/>
  <c r="G331" i="37"/>
  <c r="G320" i="37"/>
  <c r="G320" i="58"/>
  <c r="G310" i="58"/>
  <c r="G310" i="37"/>
  <c r="G299" i="37"/>
  <c r="G299" i="58"/>
  <c r="G291" i="58"/>
  <c r="G291" i="37"/>
  <c r="G283" i="37"/>
  <c r="G283" i="58"/>
  <c r="G275" i="37"/>
  <c r="J275" i="37" s="1"/>
  <c r="G275" i="58"/>
  <c r="G267" i="58"/>
  <c r="G267" i="37"/>
  <c r="G259" i="37"/>
  <c r="G259" i="58"/>
  <c r="G251" i="37"/>
  <c r="G251" i="58"/>
  <c r="G243" i="37"/>
  <c r="G243" i="58"/>
  <c r="G235" i="58"/>
  <c r="G235" i="37"/>
  <c r="G227" i="58"/>
  <c r="G227" i="37"/>
  <c r="G216" i="58"/>
  <c r="G216" i="37"/>
  <c r="J216" i="37" s="1"/>
  <c r="G206" i="58"/>
  <c r="G206" i="37"/>
  <c r="J206" i="37" s="1"/>
  <c r="G197" i="58"/>
  <c r="G197" i="37"/>
  <c r="G189" i="58"/>
  <c r="G189" i="37"/>
  <c r="G181" i="58"/>
  <c r="G181" i="37"/>
  <c r="G173" i="58"/>
  <c r="G173" i="37"/>
  <c r="G159" i="58"/>
  <c r="G159" i="37"/>
  <c r="G151" i="37"/>
  <c r="G151" i="58"/>
  <c r="G143" i="37"/>
  <c r="G143" i="58"/>
  <c r="G132" i="58"/>
  <c r="G132" i="37"/>
  <c r="G122" i="58"/>
  <c r="G122" i="37"/>
  <c r="J122" i="37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G7" i="37"/>
  <c r="G7" i="41" s="1"/>
  <c r="G7" i="58"/>
  <c r="G102" i="37"/>
  <c r="G102" i="41" s="1"/>
  <c r="G102" i="58"/>
  <c r="G417" i="58"/>
  <c r="G417" i="37"/>
  <c r="G417" i="41" s="1"/>
  <c r="G394" i="58"/>
  <c r="G394" i="37"/>
  <c r="G346" i="58"/>
  <c r="G346" i="37"/>
  <c r="G303" i="58"/>
  <c r="G303" i="37"/>
  <c r="G254" i="37"/>
  <c r="G254" i="58"/>
  <c r="G192" i="58"/>
  <c r="G192" i="37"/>
  <c r="G126" i="58"/>
  <c r="G126" i="37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369" i="37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0" i="58"/>
  <c r="G390" i="37"/>
  <c r="G382" i="37"/>
  <c r="G382" i="58"/>
  <c r="G374" i="37"/>
  <c r="G374" i="58"/>
  <c r="G366" i="58"/>
  <c r="G366" i="37"/>
  <c r="G358" i="37"/>
  <c r="J358" i="37" s="1"/>
  <c r="G358" i="58"/>
  <c r="G350" i="58"/>
  <c r="G350" i="37"/>
  <c r="G340" i="37"/>
  <c r="G340" i="58"/>
  <c r="G330" i="58"/>
  <c r="G330" i="37"/>
  <c r="G319" i="58"/>
  <c r="G319" i="37"/>
  <c r="G308" i="58"/>
  <c r="G308" i="37"/>
  <c r="G298" i="58"/>
  <c r="G298" i="37"/>
  <c r="G290" i="58"/>
  <c r="G290" i="37"/>
  <c r="G282" i="58"/>
  <c r="G282" i="37"/>
  <c r="G274" i="58"/>
  <c r="G274" i="37"/>
  <c r="J274" i="37" s="1"/>
  <c r="G266" i="37"/>
  <c r="G266" i="58"/>
  <c r="G258" i="37"/>
  <c r="G258" i="58"/>
  <c r="G250" i="37"/>
  <c r="G250" i="58"/>
  <c r="G242" i="37"/>
  <c r="G242" i="58"/>
  <c r="G234" i="58"/>
  <c r="G234" i="37"/>
  <c r="G226" i="37"/>
  <c r="G226" i="58"/>
  <c r="G215" i="58"/>
  <c r="G215" i="37"/>
  <c r="G204" i="58"/>
  <c r="G204" i="37"/>
  <c r="J204" i="37" s="1"/>
  <c r="G196" i="37"/>
  <c r="J196" i="37" s="1"/>
  <c r="G196" i="58"/>
  <c r="G188" i="58"/>
  <c r="G188" i="37"/>
  <c r="J188" i="37" s="1"/>
  <c r="G180" i="37"/>
  <c r="G180" i="58"/>
  <c r="G172" i="58"/>
  <c r="G172" i="37"/>
  <c r="G158" i="58"/>
  <c r="G158" i="37"/>
  <c r="G150" i="58"/>
  <c r="G150" i="37"/>
  <c r="G142" i="58"/>
  <c r="G142" i="37"/>
  <c r="G131" i="37"/>
  <c r="G131" i="58"/>
  <c r="G120" i="58"/>
  <c r="G120" i="37"/>
  <c r="J120" i="37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G72" i="37"/>
  <c r="G68" i="58"/>
  <c r="G68" i="37"/>
  <c r="G64" i="58"/>
  <c r="G64" i="37"/>
  <c r="G60" i="37"/>
  <c r="G60" i="58"/>
  <c r="G56" i="37"/>
  <c r="G56" i="58"/>
  <c r="G52" i="37"/>
  <c r="G52" i="58"/>
  <c r="G48" i="37"/>
  <c r="G48" i="58"/>
  <c r="G44" i="58"/>
  <c r="G44" i="37"/>
  <c r="G40" i="37"/>
  <c r="G40" i="58"/>
  <c r="G36" i="37"/>
  <c r="G36" i="58"/>
  <c r="G32" i="58"/>
  <c r="G32" i="37"/>
  <c r="G28" i="58"/>
  <c r="G28" i="37"/>
  <c r="G24" i="58"/>
  <c r="G24" i="37"/>
  <c r="G20" i="37"/>
  <c r="G20" i="58"/>
  <c r="G16" i="37"/>
  <c r="G16" i="58"/>
  <c r="G12" i="58"/>
  <c r="G12" i="37"/>
  <c r="E470" i="58"/>
  <c r="E470" i="37"/>
  <c r="E470" i="41" s="1"/>
  <c r="E225" i="58"/>
  <c r="E225" i="37"/>
  <c r="E225" i="41" s="1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G64" i="41" l="1"/>
  <c r="H64" i="37"/>
  <c r="I64" i="37"/>
  <c r="J64" i="37"/>
  <c r="G150" i="41"/>
  <c r="H150" i="37"/>
  <c r="I150" i="37"/>
  <c r="J150" i="37"/>
  <c r="G204" i="41"/>
  <c r="H204" i="37"/>
  <c r="I204" i="37"/>
  <c r="G308" i="41"/>
  <c r="H308" i="37"/>
  <c r="I308" i="37"/>
  <c r="J308" i="37"/>
  <c r="G366" i="41"/>
  <c r="H366" i="37"/>
  <c r="I366" i="37"/>
  <c r="G303" i="41"/>
  <c r="H303" i="37"/>
  <c r="I303" i="37"/>
  <c r="G173" i="41"/>
  <c r="H173" i="37"/>
  <c r="I173" i="37"/>
  <c r="J173" i="37"/>
  <c r="G227" i="41"/>
  <c r="H227" i="37"/>
  <c r="J227" i="37"/>
  <c r="I227" i="37"/>
  <c r="G331" i="41"/>
  <c r="H331" i="37"/>
  <c r="J331" i="37"/>
  <c r="I331" i="37"/>
  <c r="G383" i="41"/>
  <c r="H383" i="37"/>
  <c r="J383" i="37"/>
  <c r="I383" i="37"/>
  <c r="G50" i="41"/>
  <c r="H50" i="37"/>
  <c r="I50" i="37"/>
  <c r="J50" i="37"/>
  <c r="G33" i="41"/>
  <c r="H33" i="37"/>
  <c r="I33" i="37"/>
  <c r="J33" i="37"/>
  <c r="G244" i="41"/>
  <c r="H244" i="37"/>
  <c r="J244" i="37"/>
  <c r="I244" i="37"/>
  <c r="G400" i="41"/>
  <c r="H400" i="37"/>
  <c r="I400" i="37"/>
  <c r="J400" i="37"/>
  <c r="H46" i="37"/>
  <c r="I46" i="37"/>
  <c r="J46" i="37"/>
  <c r="G161" i="41"/>
  <c r="H161" i="37"/>
  <c r="J161" i="37"/>
  <c r="I161" i="37"/>
  <c r="G269" i="41"/>
  <c r="H269" i="37"/>
  <c r="I269" i="37"/>
  <c r="J269" i="37"/>
  <c r="G154" i="41"/>
  <c r="H154" i="37"/>
  <c r="I154" i="37"/>
  <c r="G231" i="41"/>
  <c r="H231" i="37"/>
  <c r="I231" i="37"/>
  <c r="J231" i="37"/>
  <c r="G279" i="41"/>
  <c r="H279" i="37"/>
  <c r="J279" i="37"/>
  <c r="I279" i="37"/>
  <c r="G336" i="41"/>
  <c r="H336" i="37"/>
  <c r="I336" i="37"/>
  <c r="G281" i="41"/>
  <c r="H281" i="37"/>
  <c r="J281" i="37"/>
  <c r="I281" i="37"/>
  <c r="G200" i="41"/>
  <c r="H200" i="37"/>
  <c r="I200" i="37"/>
  <c r="J200" i="37"/>
  <c r="G71" i="41"/>
  <c r="H71" i="37"/>
  <c r="I71" i="37"/>
  <c r="J71" i="37"/>
  <c r="G223" i="41"/>
  <c r="H223" i="37"/>
  <c r="I223" i="37"/>
  <c r="J223" i="37"/>
  <c r="G380" i="41"/>
  <c r="H380" i="37"/>
  <c r="J380" i="37"/>
  <c r="I380" i="37"/>
  <c r="G130" i="41"/>
  <c r="H130" i="37"/>
  <c r="J130" i="37"/>
  <c r="I130" i="37"/>
  <c r="G349" i="41"/>
  <c r="H349" i="37"/>
  <c r="I349" i="37"/>
  <c r="G171" i="41"/>
  <c r="H171" i="37"/>
  <c r="I171" i="37"/>
  <c r="J171" i="37"/>
  <c r="G318" i="41"/>
  <c r="H318" i="37"/>
  <c r="I318" i="37"/>
  <c r="J318" i="37"/>
  <c r="J336" i="37"/>
  <c r="G395" i="41"/>
  <c r="H395" i="37"/>
  <c r="I395" i="37"/>
  <c r="G149" i="41"/>
  <c r="H149" i="37"/>
  <c r="J149" i="37"/>
  <c r="I149" i="37"/>
  <c r="G262" i="41"/>
  <c r="H262" i="37"/>
  <c r="I262" i="37"/>
  <c r="J262" i="37"/>
  <c r="J366" i="37"/>
  <c r="G44" i="41"/>
  <c r="I44" i="37"/>
  <c r="H44" i="37"/>
  <c r="J44" i="37"/>
  <c r="G68" i="41"/>
  <c r="I68" i="37"/>
  <c r="H68" i="37"/>
  <c r="J68" i="37"/>
  <c r="G158" i="41"/>
  <c r="H158" i="37"/>
  <c r="J158" i="37"/>
  <c r="I158" i="37"/>
  <c r="G215" i="41"/>
  <c r="H215" i="37"/>
  <c r="J215" i="37"/>
  <c r="I215" i="37"/>
  <c r="G319" i="41"/>
  <c r="H319" i="37"/>
  <c r="J319" i="37"/>
  <c r="I319" i="37"/>
  <c r="G346" i="41"/>
  <c r="H346" i="37"/>
  <c r="I346" i="37"/>
  <c r="J346" i="37"/>
  <c r="G122" i="41"/>
  <c r="H122" i="37"/>
  <c r="I122" i="37"/>
  <c r="G181" i="41"/>
  <c r="H181" i="37"/>
  <c r="J181" i="37"/>
  <c r="I181" i="37"/>
  <c r="G235" i="41"/>
  <c r="H235" i="37"/>
  <c r="I235" i="37"/>
  <c r="J235" i="37"/>
  <c r="G393" i="41"/>
  <c r="H393" i="37"/>
  <c r="I393" i="37"/>
  <c r="I70" i="37"/>
  <c r="H70" i="37"/>
  <c r="J70" i="37"/>
  <c r="G37" i="41"/>
  <c r="H37" i="37"/>
  <c r="I37" i="37"/>
  <c r="J37" i="37"/>
  <c r="G61" i="41"/>
  <c r="I61" i="37"/>
  <c r="H61" i="37"/>
  <c r="J61" i="37"/>
  <c r="G175" i="41"/>
  <c r="H175" i="37"/>
  <c r="I175" i="37"/>
  <c r="J175" i="37"/>
  <c r="G229" i="41"/>
  <c r="H229" i="37"/>
  <c r="I229" i="37"/>
  <c r="G277" i="41"/>
  <c r="H277" i="37"/>
  <c r="I277" i="37"/>
  <c r="J277" i="37"/>
  <c r="G334" i="41"/>
  <c r="H334" i="37"/>
  <c r="J334" i="37"/>
  <c r="I334" i="37"/>
  <c r="G62" i="41"/>
  <c r="H62" i="37"/>
  <c r="J62" i="37"/>
  <c r="I62" i="37"/>
  <c r="G230" i="41"/>
  <c r="H230" i="37"/>
  <c r="I230" i="37"/>
  <c r="G185" i="41"/>
  <c r="H185" i="37"/>
  <c r="I185" i="37"/>
  <c r="J185" i="37"/>
  <c r="G347" i="41"/>
  <c r="H347" i="37"/>
  <c r="I347" i="37"/>
  <c r="J347" i="37"/>
  <c r="G289" i="41"/>
  <c r="H289" i="37"/>
  <c r="I289" i="37"/>
  <c r="J289" i="37"/>
  <c r="G27" i="41"/>
  <c r="H27" i="37"/>
  <c r="J27" i="37"/>
  <c r="I27" i="37"/>
  <c r="G232" i="41"/>
  <c r="H232" i="37"/>
  <c r="I232" i="37"/>
  <c r="J232" i="37"/>
  <c r="G280" i="41"/>
  <c r="H280" i="37"/>
  <c r="J280" i="37"/>
  <c r="I280" i="37"/>
  <c r="G338" i="41"/>
  <c r="H338" i="37"/>
  <c r="I338" i="37"/>
  <c r="G388" i="41"/>
  <c r="H388" i="37"/>
  <c r="I388" i="37"/>
  <c r="J388" i="37"/>
  <c r="G362" i="41"/>
  <c r="H362" i="37"/>
  <c r="I362" i="37"/>
  <c r="J362" i="37"/>
  <c r="G51" i="41"/>
  <c r="H51" i="37"/>
  <c r="J51" i="37"/>
  <c r="I51" i="37"/>
  <c r="G178" i="41"/>
  <c r="H178" i="37"/>
  <c r="I178" i="37"/>
  <c r="G157" i="41"/>
  <c r="H157" i="37"/>
  <c r="J157" i="37"/>
  <c r="I157" i="37"/>
  <c r="G283" i="41"/>
  <c r="H283" i="37"/>
  <c r="I283" i="37"/>
  <c r="G342" i="41"/>
  <c r="H342" i="37"/>
  <c r="J342" i="37"/>
  <c r="I342" i="37"/>
  <c r="G391" i="41"/>
  <c r="H391" i="37"/>
  <c r="I391" i="37"/>
  <c r="J391" i="37"/>
  <c r="G378" i="41"/>
  <c r="H378" i="37"/>
  <c r="J378" i="37"/>
  <c r="I378" i="37"/>
  <c r="G65" i="41"/>
  <c r="H65" i="37"/>
  <c r="I65" i="37"/>
  <c r="J65" i="37"/>
  <c r="G260" i="41"/>
  <c r="H260" i="37"/>
  <c r="J260" i="37"/>
  <c r="I260" i="37"/>
  <c r="G66" i="41"/>
  <c r="H66" i="37"/>
  <c r="J66" i="37"/>
  <c r="I66" i="37"/>
  <c r="G314" i="41"/>
  <c r="H314" i="37"/>
  <c r="I314" i="37"/>
  <c r="G124" i="41"/>
  <c r="H124" i="37"/>
  <c r="I124" i="37"/>
  <c r="J124" i="37"/>
  <c r="G183" i="41"/>
  <c r="H183" i="37"/>
  <c r="I183" i="37"/>
  <c r="J183" i="37"/>
  <c r="G285" i="41"/>
  <c r="H285" i="37"/>
  <c r="I285" i="37"/>
  <c r="J285" i="37"/>
  <c r="G344" i="41"/>
  <c r="H344" i="37"/>
  <c r="J344" i="37"/>
  <c r="I344" i="37"/>
  <c r="G193" i="41"/>
  <c r="H193" i="37"/>
  <c r="I193" i="37"/>
  <c r="J193" i="37"/>
  <c r="G247" i="41"/>
  <c r="H247" i="37"/>
  <c r="I247" i="37"/>
  <c r="G355" i="41"/>
  <c r="H355" i="37"/>
  <c r="I355" i="37"/>
  <c r="J355" i="37"/>
  <c r="G179" i="41"/>
  <c r="H179" i="37"/>
  <c r="I179" i="37"/>
  <c r="G307" i="41"/>
  <c r="H307" i="37"/>
  <c r="I307" i="37"/>
  <c r="J307" i="37"/>
  <c r="G324" i="41"/>
  <c r="H324" i="37"/>
  <c r="I324" i="37"/>
  <c r="G31" i="41"/>
  <c r="H31" i="37"/>
  <c r="J31" i="37"/>
  <c r="I31" i="37"/>
  <c r="G55" i="41"/>
  <c r="H55" i="37"/>
  <c r="J55" i="37"/>
  <c r="I55" i="37"/>
  <c r="G128" i="41"/>
  <c r="H128" i="37"/>
  <c r="J128" i="37"/>
  <c r="I128" i="37"/>
  <c r="G288" i="41"/>
  <c r="H288" i="37"/>
  <c r="J288" i="37"/>
  <c r="I288" i="37"/>
  <c r="G187" i="41"/>
  <c r="H187" i="37"/>
  <c r="I187" i="37"/>
  <c r="G203" i="41"/>
  <c r="H203" i="37"/>
  <c r="J203" i="37"/>
  <c r="I203" i="37"/>
  <c r="G339" i="41"/>
  <c r="H339" i="37"/>
  <c r="I339" i="37"/>
  <c r="J338" i="37"/>
  <c r="G172" i="41"/>
  <c r="H172" i="37"/>
  <c r="I172" i="37"/>
  <c r="J172" i="37"/>
  <c r="G274" i="41"/>
  <c r="H274" i="37"/>
  <c r="I274" i="37"/>
  <c r="G330" i="41"/>
  <c r="H330" i="37"/>
  <c r="J330" i="37"/>
  <c r="I330" i="37"/>
  <c r="G394" i="41"/>
  <c r="H394" i="37"/>
  <c r="I394" i="37"/>
  <c r="G132" i="41"/>
  <c r="H132" i="37"/>
  <c r="I132" i="37"/>
  <c r="G189" i="41"/>
  <c r="H189" i="37"/>
  <c r="J189" i="37"/>
  <c r="I189" i="37"/>
  <c r="G291" i="41"/>
  <c r="H291" i="37"/>
  <c r="I291" i="37"/>
  <c r="G17" i="41"/>
  <c r="H17" i="37"/>
  <c r="I17" i="37"/>
  <c r="J17" i="37"/>
  <c r="G41" i="41"/>
  <c r="H41" i="37"/>
  <c r="I41" i="37"/>
  <c r="J41" i="37"/>
  <c r="G152" i="41"/>
  <c r="H152" i="37"/>
  <c r="I152" i="37"/>
  <c r="J152" i="37"/>
  <c r="G207" i="41"/>
  <c r="H207" i="37"/>
  <c r="I207" i="37"/>
  <c r="G311" i="41"/>
  <c r="H311" i="37"/>
  <c r="I311" i="37"/>
  <c r="J311" i="37"/>
  <c r="G368" i="41"/>
  <c r="H368" i="37"/>
  <c r="I368" i="37"/>
  <c r="G237" i="41"/>
  <c r="H237" i="37"/>
  <c r="I237" i="37"/>
  <c r="G286" i="41"/>
  <c r="H286" i="37"/>
  <c r="J286" i="37"/>
  <c r="I286" i="37"/>
  <c r="G138" i="41"/>
  <c r="H138" i="37"/>
  <c r="I138" i="37"/>
  <c r="J138" i="37"/>
  <c r="G295" i="41"/>
  <c r="H295" i="37"/>
  <c r="I295" i="37"/>
  <c r="J295" i="37"/>
  <c r="G186" i="41"/>
  <c r="H186" i="37"/>
  <c r="I186" i="37"/>
  <c r="G240" i="41"/>
  <c r="H240" i="37"/>
  <c r="I240" i="37"/>
  <c r="J240" i="37"/>
  <c r="G348" i="41"/>
  <c r="H348" i="37"/>
  <c r="I348" i="37"/>
  <c r="G396" i="41"/>
  <c r="H396" i="37"/>
  <c r="J396" i="37"/>
  <c r="I396" i="37"/>
  <c r="G397" i="41"/>
  <c r="H397" i="37"/>
  <c r="J397" i="37"/>
  <c r="I397" i="37"/>
  <c r="G233" i="41"/>
  <c r="H233" i="37"/>
  <c r="I233" i="37"/>
  <c r="J233" i="37"/>
  <c r="J247" i="37"/>
  <c r="J179" i="37"/>
  <c r="J291" i="37"/>
  <c r="G144" i="41"/>
  <c r="H144" i="37"/>
  <c r="I144" i="37"/>
  <c r="J144" i="37"/>
  <c r="G300" i="41"/>
  <c r="H300" i="37"/>
  <c r="I300" i="37"/>
  <c r="G54" i="41"/>
  <c r="H54" i="37"/>
  <c r="J54" i="37"/>
  <c r="I54" i="37"/>
  <c r="G239" i="41"/>
  <c r="H239" i="37"/>
  <c r="I239" i="37"/>
  <c r="G24" i="41"/>
  <c r="H24" i="37"/>
  <c r="I24" i="37"/>
  <c r="J24" i="37"/>
  <c r="G72" i="41"/>
  <c r="H72" i="37"/>
  <c r="I72" i="37"/>
  <c r="J72" i="37"/>
  <c r="G48" i="41"/>
  <c r="I48" i="37"/>
  <c r="H48" i="37"/>
  <c r="J48" i="37"/>
  <c r="G226" i="41"/>
  <c r="H226" i="37"/>
  <c r="J226" i="37"/>
  <c r="I226" i="37"/>
  <c r="G382" i="41"/>
  <c r="H382" i="37"/>
  <c r="I382" i="37"/>
  <c r="J382" i="37"/>
  <c r="G369" i="41"/>
  <c r="H369" i="37"/>
  <c r="I369" i="37"/>
  <c r="J369" i="37"/>
  <c r="G243" i="41"/>
  <c r="H243" i="37"/>
  <c r="J243" i="37"/>
  <c r="I243" i="37"/>
  <c r="G351" i="41"/>
  <c r="H351" i="37"/>
  <c r="I351" i="37"/>
  <c r="J351" i="37"/>
  <c r="G399" i="41"/>
  <c r="H399" i="37"/>
  <c r="I399" i="37"/>
  <c r="J399" i="37"/>
  <c r="G18" i="41"/>
  <c r="H18" i="37"/>
  <c r="I18" i="37"/>
  <c r="J18" i="37"/>
  <c r="G21" i="41"/>
  <c r="H21" i="37"/>
  <c r="I21" i="37"/>
  <c r="J21" i="37"/>
  <c r="G45" i="41"/>
  <c r="I45" i="37"/>
  <c r="H45" i="37"/>
  <c r="J45" i="37"/>
  <c r="G218" i="41"/>
  <c r="H218" i="37"/>
  <c r="I218" i="37"/>
  <c r="G268" i="41"/>
  <c r="H268" i="37"/>
  <c r="I268" i="37"/>
  <c r="J268" i="37"/>
  <c r="G322" i="41"/>
  <c r="H322" i="37"/>
  <c r="I322" i="37"/>
  <c r="J322" i="37"/>
  <c r="G370" i="41"/>
  <c r="H370" i="37"/>
  <c r="I370" i="37"/>
  <c r="J370" i="37"/>
  <c r="G245" i="41"/>
  <c r="H245" i="37"/>
  <c r="J245" i="37"/>
  <c r="I245" i="37"/>
  <c r="G353" i="41"/>
  <c r="H353" i="37"/>
  <c r="I353" i="37"/>
  <c r="J353" i="37"/>
  <c r="G201" i="41"/>
  <c r="H201" i="37"/>
  <c r="J201" i="37"/>
  <c r="I201" i="37"/>
  <c r="G255" i="41"/>
  <c r="H255" i="37"/>
  <c r="I255" i="37"/>
  <c r="G363" i="41"/>
  <c r="H363" i="37"/>
  <c r="I363" i="37"/>
  <c r="J363" i="37"/>
  <c r="G195" i="41"/>
  <c r="H195" i="37"/>
  <c r="I195" i="37"/>
  <c r="G328" i="41"/>
  <c r="H328" i="37"/>
  <c r="J328" i="37"/>
  <c r="I328" i="37"/>
  <c r="G386" i="41"/>
  <c r="H386" i="37"/>
  <c r="I386" i="37"/>
  <c r="G35" i="41"/>
  <c r="H35" i="37"/>
  <c r="I35" i="37"/>
  <c r="J35" i="37"/>
  <c r="G194" i="41"/>
  <c r="H194" i="37"/>
  <c r="I194" i="37"/>
  <c r="J194" i="37"/>
  <c r="G248" i="41"/>
  <c r="H248" i="37"/>
  <c r="I248" i="37"/>
  <c r="G356" i="41"/>
  <c r="H356" i="37"/>
  <c r="J356" i="37"/>
  <c r="I356" i="37"/>
  <c r="G214" i="41"/>
  <c r="H214" i="37"/>
  <c r="I214" i="37"/>
  <c r="J214" i="37"/>
  <c r="G365" i="41"/>
  <c r="H365" i="37"/>
  <c r="I365" i="37"/>
  <c r="J365" i="37"/>
  <c r="J132" i="37"/>
  <c r="J178" i="37"/>
  <c r="J237" i="37"/>
  <c r="J393" i="37"/>
  <c r="G20" i="41"/>
  <c r="I20" i="37"/>
  <c r="H20" i="37"/>
  <c r="J20" i="37"/>
  <c r="G266" i="41"/>
  <c r="H266" i="37"/>
  <c r="I266" i="37"/>
  <c r="G374" i="41"/>
  <c r="H374" i="37"/>
  <c r="J374" i="37"/>
  <c r="I374" i="37"/>
  <c r="G28" i="41"/>
  <c r="H28" i="37"/>
  <c r="I28" i="37"/>
  <c r="J28" i="37"/>
  <c r="G120" i="41"/>
  <c r="H120" i="37"/>
  <c r="I120" i="37"/>
  <c r="G234" i="41"/>
  <c r="H234" i="37"/>
  <c r="I234" i="37"/>
  <c r="J234" i="37"/>
  <c r="G282" i="41"/>
  <c r="H282" i="37"/>
  <c r="I282" i="37"/>
  <c r="G390" i="41"/>
  <c r="H390" i="37"/>
  <c r="I390" i="37"/>
  <c r="J390" i="37"/>
  <c r="G401" i="41"/>
  <c r="H401" i="37"/>
  <c r="I401" i="37"/>
  <c r="J401" i="37"/>
  <c r="G126" i="41"/>
  <c r="H126" i="37"/>
  <c r="I126" i="37"/>
  <c r="J126" i="37"/>
  <c r="G197" i="41"/>
  <c r="H197" i="37"/>
  <c r="I197" i="37"/>
  <c r="G359" i="41"/>
  <c r="H359" i="37"/>
  <c r="I359" i="37"/>
  <c r="G69" i="41"/>
  <c r="I69" i="37"/>
  <c r="H69" i="37"/>
  <c r="J69" i="37"/>
  <c r="G160" i="41"/>
  <c r="H160" i="37"/>
  <c r="J160" i="37"/>
  <c r="I160" i="37"/>
  <c r="G376" i="41"/>
  <c r="H376" i="37"/>
  <c r="I376" i="37"/>
  <c r="G14" i="41"/>
  <c r="H14" i="37"/>
  <c r="I14" i="37"/>
  <c r="J14" i="37"/>
  <c r="G135" i="41"/>
  <c r="H135" i="37"/>
  <c r="I135" i="37"/>
  <c r="G191" i="41"/>
  <c r="H191" i="37"/>
  <c r="I191" i="37"/>
  <c r="J191" i="37"/>
  <c r="G293" i="41"/>
  <c r="H293" i="37"/>
  <c r="I293" i="37"/>
  <c r="G354" i="41"/>
  <c r="H354" i="37"/>
  <c r="I354" i="37"/>
  <c r="J354" i="37"/>
  <c r="G147" i="41"/>
  <c r="H147" i="37"/>
  <c r="J147" i="37"/>
  <c r="I147" i="37"/>
  <c r="G304" i="41"/>
  <c r="H304" i="37"/>
  <c r="I304" i="37"/>
  <c r="J304" i="37"/>
  <c r="H11" i="37"/>
  <c r="I11" i="37"/>
  <c r="J11" i="37"/>
  <c r="G59" i="41"/>
  <c r="I59" i="37"/>
  <c r="H59" i="37"/>
  <c r="J59" i="37"/>
  <c r="G139" i="41"/>
  <c r="H139" i="37"/>
  <c r="I139" i="37"/>
  <c r="J139" i="37"/>
  <c r="G296" i="41"/>
  <c r="H296" i="37"/>
  <c r="I296" i="37"/>
  <c r="J296" i="37"/>
  <c r="G389" i="41"/>
  <c r="H389" i="37"/>
  <c r="J389" i="37"/>
  <c r="I389" i="37"/>
  <c r="G176" i="41"/>
  <c r="H176" i="37"/>
  <c r="I176" i="37"/>
  <c r="J176" i="37"/>
  <c r="J248" i="37"/>
  <c r="J282" i="37"/>
  <c r="J300" i="37"/>
  <c r="J239" i="37"/>
  <c r="J395" i="37"/>
  <c r="G40" i="41"/>
  <c r="H40" i="37"/>
  <c r="I40" i="37"/>
  <c r="J40" i="37"/>
  <c r="H13" i="37"/>
  <c r="I13" i="37"/>
  <c r="J13" i="37"/>
  <c r="G252" i="41"/>
  <c r="H252" i="37"/>
  <c r="J252" i="37"/>
  <c r="I252" i="37"/>
  <c r="G360" i="41"/>
  <c r="H360" i="37"/>
  <c r="J360" i="37"/>
  <c r="I360" i="37"/>
  <c r="G143" i="41"/>
  <c r="H143" i="37"/>
  <c r="J143" i="37"/>
  <c r="I143" i="37"/>
  <c r="G251" i="41"/>
  <c r="H251" i="37"/>
  <c r="I251" i="37"/>
  <c r="J251" i="37"/>
  <c r="G299" i="41"/>
  <c r="H299" i="37"/>
  <c r="I299" i="37"/>
  <c r="J299" i="37"/>
  <c r="G136" i="41"/>
  <c r="H136" i="37"/>
  <c r="I136" i="37"/>
  <c r="J136" i="37"/>
  <c r="G25" i="41"/>
  <c r="H25" i="37"/>
  <c r="I25" i="37"/>
  <c r="J25" i="37"/>
  <c r="G73" i="41"/>
  <c r="H73" i="37"/>
  <c r="I73" i="37"/>
  <c r="J73" i="37"/>
  <c r="G174" i="41"/>
  <c r="H174" i="37"/>
  <c r="I174" i="37"/>
  <c r="J174" i="37"/>
  <c r="G228" i="41"/>
  <c r="H228" i="37"/>
  <c r="I228" i="37"/>
  <c r="G276" i="41"/>
  <c r="H276" i="37"/>
  <c r="I276" i="37"/>
  <c r="J276" i="37"/>
  <c r="G332" i="41"/>
  <c r="H332" i="37"/>
  <c r="I332" i="37"/>
  <c r="J332" i="37"/>
  <c r="G145" i="41"/>
  <c r="H145" i="37"/>
  <c r="I145" i="37"/>
  <c r="J145" i="37"/>
  <c r="G199" i="41"/>
  <c r="H199" i="37"/>
  <c r="I199" i="37"/>
  <c r="J199" i="37"/>
  <c r="G253" i="41"/>
  <c r="H253" i="37"/>
  <c r="J253" i="37"/>
  <c r="I253" i="37"/>
  <c r="G361" i="41"/>
  <c r="H361" i="37"/>
  <c r="I361" i="37"/>
  <c r="J361" i="37"/>
  <c r="G155" i="41"/>
  <c r="H155" i="37"/>
  <c r="I155" i="37"/>
  <c r="G211" i="41"/>
  <c r="H211" i="37"/>
  <c r="J211" i="37"/>
  <c r="I211" i="37"/>
  <c r="G315" i="41"/>
  <c r="H315" i="37"/>
  <c r="I315" i="37"/>
  <c r="G371" i="41"/>
  <c r="H371" i="37"/>
  <c r="I371" i="37"/>
  <c r="J371" i="37"/>
  <c r="G224" i="41"/>
  <c r="H224" i="37"/>
  <c r="J224" i="37"/>
  <c r="I224" i="37"/>
  <c r="H15" i="37"/>
  <c r="I15" i="37"/>
  <c r="J15" i="37"/>
  <c r="G39" i="41"/>
  <c r="H39" i="37"/>
  <c r="J39" i="37"/>
  <c r="I39" i="37"/>
  <c r="G148" i="41"/>
  <c r="H148" i="37"/>
  <c r="J148" i="37"/>
  <c r="I148" i="37"/>
  <c r="G202" i="41"/>
  <c r="H202" i="37"/>
  <c r="I202" i="37"/>
  <c r="J202" i="37"/>
  <c r="G306" i="41"/>
  <c r="H306" i="37"/>
  <c r="I306" i="37"/>
  <c r="J306" i="37"/>
  <c r="G364" i="41"/>
  <c r="H364" i="37"/>
  <c r="I364" i="37"/>
  <c r="J364" i="37"/>
  <c r="G184" i="41"/>
  <c r="H184" i="37"/>
  <c r="J184" i="37"/>
  <c r="I184" i="37"/>
  <c r="G257" i="41"/>
  <c r="H257" i="37"/>
  <c r="I257" i="37"/>
  <c r="J195" i="37"/>
  <c r="J187" i="37"/>
  <c r="J303" i="37"/>
  <c r="J155" i="37"/>
  <c r="J394" i="37"/>
  <c r="G58" i="41"/>
  <c r="I58" i="37"/>
  <c r="H58" i="37"/>
  <c r="J58" i="37"/>
  <c r="G373" i="41"/>
  <c r="H373" i="37"/>
  <c r="I373" i="37"/>
  <c r="J373" i="37"/>
  <c r="G52" i="41"/>
  <c r="H52" i="37"/>
  <c r="I52" i="37"/>
  <c r="J52" i="37"/>
  <c r="G192" i="41"/>
  <c r="H192" i="37"/>
  <c r="I192" i="37"/>
  <c r="J192" i="37"/>
  <c r="G206" i="41"/>
  <c r="H206" i="37"/>
  <c r="I206" i="37"/>
  <c r="G310" i="41"/>
  <c r="H310" i="37"/>
  <c r="I310" i="37"/>
  <c r="J310" i="37"/>
  <c r="G26" i="41"/>
  <c r="H26" i="37"/>
  <c r="J26" i="37"/>
  <c r="I26" i="37"/>
  <c r="G49" i="41"/>
  <c r="I49" i="37"/>
  <c r="H49" i="37"/>
  <c r="J49" i="37"/>
  <c r="G384" i="41"/>
  <c r="H384" i="37"/>
  <c r="I384" i="37"/>
  <c r="G30" i="41"/>
  <c r="H30" i="37"/>
  <c r="I30" i="37"/>
  <c r="J30" i="37"/>
  <c r="G302" i="41"/>
  <c r="H302" i="37"/>
  <c r="I302" i="37"/>
  <c r="G22" i="41"/>
  <c r="H22" i="37"/>
  <c r="I22" i="37"/>
  <c r="J22" i="37"/>
  <c r="G263" i="41"/>
  <c r="H263" i="37"/>
  <c r="J263" i="37"/>
  <c r="I263" i="37"/>
  <c r="G357" i="41"/>
  <c r="H357" i="37"/>
  <c r="I357" i="37"/>
  <c r="G63" i="41"/>
  <c r="H63" i="37"/>
  <c r="I63" i="37"/>
  <c r="J63" i="37"/>
  <c r="G256" i="41"/>
  <c r="H256" i="37"/>
  <c r="I256" i="37"/>
  <c r="G249" i="41"/>
  <c r="H249" i="37"/>
  <c r="I249" i="37"/>
  <c r="J249" i="37"/>
  <c r="G265" i="41"/>
  <c r="H265" i="37"/>
  <c r="I265" i="37"/>
  <c r="G220" i="41"/>
  <c r="H220" i="37"/>
  <c r="J220" i="37"/>
  <c r="I220" i="37"/>
  <c r="J197" i="37"/>
  <c r="J283" i="37"/>
  <c r="J186" i="37"/>
  <c r="J218" i="37"/>
  <c r="J154" i="37"/>
  <c r="J315" i="37"/>
  <c r="G16" i="41"/>
  <c r="H16" i="37"/>
  <c r="I16" i="37"/>
  <c r="J16" i="37"/>
  <c r="G258" i="41"/>
  <c r="H258" i="37"/>
  <c r="I258" i="37"/>
  <c r="J258" i="37"/>
  <c r="G275" i="41"/>
  <c r="H275" i="37"/>
  <c r="I275" i="37"/>
  <c r="G335" i="41"/>
  <c r="H335" i="37"/>
  <c r="I335" i="37"/>
  <c r="J335" i="37"/>
  <c r="G198" i="41"/>
  <c r="H198" i="37"/>
  <c r="J198" i="37"/>
  <c r="I198" i="37"/>
  <c r="G246" i="41"/>
  <c r="H246" i="37"/>
  <c r="I246" i="37"/>
  <c r="G180" i="41"/>
  <c r="H180" i="37"/>
  <c r="J180" i="37"/>
  <c r="I180" i="37"/>
  <c r="G340" i="41"/>
  <c r="H340" i="37"/>
  <c r="J340" i="37"/>
  <c r="I340" i="37"/>
  <c r="G188" i="41"/>
  <c r="H188" i="37"/>
  <c r="I188" i="37"/>
  <c r="G290" i="41"/>
  <c r="H290" i="37"/>
  <c r="J290" i="37"/>
  <c r="I290" i="37"/>
  <c r="G350" i="41"/>
  <c r="H350" i="37"/>
  <c r="I350" i="37"/>
  <c r="G398" i="41"/>
  <c r="H398" i="37"/>
  <c r="J398" i="37"/>
  <c r="I398" i="37"/>
  <c r="G151" i="41"/>
  <c r="H151" i="37"/>
  <c r="I151" i="37"/>
  <c r="J151" i="37"/>
  <c r="G259" i="41"/>
  <c r="H259" i="37"/>
  <c r="J259" i="37"/>
  <c r="I259" i="37"/>
  <c r="G367" i="41"/>
  <c r="H367" i="37"/>
  <c r="I367" i="37"/>
  <c r="G38" i="41"/>
  <c r="H38" i="37"/>
  <c r="I38" i="37"/>
  <c r="J38" i="37"/>
  <c r="G210" i="41"/>
  <c r="H210" i="37"/>
  <c r="I210" i="37"/>
  <c r="J210" i="37"/>
  <c r="G29" i="41"/>
  <c r="H29" i="37"/>
  <c r="J29" i="37"/>
  <c r="I29" i="37"/>
  <c r="G123" i="41"/>
  <c r="H123" i="37"/>
  <c r="I123" i="37"/>
  <c r="G236" i="41"/>
  <c r="H236" i="37"/>
  <c r="I236" i="37"/>
  <c r="J236" i="37"/>
  <c r="G284" i="41"/>
  <c r="H284" i="37"/>
  <c r="I284" i="37"/>
  <c r="G392" i="41"/>
  <c r="H392" i="37"/>
  <c r="I392" i="37"/>
  <c r="J392" i="37"/>
  <c r="G377" i="41"/>
  <c r="H377" i="37"/>
  <c r="I377" i="37"/>
  <c r="G208" i="41"/>
  <c r="H208" i="37"/>
  <c r="I208" i="37"/>
  <c r="J208" i="37"/>
  <c r="G261" i="41"/>
  <c r="H261" i="37"/>
  <c r="I261" i="37"/>
  <c r="J261" i="37"/>
  <c r="G169" i="41"/>
  <c r="H169" i="37"/>
  <c r="I169" i="37"/>
  <c r="G271" i="41"/>
  <c r="H271" i="37"/>
  <c r="I271" i="37"/>
  <c r="J271" i="37"/>
  <c r="G241" i="41"/>
  <c r="H241" i="37"/>
  <c r="I241" i="37"/>
  <c r="J241" i="37"/>
  <c r="G381" i="41"/>
  <c r="H381" i="37"/>
  <c r="J381" i="37"/>
  <c r="I381" i="37"/>
  <c r="G19" i="41"/>
  <c r="H19" i="37"/>
  <c r="I19" i="37"/>
  <c r="J19" i="37"/>
  <c r="G67" i="41"/>
  <c r="H67" i="37"/>
  <c r="I67" i="37"/>
  <c r="J67" i="37"/>
  <c r="G156" i="41"/>
  <c r="H156" i="37"/>
  <c r="J156" i="37"/>
  <c r="I156" i="37"/>
  <c r="G264" i="41"/>
  <c r="H264" i="37"/>
  <c r="I264" i="37"/>
  <c r="G316" i="41"/>
  <c r="H316" i="37"/>
  <c r="I316" i="37"/>
  <c r="J316" i="37"/>
  <c r="G273" i="41"/>
  <c r="H273" i="37"/>
  <c r="I273" i="37"/>
  <c r="G238" i="41"/>
  <c r="H238" i="37"/>
  <c r="I238" i="37"/>
  <c r="J349" i="37"/>
  <c r="J376" i="37"/>
  <c r="J265" i="37"/>
  <c r="J257" i="37"/>
  <c r="J324" i="37"/>
  <c r="J314" i="37"/>
  <c r="G32" i="41"/>
  <c r="H32" i="37"/>
  <c r="I32" i="37"/>
  <c r="J32" i="37"/>
  <c r="G56" i="41"/>
  <c r="H56" i="37"/>
  <c r="I56" i="37"/>
  <c r="J56" i="37"/>
  <c r="G131" i="41"/>
  <c r="H131" i="37"/>
  <c r="J131" i="37"/>
  <c r="I131" i="37"/>
  <c r="G242" i="41"/>
  <c r="H242" i="37"/>
  <c r="I242" i="37"/>
  <c r="J242" i="37"/>
  <c r="G159" i="41"/>
  <c r="H159" i="37"/>
  <c r="J159" i="37"/>
  <c r="I159" i="37"/>
  <c r="G216" i="41"/>
  <c r="H216" i="37"/>
  <c r="I216" i="37"/>
  <c r="G267" i="41"/>
  <c r="H267" i="37"/>
  <c r="I267" i="37"/>
  <c r="J267" i="37"/>
  <c r="G375" i="41"/>
  <c r="H375" i="37"/>
  <c r="I375" i="37"/>
  <c r="G53" i="41"/>
  <c r="H53" i="37"/>
  <c r="J53" i="37"/>
  <c r="I53" i="37"/>
  <c r="G182" i="41"/>
  <c r="H182" i="37"/>
  <c r="J182" i="37"/>
  <c r="I182" i="37"/>
  <c r="G343" i="41"/>
  <c r="H343" i="37"/>
  <c r="J343" i="37"/>
  <c r="I343" i="37"/>
  <c r="G34" i="41"/>
  <c r="H34" i="37"/>
  <c r="I34" i="37"/>
  <c r="J34" i="37"/>
  <c r="G153" i="41"/>
  <c r="H153" i="37"/>
  <c r="I153" i="37"/>
  <c r="G312" i="41"/>
  <c r="H312" i="37"/>
  <c r="I312" i="37"/>
  <c r="G385" i="41"/>
  <c r="H385" i="37"/>
  <c r="I385" i="37"/>
  <c r="G42" i="41"/>
  <c r="H42" i="37"/>
  <c r="I42" i="37"/>
  <c r="J42" i="37"/>
  <c r="G222" i="41"/>
  <c r="H222" i="37"/>
  <c r="J222" i="37"/>
  <c r="I222" i="37"/>
  <c r="G326" i="41"/>
  <c r="H326" i="37"/>
  <c r="I326" i="37"/>
  <c r="G379" i="41"/>
  <c r="H379" i="37"/>
  <c r="J379" i="37"/>
  <c r="I379" i="37"/>
  <c r="G146" i="41"/>
  <c r="H146" i="37"/>
  <c r="I146" i="37"/>
  <c r="J146" i="37"/>
  <c r="G43" i="41"/>
  <c r="H43" i="37"/>
  <c r="I43" i="37"/>
  <c r="J43" i="37"/>
  <c r="G212" i="41"/>
  <c r="H212" i="37"/>
  <c r="I212" i="37"/>
  <c r="J212" i="37"/>
  <c r="G372" i="41"/>
  <c r="H372" i="37"/>
  <c r="J372" i="37"/>
  <c r="I372" i="37"/>
  <c r="G270" i="41"/>
  <c r="H270" i="37"/>
  <c r="J270" i="37"/>
  <c r="I270" i="37"/>
  <c r="J123" i="37"/>
  <c r="J350" i="37"/>
  <c r="J377" i="37"/>
  <c r="J266" i="37"/>
  <c r="J255" i="37"/>
  <c r="G127" i="41"/>
  <c r="H127" i="37"/>
  <c r="J127" i="37"/>
  <c r="I127" i="37"/>
  <c r="G287" i="41"/>
  <c r="H287" i="37"/>
  <c r="J287" i="37"/>
  <c r="I287" i="37"/>
  <c r="H12" i="37"/>
  <c r="I12" i="37"/>
  <c r="J12" i="37"/>
  <c r="G142" i="41"/>
  <c r="H142" i="37"/>
  <c r="J142" i="37"/>
  <c r="I142" i="37"/>
  <c r="G298" i="41"/>
  <c r="H298" i="37"/>
  <c r="I298" i="37"/>
  <c r="J298" i="37"/>
  <c r="G36" i="41"/>
  <c r="H36" i="37"/>
  <c r="I36" i="37"/>
  <c r="J36" i="37"/>
  <c r="G60" i="41"/>
  <c r="I60" i="37"/>
  <c r="H60" i="37"/>
  <c r="J60" i="37"/>
  <c r="G196" i="41"/>
  <c r="H196" i="37"/>
  <c r="I196" i="37"/>
  <c r="G250" i="41"/>
  <c r="H250" i="37"/>
  <c r="I250" i="37"/>
  <c r="J250" i="37"/>
  <c r="G358" i="41"/>
  <c r="H358" i="37"/>
  <c r="I358" i="37"/>
  <c r="G254" i="41"/>
  <c r="H254" i="37"/>
  <c r="J254" i="37"/>
  <c r="I254" i="37"/>
  <c r="G320" i="41"/>
  <c r="H320" i="37"/>
  <c r="I320" i="37"/>
  <c r="J320" i="37"/>
  <c r="G278" i="41"/>
  <c r="H278" i="37"/>
  <c r="I278" i="37"/>
  <c r="J278" i="37"/>
  <c r="H57" i="37"/>
  <c r="I57" i="37"/>
  <c r="J57" i="37"/>
  <c r="G134" i="41"/>
  <c r="H134" i="37"/>
  <c r="I134" i="37"/>
  <c r="G190" i="41"/>
  <c r="H190" i="37"/>
  <c r="J190" i="37"/>
  <c r="I190" i="37"/>
  <c r="G292" i="41"/>
  <c r="H292" i="37"/>
  <c r="I292" i="37"/>
  <c r="G352" i="41"/>
  <c r="H352" i="37"/>
  <c r="I352" i="37"/>
  <c r="J352" i="37"/>
  <c r="G168" i="41"/>
  <c r="H168" i="37"/>
  <c r="I168" i="37"/>
  <c r="G219" i="41"/>
  <c r="H219" i="37"/>
  <c r="I219" i="37"/>
  <c r="G323" i="41"/>
  <c r="H323" i="37"/>
  <c r="I323" i="37"/>
  <c r="J323" i="37"/>
  <c r="G177" i="41"/>
  <c r="H177" i="37"/>
  <c r="I177" i="37"/>
  <c r="G387" i="41"/>
  <c r="H387" i="37"/>
  <c r="J387" i="37"/>
  <c r="I387" i="37"/>
  <c r="G23" i="41"/>
  <c r="H23" i="37"/>
  <c r="I23" i="37"/>
  <c r="J23" i="37"/>
  <c r="G47" i="41"/>
  <c r="I47" i="37"/>
  <c r="H47" i="37"/>
  <c r="J47" i="37"/>
  <c r="G170" i="41"/>
  <c r="H170" i="37"/>
  <c r="I170" i="37"/>
  <c r="G272" i="41"/>
  <c r="H272" i="37"/>
  <c r="I272" i="37"/>
  <c r="J272" i="37"/>
  <c r="G327" i="41"/>
  <c r="H327" i="37"/>
  <c r="I327" i="37"/>
  <c r="G294" i="41"/>
  <c r="H294" i="37"/>
  <c r="I294" i="37"/>
  <c r="J294" i="37"/>
  <c r="G140" i="41"/>
  <c r="H140" i="37"/>
  <c r="I140" i="37"/>
  <c r="J140" i="37"/>
  <c r="G297" i="41"/>
  <c r="H297" i="37"/>
  <c r="I297" i="37"/>
  <c r="J297" i="37"/>
  <c r="J348" i="37"/>
  <c r="J375" i="37"/>
  <c r="J273" i="37"/>
  <c r="J256" i="37"/>
  <c r="J229" i="37"/>
  <c r="J312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46" i="41"/>
  <c r="H162" i="41"/>
  <c r="J440" i="41"/>
  <c r="H441" i="41"/>
  <c r="I446" i="41"/>
  <c r="I436" i="41"/>
  <c r="H450" i="41"/>
  <c r="J436" i="41"/>
  <c r="J447" i="41"/>
  <c r="I163" i="41"/>
  <c r="J450" i="41"/>
  <c r="H440" i="41"/>
  <c r="I313" i="58"/>
  <c r="G10" i="66"/>
  <c r="H429" i="37"/>
  <c r="G112" i="66"/>
  <c r="J427" i="37"/>
  <c r="J428" i="37"/>
  <c r="G124" i="66"/>
  <c r="N124" i="66" s="1"/>
  <c r="I425" i="58"/>
  <c r="G239" i="66"/>
  <c r="I363" i="58"/>
  <c r="I395" i="58"/>
  <c r="J141" i="58"/>
  <c r="I230" i="58"/>
  <c r="H420" i="37"/>
  <c r="G24" i="66"/>
  <c r="C34" i="63"/>
  <c r="G231" i="66"/>
  <c r="I424" i="58"/>
  <c r="G187" i="66"/>
  <c r="N187" i="66" s="1"/>
  <c r="H431" i="58"/>
  <c r="I455" i="41"/>
  <c r="E358" i="38"/>
  <c r="K59" i="66" s="1"/>
  <c r="G223" i="66"/>
  <c r="I426" i="58"/>
  <c r="G165" i="66"/>
  <c r="N165" i="66" s="1"/>
  <c r="H432" i="58"/>
  <c r="G183" i="66"/>
  <c r="H424" i="58"/>
  <c r="G46" i="41"/>
  <c r="G29" i="66"/>
  <c r="H423" i="37"/>
  <c r="H430" i="37"/>
  <c r="G17" i="66"/>
  <c r="E386" i="38"/>
  <c r="J422" i="58"/>
  <c r="G281" i="66"/>
  <c r="G163" i="66"/>
  <c r="H419" i="58"/>
  <c r="G279" i="66"/>
  <c r="J424" i="58"/>
  <c r="I361" i="58"/>
  <c r="I162" i="58"/>
  <c r="H404" i="58"/>
  <c r="F174" i="66" s="1"/>
  <c r="N174" i="66" s="1"/>
  <c r="G175" i="66"/>
  <c r="N175" i="66" s="1"/>
  <c r="H426" i="58"/>
  <c r="J208" i="58"/>
  <c r="J341" i="58"/>
  <c r="I235" i="58"/>
  <c r="J162" i="58"/>
  <c r="H251" i="58"/>
  <c r="H420" i="58"/>
  <c r="G168" i="66"/>
  <c r="H8" i="41"/>
  <c r="C7" i="63"/>
  <c r="G43" i="66"/>
  <c r="N43" i="66" s="1"/>
  <c r="H431" i="37"/>
  <c r="G220" i="66"/>
  <c r="I428" i="58"/>
  <c r="G259" i="66"/>
  <c r="J419" i="58"/>
  <c r="G100" i="66"/>
  <c r="J421" i="37"/>
  <c r="H163" i="41"/>
  <c r="G264" i="66"/>
  <c r="J420" i="58"/>
  <c r="I447" i="41"/>
  <c r="H430" i="58"/>
  <c r="G161" i="66"/>
  <c r="E389" i="38"/>
  <c r="G47" i="66"/>
  <c r="N47" i="66" s="1"/>
  <c r="H425" i="37"/>
  <c r="E391" i="38"/>
  <c r="J430" i="58"/>
  <c r="G257" i="66"/>
  <c r="H418" i="58"/>
  <c r="G169" i="66"/>
  <c r="G125" i="66"/>
  <c r="J423" i="37"/>
  <c r="G19" i="66"/>
  <c r="H419" i="37"/>
  <c r="G135" i="66"/>
  <c r="J424" i="37"/>
  <c r="J181" i="58"/>
  <c r="J292" i="58"/>
  <c r="I157" i="58"/>
  <c r="I283" i="58"/>
  <c r="H175" i="58"/>
  <c r="J276" i="58"/>
  <c r="H152" i="58"/>
  <c r="I421" i="37"/>
  <c r="G52" i="66"/>
  <c r="H428" i="37"/>
  <c r="G28" i="66"/>
  <c r="N28" i="66" s="1"/>
  <c r="G154" i="66"/>
  <c r="H429" i="58"/>
  <c r="G76" i="66"/>
  <c r="I428" i="37"/>
  <c r="G115" i="66"/>
  <c r="J419" i="37"/>
  <c r="J421" i="58"/>
  <c r="G244" i="66"/>
  <c r="G120" i="66"/>
  <c r="J420" i="37"/>
  <c r="H425" i="58"/>
  <c r="G191" i="66"/>
  <c r="N191" i="66" s="1"/>
  <c r="G113" i="66"/>
  <c r="E388" i="38"/>
  <c r="J430" i="37"/>
  <c r="H418" i="37"/>
  <c r="G25" i="66"/>
  <c r="J423" i="58"/>
  <c r="G269" i="66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58"/>
  <c r="G77" i="66"/>
  <c r="I423" i="37"/>
  <c r="I419" i="58"/>
  <c r="G211" i="66"/>
  <c r="E359" i="38"/>
  <c r="K57" i="66" s="1"/>
  <c r="I456" i="41"/>
  <c r="E382" i="38"/>
  <c r="K251" i="66" s="1"/>
  <c r="N251" i="66" s="1"/>
  <c r="E380" i="38"/>
  <c r="K285" i="66" s="1"/>
  <c r="N285" i="66" s="1"/>
  <c r="E381" i="38"/>
  <c r="K267" i="66" s="1"/>
  <c r="N267" i="66" s="1"/>
  <c r="J456" i="58"/>
  <c r="E383" i="38" s="1"/>
  <c r="K249" i="66" s="1"/>
  <c r="N249" i="66" s="1"/>
  <c r="J456" i="37"/>
  <c r="G69" i="66"/>
  <c r="I432" i="37"/>
  <c r="G256" i="66"/>
  <c r="J427" i="58"/>
  <c r="G268" i="66"/>
  <c r="N268" i="66" s="1"/>
  <c r="J428" i="58"/>
  <c r="J441" i="41"/>
  <c r="G31" i="66"/>
  <c r="N31" i="66" s="1"/>
  <c r="H426" i="37"/>
  <c r="G283" i="66"/>
  <c r="N283" i="66" s="1"/>
  <c r="J431" i="58"/>
  <c r="G11" i="41"/>
  <c r="G91" i="66"/>
  <c r="I431" i="37"/>
  <c r="H438" i="41"/>
  <c r="J451" i="41"/>
  <c r="I213" i="58"/>
  <c r="I379" i="58"/>
  <c r="I423" i="58"/>
  <c r="G221" i="66"/>
  <c r="G72" i="66"/>
  <c r="I420" i="37"/>
  <c r="G67" i="66"/>
  <c r="I419" i="37"/>
  <c r="E357" i="38"/>
  <c r="K75" i="66" s="1"/>
  <c r="I454" i="41"/>
  <c r="G70" i="41"/>
  <c r="H422" i="58"/>
  <c r="G185" i="66"/>
  <c r="G13" i="41"/>
  <c r="G233" i="66"/>
  <c r="I422" i="58"/>
  <c r="C16" i="63"/>
  <c r="I8" i="41"/>
  <c r="E387" i="38"/>
  <c r="G65" i="66"/>
  <c r="I430" i="37"/>
  <c r="I427" i="37"/>
  <c r="G64" i="66"/>
  <c r="G15" i="41"/>
  <c r="G235" i="66"/>
  <c r="I431" i="58"/>
  <c r="H428" i="58"/>
  <c r="G172" i="66"/>
  <c r="N172" i="66" s="1"/>
  <c r="I453" i="41"/>
  <c r="E356" i="38"/>
  <c r="K93" i="66" s="1"/>
  <c r="J235" i="58"/>
  <c r="H290" i="58"/>
  <c r="J8" i="58"/>
  <c r="G143" i="66"/>
  <c r="J425" i="37"/>
  <c r="G12" i="41"/>
  <c r="G216" i="66"/>
  <c r="I420" i="58"/>
  <c r="G148" i="66"/>
  <c r="H421" i="58"/>
  <c r="G127" i="66"/>
  <c r="J426" i="37"/>
  <c r="G41" i="66"/>
  <c r="H422" i="37"/>
  <c r="I13" i="58"/>
  <c r="J13" i="58"/>
  <c r="H13" i="58"/>
  <c r="G89" i="66"/>
  <c r="I422" i="37"/>
  <c r="E259" i="38"/>
  <c r="G214" i="66" s="1"/>
  <c r="D18" i="34"/>
  <c r="E214" i="38"/>
  <c r="J438" i="41"/>
  <c r="C43" i="63"/>
  <c r="G209" i="66"/>
  <c r="I430" i="58"/>
  <c r="E390" i="38"/>
  <c r="H451" i="41"/>
  <c r="G208" i="66"/>
  <c r="I427" i="58"/>
  <c r="H436" i="41"/>
  <c r="G196" i="66"/>
  <c r="I421" i="58"/>
  <c r="G213" i="66"/>
  <c r="I432" i="58"/>
  <c r="G57" i="41"/>
  <c r="I418" i="37"/>
  <c r="J230" i="58"/>
  <c r="J266" i="58"/>
  <c r="I208" i="58"/>
  <c r="I298" i="58"/>
  <c r="I256" i="58"/>
  <c r="I441" i="41"/>
  <c r="G287" i="66"/>
  <c r="N287" i="66" s="1"/>
  <c r="J425" i="58"/>
  <c r="J12" i="58"/>
  <c r="H12" i="58"/>
  <c r="I12" i="58"/>
  <c r="G87" i="66"/>
  <c r="I424" i="37"/>
  <c r="H421" i="37"/>
  <c r="G4" i="66"/>
  <c r="G271" i="66"/>
  <c r="N271" i="66" s="1"/>
  <c r="J426" i="58"/>
  <c r="G79" i="66"/>
  <c r="I426" i="37"/>
  <c r="G21" i="66"/>
  <c r="N21" i="66" s="1"/>
  <c r="H432" i="37"/>
  <c r="J446" i="41"/>
  <c r="H424" i="37"/>
  <c r="G39" i="66"/>
  <c r="G173" i="66"/>
  <c r="H423" i="58"/>
  <c r="G137" i="66"/>
  <c r="J422" i="37"/>
  <c r="I438" i="41"/>
  <c r="H447" i="41"/>
  <c r="I450" i="41"/>
  <c r="J163" i="41"/>
  <c r="I440" i="41"/>
  <c r="I451" i="41"/>
  <c r="J403" i="37" l="1"/>
  <c r="J402" i="37"/>
  <c r="I403" i="37"/>
  <c r="I402" i="37"/>
  <c r="H403" i="37"/>
  <c r="H402" i="37"/>
  <c r="N57" i="66"/>
  <c r="O201" i="66" s="1"/>
  <c r="Q201" i="66" s="1"/>
  <c r="R201" i="66" s="1"/>
  <c r="T201" i="66" s="1"/>
  <c r="N75" i="66"/>
  <c r="Z75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24" i="41"/>
  <c r="G73" i="66"/>
  <c r="I418" i="58"/>
  <c r="I418" i="41" s="1"/>
  <c r="G217" i="66"/>
  <c r="J419" i="41"/>
  <c r="Q155" i="66"/>
  <c r="Q171" i="66"/>
  <c r="Q27" i="66"/>
  <c r="Q11" i="66"/>
  <c r="Q9" i="66"/>
  <c r="Q45" i="66"/>
  <c r="H424" i="41"/>
  <c r="H418" i="41"/>
  <c r="I428" i="41"/>
  <c r="I426" i="41"/>
  <c r="I363" i="41"/>
  <c r="I425" i="41"/>
  <c r="J141" i="41"/>
  <c r="H432" i="41"/>
  <c r="O191" i="66"/>
  <c r="Q191" i="66" s="1"/>
  <c r="H419" i="41"/>
  <c r="H422" i="41"/>
  <c r="J235" i="41"/>
  <c r="J420" i="41"/>
  <c r="I420" i="41"/>
  <c r="H175" i="41"/>
  <c r="J181" i="41"/>
  <c r="I213" i="41"/>
  <c r="J431" i="41"/>
  <c r="I422" i="41"/>
  <c r="J432" i="41"/>
  <c r="H290" i="41"/>
  <c r="H431" i="41"/>
  <c r="J424" i="41"/>
  <c r="I313" i="41"/>
  <c r="H152" i="41"/>
  <c r="I361" i="41"/>
  <c r="I208" i="41"/>
  <c r="H423" i="41"/>
  <c r="J292" i="41"/>
  <c r="I235" i="41"/>
  <c r="J428" i="41"/>
  <c r="I427" i="41"/>
  <c r="J230" i="41"/>
  <c r="I423" i="41"/>
  <c r="J422" i="41"/>
  <c r="I283" i="41"/>
  <c r="H251" i="41"/>
  <c r="H285" i="58"/>
  <c r="H365" i="58"/>
  <c r="J327" i="58"/>
  <c r="I356" i="58"/>
  <c r="I243" i="58"/>
  <c r="I140" i="58"/>
  <c r="I137" i="58"/>
  <c r="H387" i="58"/>
  <c r="H319" i="58"/>
  <c r="H236" i="58"/>
  <c r="J172" i="58"/>
  <c r="I310" i="58"/>
  <c r="H375" i="58"/>
  <c r="I287" i="58"/>
  <c r="I152" i="58"/>
  <c r="I207" i="58"/>
  <c r="H232" i="58"/>
  <c r="I380" i="58"/>
  <c r="H253" i="58"/>
  <c r="I227" i="58"/>
  <c r="H280" i="58"/>
  <c r="H346" i="58"/>
  <c r="J335" i="58"/>
  <c r="H371" i="58"/>
  <c r="I228" i="58"/>
  <c r="H208" i="58"/>
  <c r="I144" i="58"/>
  <c r="J140" i="58"/>
  <c r="I337" i="58"/>
  <c r="I294" i="58"/>
  <c r="J137" i="58"/>
  <c r="J344" i="58"/>
  <c r="H348" i="58"/>
  <c r="J174" i="58"/>
  <c r="J328" i="58"/>
  <c r="H369" i="58"/>
  <c r="H123" i="58"/>
  <c r="I400" i="58"/>
  <c r="H262" i="58"/>
  <c r="H149" i="58"/>
  <c r="H264" i="58"/>
  <c r="J151" i="58"/>
  <c r="H197" i="58"/>
  <c r="H353" i="58"/>
  <c r="J155" i="58"/>
  <c r="I277" i="58"/>
  <c r="I145" i="58"/>
  <c r="I175" i="58"/>
  <c r="J206" i="58"/>
  <c r="H314" i="58"/>
  <c r="I203" i="58"/>
  <c r="I141" i="58"/>
  <c r="J266" i="41"/>
  <c r="I379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O175" i="66"/>
  <c r="I395" i="41"/>
  <c r="J427" i="41"/>
  <c r="H239" i="58"/>
  <c r="H170" i="58"/>
  <c r="J164" i="58"/>
  <c r="H367" i="58"/>
  <c r="I155" i="58"/>
  <c r="I326" i="58"/>
  <c r="J144" i="58"/>
  <c r="J267" i="58"/>
  <c r="J305" i="58"/>
  <c r="J384" i="58"/>
  <c r="J189" i="58"/>
  <c r="J228" i="58"/>
  <c r="H129" i="58"/>
  <c r="J146" i="58"/>
  <c r="H315" i="58"/>
  <c r="H209" i="58"/>
  <c r="H254" i="58"/>
  <c r="I211" i="58"/>
  <c r="H161" i="58"/>
  <c r="J319" i="58"/>
  <c r="J282" i="58"/>
  <c r="Z43" i="66"/>
  <c r="Y43" i="66"/>
  <c r="Y187" i="66"/>
  <c r="Z187" i="66"/>
  <c r="I226" i="58"/>
  <c r="H138" i="58"/>
  <c r="J184" i="58"/>
  <c r="I164" i="58"/>
  <c r="J122" i="58"/>
  <c r="H133" i="58"/>
  <c r="I331" i="58"/>
  <c r="J154" i="58"/>
  <c r="H176" i="58"/>
  <c r="I335" i="58"/>
  <c r="H198" i="58"/>
  <c r="I384" i="58"/>
  <c r="I340" i="58"/>
  <c r="J224" i="58"/>
  <c r="H291" i="58"/>
  <c r="H132" i="58"/>
  <c r="H224" i="58"/>
  <c r="J291" i="58"/>
  <c r="J345" i="58"/>
  <c r="I153" i="58"/>
  <c r="I321" i="58"/>
  <c r="I305" i="58"/>
  <c r="J288" i="58"/>
  <c r="I217" i="58"/>
  <c r="I231" i="58"/>
  <c r="J186" i="58"/>
  <c r="I151" i="58"/>
  <c r="J207" i="58"/>
  <c r="H258" i="58"/>
  <c r="I233" i="58"/>
  <c r="J349" i="58"/>
  <c r="H300" i="58"/>
  <c r="J367" i="58"/>
  <c r="I170" i="58"/>
  <c r="H339" i="58"/>
  <c r="J275" i="58"/>
  <c r="J199" i="58"/>
  <c r="H223" i="58"/>
  <c r="I229" i="58"/>
  <c r="J306" i="58"/>
  <c r="H345" i="58"/>
  <c r="J368" i="58"/>
  <c r="J169" i="58"/>
  <c r="H120" i="58"/>
  <c r="J307" i="58"/>
  <c r="J226" i="58"/>
  <c r="I257" i="58"/>
  <c r="J363" i="58"/>
  <c r="H395" i="58"/>
  <c r="J147" i="58"/>
  <c r="J152" i="58"/>
  <c r="J256" i="58"/>
  <c r="I386" i="58"/>
  <c r="J382" i="58"/>
  <c r="J236" i="58"/>
  <c r="J196" i="58"/>
  <c r="H384" i="58"/>
  <c r="H305" i="58"/>
  <c r="J271" i="58"/>
  <c r="I346" i="58"/>
  <c r="J374" i="58"/>
  <c r="J391" i="58"/>
  <c r="H167" i="58"/>
  <c r="H222" i="58"/>
  <c r="I330" i="58"/>
  <c r="H202" i="58"/>
  <c r="J126" i="58"/>
  <c r="J211" i="58"/>
  <c r="H195" i="58"/>
  <c r="H137" i="58"/>
  <c r="J272" i="58"/>
  <c r="J339" i="58"/>
  <c r="J123" i="58"/>
  <c r="H214" i="58"/>
  <c r="H134" i="58"/>
  <c r="H282" i="58"/>
  <c r="H145" i="58"/>
  <c r="I149" i="58"/>
  <c r="H242" i="58"/>
  <c r="H392" i="58"/>
  <c r="H245" i="58"/>
  <c r="H397" i="58"/>
  <c r="J351" i="58"/>
  <c r="I369" i="58"/>
  <c r="I186" i="58"/>
  <c r="H189" i="58"/>
  <c r="I328" i="58"/>
  <c r="I129" i="58"/>
  <c r="J183" i="58"/>
  <c r="J375" i="58"/>
  <c r="I381" i="58"/>
  <c r="J360" i="58"/>
  <c r="I324" i="58"/>
  <c r="H166" i="58"/>
  <c r="J221" i="58"/>
  <c r="I279" i="58"/>
  <c r="J304" i="58"/>
  <c r="J124" i="58"/>
  <c r="I124" i="58"/>
  <c r="J317" i="58"/>
  <c r="I291" i="58"/>
  <c r="H288" i="58"/>
  <c r="I261" i="58"/>
  <c r="J354" i="58"/>
  <c r="J133" i="58"/>
  <c r="I121" i="58"/>
  <c r="J258" i="58"/>
  <c r="I216" i="58"/>
  <c r="H180" i="58"/>
  <c r="I387" i="58"/>
  <c r="J380" i="58"/>
  <c r="J218" i="58"/>
  <c r="I338" i="58"/>
  <c r="J392" i="58"/>
  <c r="H271" i="58"/>
  <c r="I188" i="58"/>
  <c r="J203" i="58"/>
  <c r="I238" i="58"/>
  <c r="I353" i="58"/>
  <c r="H382" i="58"/>
  <c r="H295" i="58"/>
  <c r="I202" i="58"/>
  <c r="H349" i="58"/>
  <c r="I382" i="58"/>
  <c r="H226" i="58"/>
  <c r="H155" i="58"/>
  <c r="J161" i="58"/>
  <c r="I179" i="58"/>
  <c r="H142" i="58"/>
  <c r="H328" i="58"/>
  <c r="H306" i="58"/>
  <c r="J200" i="58"/>
  <c r="J289" i="58"/>
  <c r="I210" i="58"/>
  <c r="J227" i="58"/>
  <c r="H204" i="58"/>
  <c r="H199" i="58"/>
  <c r="I359" i="58"/>
  <c r="H307" i="58"/>
  <c r="H275" i="58"/>
  <c r="H196" i="58"/>
  <c r="H122" i="58"/>
  <c r="H343" i="58"/>
  <c r="H390" i="58"/>
  <c r="J326" i="58"/>
  <c r="I251" i="58"/>
  <c r="J213" i="58"/>
  <c r="J385" i="58"/>
  <c r="J225" i="58"/>
  <c r="I375" i="58"/>
  <c r="J401" i="58"/>
  <c r="H287" i="58"/>
  <c r="I256" i="41"/>
  <c r="M208" i="66"/>
  <c r="I468" i="58"/>
  <c r="F209" i="66" s="1"/>
  <c r="I469" i="58"/>
  <c r="F202" i="66" s="1"/>
  <c r="I470" i="58"/>
  <c r="J425" i="41"/>
  <c r="J13" i="41"/>
  <c r="Z175" i="66"/>
  <c r="Z31" i="66"/>
  <c r="Y31" i="66"/>
  <c r="O31" i="66"/>
  <c r="Y175" i="66"/>
  <c r="H428" i="41"/>
  <c r="H425" i="41"/>
  <c r="J421" i="41"/>
  <c r="M16" i="66"/>
  <c r="H469" i="37"/>
  <c r="H470" i="37"/>
  <c r="H468" i="37"/>
  <c r="H173" i="58"/>
  <c r="H130" i="58"/>
  <c r="J149" i="58"/>
  <c r="J365" i="58"/>
  <c r="H237" i="58"/>
  <c r="I396" i="58"/>
  <c r="I166" i="58"/>
  <c r="I273" i="58"/>
  <c r="J259" i="58"/>
  <c r="H376" i="58"/>
  <c r="J260" i="58"/>
  <c r="H292" i="58"/>
  <c r="I289" i="58"/>
  <c r="H327" i="58"/>
  <c r="I286" i="58"/>
  <c r="H140" i="58"/>
  <c r="H400" i="58"/>
  <c r="H370" i="58"/>
  <c r="I355" i="58"/>
  <c r="J241" i="58"/>
  <c r="J299" i="58"/>
  <c r="J378" i="58"/>
  <c r="H165" i="58"/>
  <c r="I374" i="58"/>
  <c r="H334" i="58"/>
  <c r="H284" i="58"/>
  <c r="H188" i="58"/>
  <c r="H396" i="58"/>
  <c r="I259" i="58"/>
  <c r="J356" i="58"/>
  <c r="I268" i="58"/>
  <c r="I199" i="58"/>
  <c r="I319" i="58"/>
  <c r="J240" i="58"/>
  <c r="J298" i="58"/>
  <c r="I376" i="58"/>
  <c r="J388" i="58"/>
  <c r="J355" i="58"/>
  <c r="H299" i="58"/>
  <c r="H200" i="58"/>
  <c r="H362" i="58"/>
  <c r="I343" i="58"/>
  <c r="J386" i="58"/>
  <c r="I311" i="58"/>
  <c r="I271" i="58"/>
  <c r="H298" i="58"/>
  <c r="H286" i="58"/>
  <c r="J202" i="58"/>
  <c r="I349" i="58"/>
  <c r="I339" i="58"/>
  <c r="H267" i="58"/>
  <c r="H192" i="58"/>
  <c r="J297" i="58"/>
  <c r="I354" i="58"/>
  <c r="H393" i="58"/>
  <c r="H159" i="58"/>
  <c r="I270" i="58"/>
  <c r="H252" i="58"/>
  <c r="J156" i="58"/>
  <c r="J348" i="58"/>
  <c r="I366" i="58"/>
  <c r="J321" i="58"/>
  <c r="I267" i="58"/>
  <c r="J399" i="58"/>
  <c r="J166" i="58"/>
  <c r="I237" i="58"/>
  <c r="J249" i="58"/>
  <c r="I393" i="58"/>
  <c r="H340" i="58"/>
  <c r="J261" i="58"/>
  <c r="I234" i="58"/>
  <c r="H270" i="58"/>
  <c r="I204" i="58"/>
  <c r="J329" i="58"/>
  <c r="J121" i="58"/>
  <c r="H321" i="58"/>
  <c r="J201" i="58"/>
  <c r="I201" i="58"/>
  <c r="J393" i="58"/>
  <c r="I316" i="58"/>
  <c r="I371" i="58"/>
  <c r="H356" i="58"/>
  <c r="J361" i="58"/>
  <c r="H179" i="58"/>
  <c r="H332" i="58"/>
  <c r="J145" i="58"/>
  <c r="I178" i="58"/>
  <c r="J222" i="58"/>
  <c r="J283" i="58"/>
  <c r="H234" i="58"/>
  <c r="H121" i="58"/>
  <c r="J287" i="58"/>
  <c r="J138" i="58"/>
  <c r="J362" i="58"/>
  <c r="H283" i="58"/>
  <c r="H230" i="58"/>
  <c r="J394" i="58"/>
  <c r="J178" i="58"/>
  <c r="I184" i="58"/>
  <c r="H178" i="58"/>
  <c r="H331" i="58"/>
  <c r="H377" i="58"/>
  <c r="I193" i="58"/>
  <c r="J182" i="58"/>
  <c r="H311" i="58"/>
  <c r="H203" i="58"/>
  <c r="I244" i="58"/>
  <c r="J274" i="58"/>
  <c r="I350" i="58"/>
  <c r="J158" i="58"/>
  <c r="H235" i="58"/>
  <c r="H191" i="58"/>
  <c r="H309" i="58"/>
  <c r="J397" i="58"/>
  <c r="H228" i="58"/>
  <c r="I296" i="58"/>
  <c r="I325" i="58"/>
  <c r="J357" i="58"/>
  <c r="J379" i="58"/>
  <c r="I292" i="58"/>
  <c r="J197" i="58"/>
  <c r="H12" i="41"/>
  <c r="E229" i="38"/>
  <c r="E274" i="38"/>
  <c r="E18" i="34"/>
  <c r="N143" i="66"/>
  <c r="H13" i="41"/>
  <c r="I419" i="41"/>
  <c r="I11" i="41"/>
  <c r="E363" i="38"/>
  <c r="K123" i="66" s="1"/>
  <c r="N123" i="66" s="1"/>
  <c r="O267" i="66" s="1"/>
  <c r="J454" i="41"/>
  <c r="Y191" i="66"/>
  <c r="Z47" i="66"/>
  <c r="O47" i="66"/>
  <c r="Z191" i="66"/>
  <c r="Y47" i="66"/>
  <c r="J341" i="41"/>
  <c r="H429" i="41"/>
  <c r="J290" i="58"/>
  <c r="H391" i="58"/>
  <c r="J239" i="58"/>
  <c r="I284" i="58"/>
  <c r="J316" i="58"/>
  <c r="H243" i="58"/>
  <c r="J165" i="58"/>
  <c r="J340" i="58"/>
  <c r="I223" i="58"/>
  <c r="I138" i="58"/>
  <c r="I130" i="58"/>
  <c r="H350" i="58"/>
  <c r="H354" i="58"/>
  <c r="I272" i="58"/>
  <c r="I365" i="58"/>
  <c r="J170" i="58"/>
  <c r="H181" i="58"/>
  <c r="I278" i="58"/>
  <c r="J284" i="58"/>
  <c r="I302" i="58"/>
  <c r="I281" i="58"/>
  <c r="H357" i="58"/>
  <c r="I389" i="58"/>
  <c r="J286" i="58"/>
  <c r="J322" i="58"/>
  <c r="H380" i="58"/>
  <c r="I191" i="58"/>
  <c r="J359" i="58"/>
  <c r="H351" i="58"/>
  <c r="I341" i="58"/>
  <c r="J337" i="58"/>
  <c r="J369" i="58"/>
  <c r="J128" i="58"/>
  <c r="J279" i="58"/>
  <c r="J387" i="58"/>
  <c r="I180" i="58"/>
  <c r="I348" i="58"/>
  <c r="I220" i="58"/>
  <c r="I177" i="58"/>
  <c r="J300" i="58"/>
  <c r="H313" i="58"/>
  <c r="I189" i="58"/>
  <c r="J314" i="58"/>
  <c r="I352" i="58"/>
  <c r="H227" i="58"/>
  <c r="J330" i="58"/>
  <c r="I142" i="58"/>
  <c r="H238" i="58"/>
  <c r="I247" i="58"/>
  <c r="I368" i="58"/>
  <c r="H278" i="58"/>
  <c r="J179" i="58"/>
  <c r="H215" i="58"/>
  <c r="J173" i="58"/>
  <c r="H158" i="58"/>
  <c r="H385" i="58"/>
  <c r="J214" i="58"/>
  <c r="J334" i="58"/>
  <c r="H342" i="58"/>
  <c r="I269" i="58"/>
  <c r="H389" i="58"/>
  <c r="I187" i="58"/>
  <c r="J313" i="58"/>
  <c r="I147" i="58"/>
  <c r="I373" i="58"/>
  <c r="J187" i="58"/>
  <c r="J253" i="58"/>
  <c r="I347" i="58"/>
  <c r="I266" i="58"/>
  <c r="Z165" i="66"/>
  <c r="Z21" i="66"/>
  <c r="Y165" i="66"/>
  <c r="Y21" i="66"/>
  <c r="G58" i="66"/>
  <c r="I429" i="37"/>
  <c r="J426" i="41"/>
  <c r="I13" i="41"/>
  <c r="H11" i="41"/>
  <c r="I432" i="41"/>
  <c r="H427" i="41"/>
  <c r="I421" i="41"/>
  <c r="M160" i="66"/>
  <c r="H468" i="58"/>
  <c r="F161" i="66" s="1"/>
  <c r="N161" i="66" s="1"/>
  <c r="H470" i="58"/>
  <c r="H469" i="58"/>
  <c r="F154" i="66" s="1"/>
  <c r="N154" i="66" s="1"/>
  <c r="H430" i="41"/>
  <c r="I185" i="58"/>
  <c r="H231" i="58"/>
  <c r="H347" i="58"/>
  <c r="I159" i="58"/>
  <c r="H316" i="58"/>
  <c r="I320" i="58"/>
  <c r="J190" i="58"/>
  <c r="I367" i="58"/>
  <c r="I196" i="58"/>
  <c r="I274" i="58"/>
  <c r="H240" i="58"/>
  <c r="I225" i="58"/>
  <c r="J343" i="58"/>
  <c r="H225" i="58"/>
  <c r="J229" i="58"/>
  <c r="J265" i="58"/>
  <c r="H374" i="58"/>
  <c r="H388" i="58"/>
  <c r="J370" i="58"/>
  <c r="I214" i="58"/>
  <c r="H312" i="58"/>
  <c r="I322" i="58"/>
  <c r="J338" i="58"/>
  <c r="H128" i="58"/>
  <c r="J295" i="58"/>
  <c r="H304" i="58"/>
  <c r="J255" i="58"/>
  <c r="H360" i="58"/>
  <c r="I255" i="58"/>
  <c r="J294" i="58"/>
  <c r="I351" i="58"/>
  <c r="I252" i="58"/>
  <c r="J153" i="58"/>
  <c r="J234" i="58"/>
  <c r="H297" i="58"/>
  <c r="J204" i="58"/>
  <c r="J396" i="58"/>
  <c r="I372" i="58"/>
  <c r="J132" i="58"/>
  <c r="J366" i="58"/>
  <c r="I301" i="58"/>
  <c r="I362" i="58"/>
  <c r="H363" i="58"/>
  <c r="J233" i="58"/>
  <c r="H352" i="58"/>
  <c r="H250" i="58"/>
  <c r="H157" i="58"/>
  <c r="H366" i="58"/>
  <c r="I232" i="58"/>
  <c r="I398" i="58"/>
  <c r="H147" i="58"/>
  <c r="J262" i="58"/>
  <c r="H256" i="58"/>
  <c r="I306" i="58"/>
  <c r="J364" i="58"/>
  <c r="H229" i="58"/>
  <c r="J278" i="58"/>
  <c r="J257" i="58"/>
  <c r="I334" i="58"/>
  <c r="J347" i="58"/>
  <c r="J377" i="58"/>
  <c r="H325" i="58"/>
  <c r="H219" i="58"/>
  <c r="H269" i="58"/>
  <c r="J318" i="58"/>
  <c r="H326" i="58"/>
  <c r="H276" i="58"/>
  <c r="H177" i="58"/>
  <c r="H146" i="58"/>
  <c r="J244" i="58"/>
  <c r="I293" i="58"/>
  <c r="J280" i="58"/>
  <c r="J311" i="58"/>
  <c r="H399" i="58"/>
  <c r="H144" i="58"/>
  <c r="H296" i="58"/>
  <c r="I134" i="58"/>
  <c r="J398" i="58"/>
  <c r="H359" i="58"/>
  <c r="H217" i="58"/>
  <c r="H379" i="58"/>
  <c r="I161" i="58"/>
  <c r="J176" i="58"/>
  <c r="I182" i="58"/>
  <c r="I299" i="58"/>
  <c r="H168" i="58"/>
  <c r="H330" i="58"/>
  <c r="J212" i="58"/>
  <c r="I329" i="58"/>
  <c r="H344" i="58"/>
  <c r="J324" i="58"/>
  <c r="I212" i="58"/>
  <c r="J390" i="58"/>
  <c r="I312" i="58"/>
  <c r="J252" i="58"/>
  <c r="I224" i="58"/>
  <c r="J264" i="58"/>
  <c r="I209" i="58"/>
  <c r="J372" i="58"/>
  <c r="J125" i="58"/>
  <c r="I125" i="58"/>
  <c r="J220" i="58"/>
  <c r="I264" i="58"/>
  <c r="H212" i="58"/>
  <c r="J177" i="58"/>
  <c r="I205" i="58"/>
  <c r="J217" i="58"/>
  <c r="I150" i="58"/>
  <c r="J273" i="58"/>
  <c r="I344" i="58"/>
  <c r="H171" i="58"/>
  <c r="J120" i="58"/>
  <c r="I174" i="58"/>
  <c r="J312" i="58"/>
  <c r="I258" i="58"/>
  <c r="I176" i="58"/>
  <c r="H281" i="58"/>
  <c r="J323" i="58"/>
  <c r="H244" i="58"/>
  <c r="H182" i="58"/>
  <c r="I388" i="58"/>
  <c r="H364" i="58"/>
  <c r="I397" i="58"/>
  <c r="J130" i="58"/>
  <c r="H257" i="58"/>
  <c r="I200" i="58"/>
  <c r="J232" i="58"/>
  <c r="I280" i="58"/>
  <c r="J296" i="58"/>
  <c r="H205" i="58"/>
  <c r="H394" i="58"/>
  <c r="J315" i="58"/>
  <c r="H194" i="58"/>
  <c r="J376" i="58"/>
  <c r="H274" i="58"/>
  <c r="H220" i="58"/>
  <c r="I260" i="58"/>
  <c r="I154" i="58"/>
  <c r="I197" i="58"/>
  <c r="H169" i="58"/>
  <c r="H322" i="58"/>
  <c r="I148" i="58"/>
  <c r="J302" i="58"/>
  <c r="I239" i="58"/>
  <c r="I160" i="58"/>
  <c r="H141" i="58"/>
  <c r="H337" i="58"/>
  <c r="H401" i="58"/>
  <c r="I265" i="58"/>
  <c r="H341" i="58"/>
  <c r="I303" i="58"/>
  <c r="H148" i="58"/>
  <c r="I385" i="58"/>
  <c r="J219" i="58"/>
  <c r="I181" i="58"/>
  <c r="I307" i="58"/>
  <c r="J175" i="58"/>
  <c r="I276" i="58"/>
  <c r="I298" i="41"/>
  <c r="N127" i="66"/>
  <c r="J8" i="41"/>
  <c r="C25" i="63"/>
  <c r="J11" i="41"/>
  <c r="E364" i="38"/>
  <c r="K107" i="66" s="1"/>
  <c r="N107" i="66" s="1"/>
  <c r="J455" i="41"/>
  <c r="J430" i="41"/>
  <c r="H404" i="41"/>
  <c r="F30" i="66"/>
  <c r="N30" i="66" s="1"/>
  <c r="I230" i="41"/>
  <c r="I391" i="58"/>
  <c r="J263" i="58"/>
  <c r="H383" i="58"/>
  <c r="H333" i="58"/>
  <c r="I128" i="58"/>
  <c r="I309" i="58"/>
  <c r="H255" i="58"/>
  <c r="J127" i="58"/>
  <c r="I394" i="58"/>
  <c r="J383" i="58"/>
  <c r="H213" i="58"/>
  <c r="I194" i="58"/>
  <c r="H221" i="58"/>
  <c r="I245" i="58"/>
  <c r="H381" i="58"/>
  <c r="I318" i="58"/>
  <c r="I222" i="58"/>
  <c r="J167" i="58"/>
  <c r="H338" i="58"/>
  <c r="H335" i="58"/>
  <c r="H398" i="58"/>
  <c r="J134" i="58"/>
  <c r="I323" i="58"/>
  <c r="I327" i="58"/>
  <c r="I370" i="58"/>
  <c r="J194" i="58"/>
  <c r="J254" i="58"/>
  <c r="H136" i="58"/>
  <c r="H336" i="58"/>
  <c r="I198" i="58"/>
  <c r="I297" i="58"/>
  <c r="I183" i="58"/>
  <c r="J333" i="58"/>
  <c r="H372" i="58"/>
  <c r="I249" i="58"/>
  <c r="J150" i="58"/>
  <c r="I345" i="58"/>
  <c r="I332" i="58"/>
  <c r="I317" i="58"/>
  <c r="J285" i="58"/>
  <c r="I364" i="58"/>
  <c r="H279" i="58"/>
  <c r="I377" i="58"/>
  <c r="H386" i="58"/>
  <c r="H323" i="58"/>
  <c r="I248" i="58"/>
  <c r="H368" i="58"/>
  <c r="H218" i="58"/>
  <c r="I295" i="58"/>
  <c r="H358" i="58"/>
  <c r="H263" i="58"/>
  <c r="J342" i="58"/>
  <c r="J193" i="58"/>
  <c r="J142" i="58"/>
  <c r="H207" i="58"/>
  <c r="H124" i="58"/>
  <c r="J188" i="58"/>
  <c r="I206" i="58"/>
  <c r="J223" i="58"/>
  <c r="J242" i="58"/>
  <c r="H185" i="58"/>
  <c r="H190" i="58"/>
  <c r="I173" i="58"/>
  <c r="I242" i="58"/>
  <c r="J371" i="58"/>
  <c r="J270" i="58"/>
  <c r="I401" i="58"/>
  <c r="J303" i="58"/>
  <c r="J325" i="58"/>
  <c r="I262" i="58"/>
  <c r="I308" i="58"/>
  <c r="H164" i="58"/>
  <c r="G202" i="66"/>
  <c r="I429" i="58"/>
  <c r="I12" i="41"/>
  <c r="C52" i="63"/>
  <c r="I431" i="41"/>
  <c r="M112" i="66"/>
  <c r="J468" i="37"/>
  <c r="J469" i="37"/>
  <c r="J470" i="37"/>
  <c r="J423" i="41"/>
  <c r="J208" i="41"/>
  <c r="I404" i="58"/>
  <c r="F222" i="66" s="1"/>
  <c r="N222" i="66" s="1"/>
  <c r="H420" i="41"/>
  <c r="H318" i="58"/>
  <c r="H153" i="58"/>
  <c r="I146" i="58"/>
  <c r="H193" i="58"/>
  <c r="I399" i="58"/>
  <c r="J168" i="58"/>
  <c r="I360" i="58"/>
  <c r="I246" i="58"/>
  <c r="H259" i="58"/>
  <c r="H172" i="58"/>
  <c r="I263" i="58"/>
  <c r="J350" i="58"/>
  <c r="H241" i="58"/>
  <c r="J246" i="58"/>
  <c r="J331" i="58"/>
  <c r="I253" i="58"/>
  <c r="I172" i="58"/>
  <c r="H329" i="58"/>
  <c r="I241" i="58"/>
  <c r="H206" i="58"/>
  <c r="H210" i="58"/>
  <c r="J358" i="58"/>
  <c r="H246" i="58"/>
  <c r="H302" i="58"/>
  <c r="J148" i="58"/>
  <c r="H268" i="58"/>
  <c r="H125" i="58"/>
  <c r="I123" i="58"/>
  <c r="H273" i="58"/>
  <c r="J171" i="58"/>
  <c r="I300" i="58"/>
  <c r="J198" i="58"/>
  <c r="J336" i="58"/>
  <c r="J209" i="58"/>
  <c r="J237" i="58"/>
  <c r="I195" i="58"/>
  <c r="I378" i="58"/>
  <c r="J205" i="58"/>
  <c r="H156" i="58"/>
  <c r="I192" i="58"/>
  <c r="I136" i="58"/>
  <c r="J231" i="58"/>
  <c r="J301" i="58"/>
  <c r="I133" i="58"/>
  <c r="I132" i="58"/>
  <c r="J245" i="58"/>
  <c r="I314" i="58"/>
  <c r="H308" i="58"/>
  <c r="J353" i="58"/>
  <c r="J389" i="58"/>
  <c r="J160" i="58"/>
  <c r="J251" i="58"/>
  <c r="H233" i="58"/>
  <c r="I275" i="58"/>
  <c r="I383" i="58"/>
  <c r="J215" i="58"/>
  <c r="I236" i="58"/>
  <c r="J238" i="58"/>
  <c r="J269" i="58"/>
  <c r="H174" i="58"/>
  <c r="H160" i="58"/>
  <c r="J395" i="58"/>
  <c r="J250" i="58"/>
  <c r="J210" i="58"/>
  <c r="I167" i="58"/>
  <c r="H317" i="58"/>
  <c r="H320" i="58"/>
  <c r="I358" i="58"/>
  <c r="I250" i="58"/>
  <c r="I254" i="58"/>
  <c r="H310" i="58"/>
  <c r="H183" i="58"/>
  <c r="I342" i="58"/>
  <c r="H248" i="58"/>
  <c r="I122" i="58"/>
  <c r="J346" i="58"/>
  <c r="J281" i="58"/>
  <c r="H301" i="58"/>
  <c r="H211" i="58"/>
  <c r="J352" i="58"/>
  <c r="J191" i="58"/>
  <c r="H373" i="58"/>
  <c r="I315" i="58"/>
  <c r="H272" i="58"/>
  <c r="H277" i="58"/>
  <c r="J159" i="58"/>
  <c r="I285" i="58"/>
  <c r="H261" i="58"/>
  <c r="J129" i="58"/>
  <c r="I171" i="58"/>
  <c r="J309" i="58"/>
  <c r="I282" i="58"/>
  <c r="J195" i="58"/>
  <c r="I156" i="58"/>
  <c r="J180" i="58"/>
  <c r="I168" i="58"/>
  <c r="J320" i="58"/>
  <c r="I336" i="58"/>
  <c r="H324" i="58"/>
  <c r="J192" i="58"/>
  <c r="I221" i="58"/>
  <c r="J332" i="58"/>
  <c r="J136" i="58"/>
  <c r="I165" i="58"/>
  <c r="I333" i="58"/>
  <c r="H378" i="58"/>
  <c r="J216" i="58"/>
  <c r="I304" i="58"/>
  <c r="J381" i="58"/>
  <c r="I288" i="58"/>
  <c r="I120" i="58"/>
  <c r="J243" i="58"/>
  <c r="I143" i="58"/>
  <c r="I218" i="58"/>
  <c r="H126" i="58"/>
  <c r="J268" i="58"/>
  <c r="H150" i="58"/>
  <c r="H303" i="58"/>
  <c r="I190" i="58"/>
  <c r="H289" i="58"/>
  <c r="I158" i="58"/>
  <c r="H216" i="58"/>
  <c r="H355" i="58"/>
  <c r="H247" i="58"/>
  <c r="J248" i="58"/>
  <c r="I169" i="58"/>
  <c r="J185" i="58"/>
  <c r="H249" i="58"/>
  <c r="I215" i="58"/>
  <c r="J247" i="58"/>
  <c r="J293" i="58"/>
  <c r="J310" i="58"/>
  <c r="H186" i="58"/>
  <c r="H361" i="58"/>
  <c r="I290" i="58"/>
  <c r="H265" i="58"/>
  <c r="H151" i="58"/>
  <c r="H266" i="58"/>
  <c r="H201" i="58"/>
  <c r="H154" i="58"/>
  <c r="J277" i="58"/>
  <c r="H260" i="58"/>
  <c r="H293" i="58"/>
  <c r="H184" i="58"/>
  <c r="J400" i="58"/>
  <c r="H187" i="58"/>
  <c r="I126" i="58"/>
  <c r="I392" i="58"/>
  <c r="I240" i="58"/>
  <c r="I219" i="58"/>
  <c r="J373" i="58"/>
  <c r="H294" i="58"/>
  <c r="J157" i="58"/>
  <c r="I390" i="58"/>
  <c r="J308" i="58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162" i="41"/>
  <c r="Y268" i="66"/>
  <c r="Y124" i="66"/>
  <c r="Z268" i="66"/>
  <c r="Z124" i="66"/>
  <c r="O93" i="66" l="1"/>
  <c r="O59" i="66"/>
  <c r="Y203" i="66"/>
  <c r="O57" i="66"/>
  <c r="Q57" i="66" s="1"/>
  <c r="R57" i="66" s="1"/>
  <c r="T57" i="66" s="1"/>
  <c r="Y57" i="66"/>
  <c r="Z201" i="66"/>
  <c r="Z57" i="66"/>
  <c r="Y201" i="66"/>
  <c r="Y75" i="66"/>
  <c r="O219" i="66"/>
  <c r="Q219" i="66" s="1"/>
  <c r="R219" i="66" s="1"/>
  <c r="T219" i="66" s="1"/>
  <c r="Y219" i="66"/>
  <c r="Z219" i="66"/>
  <c r="O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J206" i="41"/>
  <c r="I337" i="41"/>
  <c r="J246" i="41"/>
  <c r="D36" i="57"/>
  <c r="F110" i="66"/>
  <c r="N110" i="66" s="1"/>
  <c r="I127" i="58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J135" i="58"/>
  <c r="C49" i="63" s="1"/>
  <c r="C22" i="63"/>
  <c r="C13" i="63"/>
  <c r="I135" i="58"/>
  <c r="C40" i="63" s="1"/>
  <c r="H139" i="58"/>
  <c r="H135" i="58"/>
  <c r="C31" i="63" s="1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C23" i="63"/>
  <c r="I219" i="41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58"/>
  <c r="F104" i="66"/>
  <c r="E44" i="39"/>
  <c r="E127" i="38" s="1"/>
  <c r="J470" i="41"/>
  <c r="E17" i="39" s="1"/>
  <c r="I390" i="41"/>
  <c r="J131" i="58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Y202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Z24" i="66"/>
  <c r="Y24" i="66"/>
  <c r="Y168" i="66"/>
  <c r="Z168" i="66"/>
  <c r="H472" i="41"/>
  <c r="E3" i="53"/>
  <c r="F3" i="53" s="1"/>
  <c r="H9" i="53" s="1"/>
  <c r="F40" i="66"/>
  <c r="C14" i="63"/>
  <c r="I127" i="41"/>
  <c r="I442" i="58" l="1"/>
  <c r="Z202" i="66"/>
  <c r="Y58" i="66"/>
  <c r="F17" i="39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42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K17" i="39"/>
  <c r="F227" i="66"/>
  <c r="E412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H475" i="37"/>
  <c r="H473" i="37"/>
  <c r="H474" i="37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I442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415" i="38"/>
  <c r="L276" i="66" s="1"/>
  <c r="P276" i="66" s="1"/>
  <c r="P269" i="66"/>
  <c r="S269" i="66"/>
  <c r="H435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19" i="63"/>
  <c r="I473" i="41"/>
  <c r="T160" i="66"/>
  <c r="C28" i="63"/>
  <c r="J473" i="41"/>
  <c r="Z281" i="66"/>
  <c r="T8" i="66"/>
  <c r="S73" i="66"/>
  <c r="P73" i="66"/>
  <c r="N73" i="66"/>
  <c r="O221" i="66"/>
  <c r="L275" i="66"/>
  <c r="P275" i="66" s="1"/>
  <c r="E407" i="38"/>
  <c r="F84" i="66"/>
  <c r="I474" i="41"/>
  <c r="O16" i="66"/>
  <c r="F131" i="66"/>
  <c r="E408" i="38"/>
  <c r="J475" i="41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74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0" i="63"/>
  <c r="H473" i="41"/>
  <c r="P226" i="66"/>
  <c r="N226" i="66"/>
  <c r="Q281" i="66"/>
  <c r="R281" i="66" s="1"/>
  <c r="T281" i="66" s="1"/>
  <c r="M130" i="66"/>
  <c r="D18" i="8"/>
  <c r="L180" i="66"/>
  <c r="N180" i="66" s="1"/>
  <c r="J29" i="39"/>
  <c r="J433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E338" i="38"/>
  <c r="E296" i="38"/>
  <c r="M163" i="66" s="1"/>
  <c r="E290" i="38"/>
  <c r="E308" i="38"/>
  <c r="M67" i="66" s="1"/>
  <c r="E302" i="38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M259" i="66"/>
  <c r="O89" i="66"/>
  <c r="Z89" i="66"/>
  <c r="Y89" i="66"/>
  <c r="Y233" i="66"/>
  <c r="Z233" i="66"/>
  <c r="L184" i="66"/>
  <c r="L67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I445" i="58" s="1"/>
  <c r="M46" i="39"/>
  <c r="E176" i="38" s="1"/>
  <c r="J445" i="58" s="1"/>
  <c r="K46" i="39"/>
  <c r="E142" i="38" s="1"/>
  <c r="J166" i="66" s="1"/>
  <c r="N166" i="66" s="1"/>
  <c r="J118" i="66"/>
  <c r="N118" i="66" s="1"/>
  <c r="J445" i="37"/>
  <c r="J22" i="66"/>
  <c r="N22" i="66" s="1"/>
  <c r="H445" i="37"/>
  <c r="J70" i="66"/>
  <c r="N70" i="66" s="1"/>
  <c r="I445" i="37"/>
  <c r="J214" i="66" l="1"/>
  <c r="S214" i="66" s="1"/>
  <c r="J262" i="66"/>
  <c r="G19" i="39" s="1"/>
  <c r="H445" i="58"/>
  <c r="H445" i="41" s="1"/>
  <c r="I445" i="41"/>
  <c r="I461" i="58"/>
  <c r="I461" i="37"/>
  <c r="H460" i="37"/>
  <c r="H460" i="58"/>
  <c r="I460" i="58"/>
  <c r="I460" i="37"/>
  <c r="J5" i="58"/>
  <c r="H5" i="58"/>
  <c r="R166" i="66"/>
  <c r="S166" i="66"/>
  <c r="P166" i="66"/>
  <c r="S22" i="66"/>
  <c r="R22" i="66"/>
  <c r="P22" i="66"/>
  <c r="I5" i="58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F19" i="39" l="1"/>
  <c r="P214" i="66"/>
  <c r="N214" i="66"/>
  <c r="O214" i="66" s="1"/>
  <c r="Q214" i="66" s="1"/>
  <c r="R214" i="66" s="1"/>
  <c r="T214" i="66" s="1"/>
  <c r="S262" i="66"/>
  <c r="P262" i="66"/>
  <c r="N262" i="66"/>
  <c r="O262" i="66" s="1"/>
  <c r="Q262" i="66" s="1"/>
  <c r="R262" i="66" s="1"/>
  <c r="J460" i="41"/>
  <c r="I460" i="41"/>
  <c r="T166" i="66"/>
  <c r="I461" i="41"/>
  <c r="H460" i="41"/>
  <c r="H459" i="37"/>
  <c r="H459" i="58"/>
  <c r="I459" i="37"/>
  <c r="I459" i="58"/>
  <c r="J5" i="41"/>
  <c r="M52" i="39" s="1"/>
  <c r="E184" i="38" s="1"/>
  <c r="F116" i="66"/>
  <c r="E30" i="53"/>
  <c r="H461" i="37"/>
  <c r="H461" i="58"/>
  <c r="E36" i="53"/>
  <c r="F260" i="66"/>
  <c r="Q22" i="66"/>
  <c r="J461" i="37"/>
  <c r="J461" i="58"/>
  <c r="T22" i="66"/>
  <c r="J459" i="37"/>
  <c r="J459" i="58"/>
  <c r="Q166" i="66"/>
  <c r="F212" i="66"/>
  <c r="E24" i="53"/>
  <c r="F68" i="66"/>
  <c r="E18" i="53"/>
  <c r="I5" i="41"/>
  <c r="L52" i="39" s="1"/>
  <c r="E167" i="38" s="1"/>
  <c r="Z70" i="66"/>
  <c r="F164" i="66"/>
  <c r="E12" i="53"/>
  <c r="Z214" i="66"/>
  <c r="E6" i="53"/>
  <c r="F20" i="66"/>
  <c r="H5" i="41"/>
  <c r="K52" i="39" s="1"/>
  <c r="E150" i="38" s="1"/>
  <c r="Y214" i="66" l="1"/>
  <c r="Y70" i="66"/>
  <c r="O70" i="66"/>
  <c r="Q70" i="66" s="1"/>
  <c r="R70" i="66" s="1"/>
  <c r="T70" i="66" s="1"/>
  <c r="T262" i="66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D36" i="53"/>
  <c r="F36" i="53" s="1"/>
  <c r="H30" i="53" s="1"/>
  <c r="J260" i="66"/>
  <c r="J448" i="58"/>
  <c r="D24" i="53"/>
  <c r="F24" i="53" s="1"/>
  <c r="H18" i="53" s="1"/>
  <c r="J212" i="66"/>
  <c r="I448" i="58"/>
  <c r="J461" i="41"/>
  <c r="I459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63" i="37" s="1"/>
  <c r="E312" i="38"/>
  <c r="M68" i="66" s="1"/>
  <c r="F25" i="39" s="1"/>
  <c r="E282" i="38"/>
  <c r="E288" i="38"/>
  <c r="L260" i="66"/>
  <c r="J463" i="58"/>
  <c r="L212" i="66"/>
  <c r="I463" i="58"/>
  <c r="L116" i="66"/>
  <c r="J463" i="37"/>
  <c r="M116" i="66"/>
  <c r="G25" i="39" s="1"/>
  <c r="D19" i="8"/>
  <c r="C19" i="8" l="1"/>
  <c r="L68" i="66"/>
  <c r="P68" i="66" s="1"/>
  <c r="J463" i="41"/>
  <c r="M20" i="66"/>
  <c r="B19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37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J23" i="58" l="1"/>
  <c r="J37" i="58"/>
  <c r="I61" i="58"/>
  <c r="I25" i="58"/>
  <c r="H22" i="58"/>
  <c r="H67" i="58"/>
  <c r="J70" i="58"/>
  <c r="J70" i="41" s="1"/>
  <c r="J34" i="58"/>
  <c r="I58" i="58"/>
  <c r="I22" i="58"/>
  <c r="H58" i="58"/>
  <c r="H40" i="58"/>
  <c r="J67" i="58"/>
  <c r="J31" i="58"/>
  <c r="I55" i="58"/>
  <c r="I19" i="58"/>
  <c r="H19" i="58"/>
  <c r="J64" i="58"/>
  <c r="J28" i="58"/>
  <c r="I52" i="58"/>
  <c r="I16" i="58"/>
  <c r="H55" i="58"/>
  <c r="H37" i="58"/>
  <c r="I23" i="58"/>
  <c r="J61" i="58"/>
  <c r="J25" i="58"/>
  <c r="I49" i="58"/>
  <c r="H16" i="58"/>
  <c r="J58" i="58"/>
  <c r="J22" i="58"/>
  <c r="I46" i="58"/>
  <c r="H70" i="58"/>
  <c r="H52" i="58"/>
  <c r="H34" i="58"/>
  <c r="J55" i="58"/>
  <c r="J19" i="58"/>
  <c r="I43" i="58"/>
  <c r="H31" i="58"/>
  <c r="H49" i="58"/>
  <c r="J52" i="58"/>
  <c r="I73" i="58"/>
  <c r="J49" i="58"/>
  <c r="I37" i="58"/>
  <c r="H28" i="58"/>
  <c r="J16" i="58"/>
  <c r="J73" i="58"/>
  <c r="J46" i="58"/>
  <c r="I70" i="58"/>
  <c r="I34" i="58"/>
  <c r="H64" i="58"/>
  <c r="H46" i="58"/>
  <c r="H23" i="58"/>
  <c r="I40" i="58"/>
  <c r="H73" i="58"/>
  <c r="J43" i="58"/>
  <c r="I67" i="58"/>
  <c r="I31" i="58"/>
  <c r="H25" i="58"/>
  <c r="J40" i="58"/>
  <c r="I64" i="58"/>
  <c r="I28" i="58"/>
  <c r="H61" i="58"/>
  <c r="H43" i="58"/>
  <c r="I23" i="41" l="1"/>
  <c r="J67" i="41"/>
  <c r="I34" i="41"/>
  <c r="H37" i="41"/>
  <c r="J37" i="41"/>
  <c r="H55" i="41"/>
  <c r="H19" i="41"/>
  <c r="I52" i="41"/>
  <c r="J40" i="41"/>
  <c r="I40" i="41"/>
  <c r="J52" i="41"/>
  <c r="J22" i="41"/>
  <c r="J43" i="41"/>
  <c r="I67" i="41"/>
  <c r="H46" i="41"/>
  <c r="J55" i="41"/>
  <c r="I49" i="41"/>
  <c r="H67" i="41"/>
  <c r="I28" i="41"/>
  <c r="H61" i="41"/>
  <c r="J61" i="41"/>
  <c r="I37" i="41"/>
  <c r="H52" i="41"/>
  <c r="I22" i="41"/>
  <c r="H25" i="41"/>
  <c r="I70" i="41"/>
  <c r="H31" i="41"/>
  <c r="J28" i="41"/>
  <c r="J31" i="41"/>
  <c r="I61" i="41"/>
  <c r="H35" i="58"/>
  <c r="I53" i="58"/>
  <c r="I71" i="58"/>
  <c r="I59" i="58"/>
  <c r="I25" i="41"/>
  <c r="J35" i="58"/>
  <c r="J23" i="41"/>
  <c r="I38" i="58"/>
  <c r="J20" i="58"/>
  <c r="J59" i="58"/>
  <c r="J49" i="41"/>
  <c r="H70" i="41"/>
  <c r="I58" i="41"/>
  <c r="I35" i="58"/>
  <c r="H51" i="58"/>
  <c r="J38" i="58"/>
  <c r="I20" i="58"/>
  <c r="H59" i="58"/>
  <c r="I31" i="41"/>
  <c r="H23" i="41"/>
  <c r="J46" i="41"/>
  <c r="I43" i="41"/>
  <c r="C35" i="63"/>
  <c r="C29" i="63"/>
  <c r="J64" i="41"/>
  <c r="H14" i="58"/>
  <c r="J51" i="58"/>
  <c r="H38" i="58"/>
  <c r="H38" i="41" s="1"/>
  <c r="H20" i="58"/>
  <c r="I26" i="58"/>
  <c r="I64" i="41"/>
  <c r="J73" i="41"/>
  <c r="I73" i="41"/>
  <c r="J19" i="41"/>
  <c r="I46" i="41"/>
  <c r="H16" i="41"/>
  <c r="C8" i="63"/>
  <c r="C2" i="63"/>
  <c r="J34" i="41"/>
  <c r="J14" i="58"/>
  <c r="I51" i="58"/>
  <c r="I56" i="58"/>
  <c r="I56" i="41" s="1"/>
  <c r="J41" i="58"/>
  <c r="H26" i="58"/>
  <c r="I14" i="58"/>
  <c r="J65" i="58"/>
  <c r="J56" i="58"/>
  <c r="I41" i="58"/>
  <c r="J26" i="58"/>
  <c r="C53" i="63"/>
  <c r="C47" i="63"/>
  <c r="I24" i="58"/>
  <c r="I62" i="58"/>
  <c r="H65" i="58"/>
  <c r="H56" i="58"/>
  <c r="H41" i="58"/>
  <c r="J47" i="58"/>
  <c r="J16" i="41"/>
  <c r="C26" i="63"/>
  <c r="C20" i="63"/>
  <c r="J24" i="58"/>
  <c r="J62" i="58"/>
  <c r="I65" i="58"/>
  <c r="H68" i="58"/>
  <c r="H47" i="58"/>
  <c r="J58" i="41"/>
  <c r="J25" i="41"/>
  <c r="C44" i="63"/>
  <c r="C38" i="63"/>
  <c r="H40" i="41"/>
  <c r="H24" i="58"/>
  <c r="H62" i="58"/>
  <c r="J68" i="58"/>
  <c r="I47" i="58"/>
  <c r="H43" i="41"/>
  <c r="H73" i="41"/>
  <c r="H64" i="41"/>
  <c r="H49" i="41"/>
  <c r="I16" i="41"/>
  <c r="C17" i="63"/>
  <c r="C11" i="63"/>
  <c r="I19" i="41"/>
  <c r="H32" i="58"/>
  <c r="H17" i="58"/>
  <c r="I68" i="58"/>
  <c r="I44" i="58"/>
  <c r="J29" i="58"/>
  <c r="H28" i="41"/>
  <c r="H34" i="41"/>
  <c r="I55" i="41"/>
  <c r="H58" i="41"/>
  <c r="H22" i="41"/>
  <c r="I32" i="58"/>
  <c r="I17" i="58"/>
  <c r="H53" i="58"/>
  <c r="H71" i="58"/>
  <c r="H44" i="58"/>
  <c r="H29" i="58"/>
  <c r="J32" i="58"/>
  <c r="J17" i="58"/>
  <c r="J53" i="58"/>
  <c r="J71" i="58"/>
  <c r="J44" i="58"/>
  <c r="I29" i="58"/>
  <c r="J62" i="41" l="1"/>
  <c r="H41" i="41"/>
  <c r="H47" i="41"/>
  <c r="I62" i="41"/>
  <c r="J51" i="41"/>
  <c r="H32" i="41"/>
  <c r="H24" i="41"/>
  <c r="J41" i="41"/>
  <c r="I20" i="41"/>
  <c r="J17" i="41"/>
  <c r="I41" i="41"/>
  <c r="J38" i="41"/>
  <c r="I38" i="41"/>
  <c r="H51" i="41"/>
  <c r="J44" i="41"/>
  <c r="I17" i="41"/>
  <c r="H44" i="41"/>
  <c r="I44" i="41"/>
  <c r="N3" i="41"/>
  <c r="H57" i="58"/>
  <c r="E287" i="38"/>
  <c r="H50" i="58"/>
  <c r="H403" i="58" s="1"/>
  <c r="H62" i="41"/>
  <c r="I57" i="58"/>
  <c r="I50" i="58"/>
  <c r="J57" i="58"/>
  <c r="J50" i="58"/>
  <c r="J403" i="58" s="1"/>
  <c r="H66" i="58"/>
  <c r="J66" i="58"/>
  <c r="I53" i="41"/>
  <c r="I66" i="58"/>
  <c r="J29" i="41"/>
  <c r="J63" i="58"/>
  <c r="J68" i="41"/>
  <c r="I15" i="58"/>
  <c r="J32" i="41"/>
  <c r="H71" i="41"/>
  <c r="H63" i="58"/>
  <c r="H36" i="58"/>
  <c r="I45" i="58"/>
  <c r="J24" i="41"/>
  <c r="H56" i="41"/>
  <c r="J26" i="41"/>
  <c r="H42" i="58"/>
  <c r="J59" i="41"/>
  <c r="J33" i="58"/>
  <c r="J48" i="58"/>
  <c r="J36" i="58"/>
  <c r="H45" i="58"/>
  <c r="I27" i="58"/>
  <c r="J60" i="58"/>
  <c r="J14" i="41"/>
  <c r="I59" i="41"/>
  <c r="J15" i="58"/>
  <c r="I68" i="41"/>
  <c r="I29" i="41"/>
  <c r="H48" i="58"/>
  <c r="H53" i="41"/>
  <c r="I39" i="58"/>
  <c r="H17" i="41"/>
  <c r="I36" i="58"/>
  <c r="J45" i="58"/>
  <c r="H27" i="58"/>
  <c r="H65" i="41"/>
  <c r="I60" i="58"/>
  <c r="H14" i="41"/>
  <c r="I63" i="58"/>
  <c r="J42" i="58"/>
  <c r="I48" i="58"/>
  <c r="J39" i="58"/>
  <c r="J27" i="58"/>
  <c r="H60" i="58"/>
  <c r="J21" i="58"/>
  <c r="J20" i="41"/>
  <c r="H69" i="58"/>
  <c r="I21" i="58"/>
  <c r="I71" i="41"/>
  <c r="J56" i="41"/>
  <c r="H26" i="41"/>
  <c r="H21" i="58"/>
  <c r="J71" i="41"/>
  <c r="I69" i="58"/>
  <c r="I32" i="41"/>
  <c r="I54" i="58"/>
  <c r="H68" i="41"/>
  <c r="I24" i="41"/>
  <c r="J65" i="41"/>
  <c r="J30" i="58"/>
  <c r="I26" i="41"/>
  <c r="I35" i="41"/>
  <c r="H39" i="58"/>
  <c r="J69" i="58"/>
  <c r="H72" i="58"/>
  <c r="H30" i="58"/>
  <c r="H54" i="58"/>
  <c r="J54" i="58"/>
  <c r="J53" i="41"/>
  <c r="H29" i="41"/>
  <c r="I47" i="41"/>
  <c r="I65" i="41"/>
  <c r="J47" i="41"/>
  <c r="J72" i="58"/>
  <c r="I402" i="58"/>
  <c r="I403" i="58"/>
  <c r="I30" i="58"/>
  <c r="H20" i="41"/>
  <c r="J35" i="41"/>
  <c r="H35" i="41"/>
  <c r="H15" i="58"/>
  <c r="I72" i="58"/>
  <c r="E311" i="38"/>
  <c r="I14" i="41"/>
  <c r="H18" i="58"/>
  <c r="H33" i="58"/>
  <c r="I18" i="58"/>
  <c r="I42" i="58"/>
  <c r="I51" i="41"/>
  <c r="H59" i="41"/>
  <c r="I33" i="58"/>
  <c r="J18" i="58"/>
  <c r="F242" i="66" l="1"/>
  <c r="E323" i="38"/>
  <c r="J66" i="41"/>
  <c r="I36" i="41"/>
  <c r="H402" i="58"/>
  <c r="J72" i="41"/>
  <c r="J60" i="41"/>
  <c r="H42" i="41"/>
  <c r="J50" i="41"/>
  <c r="J402" i="58"/>
  <c r="J27" i="41"/>
  <c r="J42" i="41"/>
  <c r="H54" i="41"/>
  <c r="J30" i="41"/>
  <c r="I39" i="41"/>
  <c r="E335" i="38"/>
  <c r="M146" i="66" s="1"/>
  <c r="J39" i="41"/>
  <c r="H48" i="41"/>
  <c r="H33" i="41"/>
  <c r="J21" i="41"/>
  <c r="I63" i="41"/>
  <c r="I45" i="41"/>
  <c r="J18" i="41"/>
  <c r="H18" i="41"/>
  <c r="F241" i="66"/>
  <c r="H403" i="41"/>
  <c r="F145" i="66"/>
  <c r="H21" i="41"/>
  <c r="H60" i="41"/>
  <c r="I27" i="41"/>
  <c r="H57" i="41"/>
  <c r="H63" i="41"/>
  <c r="J57" i="41"/>
  <c r="F193" i="66"/>
  <c r="H66" i="41"/>
  <c r="H50" i="41"/>
  <c r="I66" i="41"/>
  <c r="I50" i="41"/>
  <c r="I57" i="41"/>
  <c r="I54" i="41"/>
  <c r="I48" i="41"/>
  <c r="H27" i="41"/>
  <c r="H69" i="41"/>
  <c r="J36" i="41"/>
  <c r="F50" i="66"/>
  <c r="J48" i="41"/>
  <c r="J33" i="41"/>
  <c r="H36" i="41"/>
  <c r="I402" i="41"/>
  <c r="F98" i="66"/>
  <c r="I403" i="41"/>
  <c r="H30" i="41"/>
  <c r="I60" i="41"/>
  <c r="I42" i="41"/>
  <c r="I72" i="41"/>
  <c r="H72" i="41"/>
  <c r="I21" i="41"/>
  <c r="F289" i="66"/>
  <c r="H15" i="41"/>
  <c r="E5" i="53"/>
  <c r="F5" i="53" s="1"/>
  <c r="F49" i="66"/>
  <c r="E35" i="53"/>
  <c r="F35" i="53" s="1"/>
  <c r="E23" i="53"/>
  <c r="F23" i="53" s="1"/>
  <c r="I33" i="41"/>
  <c r="J45" i="41"/>
  <c r="J15" i="41"/>
  <c r="H45" i="41"/>
  <c r="I15" i="41"/>
  <c r="F97" i="66"/>
  <c r="E17" i="53"/>
  <c r="F17" i="53" s="1"/>
  <c r="H23" i="53" s="1"/>
  <c r="J69" i="41"/>
  <c r="I18" i="41"/>
  <c r="H39" i="41"/>
  <c r="I69" i="41"/>
  <c r="I30" i="41"/>
  <c r="J54" i="41"/>
  <c r="E11" i="53"/>
  <c r="F11" i="53" s="1"/>
  <c r="H5" i="53" s="1"/>
  <c r="J63" i="41"/>
  <c r="F290" i="66" l="1"/>
  <c r="E347" i="38"/>
  <c r="M290" i="66" s="1"/>
  <c r="F194" i="66"/>
  <c r="E299" i="38"/>
  <c r="H402" i="41"/>
  <c r="J402" i="41"/>
  <c r="E29" i="53"/>
  <c r="F29" i="53" s="1"/>
  <c r="H35" i="53" s="1"/>
  <c r="G35" i="53" s="1"/>
  <c r="E341" i="38" s="1"/>
  <c r="F146" i="66"/>
  <c r="J403" i="41"/>
  <c r="H29" i="53"/>
  <c r="G5" i="53"/>
  <c r="E281" i="38" s="1"/>
  <c r="H11" i="53"/>
  <c r="G11" i="53" s="1"/>
  <c r="E293" i="38" s="1"/>
  <c r="H17" i="53"/>
  <c r="G17" i="53" s="1"/>
  <c r="E305" i="38" s="1"/>
  <c r="G23" i="53"/>
  <c r="E317" i="38" s="1"/>
  <c r="L290" i="66" l="1"/>
  <c r="N290" i="66" s="1"/>
  <c r="L289" i="66"/>
  <c r="J462" i="58"/>
  <c r="L97" i="66"/>
  <c r="H462" i="58"/>
  <c r="L49" i="66"/>
  <c r="G29" i="53"/>
  <c r="E329" i="38" s="1"/>
  <c r="L145" i="66" s="1"/>
  <c r="L194" i="66"/>
  <c r="L242" i="66"/>
  <c r="L241" i="66"/>
  <c r="I462" i="58"/>
  <c r="L98" i="66"/>
  <c r="L146" i="66"/>
  <c r="P289" i="66" l="1"/>
  <c r="N289" i="66"/>
  <c r="P290" i="66"/>
  <c r="V290" i="66" s="1"/>
  <c r="X290" i="66" s="1"/>
  <c r="R290" i="66"/>
  <c r="T290" i="66" s="1"/>
  <c r="J462" i="37"/>
  <c r="J462" i="41" s="1"/>
  <c r="M241" i="66"/>
  <c r="N241" i="66" s="1"/>
  <c r="M242" i="66"/>
  <c r="N242" i="66" s="1"/>
  <c r="I462" i="37"/>
  <c r="I462" i="41" s="1"/>
  <c r="M97" i="66"/>
  <c r="N97" i="66" s="1"/>
  <c r="M98" i="66"/>
  <c r="N98" i="66" s="1"/>
  <c r="L193" i="66"/>
  <c r="P193" i="66" s="1"/>
  <c r="V193" i="66" s="1"/>
  <c r="X193" i="66" s="1"/>
  <c r="M193" i="66"/>
  <c r="M194" i="66"/>
  <c r="N194" i="66" s="1"/>
  <c r="H462" i="37"/>
  <c r="H462" i="41" s="1"/>
  <c r="M49" i="66"/>
  <c r="N49" i="66" s="1"/>
  <c r="M50" i="66"/>
  <c r="N50" i="66" s="1"/>
  <c r="P146" i="66"/>
  <c r="V146" i="66" s="1"/>
  <c r="X146" i="66" s="1"/>
  <c r="R146" i="66"/>
  <c r="T146" i="66" s="1"/>
  <c r="N146" i="66"/>
  <c r="P97" i="66"/>
  <c r="P98" i="66"/>
  <c r="V98" i="66" s="1"/>
  <c r="X98" i="66" s="1"/>
  <c r="R98" i="66"/>
  <c r="T98" i="66" s="1"/>
  <c r="P49" i="66"/>
  <c r="V49" i="66" s="1"/>
  <c r="X49" i="66" s="1"/>
  <c r="R49" i="66"/>
  <c r="T49" i="66" s="1"/>
  <c r="P241" i="66"/>
  <c r="P242" i="66"/>
  <c r="V242" i="66" s="1"/>
  <c r="X242" i="66" s="1"/>
  <c r="R242" i="66"/>
  <c r="T242" i="66" s="1"/>
  <c r="P145" i="66"/>
  <c r="N145" i="66"/>
  <c r="P194" i="66"/>
  <c r="V194" i="66" s="1"/>
  <c r="X194" i="66" s="1"/>
  <c r="R194" i="66"/>
  <c r="T194" i="66" s="1"/>
  <c r="R193" i="66" l="1"/>
  <c r="T193" i="66" s="1"/>
  <c r="N193" i="66"/>
  <c r="O193" i="66" s="1"/>
  <c r="O241" i="66"/>
  <c r="U241" i="66" s="1"/>
  <c r="Z50" i="66"/>
  <c r="Z194" i="66"/>
  <c r="Y194" i="66"/>
  <c r="Y50" i="66"/>
  <c r="Y145" i="66"/>
  <c r="Y289" i="66"/>
  <c r="O145" i="66"/>
  <c r="Z145" i="66"/>
  <c r="Z289" i="66"/>
  <c r="O289" i="66"/>
  <c r="Z242" i="66"/>
  <c r="Y242" i="66"/>
  <c r="Y98" i="66"/>
  <c r="Z98" i="66"/>
  <c r="O97" i="66"/>
  <c r="Z97" i="66"/>
  <c r="Y241" i="66"/>
  <c r="Y97" i="66"/>
  <c r="Z241" i="66"/>
  <c r="Y290" i="66"/>
  <c r="Z146" i="66"/>
  <c r="Z290" i="66"/>
  <c r="Y146" i="66"/>
  <c r="Q241" i="66" l="1"/>
  <c r="R241" i="66" s="1"/>
  <c r="T241" i="66" s="1"/>
  <c r="Y193" i="66"/>
  <c r="O49" i="66"/>
  <c r="U49" i="66" s="1"/>
  <c r="Z193" i="66"/>
  <c r="Z49" i="66"/>
  <c r="V241" i="66"/>
  <c r="X241" i="66" s="1"/>
  <c r="Q193" i="66"/>
  <c r="U193" i="66"/>
  <c r="Y49" i="66"/>
  <c r="Q289" i="66"/>
  <c r="R289" i="66" s="1"/>
  <c r="T289" i="66" s="1"/>
  <c r="U289" i="66"/>
  <c r="V289" i="66"/>
  <c r="X289" i="66" s="1"/>
  <c r="Q145" i="66"/>
  <c r="R145" i="66" s="1"/>
  <c r="T145" i="66" s="1"/>
  <c r="V145" i="66"/>
  <c r="X145" i="66" s="1"/>
  <c r="U145" i="66"/>
  <c r="Q97" i="66"/>
  <c r="R97" i="66" s="1"/>
  <c r="T97" i="66" s="1"/>
  <c r="V97" i="66"/>
  <c r="X97" i="66" s="1"/>
  <c r="U97" i="66"/>
  <c r="Q49" i="66" l="1"/>
  <c r="I4" i="37" l="1"/>
  <c r="I4" i="58"/>
  <c r="J4" i="37"/>
  <c r="J4" i="58"/>
  <c r="H4" i="37" l="1"/>
  <c r="H4" i="58"/>
  <c r="F245" i="66"/>
  <c r="O4" i="58"/>
  <c r="E37" i="53"/>
  <c r="F101" i="66"/>
  <c r="J4" i="41"/>
  <c r="E45" i="39" s="1"/>
  <c r="E31" i="53"/>
  <c r="N4" i="58"/>
  <c r="F197" i="66"/>
  <c r="E25" i="53"/>
  <c r="I4" i="41"/>
  <c r="D45" i="39" s="1"/>
  <c r="F53" i="66"/>
  <c r="E19" i="53"/>
  <c r="L45" i="39" l="1"/>
  <c r="E158" i="38" s="1"/>
  <c r="M45" i="39"/>
  <c r="M56" i="39" s="1"/>
  <c r="E56" i="39"/>
  <c r="E124" i="38"/>
  <c r="E59" i="39"/>
  <c r="E60" i="39" s="1"/>
  <c r="D56" i="39"/>
  <c r="D59" i="39"/>
  <c r="D60" i="39" s="1"/>
  <c r="E107" i="38"/>
  <c r="M4" i="58"/>
  <c r="E13" i="53"/>
  <c r="F149" i="66"/>
  <c r="E7" i="53"/>
  <c r="F5" i="66"/>
  <c r="H4" i="41"/>
  <c r="K45" i="39" s="1"/>
  <c r="L56" i="39" l="1"/>
  <c r="L57" i="39" s="1"/>
  <c r="L59" i="39"/>
  <c r="L60" i="39" s="1"/>
  <c r="C45" i="39"/>
  <c r="C56" i="39" s="1"/>
  <c r="E175" i="38"/>
  <c r="J444" i="58" s="1"/>
  <c r="M59" i="39"/>
  <c r="M60" i="39" s="1"/>
  <c r="E141" i="38"/>
  <c r="K59" i="39"/>
  <c r="K60" i="39" s="1"/>
  <c r="K56" i="39"/>
  <c r="J53" i="66"/>
  <c r="I444" i="37"/>
  <c r="D19" i="53"/>
  <c r="F19" i="53" s="1"/>
  <c r="H25" i="53" s="1"/>
  <c r="I452" i="37"/>
  <c r="D57" i="39"/>
  <c r="D58" i="39"/>
  <c r="M57" i="39"/>
  <c r="M58" i="39"/>
  <c r="J444" i="37"/>
  <c r="J452" i="37"/>
  <c r="D31" i="53"/>
  <c r="F31" i="53" s="1"/>
  <c r="H37" i="53" s="1"/>
  <c r="J101" i="66"/>
  <c r="I444" i="58"/>
  <c r="J197" i="66"/>
  <c r="I452" i="58"/>
  <c r="D25" i="53"/>
  <c r="F25" i="53" s="1"/>
  <c r="E57" i="39"/>
  <c r="E58" i="39"/>
  <c r="L58" i="39" l="1"/>
  <c r="C59" i="39"/>
  <c r="C60" i="39" s="1"/>
  <c r="J245" i="66"/>
  <c r="W245" i="66" s="1"/>
  <c r="D37" i="53"/>
  <c r="F37" i="53" s="1"/>
  <c r="G37" i="53" s="1"/>
  <c r="J452" i="58"/>
  <c r="F247" i="66" s="1"/>
  <c r="E90" i="38"/>
  <c r="H452" i="37" s="1"/>
  <c r="J457" i="37"/>
  <c r="F103" i="66"/>
  <c r="S245" i="66"/>
  <c r="J444" i="41"/>
  <c r="F102" i="66"/>
  <c r="J467" i="37"/>
  <c r="I457" i="37"/>
  <c r="F55" i="66"/>
  <c r="I452" i="41"/>
  <c r="G25" i="53"/>
  <c r="H19" i="53"/>
  <c r="G19" i="53" s="1"/>
  <c r="I457" i="58"/>
  <c r="F199" i="66"/>
  <c r="I444" i="41"/>
  <c r="I467" i="37"/>
  <c r="F54" i="66"/>
  <c r="S197" i="66"/>
  <c r="W197" i="66"/>
  <c r="C58" i="39"/>
  <c r="C57" i="39"/>
  <c r="S53" i="66"/>
  <c r="W53" i="66"/>
  <c r="F198" i="66"/>
  <c r="I467" i="58"/>
  <c r="K57" i="39"/>
  <c r="K58" i="39"/>
  <c r="S101" i="66"/>
  <c r="W101" i="66"/>
  <c r="F246" i="66"/>
  <c r="J467" i="58"/>
  <c r="H444" i="58"/>
  <c r="D13" i="53"/>
  <c r="F13" i="53" s="1"/>
  <c r="H7" i="53" s="1"/>
  <c r="H452" i="58"/>
  <c r="J149" i="66"/>
  <c r="H31" i="53" l="1"/>
  <c r="G31" i="53" s="1"/>
  <c r="E337" i="38" s="1"/>
  <c r="J457" i="58"/>
  <c r="J457" i="41" s="1"/>
  <c r="J452" i="41"/>
  <c r="J5" i="66"/>
  <c r="S5" i="66" s="1"/>
  <c r="H444" i="37"/>
  <c r="H467" i="37" s="1"/>
  <c r="D7" i="53"/>
  <c r="F7" i="53" s="1"/>
  <c r="G7" i="53" s="1"/>
  <c r="H467" i="58"/>
  <c r="F150" i="66"/>
  <c r="E378" i="38"/>
  <c r="K199" i="66" s="1"/>
  <c r="N199" i="66" s="1"/>
  <c r="I458" i="58"/>
  <c r="E379" i="38" s="1"/>
  <c r="K218" i="66" s="1"/>
  <c r="N218" i="66" s="1"/>
  <c r="L246" i="66"/>
  <c r="P246" i="66" s="1"/>
  <c r="E313" i="38"/>
  <c r="E307" i="38"/>
  <c r="W149" i="66"/>
  <c r="S149" i="66"/>
  <c r="E319" i="38"/>
  <c r="E325" i="38"/>
  <c r="M197" i="66" s="1"/>
  <c r="E349" i="38"/>
  <c r="M245" i="66" s="1"/>
  <c r="E343" i="38"/>
  <c r="H457" i="37"/>
  <c r="F7" i="66"/>
  <c r="H452" i="41"/>
  <c r="L54" i="66"/>
  <c r="P54" i="66" s="1"/>
  <c r="H457" i="58"/>
  <c r="F151" i="66"/>
  <c r="L198" i="66"/>
  <c r="P198" i="66" s="1"/>
  <c r="I467" i="41"/>
  <c r="I458" i="37"/>
  <c r="I457" i="41"/>
  <c r="E360" i="38"/>
  <c r="K55" i="66" s="1"/>
  <c r="N55" i="66" s="1"/>
  <c r="J467" i="41"/>
  <c r="O3" i="41" s="1"/>
  <c r="L102" i="66"/>
  <c r="P102" i="66" s="1"/>
  <c r="J458" i="37"/>
  <c r="E366" i="38"/>
  <c r="K103" i="66" s="1"/>
  <c r="N103" i="66" s="1"/>
  <c r="E384" i="38" l="1"/>
  <c r="K247" i="66" s="1"/>
  <c r="N247" i="66" s="1"/>
  <c r="E331" i="38"/>
  <c r="J458" i="58"/>
  <c r="E385" i="38" s="1"/>
  <c r="K266" i="66" s="1"/>
  <c r="N266" i="66" s="1"/>
  <c r="W5" i="66"/>
  <c r="H444" i="41"/>
  <c r="N54" i="66"/>
  <c r="F6" i="66"/>
  <c r="L6" i="66" s="1"/>
  <c r="P6" i="66" s="1"/>
  <c r="V6" i="66" s="1"/>
  <c r="X6" i="66" s="1"/>
  <c r="H13" i="53"/>
  <c r="G13" i="53" s="1"/>
  <c r="E295" i="38" s="1"/>
  <c r="H467" i="41"/>
  <c r="M3" i="41" s="1"/>
  <c r="N198" i="66"/>
  <c r="E367" i="38"/>
  <c r="K122" i="66" s="1"/>
  <c r="N122" i="66" s="1"/>
  <c r="H457" i="41"/>
  <c r="H458" i="37"/>
  <c r="E354" i="38"/>
  <c r="K7" i="66" s="1"/>
  <c r="N7" i="66" s="1"/>
  <c r="I464" i="58"/>
  <c r="L197" i="66"/>
  <c r="I464" i="37"/>
  <c r="L53" i="66"/>
  <c r="N102" i="66"/>
  <c r="L245" i="66"/>
  <c r="J464" i="58"/>
  <c r="M53" i="66"/>
  <c r="F18" i="39" s="1"/>
  <c r="C20" i="8"/>
  <c r="E283" i="38"/>
  <c r="E289" i="38"/>
  <c r="E372" i="38"/>
  <c r="K151" i="66" s="1"/>
  <c r="N151" i="66" s="1"/>
  <c r="H458" i="58"/>
  <c r="E373" i="38" s="1"/>
  <c r="K170" i="66" s="1"/>
  <c r="N170" i="66" s="1"/>
  <c r="Z55" i="66"/>
  <c r="Y55" i="66"/>
  <c r="Y199" i="66"/>
  <c r="Z199" i="66"/>
  <c r="D20" i="8"/>
  <c r="M101" i="66"/>
  <c r="G18" i="39" s="1"/>
  <c r="N246" i="66"/>
  <c r="Y103" i="66"/>
  <c r="Z103" i="66"/>
  <c r="Y247" i="66"/>
  <c r="Z247" i="66"/>
  <c r="E361" i="38"/>
  <c r="K74" i="66" s="1"/>
  <c r="N74" i="66" s="1"/>
  <c r="I458" i="41"/>
  <c r="J464" i="37"/>
  <c r="L101" i="66"/>
  <c r="L150" i="66"/>
  <c r="P150" i="66" s="1"/>
  <c r="V150" i="66" s="1"/>
  <c r="X150" i="66" s="1"/>
  <c r="J458" i="41" l="1"/>
  <c r="O198" i="66"/>
  <c r="Q198" i="66" s="1"/>
  <c r="E301" i="38"/>
  <c r="M149" i="66" s="1"/>
  <c r="Y54" i="66"/>
  <c r="Y198" i="66"/>
  <c r="Z198" i="66"/>
  <c r="O54" i="66"/>
  <c r="Q54" i="66" s="1"/>
  <c r="O246" i="66"/>
  <c r="V246" i="66" s="1"/>
  <c r="X246" i="66" s="1"/>
  <c r="J464" i="41"/>
  <c r="N150" i="66"/>
  <c r="Z54" i="66"/>
  <c r="N6" i="66"/>
  <c r="I464" i="41"/>
  <c r="L149" i="66"/>
  <c r="H464" i="58"/>
  <c r="Y151" i="66"/>
  <c r="Y7" i="66"/>
  <c r="Z7" i="66"/>
  <c r="Z151" i="66"/>
  <c r="Z218" i="66"/>
  <c r="Z74" i="66"/>
  <c r="Y218" i="66"/>
  <c r="Y74" i="66"/>
  <c r="H458" i="41"/>
  <c r="E355" i="38"/>
  <c r="K26" i="66" s="1"/>
  <c r="N26" i="66" s="1"/>
  <c r="P245" i="66"/>
  <c r="N245" i="66"/>
  <c r="P101" i="66"/>
  <c r="N101" i="66"/>
  <c r="M5" i="66"/>
  <c r="Y246" i="66"/>
  <c r="Z102" i="66"/>
  <c r="O102" i="66"/>
  <c r="Z246" i="66"/>
  <c r="Y102" i="66"/>
  <c r="H464" i="37"/>
  <c r="L5" i="66"/>
  <c r="N53" i="66"/>
  <c r="P53" i="66"/>
  <c r="P197" i="66"/>
  <c r="N197" i="66"/>
  <c r="Z122" i="66"/>
  <c r="Y122" i="66"/>
  <c r="Z266" i="66"/>
  <c r="Y266" i="66"/>
  <c r="B20" i="8" l="1"/>
  <c r="U198" i="66"/>
  <c r="V198" i="66"/>
  <c r="X198" i="66" s="1"/>
  <c r="Y150" i="66"/>
  <c r="V54" i="66"/>
  <c r="X54" i="66" s="1"/>
  <c r="U54" i="66"/>
  <c r="Q246" i="66"/>
  <c r="U246" i="66"/>
  <c r="Z150" i="66"/>
  <c r="H464" i="41"/>
  <c r="Z6" i="66"/>
  <c r="Y6" i="66"/>
  <c r="O6" i="66"/>
  <c r="Q6" i="66" s="1"/>
  <c r="O150" i="66"/>
  <c r="O245" i="66"/>
  <c r="Q245" i="66" s="1"/>
  <c r="R245" i="66" s="1"/>
  <c r="T245" i="66" s="1"/>
  <c r="Z170" i="66"/>
  <c r="Y170" i="66"/>
  <c r="Y26" i="66"/>
  <c r="Z26" i="66"/>
  <c r="P5" i="66"/>
  <c r="V5" i="66" s="1"/>
  <c r="X5" i="66" s="1"/>
  <c r="R5" i="66"/>
  <c r="T5" i="66" s="1"/>
  <c r="N5" i="66"/>
  <c r="O53" i="66"/>
  <c r="Z197" i="66"/>
  <c r="Y53" i="66"/>
  <c r="Z53" i="66"/>
  <c r="Y197" i="66"/>
  <c r="V102" i="66"/>
  <c r="X102" i="66" s="1"/>
  <c r="Q102" i="66"/>
  <c r="U102" i="66"/>
  <c r="Y101" i="66"/>
  <c r="O101" i="66"/>
  <c r="Z101" i="66"/>
  <c r="Y245" i="66"/>
  <c r="Z245" i="66"/>
  <c r="O197" i="66"/>
  <c r="R149" i="66"/>
  <c r="T149" i="66" s="1"/>
  <c r="P149" i="66"/>
  <c r="V149" i="66" s="1"/>
  <c r="X149" i="66" s="1"/>
  <c r="N149" i="66"/>
  <c r="U6" i="66" l="1"/>
  <c r="V245" i="66"/>
  <c r="X245" i="66" s="1"/>
  <c r="U245" i="66"/>
  <c r="O149" i="66"/>
  <c r="Q149" i="66" s="1"/>
  <c r="Q150" i="66"/>
  <c r="U150" i="66"/>
  <c r="Y5" i="66"/>
  <c r="Y149" i="66"/>
  <c r="Z5" i="66"/>
  <c r="O5" i="66"/>
  <c r="Z149" i="66"/>
  <c r="Q101" i="66"/>
  <c r="R101" i="66" s="1"/>
  <c r="T101" i="66" s="1"/>
  <c r="V101" i="66"/>
  <c r="X101" i="66" s="1"/>
  <c r="U101" i="66"/>
  <c r="Q53" i="66"/>
  <c r="R53" i="66" s="1"/>
  <c r="T53" i="66" s="1"/>
  <c r="U53" i="66"/>
  <c r="V53" i="66"/>
  <c r="X53" i="66" s="1"/>
  <c r="U197" i="66"/>
  <c r="Q197" i="66"/>
  <c r="R197" i="66" s="1"/>
  <c r="T197" i="66" s="1"/>
  <c r="V197" i="66"/>
  <c r="X197" i="66" s="1"/>
  <c r="U149" i="66" l="1"/>
  <c r="Q5" i="66"/>
  <c r="U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<sst xmlns="http://schemas.openxmlformats.org/spreadsheetml/2006/main" count="4047" uniqueCount="340">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</sst>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1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171" fontId="0" fillId="3" borderId="1" xfId="5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2478369.9999999995</c:v>
                </c:pt>
                <c:pt idx="2">
                  <c:v>1886540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561900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-4456.0528686777052</c:v>
                </c:pt>
                <c:pt idx="2">
                  <c:v>-33420.396515082793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6563633.9083678732</c:v>
                </c:pt>
                <c:pt idx="2">
                  <c:v>4256145.2345297476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-739848.59491668525</c:v>
                </c:pt>
                <c:pt idx="2">
                  <c:v>-5023414.0459503941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-259970.97216466372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-48949.999999999971</c:v>
                </c:pt>
                <c:pt idx="2">
                  <c:v>-1631666.666666666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10850271.861906474</c:v>
                </c:pt>
                <c:pt idx="2">
                  <c:v>58683.78953288612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138641.52345368531</c:v>
                </c:pt>
                <c:pt idx="2">
                  <c:v>194313.27601995497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4966.3050781413558</c:v>
                </c:pt>
                <c:pt idx="2">
                  <c:v>18865.364198504856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282521.18675097887</c:v>
                </c:pt>
                <c:pt idx="2">
                  <c:v>160356.6559175018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48092.998291457014</c:v>
                </c:pt>
                <c:pt idx="2">
                  <c:v>75461.443395327253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18612.896436546616</c:v>
                </c:pt>
                <c:pt idx="2">
                  <c:v>14313.043935558482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53876.706083884666</c:v>
                </c:pt>
                <c:pt idx="2">
                  <c:v>56596.151034252514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1199558.6992090864</c:v>
                </c:pt>
                <c:pt idx="2">
                  <c:v>754615.39892948361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136475.70639575014</c:v>
                </c:pt>
                <c:pt idx="2">
                  <c:v>94326.964105956184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68581.401846118271</c:v>
                </c:pt>
                <c:pt idx="2">
                  <c:v>52763.968072249161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203799.55278896069</c:v>
                </c:pt>
                <c:pt idx="2">
                  <c:v>194313.29492287463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24115.439065585892</c:v>
                </c:pt>
                <c:pt idx="2">
                  <c:v>9432.6844828219237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189185.57663423315</c:v>
                </c:pt>
                <c:pt idx="2">
                  <c:v>179222.0901799573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7684.1299626140253</c:v>
                </c:pt>
                <c:pt idx="2">
                  <c:v>5504.0224764256391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101222.99716435223</c:v>
                </c:pt>
                <c:pt idx="2">
                  <c:v>76207.415665262117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11.709234307241923</c:v>
                </c:pt>
                <c:pt idx="2">
                  <c:v>4.1755590307085857</c:v>
                </c:pt>
                <c:pt idx="3">
                  <c:v>7.483154704207001</c:v>
                </c:pt>
                <c:pt idx="4">
                  <c:v>6.2393737900971473</c:v>
                </c:pt>
                <c:pt idx="5">
                  <c:v>8.5281741417552137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4.0436162736904819</c:v>
                </c:pt>
                <c:pt idx="2">
                  <c:v>3.5571424498951991</c:v>
                </c:pt>
                <c:pt idx="3">
                  <c:v>1.4201719861750002</c:v>
                </c:pt>
                <c:pt idx="4">
                  <c:v>0</c:v>
                </c:pt>
                <c:pt idx="5">
                  <c:v>2.6925000000000003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22.428818323032957</c:v>
                </c:pt>
                <c:pt idx="2">
                  <c:v>11.692828080631504</c:v>
                </c:pt>
                <c:pt idx="3">
                  <c:v>0.45076703431999998</c:v>
                </c:pt>
                <c:pt idx="4">
                  <c:v>1.2966519960000001E-2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2.5889068207643463E-2</c:v>
                </c:pt>
                <c:pt idx="2">
                  <c:v>0.18912674057370837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0.3317888224329848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8.9890305228122198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10.134430878435086</c:v>
                </c:pt>
                <c:pt idx="2">
                  <c:v>9.4568293855922594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44.873337575855956</c:v>
                </c:pt>
                <c:pt idx="2">
                  <c:v>44.353103227611037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0.72569999999999957</c:v>
                </c:pt>
                <c:pt idx="2">
                  <c:v>24.189999999999991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1209605.829728018</c:v>
                </c:pt>
                <c:pt idx="2">
                  <c:v>1157069.4775324874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384113.17844246858</c:v>
                </c:pt>
                <c:pt idx="2">
                  <c:v>530679.50575158454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1887893.7404809273</c:v>
                </c:pt>
                <c:pt idx="2">
                  <c:v>1000487.1433695874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4326.8637672941713</c:v>
                </c:pt>
                <c:pt idx="2">
                  <c:v>31608.926001176878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1259804.3962846952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1490267.4200069108</c:v>
                </c:pt>
                <c:pt idx="2">
                  <c:v>1485188.6245712363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68548.311983630774</c:v>
                </c:pt>
                <c:pt idx="5">
                  <c:v>35257.571224615385</c:v>
                </c:pt>
                <c:pt idx="6">
                  <c:v>0</c:v>
                </c:pt>
                <c:pt idx="7">
                  <c:v>0</c:v>
                </c:pt>
                <c:pt idx="8">
                  <c:v>211273.23635515591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1505490.464025514</c:v>
                </c:pt>
                <c:pt idx="2">
                  <c:v>1404599.4752532118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93836.687632462461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7937.8356018733284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1400.7945179776464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34331.900907712836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7073581.7808094211</c:v>
                </c:pt>
                <c:pt idx="18">
                  <c:v>0</c:v>
                </c:pt>
                <c:pt idx="19">
                  <c:v>3295295.6589703867</c:v>
                </c:pt>
                <c:pt idx="20">
                  <c:v>3655716.6146475025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442185.12268887804</c:v>
                </c:pt>
                <c:pt idx="9">
                  <c:v>1893765.2125355615</c:v>
                </c:pt>
                <c:pt idx="10">
                  <c:v>1676565.1101767141</c:v>
                </c:pt>
                <c:pt idx="11">
                  <c:v>676687.05818690802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74999.999999999971</c:v>
                </c:pt>
                <c:pt idx="26">
                  <c:v>2499999.9999999995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500000</c:v>
                </c:pt>
                <c:pt idx="2">
                  <c:v>800000</c:v>
                </c:pt>
                <c:pt idx="9">
                  <c:v>982731</c:v>
                </c:pt>
                <c:pt idx="10">
                  <c:v>482809.00000000006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2717725.5367542398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725967.99999999977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3785.9999999999995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10568777.271841513</c:v>
                </c:pt>
                <c:pt idx="2">
                  <c:v>5797239.2364449836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1023042.2181961737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1695876.8276391989</c:v>
                </c:pt>
                <c:pt idx="5">
                  <c:v>872267.98601462564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750000.00000000012</c:v>
                </c:pt>
                <c:pt idx="3">
                  <c:v>6351407.0475792512</c:v>
                </c:pt>
                <c:pt idx="4">
                  <c:v>6334972.3547466323</c:v>
                </c:pt>
                <c:pt idx="5">
                  <c:v>2883512.9604351465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58390.640697656214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904859.89986027556</c:v>
                </c:pt>
                <c:pt idx="23">
                  <c:v>844359.76657073747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43206.208765439995</c:v>
                </c:pt>
                <c:pt idx="5">
                  <c:v>22222.953984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2775329.8009308982</c:v>
                </c:pt>
                <c:pt idx="2">
                  <c:v>6424400.237750819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9147340.4973796755</c:v>
                </c:pt>
                <c:pt idx="2">
                  <c:v>7022482.9139171531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1239261.6906912625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118550.69474978685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5617.0150235294113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192614.13457991794</c:v>
                </c:pt>
                <c:pt idx="11">
                  <c:v>133081.08218496924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2851556.9755475889</c:v>
                </c:pt>
                <c:pt idx="11">
                  <c:v>2891241.7364066876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960060.39192760165</c:v>
                </c:pt>
                <c:pt idx="5">
                  <c:v>1234508.7963800903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550879.16175935988</c:v>
                </c:pt>
                <c:pt idx="5">
                  <c:v>611131.23456000001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0">
                  <c:v>0</c:v>
                </c:pt>
                <c:pt idx="1">
                  <c:v>161025.35171182267</c:v>
                </c:pt>
                <c:pt idx="2">
                  <c:v>1518417.9125943768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441866.40110610117</c:v>
                </c:pt>
                <c:pt idx="5">
                  <c:v>227272.35227153529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289555.1679552882</c:v>
                </c:pt>
                <c:pt idx="11">
                  <c:v>270195.12530263601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8-4425-A7CE-80218CAE93C4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20871618.766112696</c:v>
                </c:pt>
                <c:pt idx="17">
                  <c:v>15152524.39075231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8-4425-A7CE-80218CAE93C4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1291916.8536347323</c:v>
                </c:pt>
                <c:pt idx="17">
                  <c:v>1637460.2720855083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8-4425-A7CE-80218CAE93C4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41999.999999999985</c:v>
                </c:pt>
                <c:pt idx="11">
                  <c:v>1399999.9999999998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8-4425-A7CE-80218CAE93C4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10499.999999999996</c:v>
                </c:pt>
                <c:pt idx="11">
                  <c:v>349999.99999999994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8-4425-A7CE-80218CAE93C4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784233.65417649108</c:v>
                </c:pt>
                <c:pt idx="14">
                  <c:v>817149.28295306745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8-4425-A7CE-80218CAE9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1291916.8536347323</c:v>
                </c:pt>
                <c:pt idx="2">
                  <c:v>1637460.2720855083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20291.01729390231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3343.8010555246146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438509.17126876279</c:v>
                </c:pt>
                <c:pt idx="2">
                  <c:v>342995.31126165221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2717725.5367542398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B6-42EB-A119-85848D555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473288.3958262736</c:v>
                </c:pt>
                <c:pt idx="2">
                  <c:v>497017.07890655193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2937309.7327185543</c:v>
                </c:pt>
                <c:pt idx="2">
                  <c:v>7588748.1742570233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154033.80800045721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153901.96523502804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1472869.7795083788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579397.28522808431</c:v>
                </c:pt>
                <c:pt idx="2">
                  <c:v>121540.12592519959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608713.10503797978</c:v>
                </c:pt>
                <c:pt idx="2">
                  <c:v>1187929.0646227887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0.40288562423666008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2091474.8358088899</c:v>
                </c:pt>
                <c:pt idx="2">
                  <c:v>2142531.8661417775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1489160.4413894205</c:v>
                </c:pt>
                <c:pt idx="2">
                  <c:v>1371945.625518437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40327.571621056952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69397.97399061406</c:v>
                </c:pt>
                <c:pt idx="2">
                  <c:v>733375.35760433273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27045.758448627814</c:v>
                </c:pt>
                <c:pt idx="2">
                  <c:v>202843.18836470862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1005312.7319071036</c:v>
                </c:pt>
                <c:pt idx="2">
                  <c:v>258178.31605614454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104777.54520264688</c:v>
                </c:pt>
                <c:pt idx="2">
                  <c:v>49720.057041236883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648616.74048751721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1800</c:v>
                </c:pt>
                <c:pt idx="2">
                  <c:v>7882.9849764705887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1133717.6890148511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1449228.1654064041</c:v>
                </c:pt>
                <c:pt idx="2">
                  <c:v>267956.10222253727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174102.58816519822</c:v>
                </c:pt>
                <c:pt idx="2">
                  <c:v>23702.568890498078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943847.5794509931</c:v>
                </c:pt>
                <c:pt idx="2">
                  <c:v>709449.17746015533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EF-477F-A382-31E939000A2E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2072239.224726202</c:v>
                </c:pt>
                <c:pt idx="2">
                  <c:v>1558525.3424678326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EF-477F-A382-31E939000A2E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10563.548824036603</c:v>
                </c:pt>
                <c:pt idx="2">
                  <c:v>194907.53101383348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EF-477F-A382-31E939000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2478369.9999999995</c:v>
                </c:pt>
                <c:pt idx="2">
                  <c:v>1886540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561900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-4456.0528686777052</c:v>
                </c:pt>
                <c:pt idx="2">
                  <c:v>-33420.396515082793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6563633.9083678732</c:v>
                </c:pt>
                <c:pt idx="2">
                  <c:v>4256145.2345297476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-739848.59491668525</c:v>
                </c:pt>
                <c:pt idx="2">
                  <c:v>-5023414.0459503941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-259970.97216466372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-48949.999999999971</c:v>
                </c:pt>
                <c:pt idx="2">
                  <c:v>-1631666.666666666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10850271.861906474</c:v>
                </c:pt>
                <c:pt idx="2">
                  <c:v>58683.78953288612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138641.52345368531</c:v>
                </c:pt>
                <c:pt idx="2">
                  <c:v>194313.27601995497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4966.3050781413558</c:v>
                </c:pt>
                <c:pt idx="2">
                  <c:v>18865.364198504856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282521.18675097887</c:v>
                </c:pt>
                <c:pt idx="2">
                  <c:v>160356.6559175018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48092.998291457014</c:v>
                </c:pt>
                <c:pt idx="2">
                  <c:v>75461.443395327253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18612.896436546616</c:v>
                </c:pt>
                <c:pt idx="2">
                  <c:v>14313.043935558482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53876.706083884666</c:v>
                </c:pt>
                <c:pt idx="2">
                  <c:v>56596.151034252514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1199558.6992090864</c:v>
                </c:pt>
                <c:pt idx="2">
                  <c:v>754615.39892948361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136475.70639575014</c:v>
                </c:pt>
                <c:pt idx="2">
                  <c:v>94326.964105956184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68581.401846118271</c:v>
                </c:pt>
                <c:pt idx="2">
                  <c:v>52763.968072249161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203799.55278896069</c:v>
                </c:pt>
                <c:pt idx="2">
                  <c:v>194313.29492287463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24115.439065585892</c:v>
                </c:pt>
                <c:pt idx="2">
                  <c:v>9432.6844828219237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189185.57663423315</c:v>
                </c:pt>
                <c:pt idx="2">
                  <c:v>179222.0901799573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7684.1299626140253</c:v>
                </c:pt>
                <c:pt idx="2">
                  <c:v>5504.0224764256391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101222.99716435223</c:v>
                </c:pt>
                <c:pt idx="2">
                  <c:v>76207.415665262117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6343027.2216558158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624279.37582031451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584743.27834418393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170920.62417968543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541836.70780990436</c:v>
                </c:pt>
                <c:pt idx="2">
                  <c:v>743547.8864863232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1472869.7795083788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42738.065762462145</c:v>
                </c:pt>
                <c:pt idx="2">
                  <c:v>158778.62508184306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17627259.383435387</c:v>
                </c:pt>
                <c:pt idx="2">
                  <c:v>10850838.521382123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1112756.2638233153</c:v>
                </c:pt>
                <c:pt idx="2">
                  <c:v>1713471.2400562391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943847.5794509931</c:v>
                </c:pt>
                <c:pt idx="2">
                  <c:v>709449.17746015533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2321966.9335448975</c:v>
                </c:pt>
                <c:pt idx="2">
                  <c:v>2382855.1724957675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8646845.2530249525</c:v>
                </c:pt>
                <c:pt idx="2">
                  <c:v>5343241.1278890474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6404370.3287372468</c:v>
                </c:pt>
                <c:pt idx="2">
                  <c:v>4366888.3180394787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2072239.224726202</c:v>
                </c:pt>
                <c:pt idx="2">
                  <c:v>1558525.3424678326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192614.13457991794</c:v>
                </c:pt>
                <c:pt idx="2">
                  <c:v>133081.08218496924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904859.89986027556</c:v>
                </c:pt>
                <c:pt idx="2">
                  <c:v>844359.76657073747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1980568.2614923958</c:v>
                </c:pt>
                <c:pt idx="2">
                  <c:v>759797.39756999072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2851556.9755475889</c:v>
                </c:pt>
                <c:pt idx="2">
                  <c:v>2891241.7364066876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784233.65417649108</c:v>
                </c:pt>
                <c:pt idx="2">
                  <c:v>817149.28295306745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7535.8404007065919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7535.8404007065919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7535.8404007065919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7535.8404007065919</c:v>
                </c:pt>
                <c:pt idx="1">
                  <c:v>148491.84298757909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27045.758448627814</c:v>
                </c:pt>
                <c:pt idx="2">
                  <c:v>202843.18836470862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1800</c:v>
                </c:pt>
                <c:pt idx="2">
                  <c:v>13500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10841.000000000004</c:v>
                </c:pt>
                <c:pt idx="2">
                  <c:v>81307.500000000029</c:v>
                </c:pt>
                <c:pt idx="3">
                  <c:v>0.6</c:v>
                </c:pt>
                <c:pt idx="4">
                  <c:v>2708</c:v>
                </c:pt>
                <c:pt idx="5">
                  <c:v>20310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60</c:v>
                </c:pt>
                <c:pt idx="2">
                  <c:v>450</c:v>
                </c:pt>
                <c:pt idx="3">
                  <c:v>0</c:v>
                </c:pt>
                <c:pt idx="4">
                  <c:v>20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44.89</c:v>
                </c:pt>
                <c:pt idx="4">
                  <c:v>22.11</c:v>
                </c:pt>
                <c:pt idx="5">
                  <c:v>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13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473288.3958262736</c:v>
                </c:pt>
                <c:pt idx="1">
                  <c:v>27045.758448627814</c:v>
                </c:pt>
                <c:pt idx="2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497017.07890655193</c:v>
                </c:pt>
                <c:pt idx="1">
                  <c:v>202843.18836470862</c:v>
                </c:pt>
                <c:pt idx="2">
                  <c:v>7882.9849764705887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68548.311983630774</c:v>
                </c:pt>
                <c:pt idx="5">
                  <c:v>35257.571224615385</c:v>
                </c:pt>
                <c:pt idx="6">
                  <c:v>0</c:v>
                </c:pt>
                <c:pt idx="7">
                  <c:v>0</c:v>
                </c:pt>
                <c:pt idx="8">
                  <c:v>211273.23635515591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1505490.464025514</c:v>
                </c:pt>
                <c:pt idx="2">
                  <c:v>1404599.4752532118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93836.687632462461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7937.8356018733284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1400.7945179776464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34331.900907712836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7073581.7808094211</c:v>
                </c:pt>
                <c:pt idx="18">
                  <c:v>0</c:v>
                </c:pt>
                <c:pt idx="19">
                  <c:v>3295295.6589703867</c:v>
                </c:pt>
                <c:pt idx="20">
                  <c:v>3655716.6146475025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442185.12268887804</c:v>
                </c:pt>
                <c:pt idx="9">
                  <c:v>1893765.2125355615</c:v>
                </c:pt>
                <c:pt idx="10">
                  <c:v>1676565.1101767141</c:v>
                </c:pt>
                <c:pt idx="11">
                  <c:v>676687.05818690802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74999.999999999971</c:v>
                </c:pt>
                <c:pt idx="26">
                  <c:v>2499999.9999999995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500000</c:v>
                </c:pt>
                <c:pt idx="2">
                  <c:v>800000</c:v>
                </c:pt>
                <c:pt idx="9">
                  <c:v>982731</c:v>
                </c:pt>
                <c:pt idx="10">
                  <c:v>482809.00000000006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2717725.5367542398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725967.99999999977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3785.9999999999995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10568777.271841513</c:v>
                </c:pt>
                <c:pt idx="2">
                  <c:v>5797239.2364449836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1023042.2181961737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1695876.8276391989</c:v>
                </c:pt>
                <c:pt idx="5">
                  <c:v>872267.98601462564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750000.00000000012</c:v>
                </c:pt>
                <c:pt idx="3">
                  <c:v>6351407.0475792512</c:v>
                </c:pt>
                <c:pt idx="4">
                  <c:v>6334972.3547466323</c:v>
                </c:pt>
                <c:pt idx="5">
                  <c:v>2883512.9604351465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58390.640697656214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904859.89986027556</c:v>
                </c:pt>
                <c:pt idx="23">
                  <c:v>844359.76657073747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43206.208765439995</c:v>
                </c:pt>
                <c:pt idx="5">
                  <c:v>22222.953984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2775329.8009308982</c:v>
                </c:pt>
                <c:pt idx="2">
                  <c:v>6424400.237750819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9147340.4973796755</c:v>
                </c:pt>
                <c:pt idx="2">
                  <c:v>7022482.9139171531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1239261.6906912625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118550.69474978685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5617.0150235294113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192614.13457991794</c:v>
                </c:pt>
                <c:pt idx="11">
                  <c:v>133081.08218496924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2851556.9755475889</c:v>
                </c:pt>
                <c:pt idx="11">
                  <c:v>2891241.7364066876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960060.39192760165</c:v>
                </c:pt>
                <c:pt idx="5">
                  <c:v>1234508.7963800903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550879.16175935988</c:v>
                </c:pt>
                <c:pt idx="5">
                  <c:v>611131.23456000001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0">
                  <c:v>0</c:v>
                </c:pt>
                <c:pt idx="1">
                  <c:v>161025.35171182267</c:v>
                </c:pt>
                <c:pt idx="2">
                  <c:v>1518417.9125943768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441866.40110610117</c:v>
                </c:pt>
                <c:pt idx="5">
                  <c:v>227272.35227153529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289555.1679552882</c:v>
                </c:pt>
                <c:pt idx="11">
                  <c:v>270195.12530263601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3A-4AD2-8459-276AC9B121FB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20871618.766112696</c:v>
                </c:pt>
                <c:pt idx="17">
                  <c:v>15152524.39075231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3A-4AD2-8459-276AC9B121FB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1291916.8536347323</c:v>
                </c:pt>
                <c:pt idx="17">
                  <c:v>1637460.2720855083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3A-4AD2-8459-276AC9B121FB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41999.999999999985</c:v>
                </c:pt>
                <c:pt idx="11">
                  <c:v>1399999.9999999998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3A-4AD2-8459-276AC9B121FB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10499.999999999996</c:v>
                </c:pt>
                <c:pt idx="11">
                  <c:v>349999.99999999994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3A-4AD2-8459-276AC9B121FB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784233.65417649108</c:v>
                </c:pt>
                <c:pt idx="14">
                  <c:v>817149.28295306745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3A-4AD2-8459-276AC9B12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1291916.8536347323</c:v>
                </c:pt>
                <c:pt idx="2">
                  <c:v>1637460.2720855083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20291.01729390231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3343.8010555246146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438509.17126876279</c:v>
                </c:pt>
                <c:pt idx="2">
                  <c:v>342995.31126165221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2717725.5367542398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5D-4EEE-B973-1E8218987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473288.3958262736</c:v>
                </c:pt>
                <c:pt idx="2">
                  <c:v>497017.07890655193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2937309.7327185543</c:v>
                </c:pt>
                <c:pt idx="2">
                  <c:v>7588748.1742570233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154033.80800045721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153901.96523502804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1472869.7795083788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579397.28522808431</c:v>
                </c:pt>
                <c:pt idx="2">
                  <c:v>121540.12592519959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608713.10503797978</c:v>
                </c:pt>
                <c:pt idx="2">
                  <c:v>1187929.0646227887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0.40288562423666008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2091474.8358088899</c:v>
                </c:pt>
                <c:pt idx="2">
                  <c:v>2142531.8661417775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1489160.4413894205</c:v>
                </c:pt>
                <c:pt idx="2">
                  <c:v>1371945.625518437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40327.571621056952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69397.97399061406</c:v>
                </c:pt>
                <c:pt idx="2">
                  <c:v>733375.35760433273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27045.758448627814</c:v>
                </c:pt>
                <c:pt idx="2">
                  <c:v>202843.18836470862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1005312.7319071036</c:v>
                </c:pt>
                <c:pt idx="2">
                  <c:v>258178.31605614454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104777.54520264688</c:v>
                </c:pt>
                <c:pt idx="2">
                  <c:v>49720.057041236883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648616.74048751721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1800</c:v>
                </c:pt>
                <c:pt idx="2">
                  <c:v>7882.9849764705887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1133717.6890148511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1449228.1654064041</c:v>
                </c:pt>
                <c:pt idx="2">
                  <c:v>267956.10222253727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174102.58816519822</c:v>
                </c:pt>
                <c:pt idx="2">
                  <c:v>23702.568890498078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943847.5794509931</c:v>
                </c:pt>
                <c:pt idx="2">
                  <c:v>709449.17746015533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74-4A3D-BDF1-6D5346B9BEA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2072239.224726202</c:v>
                </c:pt>
                <c:pt idx="2">
                  <c:v>1558525.3424678326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74-4A3D-BDF1-6D5346B9BEA2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10563.548824036603</c:v>
                </c:pt>
                <c:pt idx="2">
                  <c:v>194907.53101383348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74-4A3D-BDF1-6D5346B9B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11.709234307241923</c:v>
                </c:pt>
                <c:pt idx="2">
                  <c:v>4.1755590307085857</c:v>
                </c:pt>
                <c:pt idx="3">
                  <c:v>7.483154704207001</c:v>
                </c:pt>
                <c:pt idx="4">
                  <c:v>6.2393737900971473</c:v>
                </c:pt>
                <c:pt idx="5">
                  <c:v>8.5281741417552137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4.0436162736904819</c:v>
                </c:pt>
                <c:pt idx="2">
                  <c:v>3.5571424498951991</c:v>
                </c:pt>
                <c:pt idx="3">
                  <c:v>1.4201719861750002</c:v>
                </c:pt>
                <c:pt idx="4">
                  <c:v>0</c:v>
                </c:pt>
                <c:pt idx="5">
                  <c:v>2.6925000000000003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22.428818323032957</c:v>
                </c:pt>
                <c:pt idx="2">
                  <c:v>11.692828080631504</c:v>
                </c:pt>
                <c:pt idx="3">
                  <c:v>0.45076703431999998</c:v>
                </c:pt>
                <c:pt idx="4">
                  <c:v>1.2966519960000001E-2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2.5889068207643463E-2</c:v>
                </c:pt>
                <c:pt idx="2">
                  <c:v>0.18912674057370837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0.3317888224329848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8.9890305228122198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10.134430878435086</c:v>
                </c:pt>
                <c:pt idx="2">
                  <c:v>9.4568293855922594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44.873337575855956</c:v>
                </c:pt>
                <c:pt idx="2">
                  <c:v>44.353103227611037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0.72569999999999957</c:v>
                </c:pt>
                <c:pt idx="2">
                  <c:v>24.189999999999991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[BAU_50_100.xlsm]Resultat-Tørstof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1209605.829728018</c:v>
                </c:pt>
                <c:pt idx="2">
                  <c:v>1157069.4775324874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384113.17844246858</c:v>
                </c:pt>
                <c:pt idx="2">
                  <c:v>530679.50575158454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1887893.7404809273</c:v>
                </c:pt>
                <c:pt idx="2">
                  <c:v>1000487.1433695874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4326.8637672941713</c:v>
                </c:pt>
                <c:pt idx="2">
                  <c:v>31608.926001176878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1259804.3962846952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1490267.4200069108</c:v>
                </c:pt>
                <c:pt idx="2">
                  <c:v>1485188.6245712363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169</xdr:row>
      <xdr:rowOff>15875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42875" y="704850"/>
          <a:ext cx="1367367" cy="41592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49430277777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71342992.17367357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682350.705808945"/>
    </cacheField>
    <cacheField name="Energi" numFmtId="3">
      <sharedItems containsSemiMixedTypes="0" containsString="0" containsNumber="1" minValue="0" maxValue="471342992.17367357"/>
    </cacheField>
    <cacheField name="Materialer og processer" numFmtId="3">
      <sharedItems containsSemiMixedTypes="0" containsString="0" containsNumber="1" minValue="0" maxValue="3259315.5328257415"/>
    </cacheField>
    <cacheField name="Produktion minus forbrug [ton]" numFmtId="3">
      <sharedItems containsSemiMixedTypes="0" containsString="0" containsNumber="1" minValue="-4828427.5390456235" maxValue="5895865.545768464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71342992.17367357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494303472224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389127.1261936594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49430370370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71342992.17367357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682350.705808945"/>
    </cacheField>
    <cacheField name="Energi" numFmtId="3">
      <sharedItems containsSemiMixedTypes="0" containsString="0" containsNumber="1" minValue="0" maxValue="471342992.17367357"/>
    </cacheField>
    <cacheField name="Materialer og processer" numFmtId="3">
      <sharedItems containsSemiMixedTypes="0" containsString="0" containsNumber="1" minValue="0" maxValue="3259315.5328257415"/>
    </cacheField>
    <cacheField name="Produktion minus forbrug [ton]" numFmtId="3">
      <sharedItems containsSemiMixedTypes="0" containsString="0" containsNumber="1" minValue="-4828427.5390456235" maxValue="5895865.545768464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71342992.17367357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49430393518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71342992.17367357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682350.705808945"/>
    </cacheField>
    <cacheField name="Energi" numFmtId="3">
      <sharedItems containsSemiMixedTypes="0" containsString="0" containsNumber="1" minValue="0" maxValue="471342992.17367357"/>
    </cacheField>
    <cacheField name="Materialer og processer" numFmtId="3">
      <sharedItems containsSemiMixedTypes="0" containsString="0" containsNumber="1" minValue="0" maxValue="3259315.5328257415"/>
    </cacheField>
    <cacheField name="Produktion minus forbrug [ton]" numFmtId="3">
      <sharedItems containsSemiMixedTypes="0" containsString="0" containsNumber="1" minValue="-4828427.5390456235" maxValue="5895865.545768464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71342992.17367357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4943041666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2.1913160409102947E-5" maxValue="853064.00210361299"/>
    </cacheField>
    <cacheField name="Udbytte, hovedafgrøde" numFmtId="0">
      <sharedItems containsSemiMixedTypes="0" containsString="0" containsNumber="1" minValue="3.628490666341311E-4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1.1791999883481743E-4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494304282409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811.3821523284805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49430439814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49430462963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682350.7058089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418789.26410326542"/>
    <n v="61054.422265523077"/>
    <n v="0"/>
    <n v="0"/>
    <n v="0"/>
    <n v="0"/>
    <n v="0"/>
    <n v="0"/>
    <n v="357734.841837742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71342992.17367357"/>
    <n v="0"/>
    <n v="0"/>
    <n v="0"/>
    <n v="0"/>
    <n v="0"/>
    <n v="471342992.17367357"/>
    <n v="0"/>
    <n v="0"/>
    <n v="0"/>
    <n v="471342992.17367357"/>
    <n v="0"/>
    <n v="0"/>
    <n v="0"/>
    <n v="0"/>
    <n v="0"/>
    <n v="0"/>
    <n v="0"/>
    <n v="0"/>
  </r>
  <r>
    <x v="4"/>
    <x v="10"/>
    <n v="0"/>
    <x v="1"/>
    <s v="Vestdanmark"/>
    <n v="20170827.589539841"/>
    <n v="0"/>
    <n v="0"/>
    <n v="0"/>
    <n v="0"/>
    <n v="17682350.705808945"/>
    <n v="0"/>
    <n v="0"/>
    <n v="2488476.8837308958"/>
    <n v="0"/>
    <n v="0"/>
    <n v="0"/>
    <n v="0"/>
    <n v="0"/>
    <n v="0"/>
    <n v="0"/>
    <n v="0"/>
    <n v="0"/>
    <n v="0"/>
  </r>
  <r>
    <x v="5"/>
    <x v="1"/>
    <n v="1"/>
    <x v="1"/>
    <s v="Vestdanmark"/>
    <n v="1434216.1804386508"/>
    <n v="0"/>
    <n v="0"/>
    <n v="0"/>
    <n v="143421.61804386508"/>
    <n v="0"/>
    <n v="0"/>
    <n v="0"/>
    <n v="1290794.5623947857"/>
    <n v="1290794.5623947857"/>
    <n v="143421.61804386508"/>
    <n v="0.73320497141154706"/>
    <n v="0.81467219045727446"/>
    <n v="8.1467219045727457E-2"/>
    <n v="0.73320497141154695"/>
    <n v="55198.748130056985"/>
    <n v="61331.942366729985"/>
    <n v="6133.1942366729982"/>
    <n v="55198.748130056985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1010173.1683931999"/>
    <n v="855103.95329864242"/>
    <n v="0"/>
    <n v="0"/>
    <n v="0"/>
    <n v="0"/>
    <n v="0"/>
    <n v="0"/>
    <n v="155069.2150945575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1133504.1967338757"/>
    <n v="0"/>
    <n v="0"/>
    <n v="0"/>
    <n v="0"/>
    <n v="0"/>
    <n v="0"/>
    <n v="0"/>
    <n v="1133504.1967338757"/>
    <n v="0"/>
    <n v="0"/>
    <n v="0"/>
    <n v="0"/>
    <n v="0"/>
    <n v="0"/>
    <n v="0"/>
    <n v="0"/>
    <n v="0"/>
    <n v="0"/>
  </r>
  <r>
    <x v="11"/>
    <x v="10"/>
    <n v="0"/>
    <x v="1"/>
    <s v="Vestdanmark"/>
    <n v="32926.683610133667"/>
    <n v="0"/>
    <n v="0"/>
    <n v="257923.29437791562"/>
    <n v="0"/>
    <n v="0"/>
    <n v="0"/>
    <n v="0"/>
    <n v="-224996.61076778197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822764.410718527"/>
    <n v="12249098.107862087"/>
    <n v="0"/>
    <n v="0"/>
    <n v="0"/>
    <n v="0"/>
    <n v="0"/>
    <n v="2935044.8877656907"/>
    <n v="-1361378.584909251"/>
    <n v="0"/>
    <n v="0"/>
    <n v="0"/>
    <n v="0"/>
    <n v="0"/>
    <n v="0"/>
    <n v="0"/>
    <n v="0"/>
    <n v="0"/>
    <n v="0"/>
  </r>
  <r>
    <x v="14"/>
    <x v="10"/>
    <n v="0"/>
    <x v="1"/>
    <s v="Vestdanmark"/>
    <n v="490655.53893383988"/>
    <n v="490655.5389338398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856846.09368548705"/>
    <n v="0"/>
    <n v="0"/>
    <n v="270140.71358529059"/>
    <n v="0"/>
    <n v="0"/>
    <n v="0"/>
    <n v="0"/>
    <n v="586705.38010019646"/>
    <n v="0"/>
    <n v="0"/>
    <n v="0"/>
    <n v="0"/>
    <n v="0"/>
    <n v="0"/>
    <n v="0"/>
    <n v="0"/>
    <n v="0"/>
    <n v="0"/>
  </r>
  <r>
    <x v="16"/>
    <x v="5"/>
    <n v="1"/>
    <x v="1"/>
    <s v="Vestdanmark"/>
    <n v="2657255.852063973"/>
    <n v="765718.007862392"/>
    <n v="726974.95402379602"/>
    <n v="0"/>
    <n v="0"/>
    <n v="0"/>
    <n v="1109121.9875318299"/>
    <n v="55440.902645954935"/>
    <n v="0"/>
    <n v="0"/>
    <n v="1109121.9875318299"/>
    <n v="0"/>
    <n v="11.463670069604794"/>
    <n v="0"/>
    <n v="11.463670069604794"/>
    <n v="0"/>
    <n v="942753.68940205534"/>
    <n v="0"/>
    <n v="942753.68940205534"/>
  </r>
  <r>
    <x v="17"/>
    <x v="1"/>
    <n v="1"/>
    <x v="1"/>
    <s v="Vestdanmark"/>
    <n v="526734.10986839118"/>
    <n v="0"/>
    <n v="0"/>
    <n v="0"/>
    <n v="267973.79239933251"/>
    <n v="0"/>
    <n v="258760.31746905867"/>
    <n v="0"/>
    <n v="0"/>
    <n v="0"/>
    <n v="526734.10986839118"/>
    <n v="0"/>
    <n v="5.0744845071167353"/>
    <n v="0.4550382576595346"/>
    <n v="4.6194462494572006"/>
    <n v="0"/>
    <n v="158020.23296051734"/>
    <n v="80392.13771979975"/>
    <n v="77628.095240717594"/>
  </r>
  <r>
    <x v="18"/>
    <x v="10"/>
    <n v="0"/>
    <x v="1"/>
    <s v="Vestdanmark"/>
    <n v="0"/>
    <n v="2420616.3174727387"/>
    <n v="0"/>
    <n v="0"/>
    <n v="0"/>
    <n v="0"/>
    <n v="0"/>
    <n v="0"/>
    <n v="-2420616.3174727387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30482.01569836587"/>
    <n v="0"/>
    <n v="0"/>
    <n v="0"/>
    <n v="0"/>
    <n v="0"/>
    <n v="0"/>
    <n v="0"/>
    <n v="730482.01569836587"/>
    <n v="0"/>
    <n v="0"/>
    <n v="0"/>
    <n v="0"/>
    <n v="0"/>
    <n v="0"/>
    <n v="0"/>
    <n v="0"/>
    <n v="0"/>
    <n v="0"/>
  </r>
  <r>
    <x v="21"/>
    <x v="10"/>
    <n v="0"/>
    <x v="1"/>
    <s v="Vestdanmark"/>
    <n v="1801867.7489844554"/>
    <n v="0"/>
    <n v="0"/>
    <n v="123531.68309679118"/>
    <n v="0"/>
    <n v="0"/>
    <n v="0"/>
    <n v="0"/>
    <n v="1678336.0658876642"/>
    <n v="0"/>
    <n v="0"/>
    <n v="0"/>
    <n v="0"/>
    <n v="0"/>
    <n v="0"/>
    <n v="0"/>
    <n v="0"/>
    <n v="0"/>
    <n v="0"/>
  </r>
  <r>
    <x v="22"/>
    <x v="5"/>
    <n v="1"/>
    <x v="1"/>
    <s v="Vestdanmark"/>
    <n v="6678880.1812345712"/>
    <n v="5880011.5738482485"/>
    <n v="0"/>
    <n v="295933.04302308214"/>
    <n v="2924.3313169399116"/>
    <n v="0"/>
    <n v="0"/>
    <n v="0"/>
    <n v="500011.23304630071"/>
    <n v="500011.23304630071"/>
    <n v="2924.3313169399116"/>
    <n v="1.7124684716109537"/>
    <n v="1.7224838969650886"/>
    <n v="1.0015425354134827E-2"/>
    <n v="1.7124684716109537"/>
    <n v="155003.48224435322"/>
    <n v="155910.02495260458"/>
    <n v="906.54270825137257"/>
    <n v="155003.48224435322"/>
  </r>
  <r>
    <x v="23"/>
    <x v="10"/>
    <n v="0"/>
    <x v="1"/>
    <s v="Vestdanmark"/>
    <n v="0"/>
    <n v="0"/>
    <n v="0"/>
    <n v="0"/>
    <n v="0"/>
    <n v="870082.97483693098"/>
    <n v="0"/>
    <n v="0"/>
    <n v="-870082.97483693098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0478.9155088854"/>
    <n v="0"/>
    <n v="0"/>
    <n v="0"/>
    <n v="0"/>
    <n v="0"/>
    <n v="0"/>
    <n v="110514.94985777745"/>
    <n v="0"/>
    <n v="0"/>
    <n v="0"/>
    <n v="0"/>
    <n v="0"/>
    <n v="0"/>
    <n v="0"/>
    <n v="0"/>
    <n v="0"/>
    <n v="0"/>
  </r>
  <r>
    <x v="26"/>
    <x v="4"/>
    <n v="1"/>
    <x v="1"/>
    <s v="Vestdanmark"/>
    <n v="4983493.3169037867"/>
    <n v="5642415.7793918829"/>
    <n v="0"/>
    <n v="0"/>
    <n v="0"/>
    <n v="0"/>
    <n v="0"/>
    <n v="0"/>
    <n v="-658922.46248809621"/>
    <n v="0"/>
    <n v="0"/>
    <n v="0"/>
    <n v="0"/>
    <n v="0"/>
    <n v="0"/>
    <n v="0"/>
    <n v="0"/>
    <n v="0"/>
    <n v="0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1640.199818552966"/>
    <n v="0"/>
    <n v="0"/>
    <n v="0"/>
    <n v="0"/>
    <n v="0"/>
    <n v="0"/>
    <n v="0"/>
    <n v="21640.199818552966"/>
    <n v="21640.199818552966"/>
    <n v="0"/>
    <n v="1.9422079337151288E-2"/>
    <n v="1.9422079337151288E-2"/>
    <n v="0"/>
    <n v="1.9422079337151288E-2"/>
    <n v="3246.0299727829447"/>
    <n v="3246.0299727829447"/>
    <n v="0"/>
    <n v="3246.029972782944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02553.3899505115"/>
    <n v="0"/>
    <n v="0"/>
    <n v="0"/>
    <n v="0"/>
    <n v="0"/>
    <n v="0"/>
    <n v="0"/>
    <n v="1602553.3899505115"/>
    <n v="0"/>
    <n v="0"/>
    <n v="0"/>
    <n v="0"/>
    <n v="0"/>
    <n v="0"/>
    <n v="0"/>
    <n v="0"/>
    <n v="0"/>
    <n v="0"/>
  </r>
  <r>
    <x v="31"/>
    <x v="7"/>
    <n v="1"/>
    <x v="1"/>
    <s v="Vestdanmark"/>
    <n v="151017.99543542339"/>
    <n v="0"/>
    <n v="0"/>
    <n v="0"/>
    <n v="0"/>
    <n v="0"/>
    <n v="151017.99543542339"/>
    <n v="0"/>
    <n v="0"/>
    <n v="0"/>
    <n v="151017.99543542339"/>
    <n v="0"/>
    <n v="2.77873111601179"/>
    <n v="0"/>
    <n v="2.77873111601179"/>
    <n v="0"/>
    <n v="62672.468105700711"/>
    <n v="0"/>
    <n v="62672.468105700711"/>
  </r>
  <r>
    <x v="32"/>
    <x v="8"/>
    <n v="1"/>
    <x v="1"/>
    <s v="Vestdanmark"/>
    <n v="31046.905481734768"/>
    <n v="0"/>
    <n v="0"/>
    <n v="0"/>
    <n v="0"/>
    <n v="0"/>
    <n v="31046.905481734768"/>
    <n v="0"/>
    <n v="0"/>
    <n v="0"/>
    <n v="31046.905481734768"/>
    <n v="0"/>
    <n v="0.27822462583846019"/>
    <n v="0"/>
    <n v="0.27822462583846019"/>
    <n v="0"/>
    <n v="0"/>
    <n v="0"/>
    <n v="0"/>
  </r>
  <r>
    <x v="33"/>
    <x v="8"/>
    <n v="1"/>
    <x v="1"/>
    <s v="Vestdanmark"/>
    <n v="7761.726370433692"/>
    <n v="0"/>
    <n v="0"/>
    <n v="0"/>
    <n v="0"/>
    <n v="0"/>
    <n v="7761.726370433692"/>
    <n v="0"/>
    <n v="0"/>
    <n v="0"/>
    <n v="7761.726370433692"/>
    <n v="0"/>
    <n v="0.25822154816379966"/>
    <n v="0"/>
    <n v="0.25822154816379966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697666.9509630102"/>
    <n v="0"/>
    <n v="0"/>
    <n v="0"/>
    <n v="0"/>
    <n v="0"/>
    <n v="0"/>
    <n v="697666.9509630102"/>
    <n v="0"/>
    <n v="0"/>
    <n v="0"/>
    <n v="0"/>
    <n v="0"/>
    <n v="0"/>
    <n v="0"/>
    <n v="0"/>
    <n v="0"/>
    <n v="0"/>
    <n v="0"/>
  </r>
  <r>
    <x v="36"/>
    <x v="10"/>
    <n v="0"/>
    <x v="1"/>
    <s v="Vestdanmark"/>
    <n v="348833.4754815051"/>
    <n v="393560.35265348584"/>
    <n v="0"/>
    <n v="0"/>
    <n v="0"/>
    <n v="0"/>
    <n v="0"/>
    <n v="0"/>
    <n v="-44726.877171980741"/>
    <n v="0"/>
    <n v="0"/>
    <n v="0"/>
    <n v="0"/>
    <n v="0"/>
    <n v="0"/>
    <n v="0"/>
    <n v="0"/>
    <n v="0"/>
    <n v="0"/>
  </r>
  <r>
    <x v="37"/>
    <x v="9"/>
    <n v="1"/>
    <x v="1"/>
    <s v="Vestdanmark"/>
    <n v="223253.42430816326"/>
    <n v="0"/>
    <n v="0"/>
    <n v="0"/>
    <n v="0"/>
    <n v="0"/>
    <n v="223253.42430816326"/>
    <n v="0"/>
    <n v="0"/>
    <n v="0"/>
    <n v="223253.42430816326"/>
    <n v="0"/>
    <n v="7.8138698507857134"/>
    <n v="0"/>
    <n v="7.8138698507857134"/>
    <n v="0"/>
    <n v="0"/>
    <n v="0"/>
    <n v="0"/>
  </r>
  <r>
    <x v="38"/>
    <x v="4"/>
    <n v="1"/>
    <x v="1"/>
    <s v="Vestdanmark"/>
    <n v="1519161.3760726012"/>
    <n v="868637.91677766922"/>
    <n v="0"/>
    <n v="0"/>
    <n v="0"/>
    <n v="0"/>
    <n v="0"/>
    <n v="0"/>
    <n v="650523.45929493196"/>
    <n v="650523.45929493196"/>
    <n v="0"/>
    <n v="1.7655466894648171"/>
    <n v="1.7655466894648171"/>
    <n v="0"/>
    <n v="1.7655466894648171"/>
    <n v="130104.69185898639"/>
    <n v="130104.69185898639"/>
    <n v="0"/>
    <n v="130104.69185898639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8482.787367359997"/>
    <n v="0"/>
    <n v="0"/>
    <n v="0"/>
    <n v="0"/>
    <n v="0"/>
    <n v="0"/>
    <n v="91210.540346416281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350"/>
    <n v="0"/>
    <n v="0"/>
    <n v="0"/>
    <n v="0"/>
    <n v="0"/>
    <n v="0"/>
    <n v="0"/>
    <n v="1350"/>
    <n v="1350"/>
    <n v="0"/>
    <n v="1.211625E-3"/>
    <n v="1.211625E-3"/>
    <n v="0"/>
    <n v="1.211625E-3"/>
    <n v="202.5"/>
    <n v="202.5"/>
    <n v="0"/>
    <n v="202.5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5884.0906945551"/>
    <n v="0"/>
    <n v="0"/>
    <n v="0"/>
    <n v="0"/>
    <n v="0"/>
    <n v="2205884.0906945551"/>
    <n v="0"/>
    <n v="0"/>
    <n v="0"/>
    <n v="2205884.0906945551"/>
    <n v="0"/>
    <n v="31.971133055605648"/>
    <n v="0"/>
    <n v="31.971133055605648"/>
    <n v="0"/>
    <n v="1090993.506522682"/>
    <n v="0"/>
    <n v="1090993.506522682"/>
  </r>
  <r>
    <x v="47"/>
    <x v="10"/>
    <n v="0"/>
    <x v="1"/>
    <s v="Vestdanmark"/>
    <n v="606661.04726979067"/>
    <n v="0"/>
    <n v="0"/>
    <n v="0"/>
    <n v="0"/>
    <n v="0"/>
    <n v="0"/>
    <n v="606661.0472697906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545594.46832024341"/>
    <n v="31434.479653499999"/>
    <n v="0"/>
    <n v="112833.22962148272"/>
    <n v="0"/>
    <n v="0"/>
    <n v="0"/>
    <n v="0"/>
    <n v="401326.7590452607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70018749.96798176"/>
    <n v="0"/>
    <n v="0"/>
    <n v="0"/>
    <n v="0"/>
    <n v="0"/>
    <n v="470018749.96798176"/>
    <n v="0"/>
    <n v="0"/>
    <n v="0"/>
    <n v="470018749.96798176"/>
    <n v="0"/>
    <n v="0"/>
    <n v="0"/>
    <n v="0"/>
    <n v="0"/>
    <n v="0"/>
    <n v="0"/>
    <n v="0"/>
  </r>
  <r>
    <x v="4"/>
    <x v="10"/>
    <n v="0"/>
    <x v="2"/>
    <s v="Vestdanmark"/>
    <n v="17668195.373487305"/>
    <n v="0"/>
    <n v="0"/>
    <n v="0"/>
    <n v="0"/>
    <n v="11772329.827718841"/>
    <n v="0"/>
    <n v="0"/>
    <n v="5895865.545768464"/>
    <n v="0"/>
    <n v="0"/>
    <n v="0"/>
    <n v="0"/>
    <n v="0"/>
    <n v="0"/>
    <n v="0"/>
    <n v="0"/>
    <n v="0"/>
    <n v="0"/>
  </r>
  <r>
    <x v="5"/>
    <x v="1"/>
    <n v="1"/>
    <x v="2"/>
    <s v="Vestdanmark"/>
    <n v="1592671.7488440941"/>
    <n v="0"/>
    <n v="0"/>
    <n v="0"/>
    <n v="1353770.9865174799"/>
    <n v="0"/>
    <n v="0"/>
    <n v="0"/>
    <n v="238900.76232661423"/>
    <n v="238900.76232661423"/>
    <n v="1353770.9865174799"/>
    <n v="0.13570186280216823"/>
    <n v="0.90467908534778774"/>
    <n v="0.76897722254561951"/>
    <n v="0.13570186280216823"/>
    <n v="10216.205887387503"/>
    <n v="68108.039249249996"/>
    <n v="57891.833361862489"/>
    <n v="10216.205887387507"/>
  </r>
  <r>
    <x v="6"/>
    <x v="2"/>
    <n v="1"/>
    <x v="2"/>
    <s v="Vestdanmark"/>
    <n v="1458137.3135203668"/>
    <n v="0"/>
    <n v="0"/>
    <n v="0"/>
    <n v="1239416.7164923118"/>
    <n v="82801.368874906548"/>
    <n v="0"/>
    <n v="0"/>
    <n v="135919.22815314843"/>
    <n v="135919.22815314843"/>
    <n v="1239416.7164923118"/>
    <n v="0.29277001744188175"/>
    <n v="2.9624736247663215"/>
    <n v="2.6697036073244398"/>
    <n v="0.29277001744188169"/>
    <n v="40775.76844594453"/>
    <n v="412600.78339363803"/>
    <n v="371825.0149476935"/>
    <n v="40775.76844594453"/>
  </r>
  <r>
    <x v="7"/>
    <x v="10"/>
    <n v="0"/>
    <x v="2"/>
    <s v="Vestdanmark"/>
    <n v="1121779.4699876471"/>
    <n v="1100647.0466911762"/>
    <n v="0"/>
    <n v="0"/>
    <n v="0"/>
    <n v="0"/>
    <n v="0"/>
    <n v="0"/>
    <n v="21132.423296470894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323.2019641100578"/>
    <n v="1292.3297583723634"/>
    <n v="0"/>
    <n v="0"/>
    <n v="0"/>
    <n v="0"/>
    <n v="7323.2019641100578"/>
    <n v="0"/>
    <n v="3.4440286517013192E-3"/>
    <n v="3.4440286517013192E-3"/>
    <n v="0"/>
    <n v="0"/>
    <n v="461.36172373893362"/>
    <n v="461.36172373893362"/>
    <n v="0"/>
  </r>
  <r>
    <x v="9"/>
    <x v="10"/>
    <n v="0"/>
    <x v="2"/>
    <s v="Vestdanmark"/>
    <n v="173658.75124992887"/>
    <n v="0"/>
    <n v="0"/>
    <n v="18335.399813490942"/>
    <n v="0"/>
    <n v="0"/>
    <n v="0"/>
    <n v="0"/>
    <n v="155323.35143643792"/>
    <n v="0"/>
    <n v="0"/>
    <n v="0"/>
    <n v="0"/>
    <n v="0"/>
    <n v="0"/>
    <n v="0"/>
    <n v="0"/>
    <n v="0"/>
    <n v="0"/>
  </r>
  <r>
    <x v="10"/>
    <x v="10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</r>
  <r>
    <x v="11"/>
    <x v="10"/>
    <n v="0"/>
    <x v="2"/>
    <s v="Vestdanmark"/>
    <n v="116507.263767978"/>
    <n v="0"/>
    <n v="0"/>
    <n v="267978.92035102146"/>
    <n v="0"/>
    <n v="0"/>
    <n v="0"/>
    <n v="0"/>
    <n v="-151471.6565830434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7962057.7199019091"/>
    <n v="6306570.6128669288"/>
    <n v="0"/>
    <n v="0"/>
    <n v="0"/>
    <n v="0"/>
    <n v="0"/>
    <n v="3259315.5328257415"/>
    <n v="-1603828.4257907616"/>
    <n v="0"/>
    <n v="0"/>
    <n v="0"/>
    <n v="0"/>
    <n v="0"/>
    <n v="0"/>
    <n v="0"/>
    <n v="0"/>
    <n v="0"/>
    <n v="0"/>
  </r>
  <r>
    <x v="14"/>
    <x v="10"/>
    <n v="0"/>
    <x v="2"/>
    <s v="Vestdanmark"/>
    <n v="544864.31399399997"/>
    <n v="544864.3139939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257296.7096095001"/>
    <n v="0"/>
    <n v="0"/>
    <n v="280672.65868343826"/>
    <n v="0"/>
    <n v="0"/>
    <n v="0"/>
    <n v="0"/>
    <n v="976624.05092606181"/>
    <n v="0"/>
    <n v="0"/>
    <n v="0"/>
    <n v="0"/>
    <n v="0"/>
    <n v="0"/>
    <n v="0"/>
    <n v="0"/>
    <n v="0"/>
    <n v="0"/>
  </r>
  <r>
    <x v="16"/>
    <x v="5"/>
    <n v="1"/>
    <x v="2"/>
    <s v="Vestdanmark"/>
    <n v="2963241.932022078"/>
    <n v="394237.57109337207"/>
    <n v="367504.60397489293"/>
    <n v="0"/>
    <n v="0"/>
    <n v="0"/>
    <n v="408304.80676701013"/>
    <n v="1793194.9501868032"/>
    <n v="0"/>
    <n v="0"/>
    <n v="408304.80676701013"/>
    <n v="0"/>
    <n v="4.2201594100814956"/>
    <n v="0"/>
    <n v="4.2201594100814956"/>
    <n v="0"/>
    <n v="347059.0857519586"/>
    <n v="0"/>
    <n v="347059.0857519586"/>
  </r>
  <r>
    <x v="17"/>
    <x v="1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</r>
  <r>
    <x v="20"/>
    <x v="10"/>
    <n v="0"/>
    <x v="2"/>
    <s v="Vestdanmark"/>
    <n v="520573.94312179892"/>
    <n v="0"/>
    <n v="0"/>
    <n v="0"/>
    <n v="0"/>
    <n v="0"/>
    <n v="0"/>
    <n v="0"/>
    <n v="520573.94312179892"/>
    <n v="0"/>
    <n v="0"/>
    <n v="0"/>
    <n v="0"/>
    <n v="0"/>
    <n v="0"/>
    <n v="0"/>
    <n v="0"/>
    <n v="0"/>
    <n v="0"/>
  </r>
  <r>
    <x v="21"/>
    <x v="10"/>
    <n v="0"/>
    <x v="2"/>
    <s v="Vestdanmark"/>
    <n v="1748472.631855153"/>
    <n v="0"/>
    <n v="0"/>
    <n v="128347.79869443661"/>
    <n v="0"/>
    <n v="0"/>
    <n v="0"/>
    <n v="0"/>
    <n v="1620124.8331607163"/>
    <n v="0"/>
    <n v="0"/>
    <n v="0"/>
    <n v="0"/>
    <n v="0"/>
    <n v="0"/>
    <n v="0"/>
    <n v="0"/>
    <n v="0"/>
    <n v="0"/>
  </r>
  <r>
    <x v="22"/>
    <x v="5"/>
    <n v="1"/>
    <x v="2"/>
    <s v="Vestdanmark"/>
    <n v="3920720.3662957777"/>
    <n v="3027382.7402155618"/>
    <n v="0"/>
    <n v="307470.55071854044"/>
    <n v="0"/>
    <n v="0"/>
    <n v="0"/>
    <n v="0"/>
    <n v="585867.07536167558"/>
    <n v="585867.07536167558"/>
    <n v="0"/>
    <n v="2.0065127117231887"/>
    <n v="2.0065127117231887"/>
    <n v="0"/>
    <n v="2.0065127117231887"/>
    <n v="181618.79336211944"/>
    <n v="181618.79336211944"/>
    <n v="0"/>
    <n v="181618.79336211944"/>
  </r>
  <r>
    <x v="23"/>
    <x v="10"/>
    <n v="0"/>
    <x v="2"/>
    <s v="Vestdanmark"/>
    <n v="0"/>
    <n v="0"/>
    <n v="0"/>
    <n v="0"/>
    <n v="0"/>
    <n v="1155727.8519823398"/>
    <n v="0"/>
    <n v="0"/>
    <n v="-1155727.8519823398"/>
    <n v="0"/>
    <n v="0"/>
    <n v="0"/>
    <n v="0"/>
    <n v="0"/>
    <n v="0"/>
    <n v="0"/>
    <n v="0"/>
    <n v="0"/>
    <n v="0"/>
  </r>
  <r>
    <x v="24"/>
    <x v="2"/>
    <n v="1"/>
    <x v="2"/>
    <s v="Vestdanmark"/>
    <n v="6367703.2512749117"/>
    <n v="0"/>
    <n v="0"/>
    <n v="0"/>
    <n v="5412547.763583675"/>
    <n v="955155.48769123689"/>
    <n v="0"/>
    <n v="0"/>
    <n v="0"/>
    <n v="0"/>
    <n v="5412547.763583675"/>
    <n v="0"/>
    <n v="2.7397775524484209"/>
    <n v="2.7397775524484209"/>
    <n v="0"/>
    <n v="0"/>
    <n v="411353.63003235927"/>
    <n v="411353.63003235927"/>
    <n v="0"/>
  </r>
  <r>
    <x v="25"/>
    <x v="10"/>
    <n v="0"/>
    <x v="2"/>
    <s v="Vestdanmark"/>
    <n v="795441.73503903183"/>
    <n v="777685.16963622137"/>
    <n v="0"/>
    <n v="0"/>
    <n v="0"/>
    <n v="0"/>
    <n v="0"/>
    <n v="0"/>
    <n v="17756.565402810462"/>
    <n v="0"/>
    <n v="0"/>
    <n v="0"/>
    <n v="0"/>
    <n v="0"/>
    <n v="0"/>
    <n v="0"/>
    <n v="0"/>
    <n v="0"/>
    <n v="0"/>
  </r>
  <r>
    <x v="26"/>
    <x v="4"/>
    <n v="1"/>
    <x v="2"/>
    <s v="Vestdanmark"/>
    <n v="3204301.4084430053"/>
    <n v="2570844.3984400104"/>
    <n v="0"/>
    <n v="0"/>
    <n v="550329.17750715138"/>
    <n v="0"/>
    <n v="0"/>
    <n v="0"/>
    <n v="83127.832495843526"/>
    <n v="83127.832495843526"/>
    <n v="550329.17750715138"/>
    <n v="0.29842891866007831"/>
    <n v="2.2741106659107517"/>
    <n v="1.9756817472506736"/>
    <n v="0.29842891866007815"/>
    <n v="24938.349748753059"/>
    <n v="190037.10300089847"/>
    <n v="165098.7532521454"/>
    <n v="24938.349748753069"/>
  </r>
  <r>
    <x v="27"/>
    <x v="10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</r>
  <r>
    <x v="28"/>
    <x v="6"/>
    <n v="1"/>
    <x v="2"/>
    <s v="Vestdanmark"/>
    <n v="162301.49863914726"/>
    <n v="0"/>
    <n v="0"/>
    <n v="0"/>
    <n v="0"/>
    <n v="0"/>
    <n v="0"/>
    <n v="0"/>
    <n v="162301.49863914726"/>
    <n v="162301.49863914726"/>
    <n v="0"/>
    <n v="0.14566559502863469"/>
    <n v="0.14566559502863469"/>
    <n v="0"/>
    <n v="0.14566559502863469"/>
    <n v="24345.224795872087"/>
    <n v="24345.224795872087"/>
    <n v="0"/>
    <n v="24345.224795872087"/>
  </r>
  <r>
    <x v="29"/>
    <x v="10"/>
    <n v="0"/>
    <x v="2"/>
    <s v="Vestdanmark"/>
    <n v="51394.057868840908"/>
    <n v="0"/>
    <n v="0"/>
    <n v="31184.283836637289"/>
    <n v="0"/>
    <n v="0"/>
    <n v="0"/>
    <n v="0"/>
    <n v="20209.774032203619"/>
    <n v="0"/>
    <n v="0"/>
    <n v="0"/>
    <n v="0"/>
    <n v="0"/>
    <n v="0"/>
    <n v="0"/>
    <n v="0"/>
    <n v="0"/>
    <n v="0"/>
  </r>
  <r>
    <x v="30"/>
    <x v="10"/>
    <n v="0"/>
    <x v="2"/>
    <s v="Vestdanmark"/>
    <n v="1143602.1995332621"/>
    <n v="0"/>
    <n v="0"/>
    <n v="0"/>
    <n v="0"/>
    <n v="0"/>
    <n v="0"/>
    <n v="0"/>
    <n v="1143602.1995332621"/>
    <n v="0"/>
    <n v="0"/>
    <n v="0"/>
    <n v="0"/>
    <n v="0"/>
    <n v="0"/>
    <n v="0"/>
    <n v="0"/>
    <n v="0"/>
    <n v="0"/>
  </r>
  <r>
    <x v="31"/>
    <x v="7"/>
    <n v="1"/>
    <x v="2"/>
    <s v="Vestdanmark"/>
    <n v="97651.319921337825"/>
    <n v="0"/>
    <n v="0"/>
    <n v="0"/>
    <n v="0"/>
    <n v="0"/>
    <n v="97651.319921337825"/>
    <n v="0"/>
    <n v="0"/>
    <n v="0"/>
    <n v="97651.319921337825"/>
    <n v="0"/>
    <n v="1.7967842865526156"/>
    <n v="0"/>
    <n v="1.7967842865526156"/>
    <n v="0"/>
    <n v="40525.297767355201"/>
    <n v="0"/>
    <n v="40525.297767355201"/>
  </r>
  <r>
    <x v="32"/>
    <x v="8"/>
    <n v="1"/>
    <x v="2"/>
    <s v="Vestdanmark"/>
    <n v="1004189.1721046099"/>
    <n v="0"/>
    <n v="0"/>
    <n v="0"/>
    <n v="0"/>
    <n v="0"/>
    <n v="1004189.1721046099"/>
    <n v="0"/>
    <n v="0"/>
    <n v="0"/>
    <n v="1004189.1721046099"/>
    <n v="0"/>
    <n v="8.9989695380174517"/>
    <n v="0"/>
    <n v="8.9989695380174517"/>
    <n v="0"/>
    <n v="0"/>
    <n v="0"/>
    <n v="0"/>
  </r>
  <r>
    <x v="33"/>
    <x v="8"/>
    <n v="1"/>
    <x v="2"/>
    <s v="Vestdanmark"/>
    <n v="251047.29302615247"/>
    <n v="0"/>
    <n v="0"/>
    <n v="0"/>
    <n v="0"/>
    <n v="0"/>
    <n v="251047.29302615247"/>
    <n v="0"/>
    <n v="0"/>
    <n v="0"/>
    <n v="251047.29302615247"/>
    <n v="0"/>
    <n v="8.3519847999900527"/>
    <n v="0"/>
    <n v="8.3519847999900527"/>
    <n v="0"/>
    <n v="0"/>
    <n v="0"/>
    <n v="0"/>
  </r>
  <r>
    <x v="34"/>
    <x v="10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</r>
  <r>
    <x v="35"/>
    <x v="10"/>
    <n v="0"/>
    <x v="2"/>
    <s v="Vestdanmark"/>
    <n v="619567.35639770923"/>
    <n v="0"/>
    <n v="0"/>
    <n v="0"/>
    <n v="0"/>
    <n v="0"/>
    <n v="0"/>
    <n v="619567.35639770923"/>
    <n v="0"/>
    <n v="0"/>
    <n v="0"/>
    <n v="0"/>
    <n v="0"/>
    <n v="0"/>
    <n v="0"/>
    <n v="0"/>
    <n v="0"/>
    <n v="0"/>
    <n v="0"/>
  </r>
  <r>
    <x v="36"/>
    <x v="10"/>
    <n v="0"/>
    <x v="2"/>
    <s v="Vestdanmark"/>
    <n v="309783.67819885461"/>
    <n v="202628.48191581847"/>
    <n v="0"/>
    <n v="0"/>
    <n v="0"/>
    <n v="0"/>
    <n v="0"/>
    <n v="0"/>
    <n v="107155.19628303614"/>
    <n v="0"/>
    <n v="0"/>
    <n v="0"/>
    <n v="0"/>
    <n v="0"/>
    <n v="0"/>
    <n v="0"/>
    <n v="0"/>
    <n v="0"/>
    <n v="0"/>
  </r>
  <r>
    <x v="37"/>
    <x v="9"/>
    <n v="1"/>
    <x v="2"/>
    <s v="Vestdanmark"/>
    <n v="198261.55404726695"/>
    <n v="0"/>
    <n v="0"/>
    <n v="0"/>
    <n v="0"/>
    <n v="0"/>
    <n v="198261.55404726695"/>
    <n v="0"/>
    <n v="0"/>
    <n v="0"/>
    <n v="198261.55404726695"/>
    <n v="0"/>
    <n v="6.939154391654343"/>
    <n v="0"/>
    <n v="6.939154391654343"/>
    <n v="0"/>
    <n v="0"/>
    <n v="0"/>
    <n v="0"/>
  </r>
  <r>
    <x v="38"/>
    <x v="4"/>
    <n v="1"/>
    <x v="2"/>
    <s v="Vestdanmark"/>
    <n v="557517.61958207632"/>
    <n v="447226.91507024999"/>
    <n v="0"/>
    <n v="0"/>
    <n v="0"/>
    <n v="0"/>
    <n v="0"/>
    <n v="0"/>
    <n v="110290.70451182633"/>
    <n v="110290.70451182633"/>
    <n v="0"/>
    <n v="0.29933338367327716"/>
    <n v="0.29933338367327716"/>
    <n v="0"/>
    <n v="0.29933338367327716"/>
    <n v="22058.140902365267"/>
    <n v="22058.140902365267"/>
    <n v="0"/>
    <n v="22058.140902365267"/>
  </r>
  <r>
    <x v="39"/>
    <x v="10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</r>
  <r>
    <x v="40"/>
    <x v="10"/>
    <n v="0"/>
    <x v="2"/>
    <s v="Vestdanmark"/>
    <n v="63050.124133731362"/>
    <n v="19813.247781599999"/>
    <n v="0"/>
    <n v="0"/>
    <n v="0"/>
    <n v="0"/>
    <n v="0"/>
    <n v="0"/>
    <n v="43236.876352131367"/>
    <n v="0"/>
    <n v="0"/>
    <n v="0"/>
    <n v="0"/>
    <n v="0"/>
    <n v="0"/>
    <n v="0"/>
    <n v="0"/>
    <n v="0"/>
    <n v="0"/>
  </r>
  <r>
    <x v="41"/>
    <x v="1"/>
    <n v="1"/>
    <x v="2"/>
    <s v="Vestdanmark"/>
    <n v="4062083.073222735"/>
    <n v="0"/>
    <n v="0"/>
    <n v="0"/>
    <n v="3452770.6122393245"/>
    <n v="0"/>
    <n v="0"/>
    <n v="0"/>
    <n v="609312.46098341048"/>
    <n v="609312.46098341048"/>
    <n v="3452770.6122393245"/>
    <n v="0.30405301115533173"/>
    <n v="2.0270200743688775"/>
    <n v="1.7229670632135456"/>
    <n v="0.3040530111553319"/>
    <n v="36558.747659004628"/>
    <n v="243724.98439336408"/>
    <n v="207166.23673435947"/>
    <n v="36558.747659004614"/>
  </r>
  <r>
    <x v="42"/>
    <x v="2"/>
    <n v="1"/>
    <x v="2"/>
    <s v="Vestdanmark"/>
    <n v="7216145.8837897805"/>
    <n v="0"/>
    <n v="0"/>
    <n v="0"/>
    <n v="6133724.0012213131"/>
    <n v="1082421.8825684672"/>
    <n v="0"/>
    <n v="0"/>
    <n v="0"/>
    <n v="0"/>
    <n v="6133724.0012213131"/>
    <n v="0"/>
    <n v="2.6424082997261422"/>
    <n v="2.6424082997261422"/>
    <n v="0"/>
    <n v="0"/>
    <n v="306686.20006106567"/>
    <n v="306686.20006106567"/>
    <n v="0"/>
  </r>
  <r>
    <x v="43"/>
    <x v="10"/>
    <n v="0"/>
    <x v="2"/>
    <s v="Vestdanmark"/>
    <n v="670075.43744177814"/>
    <n v="0"/>
    <n v="0"/>
    <n v="63313.545971354491"/>
    <n v="0"/>
    <n v="0"/>
    <n v="0"/>
    <n v="0"/>
    <n v="606761.89147042367"/>
    <n v="0"/>
    <n v="0"/>
    <n v="0"/>
    <n v="0"/>
    <n v="0"/>
    <n v="0"/>
    <n v="0"/>
    <n v="0"/>
    <n v="0"/>
    <n v="0"/>
  </r>
  <r>
    <x v="44"/>
    <x v="6"/>
    <n v="1"/>
    <x v="2"/>
    <s v="Vestdanmark"/>
    <n v="10125"/>
    <n v="5007.9440624448525"/>
    <n v="0"/>
    <n v="0"/>
    <n v="0"/>
    <n v="0"/>
    <n v="0"/>
    <n v="0"/>
    <n v="5117.0559375551475"/>
    <n v="5117.0559375551475"/>
    <n v="0"/>
    <n v="4.592557703955745E-3"/>
    <n v="4.592557703955745E-3"/>
    <n v="0"/>
    <n v="4.592557703955745E-3"/>
    <n v="767.5583906332721"/>
    <n v="767.5583906332721"/>
    <n v="0"/>
    <n v="767.5583906332721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0482.6440612082"/>
    <n v="0"/>
    <n v="0"/>
    <n v="0"/>
    <n v="0"/>
    <n v="0"/>
    <n v="2270482.6440612082"/>
    <n v="0"/>
    <n v="0"/>
    <n v="0"/>
    <n v="2270482.6440612082"/>
    <n v="0"/>
    <n v="32.90739663971565"/>
    <n v="0"/>
    <n v="32.90739663971565"/>
    <n v="0"/>
    <n v="1122942.8743752725"/>
    <n v="0"/>
    <n v="1122942.8743752725"/>
  </r>
  <r>
    <x v="47"/>
    <x v="10"/>
    <n v="0"/>
    <x v="2"/>
    <s v="Vestdanmark"/>
    <n v="643517.01117705333"/>
    <n v="0"/>
    <n v="0"/>
    <n v="0"/>
    <n v="0"/>
    <n v="0"/>
    <n v="0"/>
    <n v="643517.0111770533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23047.44370663891"/>
    <n v="7493.8897181076936"/>
    <n v="0"/>
    <n v="0"/>
    <n v="0"/>
    <n v="0"/>
    <n v="0"/>
    <n v="0"/>
    <n v="115553.55398853122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2424662.68425274"/>
    <n v="0"/>
    <n v="0"/>
    <n v="0"/>
    <n v="0"/>
    <n v="0"/>
    <n v="112424662.68425274"/>
    <n v="0"/>
    <n v="0"/>
    <n v="0"/>
    <n v="112424662.68425274"/>
    <n v="0"/>
    <n v="0"/>
    <n v="0"/>
    <n v="0"/>
    <n v="0"/>
    <n v="0"/>
    <n v="0"/>
    <n v="0"/>
  </r>
  <r>
    <x v="4"/>
    <x v="10"/>
    <n v="0"/>
    <x v="1"/>
    <s v="Østdanmark"/>
    <n v="3638100.9092914085"/>
    <n v="0"/>
    <n v="0"/>
    <n v="0"/>
    <n v="0"/>
    <n v="3189268.06030375"/>
    <n v="0"/>
    <n v="0"/>
    <n v="448832.84898765851"/>
    <n v="0"/>
    <n v="0"/>
    <n v="0"/>
    <n v="0"/>
    <n v="0"/>
    <n v="0"/>
    <n v="0"/>
    <n v="0"/>
    <n v="0"/>
    <n v="0"/>
  </r>
  <r>
    <x v="5"/>
    <x v="1"/>
    <n v="1"/>
    <x v="1"/>
    <s v="Østdanmark"/>
    <n v="176037.33667957611"/>
    <n v="0"/>
    <n v="0"/>
    <n v="0"/>
    <n v="17603.733667957611"/>
    <n v="0"/>
    <n v="0"/>
    <n v="0"/>
    <n v="158433.60301161848"/>
    <n v="158433.60301161848"/>
    <n v="17603.733667957611"/>
    <n v="8.9994417974030502E-2"/>
    <n v="9.999379774892278E-2"/>
    <n v="9.999379774892278E-3"/>
    <n v="8.9994417974030502E-2"/>
    <n v="6775.1575678709987"/>
    <n v="7527.9528531899987"/>
    <n v="752.79528531899996"/>
    <n v="6775.1575678709987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123989.81169960002"/>
    <n v="104956.43862895928"/>
    <n v="0"/>
    <n v="0"/>
    <n v="0"/>
    <n v="0"/>
    <n v="0"/>
    <n v="0"/>
    <n v="19033.373070640737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39365.5827745031"/>
    <n v="0"/>
    <n v="0"/>
    <n v="0"/>
    <n v="0"/>
    <n v="0"/>
    <n v="0"/>
    <n v="0"/>
    <n v="339365.5827745031"/>
    <n v="0"/>
    <n v="0"/>
    <n v="0"/>
    <n v="0"/>
    <n v="0"/>
    <n v="0"/>
    <n v="0"/>
    <n v="0"/>
    <n v="0"/>
    <n v="0"/>
  </r>
  <r>
    <x v="11"/>
    <x v="10"/>
    <n v="0"/>
    <x v="1"/>
    <s v="Østdanmark"/>
    <n v="9811.3821523284805"/>
    <n v="0"/>
    <n v="0"/>
    <n v="223323.94265330929"/>
    <n v="0"/>
    <n v="0"/>
    <n v="0"/>
    <n v="0"/>
    <n v="-213512.5605009808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804494.9727168591"/>
    <n v="1503468.3313748278"/>
    <n v="0"/>
    <n v="0"/>
    <n v="0"/>
    <n v="0"/>
    <n v="0"/>
    <n v="360250.77120469615"/>
    <n v="1940775.8701373353"/>
    <n v="579397.28522808431"/>
    <n v="0"/>
    <n v="1.0660185801590216"/>
    <n v="1.0660185801590216"/>
    <n v="0"/>
    <n v="1.0660185801590216"/>
    <n v="162231.23986386362"/>
    <n v="162231.23986386362"/>
    <n v="0"/>
    <n v="162231.23986386362"/>
  </r>
  <r>
    <x v="14"/>
    <x v="10"/>
    <n v="0"/>
    <x v="1"/>
    <s v="Østdanmark"/>
    <n v="60223.622825520004"/>
    <n v="60223.62282552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255910.1701378283"/>
    <n v="0"/>
    <n v="0"/>
    <n v="233902.44520004498"/>
    <n v="0"/>
    <n v="0"/>
    <n v="0"/>
    <n v="0"/>
    <n v="22007.724937783321"/>
    <n v="0"/>
    <n v="0"/>
    <n v="0"/>
    <n v="0"/>
    <n v="0"/>
    <n v="0"/>
    <n v="0"/>
    <n v="0"/>
    <n v="0"/>
    <n v="0"/>
  </r>
  <r>
    <x v="16"/>
    <x v="5"/>
    <n v="1"/>
    <x v="1"/>
    <s v="Østdanmark"/>
    <n v="784508.18490791088"/>
    <n v="93985.10530710897"/>
    <n v="103520.85960187271"/>
    <n v="0"/>
    <n v="0"/>
    <n v="0"/>
    <n v="567443.12264488416"/>
    <n v="19559.097354045036"/>
    <n v="0"/>
    <n v="0"/>
    <n v="567443.12264488416"/>
    <n v="0"/>
    <n v="5.8649822241311931"/>
    <n v="0"/>
    <n v="5.8649822241311931"/>
    <n v="0"/>
    <n v="482326.65424815152"/>
    <n v="0"/>
    <n v="482326.65424815152"/>
  </r>
  <r>
    <x v="17"/>
    <x v="1"/>
    <n v="1"/>
    <x v="1"/>
    <s v="Østdanmark"/>
    <n v="456074.89013160887"/>
    <n v="0"/>
    <n v="0"/>
    <n v="0"/>
    <n v="232026.20760066749"/>
    <n v="0"/>
    <n v="224048.68253094138"/>
    <n v="0"/>
    <n v="0"/>
    <n v="0"/>
    <n v="456074.89013160887"/>
    <n v="0"/>
    <n v="4.3937632302492702"/>
    <n v="0.3939967423404655"/>
    <n v="3.9997664879088046"/>
    <n v="0"/>
    <n v="136822.46703948267"/>
    <n v="69607.86228020025"/>
    <n v="67214.604759282418"/>
  </r>
  <r>
    <x v="18"/>
    <x v="10"/>
    <n v="0"/>
    <x v="1"/>
    <s v="Østdanmark"/>
    <n v="0"/>
    <n v="297109.21928150119"/>
    <n v="0"/>
    <n v="0"/>
    <n v="0"/>
    <n v="0"/>
    <n v="0"/>
    <n v="0"/>
    <n v="-297109.21928150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213365.56375262729"/>
    <n v="0"/>
    <n v="0"/>
    <n v="0"/>
    <n v="0"/>
    <n v="0"/>
    <n v="0"/>
    <n v="0"/>
    <n v="213365.56375262729"/>
    <n v="0"/>
    <n v="0"/>
    <n v="0"/>
    <n v="0"/>
    <n v="0"/>
    <n v="0"/>
    <n v="0"/>
    <n v="0"/>
    <n v="0"/>
    <n v="0"/>
  </r>
  <r>
    <x v="21"/>
    <x v="10"/>
    <n v="0"/>
    <x v="1"/>
    <s v="Østdanmark"/>
    <n v="520099.18456044223"/>
    <n v="0"/>
    <n v="0"/>
    <n v="106960.41463921656"/>
    <n v="0"/>
    <n v="0"/>
    <n v="0"/>
    <n v="0"/>
    <n v="413138.76992122567"/>
    <n v="0"/>
    <n v="0"/>
    <n v="0"/>
    <n v="0"/>
    <n v="0"/>
    <n v="0"/>
    <n v="0"/>
    <n v="0"/>
    <n v="0"/>
    <n v="0"/>
  </r>
  <r>
    <x v="22"/>
    <x v="5"/>
    <n v="1"/>
    <x v="1"/>
    <s v="Østdanmark"/>
    <n v="1967965.071790382"/>
    <n v="721719.35529882624"/>
    <n v="0"/>
    <n v="256234.83946537593"/>
    <n v="861.66868306008803"/>
    <n v="0"/>
    <n v="0"/>
    <n v="0"/>
    <n v="989149.20834311971"/>
    <n v="989149.20834311971"/>
    <n v="861.66868306008803"/>
    <n v="3.3876975576860175"/>
    <n v="3.3906486522918828"/>
    <n v="2.9510946058651736E-3"/>
    <n v="3.3876975576860175"/>
    <n v="306636.25458636711"/>
    <n v="306903.37187811575"/>
    <n v="267.11729174862728"/>
    <n v="306636.25458636711"/>
  </r>
  <r>
    <x v="23"/>
    <x v="10"/>
    <n v="0"/>
    <x v="1"/>
    <s v="Østdanmark"/>
    <n v="0"/>
    <n v="0"/>
    <n v="0"/>
    <n v="0"/>
    <n v="0"/>
    <n v="421833.87879780139"/>
    <n v="0"/>
    <n v="0"/>
    <n v="-421833.87879780139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5397.91213031337"/>
    <n v="0"/>
    <n v="0"/>
    <n v="0"/>
    <n v="0"/>
    <n v="0"/>
    <n v="0"/>
    <n v="-70187.378236720499"/>
    <n v="0"/>
    <n v="0"/>
    <n v="0"/>
    <n v="0"/>
    <n v="0"/>
    <n v="0"/>
    <n v="0"/>
    <n v="0"/>
    <n v="0"/>
    <n v="0"/>
  </r>
  <r>
    <x v="26"/>
    <x v="4"/>
    <n v="1"/>
    <x v="1"/>
    <s v="Østdanmark"/>
    <n v="1420877.0118334598"/>
    <n v="692556.57535474957"/>
    <n v="0"/>
    <n v="0"/>
    <n v="0"/>
    <n v="0"/>
    <n v="0"/>
    <n v="0"/>
    <n v="728320.43647871027"/>
    <n v="69397.97399061406"/>
    <n v="0"/>
    <n v="0.24913872662630451"/>
    <n v="0.24913872662630451"/>
    <n v="0"/>
    <n v="0.24913872662630451"/>
    <n v="20819.392197184217"/>
    <n v="20819.392197184217"/>
    <n v="0"/>
    <n v="20819.392197184217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5405.5586300748464"/>
    <n v="0"/>
    <n v="0"/>
    <n v="0"/>
    <n v="0"/>
    <n v="0"/>
    <n v="0"/>
    <n v="0"/>
    <n v="5405.5586300748464"/>
    <n v="5405.5586300748464"/>
    <n v="0"/>
    <n v="4.851488870492175E-3"/>
    <n v="4.851488870492175E-3"/>
    <n v="0"/>
    <n v="4.851488870492175E-3"/>
    <n v="810.83379451122698"/>
    <n v="810.83379451122698"/>
    <n v="0"/>
    <n v="810.83379451122698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69685.83477569057"/>
    <n v="0"/>
    <n v="0"/>
    <n v="0"/>
    <n v="0"/>
    <n v="0"/>
    <n v="0"/>
    <n v="0"/>
    <n v="469685.83477569057"/>
    <n v="0"/>
    <n v="0"/>
    <n v="0"/>
    <n v="0"/>
    <n v="0"/>
    <n v="0"/>
    <n v="0"/>
    <n v="0"/>
    <n v="0"/>
    <n v="0"/>
  </r>
  <r>
    <x v="31"/>
    <x v="7"/>
    <n v="1"/>
    <x v="1"/>
    <s v="Østdanmark"/>
    <n v="41596.139144494533"/>
    <n v="0"/>
    <n v="0"/>
    <n v="0"/>
    <n v="0"/>
    <n v="0"/>
    <n v="41596.139144494533"/>
    <n v="0"/>
    <n v="0"/>
    <n v="0"/>
    <n v="41596.139144494533"/>
    <n v="0"/>
    <n v="0.76536896025869927"/>
    <n v="0"/>
    <n v="0.76536896025869927"/>
    <n v="0"/>
    <n v="17262.397744965234"/>
    <n v="0"/>
    <n v="17262.397744965234"/>
  </r>
  <r>
    <x v="32"/>
    <x v="8"/>
    <n v="1"/>
    <x v="1"/>
    <s v="Østdanmark"/>
    <n v="10953.094518265221"/>
    <n v="0"/>
    <n v="0"/>
    <n v="0"/>
    <n v="0"/>
    <n v="0"/>
    <n v="10953.094518265221"/>
    <n v="0"/>
    <n v="0"/>
    <n v="0"/>
    <n v="10953.094518265221"/>
    <n v="0"/>
    <n v="9.8155374161539591E-2"/>
    <n v="0"/>
    <n v="9.8155374161539591E-2"/>
    <n v="0"/>
    <n v="0"/>
    <n v="0"/>
    <n v="0"/>
  </r>
  <r>
    <x v="33"/>
    <x v="8"/>
    <n v="1"/>
    <x v="1"/>
    <s v="Østdanmark"/>
    <n v="2738.2736295663053"/>
    <n v="0"/>
    <n v="0"/>
    <n v="0"/>
    <n v="0"/>
    <n v="0"/>
    <n v="2738.2736295663053"/>
    <n v="0"/>
    <n v="0"/>
    <n v="0"/>
    <n v="2738.2736295663053"/>
    <n v="0"/>
    <n v="9.1098451836200148E-2"/>
    <n v="0"/>
    <n v="9.1098451836200148E-2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7192.94889726539"/>
    <n v="0"/>
    <n v="0"/>
    <n v="0"/>
    <n v="0"/>
    <n v="0"/>
    <n v="0"/>
    <n v="207192.94889726539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3596.4744486327"/>
    <n v="48306.048452615352"/>
    <n v="0"/>
    <n v="0"/>
    <n v="0"/>
    <n v="0"/>
    <n v="0"/>
    <n v="0"/>
    <n v="55290.425996017344"/>
    <n v="0"/>
    <n v="0"/>
    <n v="0"/>
    <n v="0"/>
    <n v="0"/>
    <n v="0"/>
    <n v="0"/>
    <n v="0"/>
    <n v="0"/>
    <n v="0"/>
  </r>
  <r>
    <x v="37"/>
    <x v="9"/>
    <n v="1"/>
    <x v="1"/>
    <s v="Østdanmark"/>
    <n v="66301.743647124924"/>
    <n v="0"/>
    <n v="0"/>
    <n v="0"/>
    <n v="0"/>
    <n v="0"/>
    <n v="66301.743647124924"/>
    <n v="0"/>
    <n v="0"/>
    <n v="0"/>
    <n v="66301.743647124924"/>
    <n v="0"/>
    <n v="2.3205610276493722"/>
    <n v="0"/>
    <n v="2.3205610276493722"/>
    <n v="0"/>
    <n v="0"/>
    <n v="0"/>
    <n v="0"/>
  </r>
  <r>
    <x v="38"/>
    <x v="4"/>
    <n v="1"/>
    <x v="1"/>
    <s v="Østdanmark"/>
    <n v="461406.88541979471"/>
    <n v="106617.6128076231"/>
    <n v="0"/>
    <n v="0"/>
    <n v="0"/>
    <n v="0"/>
    <n v="0"/>
    <n v="0"/>
    <n v="354789.2726121716"/>
    <n v="354789.2726121716"/>
    <n v="0"/>
    <n v="0.96291227744033825"/>
    <n v="0.96291227744033825"/>
    <n v="0"/>
    <n v="0.96291227744033825"/>
    <n v="70957.854522434325"/>
    <n v="70957.854522434325"/>
    <n v="0"/>
    <n v="70957.854522434325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723.4213980800005"/>
    <n v="0"/>
    <n v="0"/>
    <n v="0"/>
    <n v="0"/>
    <n v="0"/>
    <n v="0"/>
    <n v="13567.004856230607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450"/>
    <n v="0"/>
    <n v="0"/>
    <n v="0"/>
    <n v="0"/>
    <n v="0"/>
    <n v="0"/>
    <n v="0"/>
    <n v="450"/>
    <n v="450"/>
    <n v="0"/>
    <n v="4.0387500000000005E-4"/>
    <n v="4.0387500000000005E-4"/>
    <n v="0"/>
    <n v="4.0387500000000005E-4"/>
    <n v="67.5"/>
    <n v="67.5"/>
    <n v="0"/>
    <n v="67.5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672.88485303381"/>
    <n v="0"/>
    <n v="0"/>
    <n v="0"/>
    <n v="0"/>
    <n v="0"/>
    <n v="645672.88485303381"/>
    <n v="0"/>
    <n v="0"/>
    <n v="0"/>
    <n v="645672.88485303381"/>
    <n v="0"/>
    <n v="9.3581044439798156"/>
    <n v="0"/>
    <n v="9.3581044439798156"/>
    <n v="0"/>
    <n v="319339.04763356299"/>
    <n v="0"/>
    <n v="319339.04763356299"/>
  </r>
  <r>
    <x v="47"/>
    <x v="10"/>
    <n v="0"/>
    <x v="1"/>
    <s v="Østdanmark"/>
    <n v="177572.60690670041"/>
    <n v="0"/>
    <n v="0"/>
    <n v="0"/>
    <n v="0"/>
    <n v="0"/>
    <n v="0"/>
    <n v="177572.60690670041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197953.41816607979"/>
    <n v="3823.0915711153852"/>
    <n v="0"/>
    <n v="98440.006733673188"/>
    <n v="0"/>
    <n v="0"/>
    <n v="0"/>
    <n v="0"/>
    <n v="95690.319861291224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53356922.77785194"/>
    <n v="0"/>
    <n v="0"/>
    <n v="0"/>
    <n v="0"/>
    <n v="0"/>
    <n v="153356922.77785194"/>
    <n v="0"/>
    <n v="0"/>
    <n v="0"/>
    <n v="153356922.77785194"/>
    <n v="0"/>
    <n v="0"/>
    <n v="0"/>
    <n v="0"/>
    <n v="0"/>
    <n v="0"/>
    <n v="0"/>
    <n v="0"/>
  </r>
  <r>
    <x v="4"/>
    <x v="10"/>
    <n v="0"/>
    <x v="2"/>
    <s v="Østdanmark"/>
    <n v="5073077.1915220283"/>
    <n v="0"/>
    <n v="0"/>
    <n v="0"/>
    <n v="0"/>
    <n v="3380194.5630334695"/>
    <n v="0"/>
    <n v="0"/>
    <n v="1692882.6284885588"/>
    <n v="0"/>
    <n v="0"/>
    <n v="0"/>
    <n v="0"/>
    <n v="0"/>
    <n v="0"/>
    <n v="0"/>
    <n v="0"/>
    <n v="0"/>
    <n v="0"/>
  </r>
  <r>
    <x v="5"/>
    <x v="1"/>
    <n v="1"/>
    <x v="2"/>
    <s v="Østdanmark"/>
    <n v="193702.26597281999"/>
    <n v="0"/>
    <n v="0"/>
    <n v="0"/>
    <n v="164646.92607689698"/>
    <n v="0"/>
    <n v="0"/>
    <n v="0"/>
    <n v="29055.339895923011"/>
    <n v="29055.339895923011"/>
    <n v="164646.92607689698"/>
    <n v="1.6504190735215845E-2"/>
    <n v="0.11002793823477226"/>
    <n v="9.3523747499556414E-2"/>
    <n v="1.6504190735215848E-2"/>
    <n v="1242.5047606125004"/>
    <n v="8283.3650707500001"/>
    <n v="7040.8603101374993"/>
    <n v="1242.5047606125008"/>
  </r>
  <r>
    <x v="6"/>
    <x v="2"/>
    <n v="1"/>
    <x v="2"/>
    <s v="Østdanmark"/>
    <n v="194332.65736576461"/>
    <n v="0"/>
    <n v="0"/>
    <n v="0"/>
    <n v="165182.75876089992"/>
    <n v="11035.318757555919"/>
    <n v="0"/>
    <n v="0"/>
    <n v="18114.579847308778"/>
    <n v="18114.579847308778"/>
    <n v="165182.75876089992"/>
    <n v="3.9018804991103107E-2"/>
    <n v="0.39482246736208154"/>
    <n v="0.35580366237097844"/>
    <n v="3.9018804991103107E-2"/>
    <n v="5434.3739541926334"/>
    <n v="54989.201582462607"/>
    <n v="49554.827628269974"/>
    <n v="5434.3739541926334"/>
  </r>
  <r>
    <x v="7"/>
    <x v="10"/>
    <n v="0"/>
    <x v="2"/>
    <s v="Østdanmark"/>
    <n v="136431.8952829412"/>
    <n v="133861.74968891402"/>
    <n v="0"/>
    <n v="0"/>
    <n v="0"/>
    <n v="0"/>
    <n v="0"/>
    <n v="0"/>
    <n v="2570.1455940271844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14.63363776327014"/>
    <n v="108.46475960528299"/>
    <n v="0"/>
    <n v="0"/>
    <n v="0"/>
    <n v="0"/>
    <n v="614.63363776327014"/>
    <n v="0"/>
    <n v="2.8905605350368834E-4"/>
    <n v="2.8905605350368834E-4"/>
    <n v="0"/>
    <n v="0"/>
    <n v="38.721919179086022"/>
    <n v="38.721919179086022"/>
    <n v="0"/>
  </r>
  <r>
    <x v="9"/>
    <x v="10"/>
    <n v="0"/>
    <x v="2"/>
    <s v="Østdanmark"/>
    <n v="14575.114892812006"/>
    <n v="0"/>
    <n v="0"/>
    <n v="15996.501094221892"/>
    <n v="0"/>
    <n v="0"/>
    <n v="0"/>
    <n v="0"/>
    <n v="-1421.3862014098868"/>
    <n v="0"/>
    <n v="0"/>
    <n v="0"/>
    <n v="0"/>
    <n v="0"/>
    <n v="0"/>
    <n v="0"/>
    <n v="0"/>
    <n v="0"/>
    <n v="0"/>
  </r>
  <r>
    <x v="10"/>
    <x v="10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</r>
  <r>
    <x v="11"/>
    <x v="10"/>
    <n v="0"/>
    <x v="2"/>
    <s v="Østdanmark"/>
    <n v="42271.361313865054"/>
    <n v="0"/>
    <n v="0"/>
    <n v="233795.01599247381"/>
    <n v="0"/>
    <n v="0"/>
    <n v="0"/>
    <n v="0"/>
    <n v="-191523.654678608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888780.8014802146"/>
    <n v="767011.16794249229"/>
    <n v="0"/>
    <n v="0"/>
    <n v="0"/>
    <n v="0"/>
    <n v="0"/>
    <n v="396401.08182176121"/>
    <n v="1725368.5517159612"/>
    <n v="121540.12592519959"/>
    <n v="0"/>
    <n v="0.22361863918662661"/>
    <n v="0.22361863918662661"/>
    <n v="0"/>
    <n v="0.22361863918662661"/>
    <n v="34031.235259055888"/>
    <n v="34031.235259055888"/>
    <n v="0"/>
    <n v="34031.235259055888"/>
  </r>
  <r>
    <x v="14"/>
    <x v="10"/>
    <n v="0"/>
    <x v="2"/>
    <s v="Østdanmark"/>
    <n v="66266.920566000001"/>
    <n v="66266.9205660000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56174.53044673882"/>
    <n v="0"/>
    <n v="0"/>
    <n v="244869.51675001203"/>
    <n v="0"/>
    <n v="0"/>
    <n v="0"/>
    <n v="0"/>
    <n v="211305.01369672679"/>
    <n v="0"/>
    <n v="0"/>
    <n v="0"/>
    <n v="0"/>
    <n v="0"/>
    <n v="0"/>
    <n v="0"/>
    <n v="0"/>
    <n v="0"/>
    <n v="0"/>
  </r>
  <r>
    <x v="16"/>
    <x v="5"/>
    <n v="1"/>
    <x v="2"/>
    <s v="Østdanmark"/>
    <n v="1075127.4976520955"/>
    <n v="47947.551595505945"/>
    <n v="51992.644823495335"/>
    <n v="0"/>
    <n v="0"/>
    <n v="0"/>
    <n v="268382.25141989789"/>
    <n v="706805.04981319618"/>
    <n v="0"/>
    <n v="0"/>
    <n v="268382.25141989789"/>
    <n v="0"/>
    <n v="2.7739469755369335"/>
    <n v="0"/>
    <n v="2.7739469755369335"/>
    <n v="0"/>
    <n v="228124.91370691321"/>
    <n v="0"/>
    <n v="228124.91370691321"/>
  </r>
  <r>
    <x v="17"/>
    <x v="1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</r>
  <r>
    <x v="20"/>
    <x v="10"/>
    <n v="0"/>
    <x v="2"/>
    <s v="Østdanmark"/>
    <n v="188875.23433835641"/>
    <n v="0"/>
    <n v="0"/>
    <n v="0"/>
    <n v="0"/>
    <n v="0"/>
    <n v="0"/>
    <n v="0"/>
    <n v="188875.23433835641"/>
    <n v="0"/>
    <n v="0"/>
    <n v="0"/>
    <n v="0"/>
    <n v="0"/>
    <n v="0"/>
    <n v="0"/>
    <n v="0"/>
    <n v="0"/>
    <n v="0"/>
  </r>
  <r>
    <x v="21"/>
    <x v="10"/>
    <n v="0"/>
    <x v="2"/>
    <s v="Østdanmark"/>
    <n v="634382.54064061423"/>
    <n v="0"/>
    <n v="0"/>
    <n v="111975.50765955324"/>
    <n v="0"/>
    <n v="0"/>
    <n v="0"/>
    <n v="0"/>
    <n v="522407.03298106097"/>
    <n v="0"/>
    <n v="0"/>
    <n v="0"/>
    <n v="0"/>
    <n v="0"/>
    <n v="0"/>
    <n v="0"/>
    <n v="0"/>
    <n v="0"/>
    <n v="0"/>
  </r>
  <r>
    <x v="22"/>
    <x v="5"/>
    <n v="1"/>
    <x v="2"/>
    <s v="Østdanmark"/>
    <n v="1422520.7615932694"/>
    <n v="368193.1930872486"/>
    <n v="0"/>
    <n v="268249.01834925939"/>
    <n v="0"/>
    <n v="0"/>
    <n v="0"/>
    <n v="0"/>
    <n v="786078.55015676143"/>
    <n v="786078.55015676143"/>
    <n v="0"/>
    <n v="2.6922089832898863"/>
    <n v="2.6922089832898863"/>
    <n v="0"/>
    <n v="2.6922089832898863"/>
    <n v="243684.35054859603"/>
    <n v="243684.35054859603"/>
    <n v="0"/>
    <n v="243684.35054859603"/>
  </r>
  <r>
    <x v="23"/>
    <x v="10"/>
    <n v="0"/>
    <x v="2"/>
    <s v="Østdanmark"/>
    <n v="0"/>
    <n v="0"/>
    <n v="0"/>
    <n v="0"/>
    <n v="0"/>
    <n v="481732.42010316846"/>
    <n v="0"/>
    <n v="0"/>
    <n v="-481732.42010316846"/>
    <n v="0"/>
    <n v="0"/>
    <n v="0"/>
    <n v="0"/>
    <n v="0"/>
    <n v="0"/>
    <n v="0"/>
    <n v="0"/>
    <n v="0"/>
    <n v="0"/>
  </r>
  <r>
    <x v="24"/>
    <x v="2"/>
    <n v="1"/>
    <x v="2"/>
    <s v="Østdanmark"/>
    <n v="452578.20336624543"/>
    <n v="0"/>
    <n v="0"/>
    <n v="0"/>
    <n v="384691.4728613086"/>
    <n v="67886.73050493683"/>
    <n v="0"/>
    <n v="0"/>
    <n v="0"/>
    <n v="0"/>
    <n v="384691.4728613086"/>
    <n v="0"/>
    <n v="0.19472697664766583"/>
    <n v="0.19472697664766583"/>
    <n v="0"/>
    <n v="0"/>
    <n v="29236.551937459451"/>
    <n v="29236.551937459451"/>
    <n v="0"/>
  </r>
  <r>
    <x v="25"/>
    <x v="10"/>
    <n v="0"/>
    <x v="2"/>
    <s v="Østdanmark"/>
    <n v="56535.233681691527"/>
    <n v="94582.816378404299"/>
    <n v="0"/>
    <n v="0"/>
    <n v="0"/>
    <n v="0"/>
    <n v="0"/>
    <n v="0"/>
    <n v="-38047.582696712772"/>
    <n v="0"/>
    <n v="0"/>
    <n v="0"/>
    <n v="0"/>
    <n v="0"/>
    <n v="0"/>
    <n v="0"/>
    <n v="0"/>
    <n v="0"/>
    <n v="0"/>
  </r>
  <r>
    <x v="26"/>
    <x v="4"/>
    <n v="1"/>
    <x v="2"/>
    <s v="Østdanmark"/>
    <n v="1162586.9095964739"/>
    <n v="312668.56199513603"/>
    <n v="0"/>
    <n v="0"/>
    <n v="199670.8224928487"/>
    <n v="0"/>
    <n v="0"/>
    <n v="0"/>
    <n v="650247.52510848921"/>
    <n v="650247.52510848921"/>
    <n v="199670.8224928487"/>
    <n v="2.3343886151394764"/>
    <n v="3.0512068678888031"/>
    <n v="0.71681825274932687"/>
    <n v="2.3343886151394764"/>
    <n v="195074.25753254676"/>
    <n v="254975.50428040136"/>
    <n v="59901.24674785461"/>
    <n v="195074.25753254676"/>
  </r>
  <r>
    <x v="27"/>
    <x v="10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</r>
  <r>
    <x v="28"/>
    <x v="6"/>
    <n v="1"/>
    <x v="2"/>
    <s v="Østdanmark"/>
    <n v="40541.689725561351"/>
    <n v="0"/>
    <n v="0"/>
    <n v="0"/>
    <n v="0"/>
    <n v="0"/>
    <n v="0"/>
    <n v="0"/>
    <n v="40541.689725561351"/>
    <n v="40541.689725561351"/>
    <n v="0"/>
    <n v="3.6386166528691317E-2"/>
    <n v="3.6386166528691317E-2"/>
    <n v="0"/>
    <n v="3.6386166528691317E-2"/>
    <n v="6081.2534588342023"/>
    <n v="6081.2534588342023"/>
    <n v="0"/>
    <n v="6081.2534588342023"/>
  </r>
  <r>
    <x v="29"/>
    <x v="10"/>
    <n v="0"/>
    <x v="2"/>
    <s v="Østdanmark"/>
    <n v="3652.7817732906901"/>
    <n v="0"/>
    <n v="0"/>
    <n v="27206.356861018925"/>
    <n v="0"/>
    <n v="0"/>
    <n v="0"/>
    <n v="0"/>
    <n v="-23553.575087728233"/>
    <n v="0"/>
    <n v="0"/>
    <n v="0"/>
    <n v="0"/>
    <n v="0"/>
    <n v="0"/>
    <n v="0"/>
    <n v="0"/>
    <n v="0"/>
    <n v="0"/>
  </r>
  <r>
    <x v="30"/>
    <x v="10"/>
    <n v="0"/>
    <x v="2"/>
    <s v="Østdanmark"/>
    <n v="414923.14293457061"/>
    <n v="0"/>
    <n v="0"/>
    <n v="0"/>
    <n v="0"/>
    <n v="0"/>
    <n v="0"/>
    <n v="0"/>
    <n v="414923.14293457061"/>
    <n v="0"/>
    <n v="0"/>
    <n v="0"/>
    <n v="0"/>
    <n v="0"/>
    <n v="0"/>
    <n v="0"/>
    <n v="0"/>
    <n v="0"/>
    <n v="0"/>
  </r>
  <r>
    <x v="31"/>
    <x v="7"/>
    <n v="1"/>
    <x v="2"/>
    <s v="Østdanmark"/>
    <n v="35429.762263631419"/>
    <n v="0"/>
    <n v="0"/>
    <n v="0"/>
    <n v="0"/>
    <n v="0"/>
    <n v="35429.762263631419"/>
    <n v="0"/>
    <n v="0"/>
    <n v="0"/>
    <n v="35429.762263631419"/>
    <n v="0"/>
    <n v="0.65190762565081795"/>
    <n v="0"/>
    <n v="0.65190762565081795"/>
    <n v="0"/>
    <n v="14703.35133940704"/>
    <n v="0"/>
    <n v="14703.35133940704"/>
  </r>
  <r>
    <x v="32"/>
    <x v="8"/>
    <n v="1"/>
    <x v="2"/>
    <s v="Østdanmark"/>
    <n v="395810.82789538987"/>
    <n v="0"/>
    <n v="0"/>
    <n v="0"/>
    <n v="0"/>
    <n v="0"/>
    <n v="395810.82789538987"/>
    <n v="0"/>
    <n v="0"/>
    <n v="0"/>
    <n v="395810.82789538987"/>
    <n v="0"/>
    <n v="3.5470304619825428"/>
    <n v="0"/>
    <n v="3.5470304619825428"/>
    <n v="0"/>
    <n v="0"/>
    <n v="0"/>
    <n v="0"/>
  </r>
  <r>
    <x v="33"/>
    <x v="8"/>
    <n v="1"/>
    <x v="2"/>
    <s v="Østdanmark"/>
    <n v="98952.706973847467"/>
    <n v="0"/>
    <n v="0"/>
    <n v="0"/>
    <n v="0"/>
    <n v="0"/>
    <n v="98952.706973847467"/>
    <n v="0"/>
    <n v="0"/>
    <n v="0"/>
    <n v="98952.706973847467"/>
    <n v="0"/>
    <n v="3.2920152000099416"/>
    <n v="0"/>
    <n v="3.2920152000099416"/>
    <n v="0"/>
    <n v="0"/>
    <n v="0"/>
    <n v="0"/>
  </r>
  <r>
    <x v="34"/>
    <x v="10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</r>
  <r>
    <x v="35"/>
    <x v="10"/>
    <n v="0"/>
    <x v="2"/>
    <s v="Østdanmark"/>
    <n v="224792.41017302827"/>
    <n v="0"/>
    <n v="0"/>
    <n v="0"/>
    <n v="0"/>
    <n v="0"/>
    <n v="0"/>
    <n v="224792.41017302827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12396.20508651414"/>
    <n v="24643.870355716808"/>
    <n v="0"/>
    <n v="0"/>
    <n v="0"/>
    <n v="0"/>
    <n v="0"/>
    <n v="0"/>
    <n v="87752.334730797331"/>
    <n v="0"/>
    <n v="0"/>
    <n v="0"/>
    <n v="0"/>
    <n v="0"/>
    <n v="0"/>
    <n v="0"/>
    <n v="0"/>
    <n v="0"/>
    <n v="0"/>
  </r>
  <r>
    <x v="37"/>
    <x v="9"/>
    <n v="1"/>
    <x v="2"/>
    <s v="Østdanmark"/>
    <n v="71933.571255369054"/>
    <n v="0"/>
    <n v="0"/>
    <n v="0"/>
    <n v="0"/>
    <n v="0"/>
    <n v="71933.571255369054"/>
    <n v="0"/>
    <n v="0"/>
    <n v="0"/>
    <n v="71933.571255369054"/>
    <n v="0"/>
    <n v="2.5176749939379168"/>
    <n v="0"/>
    <n v="2.5176749939379168"/>
    <n v="0"/>
    <n v="0"/>
    <n v="0"/>
    <n v="0"/>
  </r>
  <r>
    <x v="38"/>
    <x v="4"/>
    <n v="1"/>
    <x v="2"/>
    <s v="Østdanmark"/>
    <n v="202279.77798791436"/>
    <n v="54392.166443596157"/>
    <n v="0"/>
    <n v="0"/>
    <n v="0"/>
    <n v="0"/>
    <n v="0"/>
    <n v="0"/>
    <n v="147887.61154431821"/>
    <n v="147887.61154431821"/>
    <n v="0"/>
    <n v="0.40137289323574138"/>
    <n v="0.40137289323574138"/>
    <n v="0"/>
    <n v="0.40137289323574138"/>
    <n v="29577.522308863641"/>
    <n v="29577.522308863641"/>
    <n v="0"/>
    <n v="29577.522308863641"/>
  </r>
  <r>
    <x v="39"/>
    <x v="10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</r>
  <r>
    <x v="40"/>
    <x v="10"/>
    <n v="0"/>
    <x v="2"/>
    <s v="Østdanmark"/>
    <n v="8892.8868915055173"/>
    <n v="2409.7062024000002"/>
    <n v="0"/>
    <n v="0"/>
    <n v="0"/>
    <n v="0"/>
    <n v="0"/>
    <n v="0"/>
    <n v="6483.1806891055166"/>
    <n v="0"/>
    <n v="0"/>
    <n v="0"/>
    <n v="0"/>
    <n v="0"/>
    <n v="0"/>
    <n v="0"/>
    <n v="0"/>
    <n v="0"/>
    <n v="0"/>
  </r>
  <r>
    <x v="41"/>
    <x v="1"/>
    <n v="1"/>
    <x v="2"/>
    <s v="Østdanmark"/>
    <n v="3496034.8535429356"/>
    <n v="0"/>
    <n v="0"/>
    <n v="0"/>
    <n v="2971629.6255114949"/>
    <n v="0"/>
    <n v="0"/>
    <n v="0"/>
    <n v="524405.22803144064"/>
    <n v="524405.22803144064"/>
    <n v="2971629.6255114949"/>
    <n v="0.26168345283996924"/>
    <n v="1.7445563522664604"/>
    <n v="1.4828728994264913"/>
    <n v="0.26168345283996919"/>
    <n v="31464.313681886437"/>
    <n v="209762.09121257614"/>
    <n v="178297.77753068969"/>
    <n v="31464.313681886444"/>
  </r>
  <r>
    <x v="42"/>
    <x v="2"/>
    <n v="1"/>
    <x v="2"/>
    <s v="Østdanmark"/>
    <n v="1045598.7208186348"/>
    <n v="0"/>
    <n v="0"/>
    <n v="0"/>
    <n v="888758.91269583965"/>
    <n v="156839.80812279525"/>
    <n v="0"/>
    <n v="0"/>
    <n v="0"/>
    <n v="0"/>
    <n v="888758.91269583965"/>
    <n v="0"/>
    <n v="0.38287733958936776"/>
    <n v="0.38287733958936776"/>
    <n v="0"/>
    <n v="0"/>
    <n v="44437.945634791984"/>
    <n v="44437.945634791984"/>
    <n v="0"/>
  </r>
  <r>
    <x v="43"/>
    <x v="10"/>
    <n v="0"/>
    <x v="2"/>
    <s v="Østdanmark"/>
    <n v="97091.997795525866"/>
    <n v="0"/>
    <n v="0"/>
    <n v="55237.148778432362"/>
    <n v="0"/>
    <n v="0"/>
    <n v="0"/>
    <n v="0"/>
    <n v="41854.849017093504"/>
    <n v="0"/>
    <n v="0"/>
    <n v="0"/>
    <n v="0"/>
    <n v="0"/>
    <n v="0"/>
    <n v="0"/>
    <n v="0"/>
    <n v="0"/>
    <n v="0"/>
  </r>
  <r>
    <x v="44"/>
    <x v="6"/>
    <n v="1"/>
    <x v="2"/>
    <s v="Østdanmark"/>
    <n v="3375"/>
    <n v="609.07096108455892"/>
    <n v="0"/>
    <n v="0"/>
    <n v="0"/>
    <n v="0"/>
    <n v="0"/>
    <n v="0"/>
    <n v="2765.9290389154412"/>
    <n v="2765.9290389154412"/>
    <n v="0"/>
    <n v="2.4824213124266087E-3"/>
    <n v="2.4824213124266087E-3"/>
    <n v="0"/>
    <n v="2.4824213124266087E-3"/>
    <n v="414.88935583731615"/>
    <n v="414.88935583731615"/>
    <n v="0"/>
    <n v="414.8893558373161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0759.09234547918"/>
    <n v="0"/>
    <n v="0"/>
    <n v="0"/>
    <n v="0"/>
    <n v="0"/>
    <n v="620759.09234547918"/>
    <n v="0"/>
    <n v="0"/>
    <n v="0"/>
    <n v="620759.09234547918"/>
    <n v="0"/>
    <n v="8.9970146756919522"/>
    <n v="0"/>
    <n v="8.9970146756919522"/>
    <n v="0"/>
    <n v="307017.10108920158"/>
    <n v="0"/>
    <n v="307017.10108920158"/>
  </r>
  <r>
    <x v="47"/>
    <x v="10"/>
    <n v="0"/>
    <x v="2"/>
    <s v="Østdanmark"/>
    <n v="173632.27177601412"/>
    <n v="0"/>
    <n v="0"/>
    <n v="0"/>
    <n v="0"/>
    <n v="0"/>
    <n v="0"/>
    <n v="173632.2717760141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9260091.6740381252"/>
    <s v="CO2 - atmosfære"/>
    <x v="0"/>
  </r>
  <r>
    <s v="Vestdanmark"/>
    <x v="1"/>
    <n v="5058223.5325662289"/>
    <s v="Landbrug"/>
    <x v="1"/>
  </r>
  <r>
    <s v="Vestdanmark"/>
    <x v="1"/>
    <n v="4168196.7478707125"/>
    <s v="Landbrug"/>
    <x v="2"/>
  </r>
  <r>
    <s v="Vestdanmark"/>
    <x v="1"/>
    <n v="1037730.0552441035"/>
    <s v="Landbrug"/>
    <x v="2"/>
  </r>
  <r>
    <s v="Vestdanmark"/>
    <x v="1"/>
    <n v="65.998469138771299"/>
    <s v="Landbrug"/>
    <x v="2"/>
  </r>
  <r>
    <s v="Vestdanmark"/>
    <x v="1"/>
    <n v="-3561.6923706055804"/>
    <s v="Hav"/>
    <x v="3"/>
  </r>
  <r>
    <s v="Vestdanmark"/>
    <x v="1"/>
    <n v="-572326.01664430613"/>
    <s v="Skov"/>
    <x v="4"/>
  </r>
  <r>
    <s v="Vestdanmark"/>
    <x v="1"/>
    <n v="-392052.52197022288"/>
    <s v="Biogasanlæg"/>
    <x v="5"/>
  </r>
  <r>
    <s v="Vestdanmark"/>
    <x v="1"/>
    <n v="-36184.429126926581"/>
    <s v="Pyrolyseproces"/>
    <x v="6"/>
  </r>
  <r>
    <s v="Vestdanmark"/>
    <x v="2"/>
    <n v="-174100.87446208787"/>
    <s v="CO2 - atmosfære"/>
    <x v="0"/>
  </r>
  <r>
    <s v="Vestdanmark"/>
    <x v="2"/>
    <n v="2526380.4485877971"/>
    <s v="Landbrug"/>
    <x v="1"/>
  </r>
  <r>
    <s v="Vestdanmark"/>
    <x v="2"/>
    <n v="3122963.8436412625"/>
    <s v="Landbrug"/>
    <x v="2"/>
  </r>
  <r>
    <s v="Vestdanmark"/>
    <x v="2"/>
    <n v="26.361074410417238"/>
    <s v="Landbrug"/>
    <x v="2"/>
  </r>
  <r>
    <s v="Vestdanmark"/>
    <x v="2"/>
    <n v="65.998469138771299"/>
    <s v="Landbrug"/>
    <x v="2"/>
  </r>
  <r>
    <s v="Vestdanmark"/>
    <x v="2"/>
    <n v="-26712.692779541852"/>
    <s v="Hav"/>
    <x v="3"/>
  </r>
  <r>
    <s v="Vestdanmark"/>
    <x v="2"/>
    <n v="-4389127.1261936594"/>
    <s v="Skov"/>
    <x v="4"/>
  </r>
  <r>
    <s v="Vestdanmark"/>
    <x v="2"/>
    <n v="-237339.13643957581"/>
    <s v="Biogasanlæg"/>
    <x v="5"/>
  </r>
  <r>
    <s v="Vestdanmark"/>
    <x v="2"/>
    <n v="-1170358.5708219202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590180.1878683486"/>
    <s v="CO2 - atmosfære"/>
    <x v="0"/>
  </r>
  <r>
    <s v="Østdanmark"/>
    <x v="1"/>
    <n v="449093.3493058047"/>
    <s v="Landbrug"/>
    <x v="1"/>
  </r>
  <r>
    <s v="Østdanmark"/>
    <x v="1"/>
    <n v="1245787.3182323358"/>
    <s v="Landbrug"/>
    <x v="2"/>
  </r>
  <r>
    <s v="Østdanmark"/>
    <x v="1"/>
    <n v="111846.67809052247"/>
    <s v="Landbrug"/>
    <x v="2"/>
  </r>
  <r>
    <s v="Østdanmark"/>
    <x v="1"/>
    <n v="7.1104610596313274"/>
    <s v="Landbrug"/>
    <x v="2"/>
  </r>
  <r>
    <s v="Østdanmark"/>
    <x v="1"/>
    <n v="-894.3604980721251"/>
    <s v="Hav"/>
    <x v="3"/>
  </r>
  <r>
    <s v="Østdanmark"/>
    <x v="1"/>
    <n v="-167522.57827237912"/>
    <s v="Skov"/>
    <x v="4"/>
  </r>
  <r>
    <s v="Østdanmark"/>
    <x v="1"/>
    <n v="-35371.758577849541"/>
    <s v="Biogasanlæg"/>
    <x v="5"/>
  </r>
  <r>
    <s v="Østdanmark"/>
    <x v="1"/>
    <n v="-12765.570873073393"/>
    <s v="Pyrolyseproces"/>
    <x v="6"/>
  </r>
  <r>
    <s v="Østdanmark"/>
    <x v="2"/>
    <n v="232784.66399497399"/>
    <s v="CO2 - atmosfære"/>
    <x v="0"/>
  </r>
  <r>
    <s v="Østdanmark"/>
    <x v="2"/>
    <n v="224630.18771214719"/>
    <s v="Landbrug"/>
    <x v="1"/>
  </r>
  <r>
    <s v="Østdanmark"/>
    <x v="2"/>
    <n v="1133079.0796839043"/>
    <s v="Landbrug"/>
    <x v="2"/>
  </r>
  <r>
    <s v="Østdanmark"/>
    <x v="2"/>
    <n v="2.8411999718285972"/>
    <s v="Landbrug"/>
    <x v="2"/>
  </r>
  <r>
    <s v="Østdanmark"/>
    <x v="2"/>
    <n v="7.1104610596313282"/>
    <s v="Landbrug"/>
    <x v="2"/>
  </r>
  <r>
    <s v="Østdanmark"/>
    <x v="2"/>
    <n v="-6707.7037355409384"/>
    <s v="Hav"/>
    <x v="3"/>
  </r>
  <r>
    <s v="Østdanmark"/>
    <x v="2"/>
    <n v="-634286.91975673439"/>
    <s v="Skov"/>
    <x v="4"/>
  </r>
  <r>
    <s v="Østdanmark"/>
    <x v="2"/>
    <n v="-22631.835725087905"/>
    <s v="Biogasanlæg"/>
    <x v="5"/>
  </r>
  <r>
    <s v="Østdanmark"/>
    <x v="2"/>
    <n v="-461308.09584474599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418789.26410326542"/>
    <n v="61054.422265523077"/>
    <n v="0"/>
    <n v="0"/>
    <n v="0"/>
    <n v="0"/>
    <n v="0"/>
    <n v="0"/>
    <n v="357734.841837742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71342992.17367357"/>
    <n v="0"/>
    <n v="0"/>
    <n v="0"/>
    <n v="0"/>
    <n v="0"/>
    <n v="471342992.17367357"/>
    <n v="0"/>
    <n v="0"/>
    <n v="0"/>
    <n v="471342992.17367357"/>
    <n v="0"/>
    <n v="0"/>
    <n v="0"/>
    <n v="0"/>
    <n v="0"/>
    <n v="0"/>
    <n v="0"/>
    <n v="0"/>
    <n v="0"/>
    <x v="1"/>
  </r>
  <r>
    <x v="4"/>
    <s v=""/>
    <n v="0"/>
    <x v="1"/>
    <s v="Vestdanmark"/>
    <n v="20170827.589539841"/>
    <n v="0"/>
    <n v="0"/>
    <n v="0"/>
    <n v="0"/>
    <n v="17682350.705808945"/>
    <n v="0"/>
    <n v="0"/>
    <n v="2488476.88373089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434216.1804386508"/>
    <n v="0"/>
    <n v="0"/>
    <n v="0"/>
    <n v="143421.61804386508"/>
    <n v="0"/>
    <n v="0"/>
    <n v="0"/>
    <n v="1290794.5623947857"/>
    <n v="1290794.5623947857"/>
    <n v="143421.61804386508"/>
    <n v="0.73320497141154706"/>
    <n v="0.81467219045727446"/>
    <n v="8.1467219045727457E-2"/>
    <n v="0.73320497141154695"/>
    <n v="55198.748130056985"/>
    <n v="61331.942366729985"/>
    <n v="6133.1942366729982"/>
    <n v="55198.748130056985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1010173.1683931999"/>
    <n v="855103.95329864242"/>
    <n v="0"/>
    <n v="0"/>
    <n v="0"/>
    <n v="0"/>
    <n v="0"/>
    <n v="0"/>
    <n v="155069.2150945575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33504.1967338757"/>
    <n v="0"/>
    <n v="0"/>
    <n v="0"/>
    <n v="0"/>
    <n v="0"/>
    <n v="0"/>
    <n v="0"/>
    <n v="1133504.1967338757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926.683610133667"/>
    <n v="0"/>
    <n v="0"/>
    <n v="257923.29437791562"/>
    <n v="0"/>
    <n v="0"/>
    <n v="0"/>
    <n v="0"/>
    <n v="-224996.61076778197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822764.410718527"/>
    <n v="12249098.107862087"/>
    <n v="0"/>
    <n v="0"/>
    <n v="0"/>
    <n v="0"/>
    <n v="0"/>
    <n v="2935044.8877656907"/>
    <n v="-1361378.584909251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490655.53893383988"/>
    <n v="490655.53893383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856846.09368548705"/>
    <n v="0"/>
    <n v="0"/>
    <n v="270140.71358529059"/>
    <n v="0"/>
    <n v="0"/>
    <n v="0"/>
    <n v="0"/>
    <n v="586705.38010019646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657255.852063973"/>
    <n v="765718.007862392"/>
    <n v="726974.95402379602"/>
    <n v="0"/>
    <n v="0"/>
    <n v="0"/>
    <n v="1109121.9875318299"/>
    <n v="55440.902645954935"/>
    <n v="0"/>
    <n v="0"/>
    <n v="1109121.9875318299"/>
    <n v="0"/>
    <n v="11.463670069604794"/>
    <n v="0"/>
    <n v="11.463670069604794"/>
    <n v="0"/>
    <n v="942753.68940205534"/>
    <n v="0"/>
    <n v="942753.68940205534"/>
    <n v="0"/>
    <x v="1"/>
  </r>
  <r>
    <x v="17"/>
    <s v="Bionedbrydeligt affald"/>
    <n v="1"/>
    <x v="1"/>
    <s v="Vestdanmark"/>
    <n v="526734.10986839118"/>
    <n v="0"/>
    <n v="0"/>
    <n v="0"/>
    <n v="267973.79239933251"/>
    <n v="0"/>
    <n v="258760.31746905867"/>
    <n v="0"/>
    <n v="0"/>
    <n v="0"/>
    <n v="526734.10986839118"/>
    <n v="0"/>
    <n v="5.0744845071167353"/>
    <n v="0.4550382576595346"/>
    <n v="4.6194462494572006"/>
    <n v="0"/>
    <n v="158020.23296051734"/>
    <n v="80392.13771979975"/>
    <n v="77628.095240717594"/>
    <n v="0"/>
    <x v="1"/>
  </r>
  <r>
    <x v="18"/>
    <s v=""/>
    <n v="0"/>
    <x v="1"/>
    <s v="Vestdanmark"/>
    <n v="0"/>
    <n v="2420616.3174727387"/>
    <n v="0"/>
    <n v="0"/>
    <n v="0"/>
    <n v="0"/>
    <n v="0"/>
    <n v="0"/>
    <n v="-2420616.317472738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30482.01569836587"/>
    <n v="0"/>
    <n v="0"/>
    <n v="0"/>
    <n v="0"/>
    <n v="0"/>
    <n v="0"/>
    <n v="0"/>
    <n v="730482.0156983658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801867.7489844554"/>
    <n v="0"/>
    <n v="0"/>
    <n v="123531.68309679118"/>
    <n v="0"/>
    <n v="0"/>
    <n v="0"/>
    <n v="0"/>
    <n v="1678336.0658876642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678880.1812345712"/>
    <n v="5880011.5738482485"/>
    <n v="0"/>
    <n v="295933.04302308214"/>
    <n v="2924.3313169399116"/>
    <n v="0"/>
    <n v="0"/>
    <n v="0"/>
    <n v="500011.23304630071"/>
    <n v="500011.23304630071"/>
    <n v="2924.3313169399116"/>
    <n v="1.7124684716109537"/>
    <n v="1.7224838969650886"/>
    <n v="1.0015425354134827E-2"/>
    <n v="1.7124684716109537"/>
    <n v="155003.48224435322"/>
    <n v="155910.02495260458"/>
    <n v="906.54270825137257"/>
    <n v="155003.48224435322"/>
    <n v="0"/>
    <x v="0"/>
  </r>
  <r>
    <x v="23"/>
    <s v=""/>
    <n v="0"/>
    <x v="1"/>
    <s v="Vestdanmark"/>
    <n v="0"/>
    <n v="0"/>
    <n v="0"/>
    <n v="0"/>
    <n v="0"/>
    <n v="870082.97483693098"/>
    <n v="0"/>
    <n v="0"/>
    <n v="-870082.9748369309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0478.9155088854"/>
    <n v="0"/>
    <n v="0"/>
    <n v="0"/>
    <n v="0"/>
    <n v="0"/>
    <n v="0"/>
    <n v="110514.9498577774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983493.3169037867"/>
    <n v="5642415.7793918829"/>
    <n v="0"/>
    <n v="0"/>
    <n v="0"/>
    <n v="0"/>
    <n v="0"/>
    <n v="0"/>
    <n v="-658922.46248809621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1640.199818552966"/>
    <n v="0"/>
    <n v="0"/>
    <n v="0"/>
    <n v="0"/>
    <n v="0"/>
    <n v="0"/>
    <n v="0"/>
    <n v="21640.199818552966"/>
    <n v="21640.199818552966"/>
    <n v="0"/>
    <n v="1.9422079337151288E-2"/>
    <n v="1.9422079337151288E-2"/>
    <n v="0"/>
    <n v="1.9422079337151288E-2"/>
    <n v="3246.0299727829447"/>
    <n v="3246.0299727829447"/>
    <n v="0"/>
    <n v="3246.029972782944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02553.3899505115"/>
    <n v="0"/>
    <n v="0"/>
    <n v="0"/>
    <n v="0"/>
    <n v="0"/>
    <n v="0"/>
    <n v="0"/>
    <n v="1602553.3899505115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1017.99543542339"/>
    <n v="0"/>
    <n v="0"/>
    <n v="0"/>
    <n v="0"/>
    <n v="0"/>
    <n v="151017.99543542339"/>
    <n v="0"/>
    <n v="0"/>
    <n v="0"/>
    <n v="151017.99543542339"/>
    <n v="0"/>
    <n v="2.77873111601179"/>
    <n v="0"/>
    <n v="2.77873111601179"/>
    <n v="0"/>
    <n v="62672.468105700711"/>
    <n v="0"/>
    <n v="62672.468105700711"/>
    <n v="0"/>
    <x v="1"/>
  </r>
  <r>
    <x v="32"/>
    <s v="Pyrolyseprodukter"/>
    <n v="1"/>
    <x v="1"/>
    <s v="Vestdanmark"/>
    <n v="31046.905481734768"/>
    <n v="0"/>
    <n v="0"/>
    <n v="0"/>
    <n v="0"/>
    <n v="0"/>
    <n v="31046.905481734768"/>
    <n v="0"/>
    <n v="0"/>
    <n v="0"/>
    <n v="31046.905481734768"/>
    <n v="0"/>
    <n v="0.27822462583846019"/>
    <n v="0"/>
    <n v="0.27822462583846019"/>
    <n v="0"/>
    <n v="0"/>
    <n v="0"/>
    <n v="0"/>
    <n v="0"/>
    <x v="1"/>
  </r>
  <r>
    <x v="33"/>
    <s v="Pyrolyseprodukter"/>
    <n v="1"/>
    <x v="1"/>
    <s v="Vestdanmark"/>
    <n v="7761.726370433692"/>
    <n v="0"/>
    <n v="0"/>
    <n v="0"/>
    <n v="0"/>
    <n v="0"/>
    <n v="7761.726370433692"/>
    <n v="0"/>
    <n v="0"/>
    <n v="0"/>
    <n v="7761.726370433692"/>
    <n v="0"/>
    <n v="0.25822154816379966"/>
    <n v="0"/>
    <n v="0.25822154816379966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697666.9509630102"/>
    <n v="0"/>
    <n v="0"/>
    <n v="0"/>
    <n v="0"/>
    <n v="0"/>
    <n v="0"/>
    <n v="697666.950963010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348833.4754815051"/>
    <n v="393560.35265348584"/>
    <n v="0"/>
    <n v="0"/>
    <n v="0"/>
    <n v="0"/>
    <n v="0"/>
    <n v="0"/>
    <n v="-44726.87717198074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23253.42430816326"/>
    <n v="0"/>
    <n v="0"/>
    <n v="0"/>
    <n v="0"/>
    <n v="0"/>
    <n v="223253.42430816326"/>
    <n v="0"/>
    <n v="0"/>
    <n v="0"/>
    <n v="223253.42430816326"/>
    <n v="0"/>
    <n v="7.8138698507857134"/>
    <n v="0"/>
    <n v="7.8138698507857134"/>
    <n v="0"/>
    <n v="0"/>
    <n v="0"/>
    <n v="0"/>
    <n v="0"/>
    <x v="1"/>
  </r>
  <r>
    <x v="38"/>
    <s v="Græs og urter"/>
    <n v="1"/>
    <x v="1"/>
    <s v="Vestdanmark"/>
    <n v="1519161.3760726012"/>
    <n v="868637.91677766922"/>
    <n v="0"/>
    <n v="0"/>
    <n v="0"/>
    <n v="0"/>
    <n v="0"/>
    <n v="0"/>
    <n v="650523.45929493196"/>
    <n v="650523.45929493196"/>
    <n v="0"/>
    <n v="1.7655466894648171"/>
    <n v="1.7655466894648171"/>
    <n v="0"/>
    <n v="1.7655466894648171"/>
    <n v="130104.69185898639"/>
    <n v="130104.69185898639"/>
    <n v="0"/>
    <n v="130104.69185898639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8482.787367359997"/>
    <n v="0"/>
    <n v="0"/>
    <n v="0"/>
    <n v="0"/>
    <n v="0"/>
    <n v="0"/>
    <n v="91210.54034641628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350"/>
    <n v="0"/>
    <n v="0"/>
    <n v="0"/>
    <n v="0"/>
    <n v="0"/>
    <n v="0"/>
    <n v="0"/>
    <n v="1350"/>
    <n v="1350"/>
    <n v="0"/>
    <n v="1.211625E-3"/>
    <n v="1.211625E-3"/>
    <n v="0"/>
    <n v="1.211625E-3"/>
    <n v="202.5"/>
    <n v="202.5"/>
    <n v="0"/>
    <n v="202.5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5884.0906945551"/>
    <n v="0"/>
    <n v="0"/>
    <n v="0"/>
    <n v="0"/>
    <n v="0"/>
    <n v="2205884.0906945551"/>
    <n v="0"/>
    <n v="0"/>
    <n v="0"/>
    <n v="2205884.0906945551"/>
    <n v="0"/>
    <n v="31.971133055605648"/>
    <n v="0"/>
    <n v="31.971133055605648"/>
    <n v="0"/>
    <n v="1090993.506522682"/>
    <n v="0"/>
    <n v="1090993.506522682"/>
    <n v="0"/>
    <x v="1"/>
  </r>
  <r>
    <x v="47"/>
    <s v=""/>
    <n v="0"/>
    <x v="1"/>
    <s v="Vestdanmark"/>
    <n v="606661.04726979067"/>
    <n v="0"/>
    <n v="0"/>
    <n v="0"/>
    <n v="0"/>
    <n v="0"/>
    <n v="0"/>
    <n v="606661.0472697906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545594.46832024341"/>
    <n v="31434.479653499999"/>
    <n v="0"/>
    <n v="112833.22962148272"/>
    <n v="0"/>
    <n v="0"/>
    <n v="0"/>
    <n v="0"/>
    <n v="401326.7590452607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70018749.96798176"/>
    <n v="0"/>
    <n v="0"/>
    <n v="0"/>
    <n v="0"/>
    <n v="0"/>
    <n v="470018749.96798176"/>
    <n v="0"/>
    <n v="0"/>
    <n v="0"/>
    <n v="470018749.96798176"/>
    <n v="0"/>
    <n v="0"/>
    <n v="0"/>
    <n v="0"/>
    <n v="0"/>
    <n v="0"/>
    <n v="0"/>
    <n v="0"/>
    <n v="0"/>
    <x v="1"/>
  </r>
  <r>
    <x v="4"/>
    <s v=""/>
    <n v="0"/>
    <x v="2"/>
    <s v="Vestdanmark"/>
    <n v="17668195.373487305"/>
    <n v="0"/>
    <n v="0"/>
    <n v="0"/>
    <n v="0"/>
    <n v="11772329.827718841"/>
    <n v="0"/>
    <n v="0"/>
    <n v="5895865.54576846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92671.7488440941"/>
    <n v="0"/>
    <n v="0"/>
    <n v="0"/>
    <n v="1353770.9865174799"/>
    <n v="0"/>
    <n v="0"/>
    <n v="0"/>
    <n v="238900.76232661423"/>
    <n v="238900.76232661423"/>
    <n v="1353770.9865174799"/>
    <n v="0.13570186280216823"/>
    <n v="0.90467908534778774"/>
    <n v="0.76897722254561951"/>
    <n v="0.13570186280216823"/>
    <n v="10216.205887387503"/>
    <n v="68108.039249249996"/>
    <n v="57891.833361862489"/>
    <n v="10216.205887387507"/>
    <n v="0"/>
    <x v="0"/>
  </r>
  <r>
    <x v="6"/>
    <s v="Husdyrgødning"/>
    <n v="1"/>
    <x v="2"/>
    <s v="Vestdanmark"/>
    <n v="1458137.3135203668"/>
    <n v="0"/>
    <n v="0"/>
    <n v="0"/>
    <n v="1239416.7164923118"/>
    <n v="82801.368874906548"/>
    <n v="0"/>
    <n v="0"/>
    <n v="135919.22815314843"/>
    <n v="135919.22815314843"/>
    <n v="1239416.7164923118"/>
    <n v="0.29277001744188175"/>
    <n v="2.9624736247663215"/>
    <n v="2.6697036073244398"/>
    <n v="0.29277001744188169"/>
    <n v="40775.76844594453"/>
    <n v="412600.78339363803"/>
    <n v="371825.0149476935"/>
    <n v="40775.76844594453"/>
    <n v="0"/>
    <x v="0"/>
  </r>
  <r>
    <x v="7"/>
    <s v=""/>
    <n v="0"/>
    <x v="2"/>
    <s v="Vestdanmark"/>
    <n v="1121779.4699876471"/>
    <n v="1100647.0466911762"/>
    <n v="0"/>
    <n v="0"/>
    <n v="0"/>
    <n v="0"/>
    <n v="0"/>
    <n v="0"/>
    <n v="21132.42329647089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323.2019641100578"/>
    <n v="1292.3297583723634"/>
    <n v="0"/>
    <n v="0"/>
    <n v="0"/>
    <n v="0"/>
    <n v="7323.2019641100578"/>
    <n v="0"/>
    <n v="3.4440286517013192E-3"/>
    <n v="3.4440286517013192E-3"/>
    <n v="0"/>
    <n v="0"/>
    <n v="461.36172373893362"/>
    <n v="461.36172373893362"/>
    <n v="0"/>
    <n v="0"/>
    <x v="1"/>
  </r>
  <r>
    <x v="9"/>
    <s v=""/>
    <n v="0"/>
    <x v="2"/>
    <s v="Vestdanmark"/>
    <n v="173658.75124992887"/>
    <n v="0"/>
    <n v="0"/>
    <n v="18335.399813490942"/>
    <n v="0"/>
    <n v="0"/>
    <n v="0"/>
    <n v="0"/>
    <n v="155323.35143643792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116507.263767978"/>
    <n v="0"/>
    <n v="0"/>
    <n v="267978.92035102146"/>
    <n v="0"/>
    <n v="0"/>
    <n v="0"/>
    <n v="0"/>
    <n v="-151471.6565830434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7962057.7199019091"/>
    <n v="6306570.6128669288"/>
    <n v="0"/>
    <n v="0"/>
    <n v="0"/>
    <n v="0"/>
    <n v="0"/>
    <n v="3259315.5328257415"/>
    <n v="-1603828.4257907616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544864.31399399997"/>
    <n v="544864.313993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257296.7096095001"/>
    <n v="0"/>
    <n v="0"/>
    <n v="280672.65868343826"/>
    <n v="0"/>
    <n v="0"/>
    <n v="0"/>
    <n v="0"/>
    <n v="976624.05092606181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2963241.932022078"/>
    <n v="394237.57109337207"/>
    <n v="367504.60397489293"/>
    <n v="0"/>
    <n v="0"/>
    <n v="0"/>
    <n v="408304.80676701013"/>
    <n v="1793194.9501868032"/>
    <n v="0"/>
    <n v="0"/>
    <n v="408304.80676701013"/>
    <n v="0"/>
    <n v="4.2201594100814956"/>
    <n v="0"/>
    <n v="4.2201594100814956"/>
    <n v="0"/>
    <n v="347059.0857519586"/>
    <n v="0"/>
    <n v="347059.0857519586"/>
    <n v="0"/>
    <x v="1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n v="0"/>
    <x v="0"/>
  </r>
  <r>
    <x v="20"/>
    <s v=""/>
    <n v="0"/>
    <x v="2"/>
    <s v="Vestdanmark"/>
    <n v="520573.94312179892"/>
    <n v="0"/>
    <n v="0"/>
    <n v="0"/>
    <n v="0"/>
    <n v="0"/>
    <n v="0"/>
    <n v="0"/>
    <n v="520573.9431217989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48472.631855153"/>
    <n v="0"/>
    <n v="0"/>
    <n v="128347.79869443661"/>
    <n v="0"/>
    <n v="0"/>
    <n v="0"/>
    <n v="0"/>
    <n v="1620124.833160716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20720.3662957777"/>
    <n v="3027382.7402155618"/>
    <n v="0"/>
    <n v="307470.55071854044"/>
    <n v="0"/>
    <n v="0"/>
    <n v="0"/>
    <n v="0"/>
    <n v="585867.07536167558"/>
    <n v="585867.07536167558"/>
    <n v="0"/>
    <n v="2.0065127117231887"/>
    <n v="2.0065127117231887"/>
    <n v="0"/>
    <n v="2.0065127117231887"/>
    <n v="181618.79336211944"/>
    <n v="181618.79336211944"/>
    <n v="0"/>
    <n v="181618.79336211944"/>
    <n v="0"/>
    <x v="0"/>
  </r>
  <r>
    <x v="23"/>
    <s v=""/>
    <n v="0"/>
    <x v="2"/>
    <s v="Vestdanmark"/>
    <n v="0"/>
    <n v="0"/>
    <n v="0"/>
    <n v="0"/>
    <n v="0"/>
    <n v="1155727.8519823398"/>
    <n v="0"/>
    <n v="0"/>
    <n v="-1155727.851982339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6367703.2512749117"/>
    <n v="0"/>
    <n v="0"/>
    <n v="0"/>
    <n v="5412547.763583675"/>
    <n v="955155.48769123689"/>
    <n v="0"/>
    <n v="0"/>
    <n v="0"/>
    <n v="0"/>
    <n v="5412547.763583675"/>
    <n v="0"/>
    <n v="2.7397775524484209"/>
    <n v="2.7397775524484209"/>
    <n v="0"/>
    <n v="0"/>
    <n v="411353.63003235927"/>
    <n v="411353.63003235927"/>
    <n v="0"/>
    <n v="0"/>
    <x v="1"/>
  </r>
  <r>
    <x v="25"/>
    <s v=""/>
    <n v="0"/>
    <x v="2"/>
    <s v="Vestdanmark"/>
    <n v="795441.73503903183"/>
    <n v="777685.16963622137"/>
    <n v="0"/>
    <n v="0"/>
    <n v="0"/>
    <n v="0"/>
    <n v="0"/>
    <n v="0"/>
    <n v="17756.565402810462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3204301.4084430053"/>
    <n v="2570844.3984400104"/>
    <n v="0"/>
    <n v="0"/>
    <n v="550329.17750715138"/>
    <n v="0"/>
    <n v="0"/>
    <n v="0"/>
    <n v="83127.832495843526"/>
    <n v="83127.832495843526"/>
    <n v="550329.17750715138"/>
    <n v="0.29842891866007831"/>
    <n v="2.2741106659107517"/>
    <n v="1.9756817472506736"/>
    <n v="0.29842891866007815"/>
    <n v="24938.349748753059"/>
    <n v="190037.10300089847"/>
    <n v="165098.7532521454"/>
    <n v="24938.349748753069"/>
    <n v="0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62301.49863914726"/>
    <n v="0"/>
    <n v="0"/>
    <n v="0"/>
    <n v="0"/>
    <n v="0"/>
    <n v="0"/>
    <n v="0"/>
    <n v="162301.49863914726"/>
    <n v="162301.49863914726"/>
    <n v="0"/>
    <n v="0.14566559502863469"/>
    <n v="0.14566559502863469"/>
    <n v="0"/>
    <n v="0.14566559502863469"/>
    <n v="24345.224795872087"/>
    <n v="24345.224795872087"/>
    <n v="0"/>
    <n v="24345.224795872087"/>
    <n v="0"/>
    <x v="0"/>
  </r>
  <r>
    <x v="29"/>
    <s v=""/>
    <n v="0"/>
    <x v="2"/>
    <s v="Vestdanmark"/>
    <n v="51394.057868840908"/>
    <n v="0"/>
    <n v="0"/>
    <n v="31184.283836637289"/>
    <n v="0"/>
    <n v="0"/>
    <n v="0"/>
    <n v="0"/>
    <n v="20209.77403220361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143602.1995332621"/>
    <n v="0"/>
    <n v="0"/>
    <n v="0"/>
    <n v="0"/>
    <n v="0"/>
    <n v="0"/>
    <n v="0"/>
    <n v="1143602.199533262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7651.319921337825"/>
    <n v="0"/>
    <n v="0"/>
    <n v="0"/>
    <n v="0"/>
    <n v="0"/>
    <n v="97651.319921337825"/>
    <n v="0"/>
    <n v="0"/>
    <n v="0"/>
    <n v="97651.319921337825"/>
    <n v="0"/>
    <n v="1.7967842865526156"/>
    <n v="0"/>
    <n v="1.7967842865526156"/>
    <n v="0"/>
    <n v="40525.297767355201"/>
    <n v="0"/>
    <n v="40525.297767355201"/>
    <n v="0"/>
    <x v="1"/>
  </r>
  <r>
    <x v="32"/>
    <s v="Pyrolyseprodukter"/>
    <n v="1"/>
    <x v="2"/>
    <s v="Vestdanmark"/>
    <n v="1004189.1721046099"/>
    <n v="0"/>
    <n v="0"/>
    <n v="0"/>
    <n v="0"/>
    <n v="0"/>
    <n v="1004189.1721046099"/>
    <n v="0"/>
    <n v="0"/>
    <n v="0"/>
    <n v="1004189.1721046099"/>
    <n v="0"/>
    <n v="8.9989695380174517"/>
    <n v="0"/>
    <n v="8.9989695380174517"/>
    <n v="0"/>
    <n v="0"/>
    <n v="0"/>
    <n v="0"/>
    <n v="0"/>
    <x v="1"/>
  </r>
  <r>
    <x v="33"/>
    <s v="Pyrolyseprodukter"/>
    <n v="1"/>
    <x v="2"/>
    <s v="Vestdanmark"/>
    <n v="251047.29302615247"/>
    <n v="0"/>
    <n v="0"/>
    <n v="0"/>
    <n v="0"/>
    <n v="0"/>
    <n v="251047.29302615247"/>
    <n v="0"/>
    <n v="0"/>
    <n v="0"/>
    <n v="251047.29302615247"/>
    <n v="0"/>
    <n v="8.3519847999900527"/>
    <n v="0"/>
    <n v="8.3519847999900527"/>
    <n v="0"/>
    <n v="0"/>
    <n v="0"/>
    <n v="0"/>
    <n v="0"/>
    <x v="1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619567.35639770923"/>
    <n v="0"/>
    <n v="0"/>
    <n v="0"/>
    <n v="0"/>
    <n v="0"/>
    <n v="0"/>
    <n v="619567.3563977092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309783.67819885461"/>
    <n v="202628.48191581847"/>
    <n v="0"/>
    <n v="0"/>
    <n v="0"/>
    <n v="0"/>
    <n v="0"/>
    <n v="0"/>
    <n v="107155.1962830361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98261.55404726695"/>
    <n v="0"/>
    <n v="0"/>
    <n v="0"/>
    <n v="0"/>
    <n v="0"/>
    <n v="198261.55404726695"/>
    <n v="0"/>
    <n v="0"/>
    <n v="0"/>
    <n v="198261.55404726695"/>
    <n v="0"/>
    <n v="6.939154391654343"/>
    <n v="0"/>
    <n v="6.939154391654343"/>
    <n v="0"/>
    <n v="0"/>
    <n v="0"/>
    <n v="0"/>
    <n v="0"/>
    <x v="1"/>
  </r>
  <r>
    <x v="38"/>
    <s v="Græs og urter"/>
    <n v="1"/>
    <x v="2"/>
    <s v="Vestdanmark"/>
    <n v="557517.61958207632"/>
    <n v="447226.91507024999"/>
    <n v="0"/>
    <n v="0"/>
    <n v="0"/>
    <n v="0"/>
    <n v="0"/>
    <n v="0"/>
    <n v="110290.70451182633"/>
    <n v="110290.70451182633"/>
    <n v="0"/>
    <n v="0.29933338367327716"/>
    <n v="0.29933338367327716"/>
    <n v="0"/>
    <n v="0.29933338367327716"/>
    <n v="22058.140902365267"/>
    <n v="22058.140902365267"/>
    <n v="0"/>
    <n v="22058.140902365267"/>
    <n v="0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19813.247781599999"/>
    <n v="0"/>
    <n v="0"/>
    <n v="0"/>
    <n v="0"/>
    <n v="0"/>
    <n v="0"/>
    <n v="43236.87635213136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3452770.6122393245"/>
    <n v="0"/>
    <n v="0"/>
    <n v="0"/>
    <n v="609312.46098341048"/>
    <n v="609312.46098341048"/>
    <n v="3452770.6122393245"/>
    <n v="0.30405301115533173"/>
    <n v="2.0270200743688775"/>
    <n v="1.7229670632135456"/>
    <n v="0.3040530111553319"/>
    <n v="36558.747659004628"/>
    <n v="243724.98439336408"/>
    <n v="207166.23673435947"/>
    <n v="36558.747659004614"/>
    <n v="0"/>
    <x v="0"/>
  </r>
  <r>
    <x v="42"/>
    <s v="Husdyrgødning"/>
    <n v="1"/>
    <x v="2"/>
    <s v="Vestdanmark"/>
    <n v="7216145.8837897805"/>
    <n v="0"/>
    <n v="0"/>
    <n v="0"/>
    <n v="6133724.0012213131"/>
    <n v="1082421.8825684672"/>
    <n v="0"/>
    <n v="0"/>
    <n v="0"/>
    <n v="0"/>
    <n v="6133724.0012213131"/>
    <n v="0"/>
    <n v="2.6424082997261422"/>
    <n v="2.6424082997261422"/>
    <n v="0"/>
    <n v="0"/>
    <n v="306686.20006106567"/>
    <n v="306686.20006106567"/>
    <n v="0"/>
    <n v="0"/>
    <x v="1"/>
  </r>
  <r>
    <x v="43"/>
    <s v=""/>
    <n v="0"/>
    <x v="2"/>
    <s v="Vestdanmark"/>
    <n v="670075.43744177814"/>
    <n v="0"/>
    <n v="0"/>
    <n v="63313.545971354491"/>
    <n v="0"/>
    <n v="0"/>
    <n v="0"/>
    <n v="0"/>
    <n v="606761.8914704236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0125"/>
    <n v="5007.9440624448525"/>
    <n v="0"/>
    <n v="0"/>
    <n v="0"/>
    <n v="0"/>
    <n v="0"/>
    <n v="0"/>
    <n v="5117.0559375551475"/>
    <n v="5117.0559375551475"/>
    <n v="0"/>
    <n v="4.592557703955745E-3"/>
    <n v="4.592557703955745E-3"/>
    <n v="0"/>
    <n v="4.592557703955745E-3"/>
    <n v="767.5583906332721"/>
    <n v="767.5583906332721"/>
    <n v="0"/>
    <n v="767.5583906332721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0482.6440612082"/>
    <n v="0"/>
    <n v="0"/>
    <n v="0"/>
    <n v="0"/>
    <n v="0"/>
    <n v="2270482.6440612082"/>
    <n v="0"/>
    <n v="0"/>
    <n v="0"/>
    <n v="2270482.6440612082"/>
    <n v="0"/>
    <n v="32.90739663971565"/>
    <n v="0"/>
    <n v="32.90739663971565"/>
    <n v="0"/>
    <n v="1122942.8743752725"/>
    <n v="0"/>
    <n v="1122942.8743752725"/>
    <n v="0"/>
    <x v="1"/>
  </r>
  <r>
    <x v="47"/>
    <s v=""/>
    <n v="0"/>
    <x v="2"/>
    <s v="Vestdanmark"/>
    <n v="643517.01117705333"/>
    <n v="0"/>
    <n v="0"/>
    <n v="0"/>
    <n v="0"/>
    <n v="0"/>
    <n v="0"/>
    <n v="643517.0111770533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23047.44370663891"/>
    <n v="7493.8897181076936"/>
    <n v="0"/>
    <n v="0"/>
    <n v="0"/>
    <n v="0"/>
    <n v="0"/>
    <n v="0"/>
    <n v="115553.55398853122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2424662.68425274"/>
    <n v="0"/>
    <n v="0"/>
    <n v="0"/>
    <n v="0"/>
    <n v="0"/>
    <n v="112424662.68425274"/>
    <n v="0"/>
    <n v="0"/>
    <n v="0"/>
    <n v="112424662.68425274"/>
    <n v="0"/>
    <n v="0"/>
    <n v="0"/>
    <n v="0"/>
    <n v="0"/>
    <n v="0"/>
    <n v="0"/>
    <n v="0"/>
    <n v="0"/>
    <x v="1"/>
  </r>
  <r>
    <x v="4"/>
    <s v=""/>
    <n v="0"/>
    <x v="1"/>
    <s v="Østdanmark"/>
    <n v="3638100.9092914085"/>
    <n v="0"/>
    <n v="0"/>
    <n v="0"/>
    <n v="0"/>
    <n v="3189268.06030375"/>
    <n v="0"/>
    <n v="0"/>
    <n v="448832.8489876585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76037.33667957611"/>
    <n v="0"/>
    <n v="0"/>
    <n v="0"/>
    <n v="17603.733667957611"/>
    <n v="0"/>
    <n v="0"/>
    <n v="0"/>
    <n v="158433.60301161848"/>
    <n v="158433.60301161848"/>
    <n v="17603.733667957611"/>
    <n v="8.9994417974030502E-2"/>
    <n v="9.999379774892278E-2"/>
    <n v="9.999379774892278E-3"/>
    <n v="8.9994417974030502E-2"/>
    <n v="6775.1575678709987"/>
    <n v="7527.9528531899987"/>
    <n v="752.79528531899996"/>
    <n v="6775.1575678709987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123989.81169960002"/>
    <n v="104956.43862895928"/>
    <n v="0"/>
    <n v="0"/>
    <n v="0"/>
    <n v="0"/>
    <n v="0"/>
    <n v="0"/>
    <n v="19033.373070640737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39365.5827745031"/>
    <n v="0"/>
    <n v="0"/>
    <n v="0"/>
    <n v="0"/>
    <n v="0"/>
    <n v="0"/>
    <n v="0"/>
    <n v="339365.5827745031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811.3821523284805"/>
    <n v="0"/>
    <n v="0"/>
    <n v="223323.94265330929"/>
    <n v="0"/>
    <n v="0"/>
    <n v="0"/>
    <n v="0"/>
    <n v="-213512.5605009808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804494.9727168591"/>
    <n v="1503468.3313748278"/>
    <n v="0"/>
    <n v="0"/>
    <n v="0"/>
    <n v="0"/>
    <n v="0"/>
    <n v="360250.77120469615"/>
    <n v="1940775.8701373353"/>
    <n v="579397.28522808431"/>
    <n v="0"/>
    <n v="1.0660185801590216"/>
    <n v="1.0660185801590216"/>
    <n v="0"/>
    <n v="1.0660185801590216"/>
    <n v="162231.23986386362"/>
    <n v="162231.23986386362"/>
    <n v="0"/>
    <n v="162231.23986386362"/>
    <n v="0"/>
    <x v="0"/>
  </r>
  <r>
    <x v="14"/>
    <s v=""/>
    <n v="0"/>
    <x v="1"/>
    <s v="Østdanmark"/>
    <n v="60223.622825520004"/>
    <n v="60223.62282552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255910.1701378283"/>
    <n v="0"/>
    <n v="0"/>
    <n v="233902.44520004498"/>
    <n v="0"/>
    <n v="0"/>
    <n v="0"/>
    <n v="0"/>
    <n v="22007.724937783321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784508.18490791088"/>
    <n v="93985.10530710897"/>
    <n v="103520.85960187271"/>
    <n v="0"/>
    <n v="0"/>
    <n v="0"/>
    <n v="567443.12264488416"/>
    <n v="19559.097354045036"/>
    <n v="0"/>
    <n v="0"/>
    <n v="567443.12264488416"/>
    <n v="0"/>
    <n v="5.8649822241311931"/>
    <n v="0"/>
    <n v="5.8649822241311931"/>
    <n v="0"/>
    <n v="482326.65424815152"/>
    <n v="0"/>
    <n v="482326.65424815152"/>
    <n v="0"/>
    <x v="1"/>
  </r>
  <r>
    <x v="17"/>
    <s v="Bionedbrydeligt affald"/>
    <n v="1"/>
    <x v="1"/>
    <s v="Østdanmark"/>
    <n v="456074.89013160887"/>
    <n v="0"/>
    <n v="0"/>
    <n v="0"/>
    <n v="232026.20760066749"/>
    <n v="0"/>
    <n v="224048.68253094138"/>
    <n v="0"/>
    <n v="0"/>
    <n v="0"/>
    <n v="456074.89013160887"/>
    <n v="0"/>
    <n v="4.3937632302492702"/>
    <n v="0.3939967423404655"/>
    <n v="3.9997664879088046"/>
    <n v="0"/>
    <n v="136822.46703948267"/>
    <n v="69607.86228020025"/>
    <n v="67214.604759282418"/>
    <n v="0"/>
    <x v="1"/>
  </r>
  <r>
    <x v="18"/>
    <s v=""/>
    <n v="0"/>
    <x v="1"/>
    <s v="Østdanmark"/>
    <n v="0"/>
    <n v="297109.21928150119"/>
    <n v="0"/>
    <n v="0"/>
    <n v="0"/>
    <n v="0"/>
    <n v="0"/>
    <n v="0"/>
    <n v="-297109.21928150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213365.56375262729"/>
    <n v="0"/>
    <n v="0"/>
    <n v="0"/>
    <n v="0"/>
    <n v="0"/>
    <n v="0"/>
    <n v="0"/>
    <n v="213365.56375262729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20099.18456044223"/>
    <n v="0"/>
    <n v="0"/>
    <n v="106960.41463921656"/>
    <n v="0"/>
    <n v="0"/>
    <n v="0"/>
    <n v="0"/>
    <n v="413138.76992122567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967965.071790382"/>
    <n v="721719.35529882624"/>
    <n v="0"/>
    <n v="256234.83946537593"/>
    <n v="861.66868306008803"/>
    <n v="0"/>
    <n v="0"/>
    <n v="0"/>
    <n v="989149.20834311971"/>
    <n v="989149.20834311971"/>
    <n v="861.66868306008803"/>
    <n v="3.3876975576860175"/>
    <n v="3.3906486522918828"/>
    <n v="2.9510946058651736E-3"/>
    <n v="3.3876975576860175"/>
    <n v="306636.25458636711"/>
    <n v="306903.37187811575"/>
    <n v="267.11729174862728"/>
    <n v="306636.25458636711"/>
    <n v="0"/>
    <x v="0"/>
  </r>
  <r>
    <x v="23"/>
    <s v=""/>
    <n v="0"/>
    <x v="1"/>
    <s v="Østdanmark"/>
    <n v="0"/>
    <n v="0"/>
    <n v="0"/>
    <n v="0"/>
    <n v="0"/>
    <n v="421833.87879780139"/>
    <n v="0"/>
    <n v="0"/>
    <n v="-421833.8787978013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5397.91213031337"/>
    <n v="0"/>
    <n v="0"/>
    <n v="0"/>
    <n v="0"/>
    <n v="0"/>
    <n v="0"/>
    <n v="-70187.378236720499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420877.0118334598"/>
    <n v="692556.57535474957"/>
    <n v="0"/>
    <n v="0"/>
    <n v="0"/>
    <n v="0"/>
    <n v="0"/>
    <n v="0"/>
    <n v="728320.43647871027"/>
    <n v="69397.97399061406"/>
    <n v="0"/>
    <n v="0.24913872662630451"/>
    <n v="0.24913872662630451"/>
    <n v="0"/>
    <n v="0.24913872662630451"/>
    <n v="20819.392197184217"/>
    <n v="20819.392197184217"/>
    <n v="0"/>
    <n v="20819.392197184217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5405.5586300748464"/>
    <n v="0"/>
    <n v="0"/>
    <n v="0"/>
    <n v="0"/>
    <n v="0"/>
    <n v="0"/>
    <n v="0"/>
    <n v="5405.5586300748464"/>
    <n v="5405.5586300748464"/>
    <n v="0"/>
    <n v="4.851488870492175E-3"/>
    <n v="4.851488870492175E-3"/>
    <n v="0"/>
    <n v="4.851488870492175E-3"/>
    <n v="810.83379451122698"/>
    <n v="810.83379451122698"/>
    <n v="0"/>
    <n v="810.83379451122698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69685.83477569057"/>
    <n v="0"/>
    <n v="0"/>
    <n v="0"/>
    <n v="0"/>
    <n v="0"/>
    <n v="0"/>
    <n v="0"/>
    <n v="469685.8347756905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1596.139144494533"/>
    <n v="0"/>
    <n v="0"/>
    <n v="0"/>
    <n v="0"/>
    <n v="0"/>
    <n v="41596.139144494533"/>
    <n v="0"/>
    <n v="0"/>
    <n v="0"/>
    <n v="41596.139144494533"/>
    <n v="0"/>
    <n v="0.76536896025869927"/>
    <n v="0"/>
    <n v="0.76536896025869927"/>
    <n v="0"/>
    <n v="17262.397744965234"/>
    <n v="0"/>
    <n v="17262.397744965234"/>
    <n v="0"/>
    <x v="1"/>
  </r>
  <r>
    <x v="32"/>
    <s v="Pyrolyseprodukter"/>
    <n v="1"/>
    <x v="1"/>
    <s v="Østdanmark"/>
    <n v="10953.094518265221"/>
    <n v="0"/>
    <n v="0"/>
    <n v="0"/>
    <n v="0"/>
    <n v="0"/>
    <n v="10953.094518265221"/>
    <n v="0"/>
    <n v="0"/>
    <n v="0"/>
    <n v="10953.094518265221"/>
    <n v="0"/>
    <n v="9.8155374161539591E-2"/>
    <n v="0"/>
    <n v="9.8155374161539591E-2"/>
    <n v="0"/>
    <n v="0"/>
    <n v="0"/>
    <n v="0"/>
    <n v="0"/>
    <x v="1"/>
  </r>
  <r>
    <x v="33"/>
    <s v="Pyrolyseprodukter"/>
    <n v="1"/>
    <x v="1"/>
    <s v="Østdanmark"/>
    <n v="2738.2736295663053"/>
    <n v="0"/>
    <n v="0"/>
    <n v="0"/>
    <n v="0"/>
    <n v="0"/>
    <n v="2738.2736295663053"/>
    <n v="0"/>
    <n v="0"/>
    <n v="0"/>
    <n v="2738.2736295663053"/>
    <n v="0"/>
    <n v="9.1098451836200148E-2"/>
    <n v="0"/>
    <n v="9.1098451836200148E-2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7192.94889726539"/>
    <n v="0"/>
    <n v="0"/>
    <n v="0"/>
    <n v="0"/>
    <n v="0"/>
    <n v="0"/>
    <n v="207192.9488972653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3596.4744486327"/>
    <n v="48306.048452615352"/>
    <n v="0"/>
    <n v="0"/>
    <n v="0"/>
    <n v="0"/>
    <n v="0"/>
    <n v="0"/>
    <n v="55290.425996017344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6301.743647124924"/>
    <n v="0"/>
    <n v="0"/>
    <n v="0"/>
    <n v="0"/>
    <n v="0"/>
    <n v="66301.743647124924"/>
    <n v="0"/>
    <n v="0"/>
    <n v="0"/>
    <n v="66301.743647124924"/>
    <n v="0"/>
    <n v="2.3205610276493722"/>
    <n v="0"/>
    <n v="2.3205610276493722"/>
    <n v="0"/>
    <n v="0"/>
    <n v="0"/>
    <n v="0"/>
    <n v="0"/>
    <x v="1"/>
  </r>
  <r>
    <x v="38"/>
    <s v="Græs og urter"/>
    <n v="1"/>
    <x v="1"/>
    <s v="Østdanmark"/>
    <n v="461406.88541979471"/>
    <n v="106617.6128076231"/>
    <n v="0"/>
    <n v="0"/>
    <n v="0"/>
    <n v="0"/>
    <n v="0"/>
    <n v="0"/>
    <n v="354789.2726121716"/>
    <n v="354789.2726121716"/>
    <n v="0"/>
    <n v="0.96291227744033825"/>
    <n v="0.96291227744033825"/>
    <n v="0"/>
    <n v="0.96291227744033825"/>
    <n v="70957.854522434325"/>
    <n v="70957.854522434325"/>
    <n v="0"/>
    <n v="70957.854522434325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723.4213980800005"/>
    <n v="0"/>
    <n v="0"/>
    <n v="0"/>
    <n v="0"/>
    <n v="0"/>
    <n v="0"/>
    <n v="13567.004856230607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450"/>
    <n v="0"/>
    <n v="0"/>
    <n v="0"/>
    <n v="0"/>
    <n v="0"/>
    <n v="0"/>
    <n v="0"/>
    <n v="450"/>
    <n v="450"/>
    <n v="0"/>
    <n v="4.0387500000000005E-4"/>
    <n v="4.0387500000000005E-4"/>
    <n v="0"/>
    <n v="4.0387500000000005E-4"/>
    <n v="67.5"/>
    <n v="67.5"/>
    <n v="0"/>
    <n v="67.5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672.88485303381"/>
    <n v="0"/>
    <n v="0"/>
    <n v="0"/>
    <n v="0"/>
    <n v="0"/>
    <n v="645672.88485303381"/>
    <n v="0"/>
    <n v="0"/>
    <n v="0"/>
    <n v="645672.88485303381"/>
    <n v="0"/>
    <n v="9.3581044439798156"/>
    <n v="0"/>
    <n v="9.3581044439798156"/>
    <n v="0"/>
    <n v="319339.04763356299"/>
    <n v="0"/>
    <n v="319339.04763356299"/>
    <n v="0"/>
    <x v="1"/>
  </r>
  <r>
    <x v="47"/>
    <s v=""/>
    <n v="0"/>
    <x v="1"/>
    <s v="Østdanmark"/>
    <n v="177572.60690670041"/>
    <n v="0"/>
    <n v="0"/>
    <n v="0"/>
    <n v="0"/>
    <n v="0"/>
    <n v="0"/>
    <n v="177572.60690670041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197953.41816607979"/>
    <n v="3823.0915711153852"/>
    <n v="0"/>
    <n v="98440.006733673188"/>
    <n v="0"/>
    <n v="0"/>
    <n v="0"/>
    <n v="0"/>
    <n v="95690.31986129122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53356922.77785194"/>
    <n v="0"/>
    <n v="0"/>
    <n v="0"/>
    <n v="0"/>
    <n v="0"/>
    <n v="153356922.77785194"/>
    <n v="0"/>
    <n v="0"/>
    <n v="0"/>
    <n v="153356922.77785194"/>
    <n v="0"/>
    <n v="0"/>
    <n v="0"/>
    <n v="0"/>
    <n v="0"/>
    <n v="0"/>
    <n v="0"/>
    <n v="0"/>
    <n v="0"/>
    <x v="1"/>
  </r>
  <r>
    <x v="4"/>
    <s v=""/>
    <n v="0"/>
    <x v="2"/>
    <s v="Østdanmark"/>
    <n v="5073077.1915220283"/>
    <n v="0"/>
    <n v="0"/>
    <n v="0"/>
    <n v="0"/>
    <n v="3380194.5630334695"/>
    <n v="0"/>
    <n v="0"/>
    <n v="1692882.628488558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3702.26597281999"/>
    <n v="0"/>
    <n v="0"/>
    <n v="0"/>
    <n v="164646.92607689698"/>
    <n v="0"/>
    <n v="0"/>
    <n v="0"/>
    <n v="29055.339895923011"/>
    <n v="29055.339895923011"/>
    <n v="164646.92607689698"/>
    <n v="1.6504190735215845E-2"/>
    <n v="0.11002793823477226"/>
    <n v="9.3523747499556414E-2"/>
    <n v="1.6504190735215848E-2"/>
    <n v="1242.5047606125004"/>
    <n v="8283.3650707500001"/>
    <n v="7040.8603101374993"/>
    <n v="1242.5047606125008"/>
    <n v="0"/>
    <x v="0"/>
  </r>
  <r>
    <x v="6"/>
    <s v="Husdyrgødning"/>
    <n v="1"/>
    <x v="2"/>
    <s v="Østdanmark"/>
    <n v="194332.65736576461"/>
    <n v="0"/>
    <n v="0"/>
    <n v="0"/>
    <n v="165182.75876089992"/>
    <n v="11035.318757555919"/>
    <n v="0"/>
    <n v="0"/>
    <n v="18114.579847308778"/>
    <n v="18114.579847308778"/>
    <n v="165182.75876089992"/>
    <n v="3.9018804991103107E-2"/>
    <n v="0.39482246736208154"/>
    <n v="0.35580366237097844"/>
    <n v="3.9018804991103107E-2"/>
    <n v="5434.3739541926334"/>
    <n v="54989.201582462607"/>
    <n v="49554.827628269974"/>
    <n v="5434.3739541926334"/>
    <n v="0"/>
    <x v="0"/>
  </r>
  <r>
    <x v="7"/>
    <s v=""/>
    <n v="0"/>
    <x v="2"/>
    <s v="Østdanmark"/>
    <n v="136431.8952829412"/>
    <n v="133861.74968891402"/>
    <n v="0"/>
    <n v="0"/>
    <n v="0"/>
    <n v="0"/>
    <n v="0"/>
    <n v="0"/>
    <n v="2570.145594027184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14.63363776327014"/>
    <n v="108.46475960528299"/>
    <n v="0"/>
    <n v="0"/>
    <n v="0"/>
    <n v="0"/>
    <n v="614.63363776327014"/>
    <n v="0"/>
    <n v="2.8905605350368834E-4"/>
    <n v="2.8905605350368834E-4"/>
    <n v="0"/>
    <n v="0"/>
    <n v="38.721919179086022"/>
    <n v="38.721919179086022"/>
    <n v="0"/>
    <n v="0"/>
    <x v="1"/>
  </r>
  <r>
    <x v="9"/>
    <s v=""/>
    <n v="0"/>
    <x v="2"/>
    <s v="Østdanmark"/>
    <n v="14575.114892812006"/>
    <n v="0"/>
    <n v="0"/>
    <n v="15996.501094221892"/>
    <n v="0"/>
    <n v="0"/>
    <n v="0"/>
    <n v="0"/>
    <n v="-1421.386201409886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42271.361313865054"/>
    <n v="0"/>
    <n v="0"/>
    <n v="233795.01599247381"/>
    <n v="0"/>
    <n v="0"/>
    <n v="0"/>
    <n v="0"/>
    <n v="-191523.654678608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888780.8014802146"/>
    <n v="767011.16794249229"/>
    <n v="0"/>
    <n v="0"/>
    <n v="0"/>
    <n v="0"/>
    <n v="0"/>
    <n v="396401.08182176121"/>
    <n v="1725368.5517159612"/>
    <n v="121540.12592519959"/>
    <n v="0"/>
    <n v="0.22361863918662661"/>
    <n v="0.22361863918662661"/>
    <n v="0"/>
    <n v="0.22361863918662661"/>
    <n v="34031.235259055888"/>
    <n v="34031.235259055888"/>
    <n v="0"/>
    <n v="34031.235259055888"/>
    <n v="0"/>
    <x v="0"/>
  </r>
  <r>
    <x v="14"/>
    <s v=""/>
    <n v="0"/>
    <x v="2"/>
    <s v="Østdanmark"/>
    <n v="66266.920566000001"/>
    <n v="66266.920566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56174.53044673882"/>
    <n v="0"/>
    <n v="0"/>
    <n v="244869.51675001203"/>
    <n v="0"/>
    <n v="0"/>
    <n v="0"/>
    <n v="0"/>
    <n v="211305.01369672679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075127.4976520955"/>
    <n v="47947.551595505945"/>
    <n v="51992.644823495335"/>
    <n v="0"/>
    <n v="0"/>
    <n v="0"/>
    <n v="268382.25141989789"/>
    <n v="706805.04981319618"/>
    <n v="0"/>
    <n v="0"/>
    <n v="268382.25141989789"/>
    <n v="0"/>
    <n v="2.7739469755369335"/>
    <n v="0"/>
    <n v="2.7739469755369335"/>
    <n v="0"/>
    <n v="228124.91370691321"/>
    <n v="0"/>
    <n v="228124.91370691321"/>
    <n v="0"/>
    <x v="1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n v="0"/>
    <x v="0"/>
  </r>
  <r>
    <x v="20"/>
    <s v=""/>
    <n v="0"/>
    <x v="2"/>
    <s v="Østdanmark"/>
    <n v="188875.23433835641"/>
    <n v="0"/>
    <n v="0"/>
    <n v="0"/>
    <n v="0"/>
    <n v="0"/>
    <n v="0"/>
    <n v="0"/>
    <n v="188875.23433835641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634382.54064061423"/>
    <n v="0"/>
    <n v="0"/>
    <n v="111975.50765955324"/>
    <n v="0"/>
    <n v="0"/>
    <n v="0"/>
    <n v="0"/>
    <n v="522407.0329810609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22520.7615932694"/>
    <n v="368193.1930872486"/>
    <n v="0"/>
    <n v="268249.01834925939"/>
    <n v="0"/>
    <n v="0"/>
    <n v="0"/>
    <n v="0"/>
    <n v="786078.55015676143"/>
    <n v="786078.55015676143"/>
    <n v="0"/>
    <n v="2.6922089832898863"/>
    <n v="2.6922089832898863"/>
    <n v="0"/>
    <n v="2.6922089832898863"/>
    <n v="243684.35054859603"/>
    <n v="243684.35054859603"/>
    <n v="0"/>
    <n v="243684.35054859603"/>
    <n v="0"/>
    <x v="0"/>
  </r>
  <r>
    <x v="23"/>
    <s v=""/>
    <n v="0"/>
    <x v="2"/>
    <s v="Østdanmark"/>
    <n v="0"/>
    <n v="0"/>
    <n v="0"/>
    <n v="0"/>
    <n v="0"/>
    <n v="481732.42010316846"/>
    <n v="0"/>
    <n v="0"/>
    <n v="-481732.4201031684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452578.20336624543"/>
    <n v="0"/>
    <n v="0"/>
    <n v="0"/>
    <n v="384691.4728613086"/>
    <n v="67886.73050493683"/>
    <n v="0"/>
    <n v="0"/>
    <n v="0"/>
    <n v="0"/>
    <n v="384691.4728613086"/>
    <n v="0"/>
    <n v="0.19472697664766583"/>
    <n v="0.19472697664766583"/>
    <n v="0"/>
    <n v="0"/>
    <n v="29236.551937459451"/>
    <n v="29236.551937459451"/>
    <n v="0"/>
    <n v="0"/>
    <x v="1"/>
  </r>
  <r>
    <x v="25"/>
    <s v=""/>
    <n v="0"/>
    <x v="2"/>
    <s v="Østdanmark"/>
    <n v="56535.233681691527"/>
    <n v="94582.816378404299"/>
    <n v="0"/>
    <n v="0"/>
    <n v="0"/>
    <n v="0"/>
    <n v="0"/>
    <n v="0"/>
    <n v="-38047.582696712772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162586.9095964739"/>
    <n v="312668.56199513603"/>
    <n v="0"/>
    <n v="0"/>
    <n v="199670.8224928487"/>
    <n v="0"/>
    <n v="0"/>
    <n v="0"/>
    <n v="650247.52510848921"/>
    <n v="650247.52510848921"/>
    <n v="199670.8224928487"/>
    <n v="2.3343886151394764"/>
    <n v="3.0512068678888031"/>
    <n v="0.71681825274932687"/>
    <n v="2.3343886151394764"/>
    <n v="195074.25753254676"/>
    <n v="254975.50428040136"/>
    <n v="59901.24674785461"/>
    <n v="195074.25753254676"/>
    <n v="0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0541.689725561351"/>
    <n v="0"/>
    <n v="0"/>
    <n v="0"/>
    <n v="0"/>
    <n v="0"/>
    <n v="0"/>
    <n v="0"/>
    <n v="40541.689725561351"/>
    <n v="40541.689725561351"/>
    <n v="0"/>
    <n v="3.6386166528691317E-2"/>
    <n v="3.6386166528691317E-2"/>
    <n v="0"/>
    <n v="3.6386166528691317E-2"/>
    <n v="6081.2534588342023"/>
    <n v="6081.2534588342023"/>
    <n v="0"/>
    <n v="6081.2534588342023"/>
    <n v="0"/>
    <x v="0"/>
  </r>
  <r>
    <x v="29"/>
    <s v=""/>
    <n v="0"/>
    <x v="2"/>
    <s v="Østdanmark"/>
    <n v="3652.7817732906901"/>
    <n v="0"/>
    <n v="0"/>
    <n v="27206.356861018925"/>
    <n v="0"/>
    <n v="0"/>
    <n v="0"/>
    <n v="0"/>
    <n v="-23553.575087728233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14923.14293457061"/>
    <n v="0"/>
    <n v="0"/>
    <n v="0"/>
    <n v="0"/>
    <n v="0"/>
    <n v="0"/>
    <n v="0"/>
    <n v="414923.1429345706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5429.762263631419"/>
    <n v="0"/>
    <n v="0"/>
    <n v="0"/>
    <n v="0"/>
    <n v="0"/>
    <n v="35429.762263631419"/>
    <n v="0"/>
    <n v="0"/>
    <n v="0"/>
    <n v="35429.762263631419"/>
    <n v="0"/>
    <n v="0.65190762565081795"/>
    <n v="0"/>
    <n v="0.65190762565081795"/>
    <n v="0"/>
    <n v="14703.35133940704"/>
    <n v="0"/>
    <n v="14703.35133940704"/>
    <n v="0"/>
    <x v="1"/>
  </r>
  <r>
    <x v="32"/>
    <s v="Pyrolyseprodukter"/>
    <n v="1"/>
    <x v="2"/>
    <s v="Østdanmark"/>
    <n v="395810.82789538987"/>
    <n v="0"/>
    <n v="0"/>
    <n v="0"/>
    <n v="0"/>
    <n v="0"/>
    <n v="395810.82789538987"/>
    <n v="0"/>
    <n v="0"/>
    <n v="0"/>
    <n v="395810.82789538987"/>
    <n v="0"/>
    <n v="3.5470304619825428"/>
    <n v="0"/>
    <n v="3.5470304619825428"/>
    <n v="0"/>
    <n v="0"/>
    <n v="0"/>
    <n v="0"/>
    <n v="0"/>
    <x v="1"/>
  </r>
  <r>
    <x v="33"/>
    <s v="Pyrolyseprodukter"/>
    <n v="1"/>
    <x v="2"/>
    <s v="Østdanmark"/>
    <n v="98952.706973847467"/>
    <n v="0"/>
    <n v="0"/>
    <n v="0"/>
    <n v="0"/>
    <n v="0"/>
    <n v="98952.706973847467"/>
    <n v="0"/>
    <n v="0"/>
    <n v="0"/>
    <n v="98952.706973847467"/>
    <n v="0"/>
    <n v="3.2920152000099416"/>
    <n v="0"/>
    <n v="3.2920152000099416"/>
    <n v="0"/>
    <n v="0"/>
    <n v="0"/>
    <n v="0"/>
    <n v="0"/>
    <x v="1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24792.41017302827"/>
    <n v="0"/>
    <n v="0"/>
    <n v="0"/>
    <n v="0"/>
    <n v="0"/>
    <n v="0"/>
    <n v="224792.4101730282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12396.20508651414"/>
    <n v="24643.870355716808"/>
    <n v="0"/>
    <n v="0"/>
    <n v="0"/>
    <n v="0"/>
    <n v="0"/>
    <n v="0"/>
    <n v="87752.334730797331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71933.571255369054"/>
    <n v="0"/>
    <n v="0"/>
    <n v="0"/>
    <n v="0"/>
    <n v="0"/>
    <n v="71933.571255369054"/>
    <n v="0"/>
    <n v="0"/>
    <n v="0"/>
    <n v="71933.571255369054"/>
    <n v="0"/>
    <n v="2.5176749939379168"/>
    <n v="0"/>
    <n v="2.5176749939379168"/>
    <n v="0"/>
    <n v="0"/>
    <n v="0"/>
    <n v="0"/>
    <n v="0"/>
    <x v="1"/>
  </r>
  <r>
    <x v="38"/>
    <s v="Græs og urter"/>
    <n v="1"/>
    <x v="2"/>
    <s v="Østdanmark"/>
    <n v="202279.77798791436"/>
    <n v="54392.166443596157"/>
    <n v="0"/>
    <n v="0"/>
    <n v="0"/>
    <n v="0"/>
    <n v="0"/>
    <n v="0"/>
    <n v="147887.61154431821"/>
    <n v="147887.61154431821"/>
    <n v="0"/>
    <n v="0.40137289323574138"/>
    <n v="0.40137289323574138"/>
    <n v="0"/>
    <n v="0.40137289323574138"/>
    <n v="29577.522308863641"/>
    <n v="29577.522308863641"/>
    <n v="0"/>
    <n v="29577.522308863641"/>
    <n v="0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2409.7062024000002"/>
    <n v="0"/>
    <n v="0"/>
    <n v="0"/>
    <n v="0"/>
    <n v="0"/>
    <n v="0"/>
    <n v="6483.180689105516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2971629.6255114949"/>
    <n v="0"/>
    <n v="0"/>
    <n v="0"/>
    <n v="524405.22803144064"/>
    <n v="524405.22803144064"/>
    <n v="2971629.6255114949"/>
    <n v="0.26168345283996924"/>
    <n v="1.7445563522664604"/>
    <n v="1.4828728994264913"/>
    <n v="0.26168345283996919"/>
    <n v="31464.313681886437"/>
    <n v="209762.09121257614"/>
    <n v="178297.77753068969"/>
    <n v="31464.313681886444"/>
    <n v="0"/>
    <x v="0"/>
  </r>
  <r>
    <x v="42"/>
    <s v="Husdyrgødning"/>
    <n v="1"/>
    <x v="2"/>
    <s v="Østdanmark"/>
    <n v="1045598.7208186348"/>
    <n v="0"/>
    <n v="0"/>
    <n v="0"/>
    <n v="888758.91269583965"/>
    <n v="156839.80812279525"/>
    <n v="0"/>
    <n v="0"/>
    <n v="0"/>
    <n v="0"/>
    <n v="888758.91269583965"/>
    <n v="0"/>
    <n v="0.38287733958936776"/>
    <n v="0.38287733958936776"/>
    <n v="0"/>
    <n v="0"/>
    <n v="44437.945634791984"/>
    <n v="44437.945634791984"/>
    <n v="0"/>
    <n v="0"/>
    <x v="1"/>
  </r>
  <r>
    <x v="43"/>
    <s v=""/>
    <n v="0"/>
    <x v="2"/>
    <s v="Østdanmark"/>
    <n v="97091.997795525866"/>
    <n v="0"/>
    <n v="0"/>
    <n v="55237.148778432362"/>
    <n v="0"/>
    <n v="0"/>
    <n v="0"/>
    <n v="0"/>
    <n v="41854.849017093504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375"/>
    <n v="609.07096108455892"/>
    <n v="0"/>
    <n v="0"/>
    <n v="0"/>
    <n v="0"/>
    <n v="0"/>
    <n v="0"/>
    <n v="2765.9290389154412"/>
    <n v="2765.9290389154412"/>
    <n v="0"/>
    <n v="2.4824213124266087E-3"/>
    <n v="2.4824213124266087E-3"/>
    <n v="0"/>
    <n v="2.4824213124266087E-3"/>
    <n v="414.88935583731615"/>
    <n v="414.88935583731615"/>
    <n v="0"/>
    <n v="414.8893558373161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0759.09234547918"/>
    <n v="0"/>
    <n v="0"/>
    <n v="0"/>
    <n v="0"/>
    <n v="0"/>
    <n v="620759.09234547918"/>
    <n v="0"/>
    <n v="0"/>
    <n v="0"/>
    <n v="620759.09234547918"/>
    <n v="0"/>
    <n v="8.9970146756919522"/>
    <n v="0"/>
    <n v="8.9970146756919522"/>
    <n v="0"/>
    <n v="307017.10108920158"/>
    <n v="0"/>
    <n v="307017.10108920158"/>
    <n v="0"/>
    <x v="1"/>
  </r>
  <r>
    <x v="47"/>
    <s v=""/>
    <n v="0"/>
    <x v="2"/>
    <s v="Østdanmark"/>
    <n v="173632.27177601412"/>
    <n v="0"/>
    <n v="0"/>
    <n v="0"/>
    <n v="0"/>
    <n v="0"/>
    <n v="0"/>
    <n v="173632.2717760141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418789.26410326542"/>
    <n v="61054.422265523077"/>
    <n v="0"/>
    <n v="0"/>
    <n v="0"/>
    <n v="0"/>
    <n v="0"/>
    <n v="0"/>
    <n v="357734.841837742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71342992.17367357"/>
    <n v="0"/>
    <n v="0"/>
    <n v="0"/>
    <n v="0"/>
    <n v="0"/>
    <n v="471342992.17367357"/>
    <n v="0"/>
    <n v="0"/>
    <n v="0"/>
    <n v="471342992.17367357"/>
    <n v="0"/>
    <n v="0"/>
    <n v="0"/>
    <n v="0"/>
    <n v="0"/>
    <n v="0"/>
    <n v="0"/>
    <n v="0"/>
    <x v="0"/>
  </r>
  <r>
    <x v="4"/>
    <s v=""/>
    <n v="0"/>
    <x v="1"/>
    <s v="Vestdanmark"/>
    <n v="20170827.589539841"/>
    <n v="0"/>
    <n v="0"/>
    <n v="0"/>
    <n v="0"/>
    <n v="17682350.705808945"/>
    <n v="0"/>
    <n v="0"/>
    <n v="2488476.88373089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434216.1804386508"/>
    <n v="0"/>
    <n v="0"/>
    <n v="0"/>
    <n v="143421.61804386508"/>
    <n v="0"/>
    <n v="0"/>
    <n v="0"/>
    <n v="1290794.5623947857"/>
    <n v="1290794.5623947857"/>
    <n v="143421.61804386508"/>
    <n v="0.73320497141154706"/>
    <n v="0.81467219045727446"/>
    <n v="8.1467219045727457E-2"/>
    <n v="0.73320497141154695"/>
    <n v="55198.748130056985"/>
    <n v="61331.942366729985"/>
    <n v="6133.1942366729982"/>
    <n v="55198.748130056985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1010173.1683931999"/>
    <n v="855103.95329864242"/>
    <n v="0"/>
    <n v="0"/>
    <n v="0"/>
    <n v="0"/>
    <n v="0"/>
    <n v="0"/>
    <n v="155069.2150945575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33504.1967338757"/>
    <n v="0"/>
    <n v="0"/>
    <n v="0"/>
    <n v="0"/>
    <n v="0"/>
    <n v="0"/>
    <n v="0"/>
    <n v="1133504.1967338757"/>
    <n v="0"/>
    <n v="0"/>
    <n v="0"/>
    <n v="0"/>
    <n v="0"/>
    <n v="0"/>
    <n v="0"/>
    <n v="0"/>
    <n v="0"/>
    <n v="0"/>
    <x v="0"/>
  </r>
  <r>
    <x v="11"/>
    <s v=""/>
    <n v="0"/>
    <x v="1"/>
    <s v="Vestdanmark"/>
    <n v="32926.683610133667"/>
    <n v="0"/>
    <n v="0"/>
    <n v="257923.29437791562"/>
    <n v="0"/>
    <n v="0"/>
    <n v="0"/>
    <n v="0"/>
    <n v="-224996.61076778197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822764.410718527"/>
    <n v="12249098.107862087"/>
    <n v="0"/>
    <n v="0"/>
    <n v="0"/>
    <n v="0"/>
    <n v="0"/>
    <n v="2935044.8877656907"/>
    <n v="-1361378.584909251"/>
    <n v="0"/>
    <n v="0"/>
    <n v="0"/>
    <n v="0"/>
    <n v="0"/>
    <n v="0"/>
    <n v="0"/>
    <n v="0"/>
    <n v="0"/>
    <n v="0"/>
    <x v="0"/>
  </r>
  <r>
    <x v="14"/>
    <s v=""/>
    <n v="0"/>
    <x v="1"/>
    <s v="Vestdanmark"/>
    <n v="490655.53893383988"/>
    <n v="490655.5389338398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856846.09368548705"/>
    <n v="0"/>
    <n v="0"/>
    <n v="270140.71358529059"/>
    <n v="0"/>
    <n v="0"/>
    <n v="0"/>
    <n v="0"/>
    <n v="586705.38010019646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657255.852063973"/>
    <n v="765718.007862392"/>
    <n v="726974.95402379602"/>
    <n v="0"/>
    <n v="0"/>
    <n v="0"/>
    <n v="1109121.9875318299"/>
    <n v="55440.902645954935"/>
    <n v="0"/>
    <n v="0"/>
    <n v="1109121.9875318299"/>
    <n v="0"/>
    <n v="11.463670069604794"/>
    <n v="0"/>
    <n v="11.463670069604794"/>
    <n v="0"/>
    <n v="942753.68940205534"/>
    <n v="0"/>
    <n v="942753.68940205534"/>
    <x v="0"/>
  </r>
  <r>
    <x v="17"/>
    <s v="Bionedbrydeligt affald"/>
    <n v="1"/>
    <x v="1"/>
    <s v="Vestdanmark"/>
    <n v="526734.10986839118"/>
    <n v="0"/>
    <n v="0"/>
    <n v="0"/>
    <n v="267973.79239933251"/>
    <n v="0"/>
    <n v="258760.31746905867"/>
    <n v="0"/>
    <n v="0"/>
    <n v="0"/>
    <n v="526734.10986839118"/>
    <n v="0"/>
    <n v="5.0744845071167353"/>
    <n v="0.4550382576595346"/>
    <n v="4.6194462494572006"/>
    <n v="0"/>
    <n v="158020.23296051734"/>
    <n v="80392.13771979975"/>
    <n v="77628.095240717594"/>
    <x v="0"/>
  </r>
  <r>
    <x v="18"/>
    <s v=""/>
    <n v="0"/>
    <x v="1"/>
    <s v="Vestdanmark"/>
    <n v="0"/>
    <n v="2420616.3174727387"/>
    <n v="0"/>
    <n v="0"/>
    <n v="0"/>
    <n v="0"/>
    <n v="0"/>
    <n v="0"/>
    <n v="-2420616.3174727387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30482.01569836587"/>
    <n v="0"/>
    <n v="0"/>
    <n v="0"/>
    <n v="0"/>
    <n v="0"/>
    <n v="0"/>
    <n v="0"/>
    <n v="730482.01569836587"/>
    <n v="0"/>
    <n v="0"/>
    <n v="0"/>
    <n v="0"/>
    <n v="0"/>
    <n v="0"/>
    <n v="0"/>
    <n v="0"/>
    <n v="0"/>
    <n v="0"/>
    <x v="0"/>
  </r>
  <r>
    <x v="21"/>
    <s v=""/>
    <n v="0"/>
    <x v="1"/>
    <s v="Vestdanmark"/>
    <n v="1801867.7489844554"/>
    <n v="0"/>
    <n v="0"/>
    <n v="123531.68309679118"/>
    <n v="0"/>
    <n v="0"/>
    <n v="0"/>
    <n v="0"/>
    <n v="1678336.0658876642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678880.1812345712"/>
    <n v="5880011.5738482485"/>
    <n v="0"/>
    <n v="295933.04302308214"/>
    <n v="2924.3313169399116"/>
    <n v="0"/>
    <n v="0"/>
    <n v="0"/>
    <n v="500011.23304630071"/>
    <n v="500011.23304630071"/>
    <n v="2924.3313169399116"/>
    <n v="1.7124684716109537"/>
    <n v="1.7224838969650886"/>
    <n v="1.0015425354134827E-2"/>
    <n v="1.7124684716109537"/>
    <n v="155003.48224435322"/>
    <n v="155910.02495260458"/>
    <n v="906.54270825137257"/>
    <n v="155003.48224435322"/>
    <x v="0"/>
  </r>
  <r>
    <x v="23"/>
    <s v=""/>
    <n v="0"/>
    <x v="1"/>
    <s v="Vestdanmark"/>
    <n v="0"/>
    <n v="0"/>
    <n v="0"/>
    <n v="0"/>
    <n v="0"/>
    <n v="870082.97483693098"/>
    <n v="0"/>
    <n v="0"/>
    <n v="-870082.9748369309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0478.9155088854"/>
    <n v="0"/>
    <n v="0"/>
    <n v="0"/>
    <n v="0"/>
    <n v="0"/>
    <n v="0"/>
    <n v="110514.9498577774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983493.3169037867"/>
    <n v="5642415.7793918829"/>
    <n v="0"/>
    <n v="0"/>
    <n v="0"/>
    <n v="0"/>
    <n v="0"/>
    <n v="0"/>
    <n v="-658922.46248809621"/>
    <n v="0"/>
    <n v="0"/>
    <n v="0"/>
    <n v="0"/>
    <n v="0"/>
    <n v="0"/>
    <n v="0"/>
    <n v="0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1640.199818552966"/>
    <n v="0"/>
    <n v="0"/>
    <n v="0"/>
    <n v="0"/>
    <n v="0"/>
    <n v="0"/>
    <n v="0"/>
    <n v="21640.199818552966"/>
    <n v="21640.199818552966"/>
    <n v="0"/>
    <n v="1.9422079337151288E-2"/>
    <n v="1.9422079337151288E-2"/>
    <n v="0"/>
    <n v="1.9422079337151288E-2"/>
    <n v="3246.0299727829447"/>
    <n v="3246.0299727829447"/>
    <n v="0"/>
    <n v="3246.029972782944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02553.3899505115"/>
    <n v="0"/>
    <n v="0"/>
    <n v="0"/>
    <n v="0"/>
    <n v="0"/>
    <n v="0"/>
    <n v="0"/>
    <n v="1602553.3899505115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1017.99543542339"/>
    <n v="0"/>
    <n v="0"/>
    <n v="0"/>
    <n v="0"/>
    <n v="0"/>
    <n v="151017.99543542339"/>
    <n v="0"/>
    <n v="0"/>
    <n v="0"/>
    <n v="151017.99543542339"/>
    <n v="0"/>
    <n v="2.77873111601179"/>
    <n v="0"/>
    <n v="2.77873111601179"/>
    <n v="0"/>
    <n v="62672.468105700711"/>
    <n v="0"/>
    <n v="62672.468105700711"/>
    <x v="0"/>
  </r>
  <r>
    <x v="32"/>
    <s v="Pyrolyseprodukter"/>
    <n v="1"/>
    <x v="1"/>
    <s v="Vestdanmark"/>
    <n v="31046.905481734768"/>
    <n v="0"/>
    <n v="0"/>
    <n v="0"/>
    <n v="0"/>
    <n v="0"/>
    <n v="31046.905481734768"/>
    <n v="0"/>
    <n v="0"/>
    <n v="0"/>
    <n v="31046.905481734768"/>
    <n v="0"/>
    <n v="0.27822462583846019"/>
    <n v="0"/>
    <n v="0.27822462583846019"/>
    <n v="0"/>
    <n v="0"/>
    <n v="0"/>
    <n v="0"/>
    <x v="0"/>
  </r>
  <r>
    <x v="33"/>
    <s v="Pyrolyseprodukter"/>
    <n v="1"/>
    <x v="1"/>
    <s v="Vestdanmark"/>
    <n v="7761.726370433692"/>
    <n v="0"/>
    <n v="0"/>
    <n v="0"/>
    <n v="0"/>
    <n v="0"/>
    <n v="7761.726370433692"/>
    <n v="0"/>
    <n v="0"/>
    <n v="0"/>
    <n v="7761.726370433692"/>
    <n v="0"/>
    <n v="0.25822154816379966"/>
    <n v="0"/>
    <n v="0.25822154816379966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697666.9509630102"/>
    <n v="0"/>
    <n v="0"/>
    <n v="0"/>
    <n v="0"/>
    <n v="0"/>
    <n v="0"/>
    <n v="697666.9509630102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348833.4754815051"/>
    <n v="393560.35265348584"/>
    <n v="0"/>
    <n v="0"/>
    <n v="0"/>
    <n v="0"/>
    <n v="0"/>
    <n v="0"/>
    <n v="-44726.87717198074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23253.42430816326"/>
    <n v="0"/>
    <n v="0"/>
    <n v="0"/>
    <n v="0"/>
    <n v="0"/>
    <n v="223253.42430816326"/>
    <n v="0"/>
    <n v="0"/>
    <n v="0"/>
    <n v="223253.42430816326"/>
    <n v="0"/>
    <n v="7.8138698507857134"/>
    <n v="0"/>
    <n v="7.8138698507857134"/>
    <n v="0"/>
    <n v="0"/>
    <n v="0"/>
    <n v="0"/>
    <x v="0"/>
  </r>
  <r>
    <x v="38"/>
    <s v="Græs og urter"/>
    <n v="1"/>
    <x v="1"/>
    <s v="Vestdanmark"/>
    <n v="1519161.3760726012"/>
    <n v="868637.91677766922"/>
    <n v="0"/>
    <n v="0"/>
    <n v="0"/>
    <n v="0"/>
    <n v="0"/>
    <n v="0"/>
    <n v="650523.45929493196"/>
    <n v="650523.45929493196"/>
    <n v="0"/>
    <n v="1.7655466894648171"/>
    <n v="1.7655466894648171"/>
    <n v="0"/>
    <n v="1.7655466894648171"/>
    <n v="130104.69185898639"/>
    <n v="130104.69185898639"/>
    <n v="0"/>
    <n v="130104.69185898639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8482.787367359997"/>
    <n v="0"/>
    <n v="0"/>
    <n v="0"/>
    <n v="0"/>
    <n v="0"/>
    <n v="0"/>
    <n v="91210.540346416281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350"/>
    <n v="0"/>
    <n v="0"/>
    <n v="0"/>
    <n v="0"/>
    <n v="0"/>
    <n v="0"/>
    <n v="0"/>
    <n v="1350"/>
    <n v="1350"/>
    <n v="0"/>
    <n v="1.211625E-3"/>
    <n v="1.211625E-3"/>
    <n v="0"/>
    <n v="1.211625E-3"/>
    <n v="202.5"/>
    <n v="202.5"/>
    <n v="0"/>
    <n v="202.5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5884.0906945551"/>
    <n v="0"/>
    <n v="0"/>
    <n v="0"/>
    <n v="0"/>
    <n v="0"/>
    <n v="2205884.0906945551"/>
    <n v="0"/>
    <n v="0"/>
    <n v="0"/>
    <n v="2205884.0906945551"/>
    <n v="0"/>
    <n v="31.971133055605648"/>
    <n v="0"/>
    <n v="31.971133055605648"/>
    <n v="0"/>
    <n v="1090993.506522682"/>
    <n v="0"/>
    <n v="1090993.506522682"/>
    <x v="0"/>
  </r>
  <r>
    <x v="47"/>
    <s v=""/>
    <n v="0"/>
    <x v="1"/>
    <s v="Vestdanmark"/>
    <n v="606661.04726979067"/>
    <n v="0"/>
    <n v="0"/>
    <n v="0"/>
    <n v="0"/>
    <n v="0"/>
    <n v="0"/>
    <n v="606661.0472697906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545594.46832024341"/>
    <n v="31434.479653499999"/>
    <n v="0"/>
    <n v="112833.22962148272"/>
    <n v="0"/>
    <n v="0"/>
    <n v="0"/>
    <n v="0"/>
    <n v="401326.7590452607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70018749.96798176"/>
    <n v="0"/>
    <n v="0"/>
    <n v="0"/>
    <n v="0"/>
    <n v="0"/>
    <n v="470018749.96798176"/>
    <n v="0"/>
    <n v="0"/>
    <n v="0"/>
    <n v="470018749.96798176"/>
    <n v="0"/>
    <n v="0"/>
    <n v="0"/>
    <n v="0"/>
    <n v="0"/>
    <n v="0"/>
    <n v="0"/>
    <n v="0"/>
    <x v="0"/>
  </r>
  <r>
    <x v="4"/>
    <s v=""/>
    <n v="0"/>
    <x v="2"/>
    <s v="Vestdanmark"/>
    <n v="17668195.373487305"/>
    <n v="0"/>
    <n v="0"/>
    <n v="0"/>
    <n v="0"/>
    <n v="11772329.827718841"/>
    <n v="0"/>
    <n v="0"/>
    <n v="5895865.545768464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92671.7488440941"/>
    <n v="0"/>
    <n v="0"/>
    <n v="0"/>
    <n v="1353770.9865174799"/>
    <n v="0"/>
    <n v="0"/>
    <n v="0"/>
    <n v="238900.76232661423"/>
    <n v="238900.76232661423"/>
    <n v="1353770.9865174799"/>
    <n v="0.13570186280216823"/>
    <n v="0.90467908534778774"/>
    <n v="0.76897722254561951"/>
    <n v="0.13570186280216823"/>
    <n v="10216.205887387503"/>
    <n v="68108.039249249996"/>
    <n v="57891.833361862489"/>
    <n v="10216.205887387507"/>
    <x v="0"/>
  </r>
  <r>
    <x v="6"/>
    <s v="Husdyrgødning"/>
    <n v="1"/>
    <x v="2"/>
    <s v="Vestdanmark"/>
    <n v="1458137.3135203668"/>
    <n v="0"/>
    <n v="0"/>
    <n v="0"/>
    <n v="1239416.7164923118"/>
    <n v="82801.368874906548"/>
    <n v="0"/>
    <n v="0"/>
    <n v="135919.22815314843"/>
    <n v="135919.22815314843"/>
    <n v="1239416.7164923118"/>
    <n v="0.29277001744188175"/>
    <n v="2.9624736247663215"/>
    <n v="2.6697036073244398"/>
    <n v="0.29277001744188169"/>
    <n v="40775.76844594453"/>
    <n v="412600.78339363803"/>
    <n v="371825.0149476935"/>
    <n v="40775.76844594453"/>
    <x v="0"/>
  </r>
  <r>
    <x v="7"/>
    <s v=""/>
    <n v="0"/>
    <x v="2"/>
    <s v="Vestdanmark"/>
    <n v="1121779.4699876471"/>
    <n v="1100647.0466911762"/>
    <n v="0"/>
    <n v="0"/>
    <n v="0"/>
    <n v="0"/>
    <n v="0"/>
    <n v="0"/>
    <n v="21132.423296470894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323.2019641100578"/>
    <n v="1292.3297583723634"/>
    <n v="0"/>
    <n v="0"/>
    <n v="0"/>
    <n v="0"/>
    <n v="7323.2019641100578"/>
    <n v="0"/>
    <n v="3.4440286517013192E-3"/>
    <n v="3.4440286517013192E-3"/>
    <n v="0"/>
    <n v="0"/>
    <n v="461.36172373893362"/>
    <n v="461.36172373893362"/>
    <n v="0"/>
    <x v="0"/>
  </r>
  <r>
    <x v="9"/>
    <s v=""/>
    <n v="0"/>
    <x v="2"/>
    <s v="Vestdanmark"/>
    <n v="173658.75124992887"/>
    <n v="0"/>
    <n v="0"/>
    <n v="18335.399813490942"/>
    <n v="0"/>
    <n v="0"/>
    <n v="0"/>
    <n v="0"/>
    <n v="155323.35143643792"/>
    <n v="0"/>
    <n v="0"/>
    <n v="0"/>
    <n v="0"/>
    <n v="0"/>
    <n v="0"/>
    <n v="0"/>
    <n v="0"/>
    <n v="0"/>
    <n v="0"/>
    <x v="0"/>
  </r>
  <r>
    <x v="10"/>
    <s v="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  <x v="0"/>
  </r>
  <r>
    <x v="11"/>
    <s v=""/>
    <n v="0"/>
    <x v="2"/>
    <s v="Vestdanmark"/>
    <n v="116507.263767978"/>
    <n v="0"/>
    <n v="0"/>
    <n v="267978.92035102146"/>
    <n v="0"/>
    <n v="0"/>
    <n v="0"/>
    <n v="0"/>
    <n v="-151471.6565830434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7962057.7199019091"/>
    <n v="6306570.6128669288"/>
    <n v="0"/>
    <n v="0"/>
    <n v="0"/>
    <n v="0"/>
    <n v="0"/>
    <n v="3259315.5328257415"/>
    <n v="-1603828.4257907616"/>
    <n v="0"/>
    <n v="0"/>
    <n v="0"/>
    <n v="0"/>
    <n v="0"/>
    <n v="0"/>
    <n v="0"/>
    <n v="0"/>
    <n v="0"/>
    <n v="0"/>
    <x v="0"/>
  </r>
  <r>
    <x v="14"/>
    <s v=""/>
    <n v="0"/>
    <x v="2"/>
    <s v="Vestdanmark"/>
    <n v="544864.31399399997"/>
    <n v="544864.3139939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257296.7096095001"/>
    <n v="0"/>
    <n v="0"/>
    <n v="280672.65868343826"/>
    <n v="0"/>
    <n v="0"/>
    <n v="0"/>
    <n v="0"/>
    <n v="976624.05092606181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2963241.932022078"/>
    <n v="394237.57109337207"/>
    <n v="367504.60397489293"/>
    <n v="0"/>
    <n v="0"/>
    <n v="0"/>
    <n v="408304.80676701013"/>
    <n v="1793194.9501868032"/>
    <n v="0"/>
    <n v="0"/>
    <n v="408304.80676701013"/>
    <n v="0"/>
    <n v="4.2201594100814956"/>
    <n v="0"/>
    <n v="4.2201594100814956"/>
    <n v="0"/>
    <n v="347059.0857519586"/>
    <n v="0"/>
    <n v="347059.0857519586"/>
    <x v="0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x v="0"/>
  </r>
  <r>
    <x v="20"/>
    <s v=""/>
    <n v="0"/>
    <x v="2"/>
    <s v="Vestdanmark"/>
    <n v="520573.94312179892"/>
    <n v="0"/>
    <n v="0"/>
    <n v="0"/>
    <n v="0"/>
    <n v="0"/>
    <n v="0"/>
    <n v="0"/>
    <n v="520573.9431217989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48472.631855153"/>
    <n v="0"/>
    <n v="0"/>
    <n v="128347.79869443661"/>
    <n v="0"/>
    <n v="0"/>
    <n v="0"/>
    <n v="0"/>
    <n v="1620124.8331607163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20720.3662957777"/>
    <n v="3027382.7402155618"/>
    <n v="0"/>
    <n v="307470.55071854044"/>
    <n v="0"/>
    <n v="0"/>
    <n v="0"/>
    <n v="0"/>
    <n v="585867.07536167558"/>
    <n v="585867.07536167558"/>
    <n v="0"/>
    <n v="2.0065127117231887"/>
    <n v="2.0065127117231887"/>
    <n v="0"/>
    <n v="2.0065127117231887"/>
    <n v="181618.79336211944"/>
    <n v="181618.79336211944"/>
    <n v="0"/>
    <n v="181618.79336211944"/>
    <x v="0"/>
  </r>
  <r>
    <x v="23"/>
    <s v=""/>
    <n v="0"/>
    <x v="2"/>
    <s v="Vestdanmark"/>
    <n v="0"/>
    <n v="0"/>
    <n v="0"/>
    <n v="0"/>
    <n v="0"/>
    <n v="1155727.8519823398"/>
    <n v="0"/>
    <n v="0"/>
    <n v="-1155727.851982339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6367703.2512749117"/>
    <n v="0"/>
    <n v="0"/>
    <n v="0"/>
    <n v="5412547.763583675"/>
    <n v="955155.48769123689"/>
    <n v="0"/>
    <n v="0"/>
    <n v="0"/>
    <n v="0"/>
    <n v="5412547.763583675"/>
    <n v="0"/>
    <n v="2.7397775524484209"/>
    <n v="2.7397775524484209"/>
    <n v="0"/>
    <n v="0"/>
    <n v="411353.63003235927"/>
    <n v="411353.63003235927"/>
    <n v="0"/>
    <x v="0"/>
  </r>
  <r>
    <x v="25"/>
    <s v=""/>
    <n v="0"/>
    <x v="2"/>
    <s v="Vestdanmark"/>
    <n v="795441.73503903183"/>
    <n v="777685.16963622137"/>
    <n v="0"/>
    <n v="0"/>
    <n v="0"/>
    <n v="0"/>
    <n v="0"/>
    <n v="0"/>
    <n v="17756.565402810462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3204301.4084430053"/>
    <n v="2570844.3984400104"/>
    <n v="0"/>
    <n v="0"/>
    <n v="550329.17750715138"/>
    <n v="0"/>
    <n v="0"/>
    <n v="0"/>
    <n v="83127.832495843526"/>
    <n v="83127.832495843526"/>
    <n v="550329.17750715138"/>
    <n v="0.29842891866007831"/>
    <n v="2.2741106659107517"/>
    <n v="1.9756817472506736"/>
    <n v="0.29842891866007815"/>
    <n v="24938.349748753059"/>
    <n v="190037.10300089847"/>
    <n v="165098.7532521454"/>
    <n v="24938.349748753069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62301.49863914726"/>
    <n v="0"/>
    <n v="0"/>
    <n v="0"/>
    <n v="0"/>
    <n v="0"/>
    <n v="0"/>
    <n v="0"/>
    <n v="162301.49863914726"/>
    <n v="162301.49863914726"/>
    <n v="0"/>
    <n v="0.14566559502863469"/>
    <n v="0.14566559502863469"/>
    <n v="0"/>
    <n v="0.14566559502863469"/>
    <n v="24345.224795872087"/>
    <n v="24345.224795872087"/>
    <n v="0"/>
    <n v="24345.224795872087"/>
    <x v="0"/>
  </r>
  <r>
    <x v="29"/>
    <s v=""/>
    <n v="0"/>
    <x v="2"/>
    <s v="Vestdanmark"/>
    <n v="51394.057868840908"/>
    <n v="0"/>
    <n v="0"/>
    <n v="31184.283836637289"/>
    <n v="0"/>
    <n v="0"/>
    <n v="0"/>
    <n v="0"/>
    <n v="20209.774032203619"/>
    <n v="0"/>
    <n v="0"/>
    <n v="0"/>
    <n v="0"/>
    <n v="0"/>
    <n v="0"/>
    <n v="0"/>
    <n v="0"/>
    <n v="0"/>
    <n v="0"/>
    <x v="1"/>
  </r>
  <r>
    <x v="30"/>
    <s v=""/>
    <n v="0"/>
    <x v="2"/>
    <s v="Vestdanmark"/>
    <n v="1143602.1995332621"/>
    <n v="0"/>
    <n v="0"/>
    <n v="0"/>
    <n v="0"/>
    <n v="0"/>
    <n v="0"/>
    <n v="0"/>
    <n v="1143602.199533262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7651.319921337825"/>
    <n v="0"/>
    <n v="0"/>
    <n v="0"/>
    <n v="0"/>
    <n v="0"/>
    <n v="97651.319921337825"/>
    <n v="0"/>
    <n v="0"/>
    <n v="0"/>
    <n v="97651.319921337825"/>
    <n v="0"/>
    <n v="1.7967842865526156"/>
    <n v="0"/>
    <n v="1.7967842865526156"/>
    <n v="0"/>
    <n v="40525.297767355201"/>
    <n v="0"/>
    <n v="40525.297767355201"/>
    <x v="0"/>
  </r>
  <r>
    <x v="32"/>
    <s v="Pyrolyseprodukter"/>
    <n v="1"/>
    <x v="2"/>
    <s v="Vestdanmark"/>
    <n v="1004189.1721046099"/>
    <n v="0"/>
    <n v="0"/>
    <n v="0"/>
    <n v="0"/>
    <n v="0"/>
    <n v="1004189.1721046099"/>
    <n v="0"/>
    <n v="0"/>
    <n v="0"/>
    <n v="1004189.1721046099"/>
    <n v="0"/>
    <n v="8.9989695380174517"/>
    <n v="0"/>
    <n v="8.9989695380174517"/>
    <n v="0"/>
    <n v="0"/>
    <n v="0"/>
    <n v="0"/>
    <x v="0"/>
  </r>
  <r>
    <x v="33"/>
    <s v="Pyrolyseprodukter"/>
    <n v="1"/>
    <x v="2"/>
    <s v="Vestdanmark"/>
    <n v="251047.29302615247"/>
    <n v="0"/>
    <n v="0"/>
    <n v="0"/>
    <n v="0"/>
    <n v="0"/>
    <n v="251047.29302615247"/>
    <n v="0"/>
    <n v="0"/>
    <n v="0"/>
    <n v="251047.29302615247"/>
    <n v="0"/>
    <n v="8.3519847999900527"/>
    <n v="0"/>
    <n v="8.3519847999900527"/>
    <n v="0"/>
    <n v="0"/>
    <n v="0"/>
    <n v="0"/>
    <x v="0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x v="0"/>
  </r>
  <r>
    <x v="35"/>
    <s v=""/>
    <n v="0"/>
    <x v="2"/>
    <s v="Vestdanmark"/>
    <n v="619567.35639770923"/>
    <n v="0"/>
    <n v="0"/>
    <n v="0"/>
    <n v="0"/>
    <n v="0"/>
    <n v="0"/>
    <n v="619567.35639770923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309783.67819885461"/>
    <n v="202628.48191581847"/>
    <n v="0"/>
    <n v="0"/>
    <n v="0"/>
    <n v="0"/>
    <n v="0"/>
    <n v="0"/>
    <n v="107155.1962830361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98261.55404726695"/>
    <n v="0"/>
    <n v="0"/>
    <n v="0"/>
    <n v="0"/>
    <n v="0"/>
    <n v="198261.55404726695"/>
    <n v="0"/>
    <n v="0"/>
    <n v="0"/>
    <n v="198261.55404726695"/>
    <n v="0"/>
    <n v="6.939154391654343"/>
    <n v="0"/>
    <n v="6.939154391654343"/>
    <n v="0"/>
    <n v="0"/>
    <n v="0"/>
    <n v="0"/>
    <x v="0"/>
  </r>
  <r>
    <x v="38"/>
    <s v="Græs og urter"/>
    <n v="1"/>
    <x v="2"/>
    <s v="Vestdanmark"/>
    <n v="557517.61958207632"/>
    <n v="447226.91507024999"/>
    <n v="0"/>
    <n v="0"/>
    <n v="0"/>
    <n v="0"/>
    <n v="0"/>
    <n v="0"/>
    <n v="110290.70451182633"/>
    <n v="110290.70451182633"/>
    <n v="0"/>
    <n v="0.29933338367327716"/>
    <n v="0.29933338367327716"/>
    <n v="0"/>
    <n v="0.29933338367327716"/>
    <n v="22058.140902365267"/>
    <n v="22058.140902365267"/>
    <n v="0"/>
    <n v="22058.140902365267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19813.247781599999"/>
    <n v="0"/>
    <n v="0"/>
    <n v="0"/>
    <n v="0"/>
    <n v="0"/>
    <n v="0"/>
    <n v="43236.87635213136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3452770.6122393245"/>
    <n v="0"/>
    <n v="0"/>
    <n v="0"/>
    <n v="609312.46098341048"/>
    <n v="609312.46098341048"/>
    <n v="3452770.6122393245"/>
    <n v="0.30405301115533173"/>
    <n v="2.0270200743688775"/>
    <n v="1.7229670632135456"/>
    <n v="0.3040530111553319"/>
    <n v="36558.747659004628"/>
    <n v="243724.98439336408"/>
    <n v="207166.23673435947"/>
    <n v="36558.747659004614"/>
    <x v="0"/>
  </r>
  <r>
    <x v="42"/>
    <s v="Husdyrgødning"/>
    <n v="1"/>
    <x v="2"/>
    <s v="Vestdanmark"/>
    <n v="7216145.8837897805"/>
    <n v="0"/>
    <n v="0"/>
    <n v="0"/>
    <n v="6133724.0012213131"/>
    <n v="1082421.8825684672"/>
    <n v="0"/>
    <n v="0"/>
    <n v="0"/>
    <n v="0"/>
    <n v="6133724.0012213131"/>
    <n v="0"/>
    <n v="2.6424082997261422"/>
    <n v="2.6424082997261422"/>
    <n v="0"/>
    <n v="0"/>
    <n v="306686.20006106567"/>
    <n v="306686.20006106567"/>
    <n v="0"/>
    <x v="0"/>
  </r>
  <r>
    <x v="43"/>
    <s v=""/>
    <n v="0"/>
    <x v="2"/>
    <s v="Vestdanmark"/>
    <n v="670075.43744177814"/>
    <n v="0"/>
    <n v="0"/>
    <n v="63313.545971354491"/>
    <n v="0"/>
    <n v="0"/>
    <n v="0"/>
    <n v="0"/>
    <n v="606761.8914704236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0125"/>
    <n v="5007.9440624448525"/>
    <n v="0"/>
    <n v="0"/>
    <n v="0"/>
    <n v="0"/>
    <n v="0"/>
    <n v="0"/>
    <n v="5117.0559375551475"/>
    <n v="5117.0559375551475"/>
    <n v="0"/>
    <n v="4.592557703955745E-3"/>
    <n v="4.592557703955745E-3"/>
    <n v="0"/>
    <n v="4.592557703955745E-3"/>
    <n v="767.5583906332721"/>
    <n v="767.5583906332721"/>
    <n v="0"/>
    <n v="767.5583906332721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0482.6440612082"/>
    <n v="0"/>
    <n v="0"/>
    <n v="0"/>
    <n v="0"/>
    <n v="0"/>
    <n v="2270482.6440612082"/>
    <n v="0"/>
    <n v="0"/>
    <n v="0"/>
    <n v="2270482.6440612082"/>
    <n v="0"/>
    <n v="32.90739663971565"/>
    <n v="0"/>
    <n v="32.90739663971565"/>
    <n v="0"/>
    <n v="1122942.8743752725"/>
    <n v="0"/>
    <n v="1122942.8743752725"/>
    <x v="0"/>
  </r>
  <r>
    <x v="47"/>
    <s v=""/>
    <n v="0"/>
    <x v="2"/>
    <s v="Vestdanmark"/>
    <n v="643517.01117705333"/>
    <n v="0"/>
    <n v="0"/>
    <n v="0"/>
    <n v="0"/>
    <n v="0"/>
    <n v="0"/>
    <n v="643517.0111770533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23047.44370663891"/>
    <n v="7493.8897181076936"/>
    <n v="0"/>
    <n v="0"/>
    <n v="0"/>
    <n v="0"/>
    <n v="0"/>
    <n v="0"/>
    <n v="115553.55398853122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2424662.68425274"/>
    <n v="0"/>
    <n v="0"/>
    <n v="0"/>
    <n v="0"/>
    <n v="0"/>
    <n v="112424662.68425274"/>
    <n v="0"/>
    <n v="0"/>
    <n v="0"/>
    <n v="112424662.68425274"/>
    <n v="0"/>
    <n v="0"/>
    <n v="0"/>
    <n v="0"/>
    <n v="0"/>
    <n v="0"/>
    <n v="0"/>
    <n v="0"/>
    <x v="0"/>
  </r>
  <r>
    <x v="4"/>
    <s v=""/>
    <n v="0"/>
    <x v="1"/>
    <s v="Østdanmark"/>
    <n v="3638100.9092914085"/>
    <n v="0"/>
    <n v="0"/>
    <n v="0"/>
    <n v="0"/>
    <n v="3189268.06030375"/>
    <n v="0"/>
    <n v="0"/>
    <n v="448832.84898765851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76037.33667957611"/>
    <n v="0"/>
    <n v="0"/>
    <n v="0"/>
    <n v="17603.733667957611"/>
    <n v="0"/>
    <n v="0"/>
    <n v="0"/>
    <n v="158433.60301161848"/>
    <n v="158433.60301161848"/>
    <n v="17603.733667957611"/>
    <n v="8.9994417974030502E-2"/>
    <n v="9.999379774892278E-2"/>
    <n v="9.999379774892278E-3"/>
    <n v="8.9994417974030502E-2"/>
    <n v="6775.1575678709987"/>
    <n v="7527.9528531899987"/>
    <n v="752.79528531899996"/>
    <n v="6775.1575678709987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123989.81169960002"/>
    <n v="104956.43862895928"/>
    <n v="0"/>
    <n v="0"/>
    <n v="0"/>
    <n v="0"/>
    <n v="0"/>
    <n v="0"/>
    <n v="19033.373070640737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39365.5827745031"/>
    <n v="0"/>
    <n v="0"/>
    <n v="0"/>
    <n v="0"/>
    <n v="0"/>
    <n v="0"/>
    <n v="0"/>
    <n v="339365.5827745031"/>
    <n v="0"/>
    <n v="0"/>
    <n v="0"/>
    <n v="0"/>
    <n v="0"/>
    <n v="0"/>
    <n v="0"/>
    <n v="0"/>
    <n v="0"/>
    <n v="0"/>
    <x v="0"/>
  </r>
  <r>
    <x v="11"/>
    <s v=""/>
    <n v="0"/>
    <x v="1"/>
    <s v="Østdanmark"/>
    <n v="9811.3821523284805"/>
    <n v="0"/>
    <n v="0"/>
    <n v="223323.94265330929"/>
    <n v="0"/>
    <n v="0"/>
    <n v="0"/>
    <n v="0"/>
    <n v="-213512.5605009808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804494.9727168591"/>
    <n v="1503468.3313748278"/>
    <n v="0"/>
    <n v="0"/>
    <n v="0"/>
    <n v="0"/>
    <n v="0"/>
    <n v="360250.77120469615"/>
    <n v="1940775.8701373353"/>
    <n v="579397.28522808431"/>
    <n v="0"/>
    <n v="1.0660185801590216"/>
    <n v="1.0660185801590216"/>
    <n v="0"/>
    <n v="1.0660185801590216"/>
    <n v="162231.23986386362"/>
    <n v="162231.23986386362"/>
    <n v="0"/>
    <n v="162231.23986386362"/>
    <x v="0"/>
  </r>
  <r>
    <x v="14"/>
    <s v=""/>
    <n v="0"/>
    <x v="1"/>
    <s v="Østdanmark"/>
    <n v="60223.622825520004"/>
    <n v="60223.62282552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255910.1701378283"/>
    <n v="0"/>
    <n v="0"/>
    <n v="233902.44520004498"/>
    <n v="0"/>
    <n v="0"/>
    <n v="0"/>
    <n v="0"/>
    <n v="22007.724937783321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784508.18490791088"/>
    <n v="93985.10530710897"/>
    <n v="103520.85960187271"/>
    <n v="0"/>
    <n v="0"/>
    <n v="0"/>
    <n v="567443.12264488416"/>
    <n v="19559.097354045036"/>
    <n v="0"/>
    <n v="0"/>
    <n v="567443.12264488416"/>
    <n v="0"/>
    <n v="5.8649822241311931"/>
    <n v="0"/>
    <n v="5.8649822241311931"/>
    <n v="0"/>
    <n v="482326.65424815152"/>
    <n v="0"/>
    <n v="482326.65424815152"/>
    <x v="0"/>
  </r>
  <r>
    <x v="17"/>
    <s v="Bionedbrydeligt affald"/>
    <n v="1"/>
    <x v="1"/>
    <s v="Østdanmark"/>
    <n v="456074.89013160887"/>
    <n v="0"/>
    <n v="0"/>
    <n v="0"/>
    <n v="232026.20760066749"/>
    <n v="0"/>
    <n v="224048.68253094138"/>
    <n v="0"/>
    <n v="0"/>
    <n v="0"/>
    <n v="456074.89013160887"/>
    <n v="0"/>
    <n v="4.3937632302492702"/>
    <n v="0.3939967423404655"/>
    <n v="3.9997664879088046"/>
    <n v="0"/>
    <n v="136822.46703948267"/>
    <n v="69607.86228020025"/>
    <n v="67214.604759282418"/>
    <x v="0"/>
  </r>
  <r>
    <x v="18"/>
    <s v=""/>
    <n v="0"/>
    <x v="1"/>
    <s v="Østdanmark"/>
    <n v="0"/>
    <n v="297109.21928150119"/>
    <n v="0"/>
    <n v="0"/>
    <n v="0"/>
    <n v="0"/>
    <n v="0"/>
    <n v="0"/>
    <n v="-297109.21928150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213365.56375262729"/>
    <n v="0"/>
    <n v="0"/>
    <n v="0"/>
    <n v="0"/>
    <n v="0"/>
    <n v="0"/>
    <n v="0"/>
    <n v="213365.56375262729"/>
    <n v="0"/>
    <n v="0"/>
    <n v="0"/>
    <n v="0"/>
    <n v="0"/>
    <n v="0"/>
    <n v="0"/>
    <n v="0"/>
    <n v="0"/>
    <n v="0"/>
    <x v="0"/>
  </r>
  <r>
    <x v="21"/>
    <s v=""/>
    <n v="0"/>
    <x v="1"/>
    <s v="Østdanmark"/>
    <n v="520099.18456044223"/>
    <n v="0"/>
    <n v="0"/>
    <n v="106960.41463921656"/>
    <n v="0"/>
    <n v="0"/>
    <n v="0"/>
    <n v="0"/>
    <n v="413138.76992122567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967965.071790382"/>
    <n v="721719.35529882624"/>
    <n v="0"/>
    <n v="256234.83946537593"/>
    <n v="861.66868306008803"/>
    <n v="0"/>
    <n v="0"/>
    <n v="0"/>
    <n v="989149.20834311971"/>
    <n v="989149.20834311971"/>
    <n v="861.66868306008803"/>
    <n v="3.3876975576860175"/>
    <n v="3.3906486522918828"/>
    <n v="2.9510946058651736E-3"/>
    <n v="3.3876975576860175"/>
    <n v="306636.25458636711"/>
    <n v="306903.37187811575"/>
    <n v="267.11729174862728"/>
    <n v="306636.25458636711"/>
    <x v="0"/>
  </r>
  <r>
    <x v="23"/>
    <s v=""/>
    <n v="0"/>
    <x v="1"/>
    <s v="Østdanmark"/>
    <n v="0"/>
    <n v="0"/>
    <n v="0"/>
    <n v="0"/>
    <n v="0"/>
    <n v="421833.87879780139"/>
    <n v="0"/>
    <n v="0"/>
    <n v="-421833.87879780139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5397.91213031337"/>
    <n v="0"/>
    <n v="0"/>
    <n v="0"/>
    <n v="0"/>
    <n v="0"/>
    <n v="0"/>
    <n v="-70187.378236720499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420877.0118334598"/>
    <n v="692556.57535474957"/>
    <n v="0"/>
    <n v="0"/>
    <n v="0"/>
    <n v="0"/>
    <n v="0"/>
    <n v="0"/>
    <n v="728320.43647871027"/>
    <n v="69397.97399061406"/>
    <n v="0"/>
    <n v="0.24913872662630451"/>
    <n v="0.24913872662630451"/>
    <n v="0"/>
    <n v="0.24913872662630451"/>
    <n v="20819.392197184217"/>
    <n v="20819.392197184217"/>
    <n v="0"/>
    <n v="20819.392197184217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5405.5586300748464"/>
    <n v="0"/>
    <n v="0"/>
    <n v="0"/>
    <n v="0"/>
    <n v="0"/>
    <n v="0"/>
    <n v="0"/>
    <n v="5405.5586300748464"/>
    <n v="5405.5586300748464"/>
    <n v="0"/>
    <n v="4.851488870492175E-3"/>
    <n v="4.851488870492175E-3"/>
    <n v="0"/>
    <n v="4.851488870492175E-3"/>
    <n v="810.83379451122698"/>
    <n v="810.83379451122698"/>
    <n v="0"/>
    <n v="810.83379451122698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69685.83477569057"/>
    <n v="0"/>
    <n v="0"/>
    <n v="0"/>
    <n v="0"/>
    <n v="0"/>
    <n v="0"/>
    <n v="0"/>
    <n v="469685.8347756905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1596.139144494533"/>
    <n v="0"/>
    <n v="0"/>
    <n v="0"/>
    <n v="0"/>
    <n v="0"/>
    <n v="41596.139144494533"/>
    <n v="0"/>
    <n v="0"/>
    <n v="0"/>
    <n v="41596.139144494533"/>
    <n v="0"/>
    <n v="0.76536896025869927"/>
    <n v="0"/>
    <n v="0.76536896025869927"/>
    <n v="0"/>
    <n v="17262.397744965234"/>
    <n v="0"/>
    <n v="17262.397744965234"/>
    <x v="0"/>
  </r>
  <r>
    <x v="32"/>
    <s v="Pyrolyseprodukter"/>
    <n v="1"/>
    <x v="1"/>
    <s v="Østdanmark"/>
    <n v="10953.094518265221"/>
    <n v="0"/>
    <n v="0"/>
    <n v="0"/>
    <n v="0"/>
    <n v="0"/>
    <n v="10953.094518265221"/>
    <n v="0"/>
    <n v="0"/>
    <n v="0"/>
    <n v="10953.094518265221"/>
    <n v="0"/>
    <n v="9.8155374161539591E-2"/>
    <n v="0"/>
    <n v="9.8155374161539591E-2"/>
    <n v="0"/>
    <n v="0"/>
    <n v="0"/>
    <n v="0"/>
    <x v="0"/>
  </r>
  <r>
    <x v="33"/>
    <s v="Pyrolyseprodukter"/>
    <n v="1"/>
    <x v="1"/>
    <s v="Østdanmark"/>
    <n v="2738.2736295663053"/>
    <n v="0"/>
    <n v="0"/>
    <n v="0"/>
    <n v="0"/>
    <n v="0"/>
    <n v="2738.2736295663053"/>
    <n v="0"/>
    <n v="0"/>
    <n v="0"/>
    <n v="2738.2736295663053"/>
    <n v="0"/>
    <n v="9.1098451836200148E-2"/>
    <n v="0"/>
    <n v="9.1098451836200148E-2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7192.94889726539"/>
    <n v="0"/>
    <n v="0"/>
    <n v="0"/>
    <n v="0"/>
    <n v="0"/>
    <n v="0"/>
    <n v="207192.94889726539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3596.4744486327"/>
    <n v="48306.048452615352"/>
    <n v="0"/>
    <n v="0"/>
    <n v="0"/>
    <n v="0"/>
    <n v="0"/>
    <n v="0"/>
    <n v="55290.425996017344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6301.743647124924"/>
    <n v="0"/>
    <n v="0"/>
    <n v="0"/>
    <n v="0"/>
    <n v="0"/>
    <n v="66301.743647124924"/>
    <n v="0"/>
    <n v="0"/>
    <n v="0"/>
    <n v="66301.743647124924"/>
    <n v="0"/>
    <n v="2.3205610276493722"/>
    <n v="0"/>
    <n v="2.3205610276493722"/>
    <n v="0"/>
    <n v="0"/>
    <n v="0"/>
    <n v="0"/>
    <x v="0"/>
  </r>
  <r>
    <x v="38"/>
    <s v="Græs og urter"/>
    <n v="1"/>
    <x v="1"/>
    <s v="Østdanmark"/>
    <n v="461406.88541979471"/>
    <n v="106617.6128076231"/>
    <n v="0"/>
    <n v="0"/>
    <n v="0"/>
    <n v="0"/>
    <n v="0"/>
    <n v="0"/>
    <n v="354789.2726121716"/>
    <n v="354789.2726121716"/>
    <n v="0"/>
    <n v="0.96291227744033825"/>
    <n v="0.96291227744033825"/>
    <n v="0"/>
    <n v="0.96291227744033825"/>
    <n v="70957.854522434325"/>
    <n v="70957.854522434325"/>
    <n v="0"/>
    <n v="70957.854522434325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723.4213980800005"/>
    <n v="0"/>
    <n v="0"/>
    <n v="0"/>
    <n v="0"/>
    <n v="0"/>
    <n v="0"/>
    <n v="13567.004856230607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450"/>
    <n v="0"/>
    <n v="0"/>
    <n v="0"/>
    <n v="0"/>
    <n v="0"/>
    <n v="0"/>
    <n v="0"/>
    <n v="450"/>
    <n v="450"/>
    <n v="0"/>
    <n v="4.0387500000000005E-4"/>
    <n v="4.0387500000000005E-4"/>
    <n v="0"/>
    <n v="4.0387500000000005E-4"/>
    <n v="67.5"/>
    <n v="67.5"/>
    <n v="0"/>
    <n v="67.5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672.88485303381"/>
    <n v="0"/>
    <n v="0"/>
    <n v="0"/>
    <n v="0"/>
    <n v="0"/>
    <n v="645672.88485303381"/>
    <n v="0"/>
    <n v="0"/>
    <n v="0"/>
    <n v="645672.88485303381"/>
    <n v="0"/>
    <n v="9.3581044439798156"/>
    <n v="0"/>
    <n v="9.3581044439798156"/>
    <n v="0"/>
    <n v="319339.04763356299"/>
    <n v="0"/>
    <n v="319339.04763356299"/>
    <x v="0"/>
  </r>
  <r>
    <x v="47"/>
    <s v=""/>
    <n v="0"/>
    <x v="1"/>
    <s v="Østdanmark"/>
    <n v="177572.60690670041"/>
    <n v="0"/>
    <n v="0"/>
    <n v="0"/>
    <n v="0"/>
    <n v="0"/>
    <n v="0"/>
    <n v="177572.60690670041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197953.41816607979"/>
    <n v="3823.0915711153852"/>
    <n v="0"/>
    <n v="98440.006733673188"/>
    <n v="0"/>
    <n v="0"/>
    <n v="0"/>
    <n v="0"/>
    <n v="95690.319861291224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53356922.77785194"/>
    <n v="0"/>
    <n v="0"/>
    <n v="0"/>
    <n v="0"/>
    <n v="0"/>
    <n v="153356922.77785194"/>
    <n v="0"/>
    <n v="0"/>
    <n v="0"/>
    <n v="153356922.77785194"/>
    <n v="0"/>
    <n v="0"/>
    <n v="0"/>
    <n v="0"/>
    <n v="0"/>
    <n v="0"/>
    <n v="0"/>
    <n v="0"/>
    <x v="0"/>
  </r>
  <r>
    <x v="4"/>
    <s v=""/>
    <n v="0"/>
    <x v="2"/>
    <s v="Østdanmark"/>
    <n v="5073077.1915220283"/>
    <n v="0"/>
    <n v="0"/>
    <n v="0"/>
    <n v="0"/>
    <n v="3380194.5630334695"/>
    <n v="0"/>
    <n v="0"/>
    <n v="1692882.628488558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3702.26597281999"/>
    <n v="0"/>
    <n v="0"/>
    <n v="0"/>
    <n v="164646.92607689698"/>
    <n v="0"/>
    <n v="0"/>
    <n v="0"/>
    <n v="29055.339895923011"/>
    <n v="29055.339895923011"/>
    <n v="164646.92607689698"/>
    <n v="1.6504190735215845E-2"/>
    <n v="0.11002793823477226"/>
    <n v="9.3523747499556414E-2"/>
    <n v="1.6504190735215848E-2"/>
    <n v="1242.5047606125004"/>
    <n v="8283.3650707500001"/>
    <n v="7040.8603101374993"/>
    <n v="1242.5047606125008"/>
    <x v="0"/>
  </r>
  <r>
    <x v="6"/>
    <s v="Husdyrgødning"/>
    <n v="1"/>
    <x v="2"/>
    <s v="Østdanmark"/>
    <n v="194332.65736576461"/>
    <n v="0"/>
    <n v="0"/>
    <n v="0"/>
    <n v="165182.75876089992"/>
    <n v="11035.318757555919"/>
    <n v="0"/>
    <n v="0"/>
    <n v="18114.579847308778"/>
    <n v="18114.579847308778"/>
    <n v="165182.75876089992"/>
    <n v="3.9018804991103107E-2"/>
    <n v="0.39482246736208154"/>
    <n v="0.35580366237097844"/>
    <n v="3.9018804991103107E-2"/>
    <n v="5434.3739541926334"/>
    <n v="54989.201582462607"/>
    <n v="49554.827628269974"/>
    <n v="5434.3739541926334"/>
    <x v="0"/>
  </r>
  <r>
    <x v="7"/>
    <s v=""/>
    <n v="0"/>
    <x v="2"/>
    <s v="Østdanmark"/>
    <n v="136431.8952829412"/>
    <n v="133861.74968891402"/>
    <n v="0"/>
    <n v="0"/>
    <n v="0"/>
    <n v="0"/>
    <n v="0"/>
    <n v="0"/>
    <n v="2570.145594027184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14.63363776327014"/>
    <n v="108.46475960528299"/>
    <n v="0"/>
    <n v="0"/>
    <n v="0"/>
    <n v="0"/>
    <n v="614.63363776327014"/>
    <n v="0"/>
    <n v="2.8905605350368834E-4"/>
    <n v="2.8905605350368834E-4"/>
    <n v="0"/>
    <n v="0"/>
    <n v="38.721919179086022"/>
    <n v="38.721919179086022"/>
    <n v="0"/>
    <x v="0"/>
  </r>
  <r>
    <x v="9"/>
    <s v=""/>
    <n v="0"/>
    <x v="2"/>
    <s v="Østdanmark"/>
    <n v="14575.114892812006"/>
    <n v="0"/>
    <n v="0"/>
    <n v="15996.501094221892"/>
    <n v="0"/>
    <n v="0"/>
    <n v="0"/>
    <n v="0"/>
    <n v="-1421.3862014098868"/>
    <n v="0"/>
    <n v="0"/>
    <n v="0"/>
    <n v="0"/>
    <n v="0"/>
    <n v="0"/>
    <n v="0"/>
    <n v="0"/>
    <n v="0"/>
    <n v="0"/>
    <x v="0"/>
  </r>
  <r>
    <x v="10"/>
    <s v="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  <x v="0"/>
  </r>
  <r>
    <x v="11"/>
    <s v=""/>
    <n v="0"/>
    <x v="2"/>
    <s v="Østdanmark"/>
    <n v="42271.361313865054"/>
    <n v="0"/>
    <n v="0"/>
    <n v="233795.01599247381"/>
    <n v="0"/>
    <n v="0"/>
    <n v="0"/>
    <n v="0"/>
    <n v="-191523.654678608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888780.8014802146"/>
    <n v="767011.16794249229"/>
    <n v="0"/>
    <n v="0"/>
    <n v="0"/>
    <n v="0"/>
    <n v="0"/>
    <n v="396401.08182176121"/>
    <n v="1725368.5517159612"/>
    <n v="121540.12592519959"/>
    <n v="0"/>
    <n v="0.22361863918662661"/>
    <n v="0.22361863918662661"/>
    <n v="0"/>
    <n v="0.22361863918662661"/>
    <n v="34031.235259055888"/>
    <n v="34031.235259055888"/>
    <n v="0"/>
    <n v="34031.235259055888"/>
    <x v="0"/>
  </r>
  <r>
    <x v="14"/>
    <s v=""/>
    <n v="0"/>
    <x v="2"/>
    <s v="Østdanmark"/>
    <n v="66266.920566000001"/>
    <n v="66266.9205660000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56174.53044673882"/>
    <n v="0"/>
    <n v="0"/>
    <n v="244869.51675001203"/>
    <n v="0"/>
    <n v="0"/>
    <n v="0"/>
    <n v="0"/>
    <n v="211305.01369672679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075127.4976520955"/>
    <n v="47947.551595505945"/>
    <n v="51992.644823495335"/>
    <n v="0"/>
    <n v="0"/>
    <n v="0"/>
    <n v="268382.25141989789"/>
    <n v="706805.04981319618"/>
    <n v="0"/>
    <n v="0"/>
    <n v="268382.25141989789"/>
    <n v="0"/>
    <n v="2.7739469755369335"/>
    <n v="0"/>
    <n v="2.7739469755369335"/>
    <n v="0"/>
    <n v="228124.91370691321"/>
    <n v="0"/>
    <n v="228124.91370691321"/>
    <x v="0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x v="0"/>
  </r>
  <r>
    <x v="20"/>
    <s v=""/>
    <n v="0"/>
    <x v="2"/>
    <s v="Østdanmark"/>
    <n v="188875.23433835641"/>
    <n v="0"/>
    <n v="0"/>
    <n v="0"/>
    <n v="0"/>
    <n v="0"/>
    <n v="0"/>
    <n v="0"/>
    <n v="188875.23433835641"/>
    <n v="0"/>
    <n v="0"/>
    <n v="0"/>
    <n v="0"/>
    <n v="0"/>
    <n v="0"/>
    <n v="0"/>
    <n v="0"/>
    <n v="0"/>
    <n v="0"/>
    <x v="0"/>
  </r>
  <r>
    <x v="21"/>
    <s v=""/>
    <n v="0"/>
    <x v="2"/>
    <s v="Østdanmark"/>
    <n v="634382.54064061423"/>
    <n v="0"/>
    <n v="0"/>
    <n v="111975.50765955324"/>
    <n v="0"/>
    <n v="0"/>
    <n v="0"/>
    <n v="0"/>
    <n v="522407.03298106097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22520.7615932694"/>
    <n v="368193.1930872486"/>
    <n v="0"/>
    <n v="268249.01834925939"/>
    <n v="0"/>
    <n v="0"/>
    <n v="0"/>
    <n v="0"/>
    <n v="786078.55015676143"/>
    <n v="786078.55015676143"/>
    <n v="0"/>
    <n v="2.6922089832898863"/>
    <n v="2.6922089832898863"/>
    <n v="0"/>
    <n v="2.6922089832898863"/>
    <n v="243684.35054859603"/>
    <n v="243684.35054859603"/>
    <n v="0"/>
    <n v="243684.35054859603"/>
    <x v="0"/>
  </r>
  <r>
    <x v="23"/>
    <s v=""/>
    <n v="0"/>
    <x v="2"/>
    <s v="Østdanmark"/>
    <n v="0"/>
    <n v="0"/>
    <n v="0"/>
    <n v="0"/>
    <n v="0"/>
    <n v="481732.42010316846"/>
    <n v="0"/>
    <n v="0"/>
    <n v="-481732.42010316846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452578.20336624543"/>
    <n v="0"/>
    <n v="0"/>
    <n v="0"/>
    <n v="384691.4728613086"/>
    <n v="67886.73050493683"/>
    <n v="0"/>
    <n v="0"/>
    <n v="0"/>
    <n v="0"/>
    <n v="384691.4728613086"/>
    <n v="0"/>
    <n v="0.19472697664766583"/>
    <n v="0.19472697664766583"/>
    <n v="0"/>
    <n v="0"/>
    <n v="29236.551937459451"/>
    <n v="29236.551937459451"/>
    <n v="0"/>
    <x v="0"/>
  </r>
  <r>
    <x v="25"/>
    <s v=""/>
    <n v="0"/>
    <x v="2"/>
    <s v="Østdanmark"/>
    <n v="56535.233681691527"/>
    <n v="94582.816378404299"/>
    <n v="0"/>
    <n v="0"/>
    <n v="0"/>
    <n v="0"/>
    <n v="0"/>
    <n v="0"/>
    <n v="-38047.582696712772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162586.9095964739"/>
    <n v="312668.56199513603"/>
    <n v="0"/>
    <n v="0"/>
    <n v="199670.8224928487"/>
    <n v="0"/>
    <n v="0"/>
    <n v="0"/>
    <n v="650247.52510848921"/>
    <n v="650247.52510848921"/>
    <n v="199670.8224928487"/>
    <n v="2.3343886151394764"/>
    <n v="3.0512068678888031"/>
    <n v="0.71681825274932687"/>
    <n v="2.3343886151394764"/>
    <n v="195074.25753254676"/>
    <n v="254975.50428040136"/>
    <n v="59901.24674785461"/>
    <n v="195074.25753254676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0541.689725561351"/>
    <n v="0"/>
    <n v="0"/>
    <n v="0"/>
    <n v="0"/>
    <n v="0"/>
    <n v="0"/>
    <n v="0"/>
    <n v="40541.689725561351"/>
    <n v="40541.689725561351"/>
    <n v="0"/>
    <n v="3.6386166528691317E-2"/>
    <n v="3.6386166528691317E-2"/>
    <n v="0"/>
    <n v="3.6386166528691317E-2"/>
    <n v="6081.2534588342023"/>
    <n v="6081.2534588342023"/>
    <n v="0"/>
    <n v="6081.2534588342023"/>
    <x v="0"/>
  </r>
  <r>
    <x v="29"/>
    <s v=""/>
    <n v="0"/>
    <x v="2"/>
    <s v="Østdanmark"/>
    <n v="3652.7817732906901"/>
    <n v="0"/>
    <n v="0"/>
    <n v="27206.356861018925"/>
    <n v="0"/>
    <n v="0"/>
    <n v="0"/>
    <n v="0"/>
    <n v="-23553.575087728233"/>
    <n v="0"/>
    <n v="0"/>
    <n v="0"/>
    <n v="0"/>
    <n v="0"/>
    <n v="0"/>
    <n v="0"/>
    <n v="0"/>
    <n v="0"/>
    <n v="0"/>
    <x v="1"/>
  </r>
  <r>
    <x v="30"/>
    <s v=""/>
    <n v="0"/>
    <x v="2"/>
    <s v="Østdanmark"/>
    <n v="414923.14293457061"/>
    <n v="0"/>
    <n v="0"/>
    <n v="0"/>
    <n v="0"/>
    <n v="0"/>
    <n v="0"/>
    <n v="0"/>
    <n v="414923.1429345706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5429.762263631419"/>
    <n v="0"/>
    <n v="0"/>
    <n v="0"/>
    <n v="0"/>
    <n v="0"/>
    <n v="35429.762263631419"/>
    <n v="0"/>
    <n v="0"/>
    <n v="0"/>
    <n v="35429.762263631419"/>
    <n v="0"/>
    <n v="0.65190762565081795"/>
    <n v="0"/>
    <n v="0.65190762565081795"/>
    <n v="0"/>
    <n v="14703.35133940704"/>
    <n v="0"/>
    <n v="14703.35133940704"/>
    <x v="0"/>
  </r>
  <r>
    <x v="32"/>
    <s v="Pyrolyseprodukter"/>
    <n v="1"/>
    <x v="2"/>
    <s v="Østdanmark"/>
    <n v="395810.82789538987"/>
    <n v="0"/>
    <n v="0"/>
    <n v="0"/>
    <n v="0"/>
    <n v="0"/>
    <n v="395810.82789538987"/>
    <n v="0"/>
    <n v="0"/>
    <n v="0"/>
    <n v="395810.82789538987"/>
    <n v="0"/>
    <n v="3.5470304619825428"/>
    <n v="0"/>
    <n v="3.5470304619825428"/>
    <n v="0"/>
    <n v="0"/>
    <n v="0"/>
    <n v="0"/>
    <x v="0"/>
  </r>
  <r>
    <x v="33"/>
    <s v="Pyrolyseprodukter"/>
    <n v="1"/>
    <x v="2"/>
    <s v="Østdanmark"/>
    <n v="98952.706973847467"/>
    <n v="0"/>
    <n v="0"/>
    <n v="0"/>
    <n v="0"/>
    <n v="0"/>
    <n v="98952.706973847467"/>
    <n v="0"/>
    <n v="0"/>
    <n v="0"/>
    <n v="98952.706973847467"/>
    <n v="0"/>
    <n v="3.2920152000099416"/>
    <n v="0"/>
    <n v="3.2920152000099416"/>
    <n v="0"/>
    <n v="0"/>
    <n v="0"/>
    <n v="0"/>
    <x v="0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x v="0"/>
  </r>
  <r>
    <x v="35"/>
    <s v=""/>
    <n v="0"/>
    <x v="2"/>
    <s v="Østdanmark"/>
    <n v="224792.41017302827"/>
    <n v="0"/>
    <n v="0"/>
    <n v="0"/>
    <n v="0"/>
    <n v="0"/>
    <n v="0"/>
    <n v="224792.41017302827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12396.20508651414"/>
    <n v="24643.870355716808"/>
    <n v="0"/>
    <n v="0"/>
    <n v="0"/>
    <n v="0"/>
    <n v="0"/>
    <n v="0"/>
    <n v="87752.334730797331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71933.571255369054"/>
    <n v="0"/>
    <n v="0"/>
    <n v="0"/>
    <n v="0"/>
    <n v="0"/>
    <n v="71933.571255369054"/>
    <n v="0"/>
    <n v="0"/>
    <n v="0"/>
    <n v="71933.571255369054"/>
    <n v="0"/>
    <n v="2.5176749939379168"/>
    <n v="0"/>
    <n v="2.5176749939379168"/>
    <n v="0"/>
    <n v="0"/>
    <n v="0"/>
    <n v="0"/>
    <x v="0"/>
  </r>
  <r>
    <x v="38"/>
    <s v="Græs og urter"/>
    <n v="1"/>
    <x v="2"/>
    <s v="Østdanmark"/>
    <n v="202279.77798791436"/>
    <n v="54392.166443596157"/>
    <n v="0"/>
    <n v="0"/>
    <n v="0"/>
    <n v="0"/>
    <n v="0"/>
    <n v="0"/>
    <n v="147887.61154431821"/>
    <n v="147887.61154431821"/>
    <n v="0"/>
    <n v="0.40137289323574138"/>
    <n v="0.40137289323574138"/>
    <n v="0"/>
    <n v="0.40137289323574138"/>
    <n v="29577.522308863641"/>
    <n v="29577.522308863641"/>
    <n v="0"/>
    <n v="29577.522308863641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2409.7062024000002"/>
    <n v="0"/>
    <n v="0"/>
    <n v="0"/>
    <n v="0"/>
    <n v="0"/>
    <n v="0"/>
    <n v="6483.180689105516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2971629.6255114949"/>
    <n v="0"/>
    <n v="0"/>
    <n v="0"/>
    <n v="524405.22803144064"/>
    <n v="524405.22803144064"/>
    <n v="2971629.6255114949"/>
    <n v="0.26168345283996924"/>
    <n v="1.7445563522664604"/>
    <n v="1.4828728994264913"/>
    <n v="0.26168345283996919"/>
    <n v="31464.313681886437"/>
    <n v="209762.09121257614"/>
    <n v="178297.77753068969"/>
    <n v="31464.313681886444"/>
    <x v="0"/>
  </r>
  <r>
    <x v="42"/>
    <s v="Husdyrgødning"/>
    <n v="1"/>
    <x v="2"/>
    <s v="Østdanmark"/>
    <n v="1045598.7208186348"/>
    <n v="0"/>
    <n v="0"/>
    <n v="0"/>
    <n v="888758.91269583965"/>
    <n v="156839.80812279525"/>
    <n v="0"/>
    <n v="0"/>
    <n v="0"/>
    <n v="0"/>
    <n v="888758.91269583965"/>
    <n v="0"/>
    <n v="0.38287733958936776"/>
    <n v="0.38287733958936776"/>
    <n v="0"/>
    <n v="0"/>
    <n v="44437.945634791984"/>
    <n v="44437.945634791984"/>
    <n v="0"/>
    <x v="0"/>
  </r>
  <r>
    <x v="43"/>
    <s v=""/>
    <n v="0"/>
    <x v="2"/>
    <s v="Østdanmark"/>
    <n v="97091.997795525866"/>
    <n v="0"/>
    <n v="0"/>
    <n v="55237.148778432362"/>
    <n v="0"/>
    <n v="0"/>
    <n v="0"/>
    <n v="0"/>
    <n v="41854.849017093504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375"/>
    <n v="609.07096108455892"/>
    <n v="0"/>
    <n v="0"/>
    <n v="0"/>
    <n v="0"/>
    <n v="0"/>
    <n v="0"/>
    <n v="2765.9290389154412"/>
    <n v="2765.9290389154412"/>
    <n v="0"/>
    <n v="2.4824213124266087E-3"/>
    <n v="2.4824213124266087E-3"/>
    <n v="0"/>
    <n v="2.4824213124266087E-3"/>
    <n v="414.88935583731615"/>
    <n v="414.88935583731615"/>
    <n v="0"/>
    <n v="414.8893558373161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0759.09234547918"/>
    <n v="0"/>
    <n v="0"/>
    <n v="0"/>
    <n v="0"/>
    <n v="0"/>
    <n v="620759.09234547918"/>
    <n v="0"/>
    <n v="0"/>
    <n v="0"/>
    <n v="620759.09234547918"/>
    <n v="0"/>
    <n v="8.9970146756919522"/>
    <n v="0"/>
    <n v="8.9970146756919522"/>
    <n v="0"/>
    <n v="307017.10108920158"/>
    <n v="0"/>
    <n v="307017.10108920158"/>
    <x v="0"/>
  </r>
  <r>
    <x v="47"/>
    <s v=""/>
    <n v="0"/>
    <x v="2"/>
    <s v="Østdanmark"/>
    <n v="173632.27177601412"/>
    <n v="0"/>
    <n v="0"/>
    <n v="0"/>
    <n v="0"/>
    <n v="0"/>
    <n v="0"/>
    <n v="173632.2717760141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783048.2936403082"/>
    <n v="5489168.5384185603"/>
    <n v="1781235.1907168229"/>
    <n v="1781235.1907168229"/>
  </r>
  <r>
    <x v="0"/>
    <x v="1"/>
    <x v="1"/>
    <s v="Konventionel"/>
    <x v="0"/>
    <s v="Halm"/>
    <n v="91089.291301015444"/>
    <n v="351604.66442191968"/>
    <n v="103777.11868633388"/>
    <n v="103777.11868633388"/>
  </r>
  <r>
    <x v="0"/>
    <x v="2"/>
    <x v="1"/>
    <s v="Konventionel"/>
    <x v="0"/>
    <s v="Halm"/>
    <n v="134236.85033833855"/>
    <n v="590642.1414886897"/>
    <n v="313630.9771304942"/>
    <n v="313630.9771304942"/>
  </r>
  <r>
    <x v="0"/>
    <x v="3"/>
    <x v="1"/>
    <s v="Konventionel"/>
    <x v="0"/>
    <s v="Græs"/>
    <n v="175786.35163353858"/>
    <n v="8722518.7680561841"/>
    <n v="0"/>
    <n v="8722518.7680561841"/>
  </r>
  <r>
    <x v="0"/>
    <x v="4"/>
    <x v="1"/>
    <s v="Konventionel"/>
    <x v="0"/>
    <s v="Grøntsager"/>
    <n v="31961.154842461558"/>
    <n v="663193.96298107738"/>
    <n v="0"/>
    <n v="663193.96298107738"/>
  </r>
  <r>
    <x v="0"/>
    <x v="5"/>
    <x v="1"/>
    <s v="Konventionel"/>
    <x v="0"/>
    <s v="Kartofler"/>
    <n v="34993.123831602948"/>
    <n v="1486189.4444247454"/>
    <n v="0"/>
    <n v="1486189.4444247454"/>
  </r>
  <r>
    <x v="0"/>
    <x v="6"/>
    <x v="1"/>
    <s v="Konventionel"/>
    <x v="0"/>
    <s v="Roer"/>
    <n v="15980.577421230779"/>
    <n v="1298481.5444952291"/>
    <n v="0"/>
    <n v="1298481.5444952291"/>
  </r>
  <r>
    <x v="0"/>
    <x v="7"/>
    <x v="1"/>
    <s v="Konventionel"/>
    <x v="0"/>
    <s v="Majs"/>
    <n v="87893.17581676929"/>
    <n v="3912125.2556044012"/>
    <n v="0"/>
    <n v="3912125.2556044012"/>
  </r>
  <r>
    <x v="0"/>
    <x v="8"/>
    <x v="1"/>
    <s v="Konventionel"/>
    <x v="0"/>
    <s v="Frugt"/>
    <n v="3244.3630460041513"/>
    <n v="27544.642260575249"/>
    <n v="0"/>
    <n v="27544.642260575249"/>
  </r>
  <r>
    <x v="0"/>
    <x v="9"/>
    <x v="1"/>
    <s v="Konventionel"/>
    <x v="0"/>
    <s v="Øvrige"/>
    <n v="44695.549979761847"/>
    <n v="1331746.0822643016"/>
    <n v="0"/>
    <n v="1331746.0822643016"/>
  </r>
  <r>
    <x v="0"/>
    <x v="10"/>
    <x v="1"/>
    <s v="Konventionel"/>
    <x v="0"/>
    <s v="Halm"/>
    <n v="64554.033593888656"/>
    <n v="922403.59748675174"/>
    <n v="152347.5192815772"/>
    <n v="152347.5192815772"/>
  </r>
  <r>
    <x v="0"/>
    <x v="11"/>
    <x v="1"/>
    <s v="Konventionel"/>
    <x v="0"/>
    <s v="Juletræer"/>
    <n v="12124.360174796873"/>
    <n v="606218.00873984373"/>
    <n v="0"/>
    <n v="606218.00873984373"/>
  </r>
  <r>
    <x v="0"/>
    <x v="12"/>
    <x v="1"/>
    <s v="Konventionel"/>
    <x v="0"/>
    <s v="Pil &amp; poppel"/>
    <n v="4662.3486122180857"/>
    <n v="113715.81981019722"/>
    <n v="0"/>
    <n v="113715.81981019722"/>
  </r>
  <r>
    <x v="0"/>
    <x v="13"/>
    <x v="1"/>
    <s v="Konventionel"/>
    <x v="0"/>
    <s v="Græs"/>
    <n v="113099.08030756452"/>
    <n v="1559636.3174413149"/>
    <n v="0"/>
    <n v="1559636.3174413149"/>
  </r>
  <r>
    <x v="0"/>
    <x v="0"/>
    <x v="2"/>
    <s v="Konventionel"/>
    <x v="0"/>
    <s v="Halm"/>
    <n v="456814.61907104118"/>
    <n v="3202270.4796879985"/>
    <n v="1743636.2761901156"/>
    <n v="1743636.2761901156"/>
  </r>
  <r>
    <x v="0"/>
    <x v="1"/>
    <x v="2"/>
    <s v="Konventionel"/>
    <x v="0"/>
    <s v="Halm"/>
    <n v="117629.7644107931"/>
    <n v="454050.89062566136"/>
    <n v="224871.64432646908"/>
    <n v="224871.64432646908"/>
  </r>
  <r>
    <x v="0"/>
    <x v="2"/>
    <x v="2"/>
    <s v="Konventionel"/>
    <x v="0"/>
    <s v="Halm"/>
    <n v="117629.7644107931"/>
    <n v="517570.9634074897"/>
    <n v="461155.72839607339"/>
    <n v="461155.72839607339"/>
  </r>
  <r>
    <x v="0"/>
    <x v="3"/>
    <x v="2"/>
    <s v="Konventionel"/>
    <x v="0"/>
    <s v="Græs"/>
    <n v="97073.106552596262"/>
    <n v="4816767.5471398262"/>
    <n v="0"/>
    <n v="4816767.5471398262"/>
  </r>
  <r>
    <x v="0"/>
    <x v="4"/>
    <x v="2"/>
    <s v="Konventionel"/>
    <x v="0"/>
    <s v="Grøntsager"/>
    <n v="45681.461907104116"/>
    <n v="947890.33457241044"/>
    <n v="0"/>
    <n v="947890.33457241044"/>
  </r>
  <r>
    <x v="0"/>
    <x v="5"/>
    <x v="2"/>
    <s v="Konventionel"/>
    <x v="0"/>
    <s v="Kartofler"/>
    <n v="34261.096430328085"/>
    <n v="1455099.5822552568"/>
    <n v="0"/>
    <n v="1455099.5822552568"/>
  </r>
  <r>
    <x v="0"/>
    <x v="6"/>
    <x v="2"/>
    <s v="Konventionel"/>
    <x v="0"/>
    <s v="Roer"/>
    <n v="5710.1827383880145"/>
    <n v="463973.65414603503"/>
    <n v="0"/>
    <n v="463973.65414603503"/>
  </r>
  <r>
    <x v="0"/>
    <x v="7"/>
    <x v="2"/>
    <s v="Konventionel"/>
    <x v="0"/>
    <s v="Majs"/>
    <n v="57101.827383880147"/>
    <n v="2541602.3368565058"/>
    <n v="0"/>
    <n v="2541602.3368565058"/>
  </r>
  <r>
    <x v="0"/>
    <x v="8"/>
    <x v="2"/>
    <s v="Konventionel"/>
    <x v="0"/>
    <s v="Frugt"/>
    <n v="11420.365476776029"/>
    <n v="96958.902897828491"/>
    <n v="0"/>
    <n v="96958.902897828491"/>
  </r>
  <r>
    <x v="0"/>
    <x v="9"/>
    <x v="2"/>
    <s v="Konventionel"/>
    <x v="0"/>
    <s v="Øvrige"/>
    <n v="31941.243579612597"/>
    <n v="951719.4892793555"/>
    <n v="0"/>
    <n v="951719.4892793555"/>
  </r>
  <r>
    <x v="0"/>
    <x v="10"/>
    <x v="2"/>
    <s v="Konventionel"/>
    <x v="0"/>
    <s v="Halm"/>
    <n v="46132.91730390468"/>
    <n v="659186.8317847302"/>
    <n v="182686.35252346256"/>
    <n v="182686.35252346256"/>
  </r>
  <r>
    <x v="0"/>
    <x v="11"/>
    <x v="2"/>
    <s v="Konventionel"/>
    <x v="0"/>
    <s v="Juletræer"/>
    <n v="8664.5570255986549"/>
    <n v="433227.85127993277"/>
    <n v="0"/>
    <n v="433227.85127993277"/>
  </r>
  <r>
    <x v="0"/>
    <x v="12"/>
    <x v="2"/>
    <s v="Konventionel"/>
    <x v="0"/>
    <s v="Pil &amp; poppel"/>
    <n v="3331.9024543463102"/>
    <n v="81265.913520641712"/>
    <n v="0"/>
    <n v="81265.913520641712"/>
  </r>
  <r>
    <x v="0"/>
    <x v="13"/>
    <x v="2"/>
    <s v="Konventionel"/>
    <x v="0"/>
    <s v="Græs"/>
    <n v="108493.47202937228"/>
    <n v="1496124.9792850439"/>
    <n v="0"/>
    <n v="1496124.9792850439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2209.84929646429"/>
    <n v="573982.99919070385"/>
    <n v="186257.48323738342"/>
    <n v="186257.48323738342"/>
  </r>
  <r>
    <x v="0"/>
    <x v="1"/>
    <x v="1"/>
    <s v="Økologisk"/>
    <x v="0"/>
    <s v="Halm"/>
    <n v="14216.247775302989"/>
    <n v="31278.588355221636"/>
    <n v="9231.9644889172159"/>
    <n v="9231.9644889172159"/>
  </r>
  <r>
    <x v="0"/>
    <x v="2"/>
    <x v="1"/>
    <s v="Økologisk"/>
    <x v="0"/>
    <s v="Halm"/>
    <n v="20950.259879393881"/>
    <n v="50699.6289081332"/>
    <n v="26921.502950218728"/>
    <n v="26921.502950218728"/>
  </r>
  <r>
    <x v="0"/>
    <x v="3"/>
    <x v="1"/>
    <s v="Økologisk"/>
    <x v="0"/>
    <s v="Græs"/>
    <n v="27434.864127777699"/>
    <n v="1061828.0072558569"/>
    <n v="0"/>
    <n v="1061828.0072558569"/>
  </r>
  <r>
    <x v="0"/>
    <x v="4"/>
    <x v="1"/>
    <s v="Økologisk"/>
    <x v="0"/>
    <s v="Grøntsager"/>
    <n v="4988.1571141413997"/>
    <n v="58997.428267507399"/>
    <n v="0"/>
    <n v="58997.428267507399"/>
  </r>
  <r>
    <x v="0"/>
    <x v="5"/>
    <x v="1"/>
    <s v="Økologisk"/>
    <x v="0"/>
    <s v="Kartofler"/>
    <n v="5461.3545864351427"/>
    <n v="132210.72572079091"/>
    <n v="0"/>
    <n v="132210.72572079091"/>
  </r>
  <r>
    <x v="0"/>
    <x v="6"/>
    <x v="1"/>
    <s v="Økologisk"/>
    <x v="0"/>
    <s v="Roer"/>
    <n v="2494.0785570706998"/>
    <n v="115512.31774440217"/>
    <n v="0"/>
    <n v="115512.31774440217"/>
  </r>
  <r>
    <x v="0"/>
    <x v="7"/>
    <x v="1"/>
    <s v="Økologisk"/>
    <x v="0"/>
    <s v="Majs"/>
    <n v="13717.432063888849"/>
    <n v="506767.20796586492"/>
    <n v="0"/>
    <n v="506767.20796586492"/>
  </r>
  <r>
    <x v="0"/>
    <x v="8"/>
    <x v="1"/>
    <s v="Økologisk"/>
    <x v="0"/>
    <s v="Frugt"/>
    <n v="506.34567770006993"/>
    <n v="2450.3586380939482"/>
    <n v="0"/>
    <n v="2450.3586380939482"/>
  </r>
  <r>
    <x v="0"/>
    <x v="9"/>
    <x v="1"/>
    <s v="Økologisk"/>
    <x v="0"/>
    <s v="Øvrige"/>
    <n v="6975.6060662056061"/>
    <n v="118471.51564189364"/>
    <n v="0"/>
    <n v="118471.51564189364"/>
  </r>
  <r>
    <x v="0"/>
    <x v="10"/>
    <x v="1"/>
    <s v="Økologisk"/>
    <x v="0"/>
    <s v="Halm"/>
    <n v="10074.906977080887"/>
    <n v="82056.597487405248"/>
    <n v="13552.76486556921"/>
    <n v="13552.76486556921"/>
  </r>
  <r>
    <x v="0"/>
    <x v="11"/>
    <x v="1"/>
    <s v="Økologisk"/>
    <x v="0"/>
    <s v="Juletræer"/>
    <n v="1892.2411833498013"/>
    <n v="53928.873725469333"/>
    <n v="0"/>
    <n v="53928.873725469333"/>
  </r>
  <r>
    <x v="0"/>
    <x v="12"/>
    <x v="1"/>
    <s v="Økologisk"/>
    <x v="0"/>
    <s v="Pil &amp; poppel"/>
    <n v="727.64978340975915"/>
    <n v="10116.106744964945"/>
    <n v="0"/>
    <n v="10116.106744964945"/>
  </r>
  <r>
    <x v="0"/>
    <x v="13"/>
    <x v="1"/>
    <s v="Økologisk"/>
    <x v="0"/>
    <s v="Græs"/>
    <n v="17651.301550891574"/>
    <n v="243411.4483867948"/>
    <n v="0"/>
    <n v="243411.4483867948"/>
  </r>
  <r>
    <x v="0"/>
    <x v="0"/>
    <x v="2"/>
    <s v="Økologisk"/>
    <x v="0"/>
    <s v="Halm"/>
    <n v="96900.070712039029"/>
    <n v="455110.56211323367"/>
    <n v="247807.70107065581"/>
    <n v="247807.70107065581"/>
  </r>
  <r>
    <x v="0"/>
    <x v="1"/>
    <x v="2"/>
    <s v="Økologisk"/>
    <x v="0"/>
    <s v="Halm"/>
    <n v="24951.768208350051"/>
    <n v="54898.880412011786"/>
    <n v="27189.026086745809"/>
    <n v="27189.026086745809"/>
  </r>
  <r>
    <x v="0"/>
    <x v="2"/>
    <x v="2"/>
    <s v="Økologisk"/>
    <x v="0"/>
    <s v="Halm"/>
    <n v="24951.768208350051"/>
    <n v="60383.279064207134"/>
    <n v="53801.501646208555"/>
    <n v="53801.501646208555"/>
  </r>
  <r>
    <x v="0"/>
    <x v="3"/>
    <x v="2"/>
    <s v="Økologisk"/>
    <x v="0"/>
    <s v="Græs"/>
    <n v="20591.265026308294"/>
    <n v="796956.08507222577"/>
    <n v="0"/>
    <n v="796956.08507222577"/>
  </r>
  <r>
    <x v="0"/>
    <x v="4"/>
    <x v="2"/>
    <s v="Økologisk"/>
    <x v="0"/>
    <s v="Grøntsager"/>
    <n v="9690.0070712039033"/>
    <n v="114608.55863466416"/>
    <n v="0"/>
    <n v="114608.55863466416"/>
  </r>
  <r>
    <x v="0"/>
    <x v="5"/>
    <x v="2"/>
    <s v="Økologisk"/>
    <x v="0"/>
    <s v="Kartofler"/>
    <n v="7267.505303402927"/>
    <n v="175934.76767268102"/>
    <n v="0"/>
    <n v="175934.76767268102"/>
  </r>
  <r>
    <x v="0"/>
    <x v="6"/>
    <x v="2"/>
    <s v="Økologisk"/>
    <x v="0"/>
    <s v="Roer"/>
    <n v="1211.2508839004879"/>
    <n v="56098.632728566059"/>
    <n v="0"/>
    <n v="56098.632728566059"/>
  </r>
  <r>
    <x v="0"/>
    <x v="7"/>
    <x v="2"/>
    <s v="Økologisk"/>
    <x v="0"/>
    <s v="Majs"/>
    <n v="12112.508839004879"/>
    <n v="447476.0477920089"/>
    <n v="0"/>
    <n v="447476.0477920089"/>
  </r>
  <r>
    <x v="0"/>
    <x v="8"/>
    <x v="2"/>
    <s v="Økologisk"/>
    <x v="0"/>
    <s v="Frugt"/>
    <n v="2422.5017678009758"/>
    <n v="11723.212804919262"/>
    <n v="0"/>
    <n v="11723.212804919262"/>
  </r>
  <r>
    <x v="0"/>
    <x v="9"/>
    <x v="2"/>
    <s v="Økologisk"/>
    <x v="0"/>
    <s v="Øvrige"/>
    <n v="6775.4153047663094"/>
    <n v="115071.53824923116"/>
    <n v="0"/>
    <n v="115071.53824923116"/>
  </r>
  <r>
    <x v="0"/>
    <x v="10"/>
    <x v="2"/>
    <s v="Økologisk"/>
    <x v="0"/>
    <s v="Halm"/>
    <n v="9785.7703371919033"/>
    <n v="79701.680570335564"/>
    <n v="22088.440805109567"/>
    <n v="22088.440805109567"/>
  </r>
  <r>
    <x v="0"/>
    <x v="11"/>
    <x v="2"/>
    <s v="Økologisk"/>
    <x v="0"/>
    <s v="Juletræer"/>
    <n v="1837.9363387633509"/>
    <n v="52381.1856547555"/>
    <n v="0"/>
    <n v="52381.1856547555"/>
  </r>
  <r>
    <x v="0"/>
    <x v="12"/>
    <x v="2"/>
    <s v="Økologisk"/>
    <x v="0"/>
    <s v="Pil &amp; poppel"/>
    <n v="706.76718728558092"/>
    <n v="9825.7877256775901"/>
    <n v="0"/>
    <n v="9825.7877256775901"/>
  </r>
  <r>
    <x v="0"/>
    <x v="13"/>
    <x v="2"/>
    <s v="Økologisk"/>
    <x v="0"/>
    <s v="Græs"/>
    <n v="23013.766794109266"/>
    <n v="317359.8440907668"/>
    <n v="0"/>
    <n v="317359.8440907668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8.68709801232"/>
    <n v="151320.83586847963"/>
    <n v="49103.611239321639"/>
    <n v="49103.611239321639"/>
  </r>
  <r>
    <x v="0"/>
    <x v="1"/>
    <x v="1"/>
    <s v="Konventionel"/>
    <x v="1"/>
    <s v="Halm"/>
    <n v="1542.0658644465243"/>
    <n v="7142.8490841163002"/>
    <n v="2108.2322624463368"/>
    <n v="2108.2322624463368"/>
  </r>
  <r>
    <x v="0"/>
    <x v="2"/>
    <x v="1"/>
    <s v="Konventionel"/>
    <x v="1"/>
    <s v="Halm"/>
    <n v="1651.2179103063932"/>
    <n v="8718.4305664177573"/>
    <n v="4629.4866307678276"/>
    <n v="4629.4866307678276"/>
  </r>
  <r>
    <x v="0"/>
    <x v="3"/>
    <x v="1"/>
    <s v="Konventionel"/>
    <x v="1"/>
    <s v="Græs"/>
    <n v="15238.021720870902"/>
    <n v="907332.76534753689"/>
    <n v="0"/>
    <n v="907332.76534753689"/>
  </r>
  <r>
    <x v="0"/>
    <x v="4"/>
    <x v="1"/>
    <s v="Konventionel"/>
    <x v="1"/>
    <s v="Grøntsager"/>
    <n v="71.268800751408534"/>
    <n v="1774.5931387100727"/>
    <n v="0"/>
    <n v="1774.5931387100727"/>
  </r>
  <r>
    <x v="0"/>
    <x v="5"/>
    <x v="1"/>
    <s v="Konventionel"/>
    <x v="1"/>
    <s v="Kartofler"/>
    <n v="1125.1496418632635"/>
    <n v="57343.340795151846"/>
    <n v="0"/>
    <n v="57343.340795151846"/>
  </r>
  <r>
    <x v="0"/>
    <x v="6"/>
    <x v="1"/>
    <s v="Konventionel"/>
    <x v="1"/>
    <s v="Roer"/>
    <n v="29.518660249897398"/>
    <n v="2878.2015474705927"/>
    <n v="0"/>
    <n v="2878.2015474705927"/>
  </r>
  <r>
    <x v="0"/>
    <x v="7"/>
    <x v="1"/>
    <s v="Konventionel"/>
    <x v="1"/>
    <s v="Majs"/>
    <n v="3810.4154462517859"/>
    <n v="203521.90981520037"/>
    <n v="0"/>
    <n v="203521.90981520037"/>
  </r>
  <r>
    <x v="0"/>
    <x v="8"/>
    <x v="1"/>
    <s v="Konventionel"/>
    <x v="1"/>
    <s v="Frugt"/>
    <n v="64.91370276951497"/>
    <n v="661.34080381581862"/>
    <n v="0"/>
    <n v="661.34080381581862"/>
  </r>
  <r>
    <x v="0"/>
    <x v="9"/>
    <x v="1"/>
    <s v="Konventionel"/>
    <x v="1"/>
    <s v="Øvrige"/>
    <n v="1148.0573462747577"/>
    <n v="41048.942200513149"/>
    <n v="0"/>
    <n v="41048.942200513149"/>
  </r>
  <r>
    <x v="0"/>
    <x v="10"/>
    <x v="1"/>
    <s v="Konventionel"/>
    <x v="1"/>
    <s v="Halm"/>
    <n v="2833.7440917610315"/>
    <n v="48589.16970625348"/>
    <n v="8025.1632678672395"/>
    <n v="8025.1632678672395"/>
  </r>
  <r>
    <x v="0"/>
    <x v="11"/>
    <x v="1"/>
    <s v="Konventionel"/>
    <x v="1"/>
    <s v="Juletræer"/>
    <n v="325.57753513414758"/>
    <n v="19534.652108048856"/>
    <n v="0"/>
    <n v="19534.652108048856"/>
  </r>
  <r>
    <x v="0"/>
    <x v="12"/>
    <x v="1"/>
    <s v="Konventionel"/>
    <x v="1"/>
    <s v="Pil &amp; poppel"/>
    <n v="534.71836671684468"/>
    <n v="15650.293660005213"/>
    <n v="0"/>
    <n v="15650.293660005213"/>
  </r>
  <r>
    <x v="0"/>
    <x v="13"/>
    <x v="1"/>
    <s v="Konventionel"/>
    <x v="1"/>
    <s v="Græs"/>
    <n v="15113.849399235503"/>
    <n v="250103.97985854914"/>
    <n v="0"/>
    <n v="250103.97985854914"/>
  </r>
  <r>
    <x v="0"/>
    <x v="0"/>
    <x v="2"/>
    <s v="Konventionel"/>
    <x v="1"/>
    <s v="Halm"/>
    <n v="0.43582889538516162"/>
    <n v="3.6661926679799794"/>
    <n v="1.9962419077150988"/>
    <n v="1.9962419077150988"/>
  </r>
  <r>
    <x v="0"/>
    <x v="1"/>
    <x v="2"/>
    <s v="Konventionel"/>
    <x v="1"/>
    <s v="Halm"/>
    <n v="3.7361084700125495E-2"/>
    <n v="0.1730565443309813"/>
    <n v="8.5707374412459486E-2"/>
    <n v="8.5707374412459486E-2"/>
  </r>
  <r>
    <x v="0"/>
    <x v="2"/>
    <x v="2"/>
    <s v="Konventionel"/>
    <x v="1"/>
    <s v="Halm"/>
    <n v="4.0005614304589723E-2"/>
    <n v="0.21122964352823376"/>
    <n v="0.1882056123836563"/>
    <n v="0.1882056123836563"/>
  </r>
  <r>
    <x v="0"/>
    <x v="3"/>
    <x v="2"/>
    <s v="Konventionel"/>
    <x v="1"/>
    <s v="Græs"/>
    <n v="0.36918592992793164"/>
    <n v="21.982807011628761"/>
    <n v="0"/>
    <n v="21.982807011628761"/>
  </r>
  <r>
    <x v="0"/>
    <x v="4"/>
    <x v="2"/>
    <s v="Konventionel"/>
    <x v="1"/>
    <s v="Grøntsager"/>
    <n v="1.7266964808312041E-3"/>
    <n v="4.2994742372696987E-2"/>
    <n v="0"/>
    <n v="4.2994742372696987E-2"/>
  </r>
  <r>
    <x v="0"/>
    <x v="5"/>
    <x v="2"/>
    <s v="Konventionel"/>
    <x v="1"/>
    <s v="Kartofler"/>
    <n v="2.7260061998102159E-2"/>
    <n v="1.3893112232302602"/>
    <n v="0"/>
    <n v="1.3893112232302602"/>
  </r>
  <r>
    <x v="0"/>
    <x v="6"/>
    <x v="2"/>
    <s v="Konventionel"/>
    <x v="1"/>
    <s v="Roer"/>
    <n v="7.1517643393687155E-4"/>
    <n v="6.9732904591384981E-2"/>
    <n v="0"/>
    <n v="6.9732904591384981E-2"/>
  </r>
  <r>
    <x v="0"/>
    <x v="7"/>
    <x v="2"/>
    <s v="Konventionel"/>
    <x v="1"/>
    <s v="Majs"/>
    <n v="9.2318530299077425E-2"/>
    <n v="4.9309173403343243"/>
    <n v="0"/>
    <n v="4.9309173403343243"/>
  </r>
  <r>
    <x v="0"/>
    <x v="8"/>
    <x v="2"/>
    <s v="Konventionel"/>
    <x v="1"/>
    <s v="Frugt"/>
    <n v="1.5727255257291396E-3"/>
    <n v="1.6022927656128474E-2"/>
    <n v="0"/>
    <n v="1.6022927656128474E-2"/>
  </r>
  <r>
    <x v="0"/>
    <x v="9"/>
    <x v="2"/>
    <s v="Konventionel"/>
    <x v="1"/>
    <s v="Øvrige"/>
    <n v="2.7815068567234969E-2"/>
    <n v="0.99453145404679411"/>
    <n v="0"/>
    <n v="0.99453145404679411"/>
  </r>
  <r>
    <x v="0"/>
    <x v="10"/>
    <x v="2"/>
    <s v="Konventionel"/>
    <x v="1"/>
    <s v="Halm"/>
    <n v="6.8655791864482674E-2"/>
    <n v="1.1772156603412456"/>
    <n v="0.32625232294002171"/>
    <n v="0.32625232294002171"/>
  </r>
  <r>
    <x v="0"/>
    <x v="11"/>
    <x v="2"/>
    <s v="Konventionel"/>
    <x v="1"/>
    <s v="Juletræer"/>
    <n v="7.888074139408327E-3"/>
    <n v="0.47328444836449962"/>
    <n v="0"/>
    <n v="0.47328444836449962"/>
  </r>
  <r>
    <x v="0"/>
    <x v="12"/>
    <x v="2"/>
    <s v="Konventionel"/>
    <x v="1"/>
    <s v="Pil &amp; poppel"/>
    <n v="1.2955126399086169E-2"/>
    <n v="0.37917443119276595"/>
    <n v="0"/>
    <n v="0.37917443119276595"/>
  </r>
  <r>
    <x v="0"/>
    <x v="13"/>
    <x v="2"/>
    <s v="Konventionel"/>
    <x v="1"/>
    <s v="Græs"/>
    <n v="0.36617748993000948"/>
    <n v="6.059505103361797"/>
    <n v="0"/>
    <n v="6.05950510336179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4829574932523"/>
    <n v="15823.086247750271"/>
    <n v="5134.5914873949623"/>
    <n v="5134.5914873949623"/>
  </r>
  <r>
    <x v="0"/>
    <x v="1"/>
    <x v="1"/>
    <s v="Økologisk"/>
    <x v="1"/>
    <s v="Halm"/>
    <n v="240.66923895986218"/>
    <n v="635.42455147138662"/>
    <n v="187.54736716213364"/>
    <n v="187.54736716213364"/>
  </r>
  <r>
    <x v="0"/>
    <x v="2"/>
    <x v="1"/>
    <s v="Økologisk"/>
    <x v="1"/>
    <s v="Halm"/>
    <n v="257.704529354177"/>
    <n v="748.37395324453018"/>
    <n v="397.3865691728455"/>
    <n v="397.3865691728455"/>
  </r>
  <r>
    <x v="0"/>
    <x v="3"/>
    <x v="1"/>
    <s v="Økologisk"/>
    <x v="1"/>
    <s v="Græs"/>
    <n v="2378.1883610607765"/>
    <n v="110453.34126138227"/>
    <n v="0"/>
    <n v="110453.34126138227"/>
  </r>
  <r>
    <x v="0"/>
    <x v="4"/>
    <x v="1"/>
    <s v="Økologisk"/>
    <x v="1"/>
    <s v="Grøntsager"/>
    <n v="11.122876417849888"/>
    <n v="157.86698499854344"/>
    <n v="0"/>
    <n v="157.86698499854344"/>
  </r>
  <r>
    <x v="0"/>
    <x v="5"/>
    <x v="1"/>
    <s v="Økologisk"/>
    <x v="1"/>
    <s v="Kartofler"/>
    <n v="175.60138919253245"/>
    <n v="5101.237079984895"/>
    <n v="0"/>
    <n v="5101.237079984895"/>
  </r>
  <r>
    <x v="0"/>
    <x v="6"/>
    <x v="1"/>
    <s v="Økologisk"/>
    <x v="1"/>
    <s v="Roer"/>
    <n v="4.6069585361111542"/>
    <n v="256.04347870273068"/>
    <n v="0"/>
    <n v="256.04347870273068"/>
  </r>
  <r>
    <x v="0"/>
    <x v="7"/>
    <x v="1"/>
    <s v="Økologisk"/>
    <x v="1"/>
    <s v="Majs"/>
    <n v="594.6891158890071"/>
    <n v="26363.734098026827"/>
    <n v="0"/>
    <n v="26363.734098026827"/>
  </r>
  <r>
    <x v="0"/>
    <x v="8"/>
    <x v="1"/>
    <s v="Økologisk"/>
    <x v="1"/>
    <s v="Frugt"/>
    <n v="10.131040316629504"/>
    <n v="58.832572085118187"/>
    <n v="0"/>
    <n v="58.832572085118187"/>
  </r>
  <r>
    <x v="0"/>
    <x v="9"/>
    <x v="1"/>
    <s v="Økologisk"/>
    <x v="1"/>
    <s v="Øvrige"/>
    <n v="179.17658005444198"/>
    <n v="3651.6949159878468"/>
    <n v="0"/>
    <n v="3651.6949159878468"/>
  </r>
  <r>
    <x v="0"/>
    <x v="10"/>
    <x v="1"/>
    <s v="Økologisk"/>
    <x v="1"/>
    <s v="Halm"/>
    <n v="442.26063859854253"/>
    <n v="4322.4700680880987"/>
    <n v="713.91481325131133"/>
    <n v="713.91481325131133"/>
  </r>
  <r>
    <x v="0"/>
    <x v="11"/>
    <x v="1"/>
    <s v="Økologisk"/>
    <x v="1"/>
    <s v="Juletræer"/>
    <n v="50.812678893768705"/>
    <n v="1737.7936181668899"/>
    <n v="0"/>
    <n v="1737.7936181668899"/>
  </r>
  <r>
    <x v="0"/>
    <x v="12"/>
    <x v="1"/>
    <s v="Økologisk"/>
    <x v="1"/>
    <s v="Pil &amp; poppel"/>
    <n v="83.453155499160744"/>
    <n v="1392.2428868640475"/>
    <n v="0"/>
    <n v="1392.2428868640475"/>
  </r>
  <r>
    <x v="0"/>
    <x v="13"/>
    <x v="1"/>
    <s v="Økologisk"/>
    <x v="1"/>
    <s v="Græs"/>
    <n v="2358.8088657766393"/>
    <n v="39033.569110871831"/>
    <n v="0"/>
    <n v="39033.569110871831"/>
  </r>
  <r>
    <x v="0"/>
    <x v="0"/>
    <x v="2"/>
    <s v="Økologisk"/>
    <x v="1"/>
    <s v="Halm"/>
    <n v="9.2448553566549435E-2"/>
    <n v="0.52104374584321522"/>
    <n v="0.28370831961163073"/>
    <n v="0.28370831961163073"/>
  </r>
  <r>
    <x v="0"/>
    <x v="1"/>
    <x v="2"/>
    <s v="Økologisk"/>
    <x v="1"/>
    <s v="Halm"/>
    <n v="7.9250785727538933E-3"/>
    <n v="2.0924109450927736E-2"/>
    <n v="1.0362800724415557E-2"/>
    <n v="1.0362800724415557E-2"/>
  </r>
  <r>
    <x v="0"/>
    <x v="2"/>
    <x v="2"/>
    <s v="Økologisk"/>
    <x v="1"/>
    <s v="Halm"/>
    <n v="8.4860393979432746E-3"/>
    <n v="2.464345841162727E-2"/>
    <n v="2.1957321444759904E-2"/>
    <n v="2.1957321444759904E-2"/>
  </r>
  <r>
    <x v="0"/>
    <x v="3"/>
    <x v="2"/>
    <s v="Økologisk"/>
    <x v="1"/>
    <s v="Græs"/>
    <n v="7.8312166954409748E-2"/>
    <n v="3.6371553419240317"/>
    <n v="0"/>
    <n v="3.6371553419240317"/>
  </r>
  <r>
    <x v="0"/>
    <x v="4"/>
    <x v="2"/>
    <s v="Økologisk"/>
    <x v="1"/>
    <s v="Grøntsager"/>
    <n v="3.6626895047934632E-4"/>
    <n v="5.1984552141533628E-3"/>
    <n v="0"/>
    <n v="5.1984552141533628E-3"/>
  </r>
  <r>
    <x v="0"/>
    <x v="5"/>
    <x v="2"/>
    <s v="Økologisk"/>
    <x v="1"/>
    <s v="Kartofler"/>
    <n v="5.7824373935368217E-3"/>
    <n v="0.16798035699056785"/>
    <n v="0"/>
    <n v="0.16798035699056785"/>
  </r>
  <r>
    <x v="0"/>
    <x v="6"/>
    <x v="2"/>
    <s v="Økologisk"/>
    <x v="1"/>
    <s v="Roer"/>
    <n v="1.5170409204721518E-4"/>
    <n v="8.4313421005947301E-3"/>
    <n v="0"/>
    <n v="8.4313421005947301E-3"/>
  </r>
  <r>
    <x v="0"/>
    <x v="7"/>
    <x v="2"/>
    <s v="Økologisk"/>
    <x v="1"/>
    <s v="Majs"/>
    <n v="1.9582718548289149E-2"/>
    <n v="0.86814029537401272"/>
    <n v="0"/>
    <n v="0.86814029537401272"/>
  </r>
  <r>
    <x v="0"/>
    <x v="8"/>
    <x v="2"/>
    <s v="Økologisk"/>
    <x v="1"/>
    <s v="Frugt"/>
    <n v="3.3360844485163561E-4"/>
    <n v="1.9373176166046242E-3"/>
    <n v="0"/>
    <n v="1.9373176166046242E-3"/>
  </r>
  <r>
    <x v="0"/>
    <x v="9"/>
    <x v="2"/>
    <s v="Økologisk"/>
    <x v="1"/>
    <s v="Øvrige"/>
    <n v="5.9001660597165087E-3"/>
    <n v="0.1202478939892942"/>
    <n v="0"/>
    <n v="0.1202478939892942"/>
  </r>
  <r>
    <x v="0"/>
    <x v="10"/>
    <x v="2"/>
    <s v="Økologisk"/>
    <x v="1"/>
    <s v="Halm"/>
    <n v="1.4563349789435716E-2"/>
    <n v="0.14233607529580511"/>
    <n v="3.9446871773657161E-2"/>
    <n v="3.9446871773657161E-2"/>
  </r>
  <r>
    <x v="0"/>
    <x v="11"/>
    <x v="2"/>
    <s v="Økologisk"/>
    <x v="1"/>
    <s v="Juletræer"/>
    <n v="1.6732278477532812E-3"/>
    <n v="5.722439239316221E-2"/>
    <n v="0"/>
    <n v="5.722439239316221E-2"/>
  </r>
  <r>
    <x v="0"/>
    <x v="12"/>
    <x v="2"/>
    <s v="Økologisk"/>
    <x v="1"/>
    <s v="Pil &amp; poppel"/>
    <n v="2.7480571149576727E-3"/>
    <n v="4.584563577148898E-2"/>
    <n v="0"/>
    <n v="4.584563577148898E-2"/>
  </r>
  <r>
    <x v="0"/>
    <x v="13"/>
    <x v="2"/>
    <s v="Økologisk"/>
    <x v="1"/>
    <s v="Græs"/>
    <n v="7.7674013015456553E-2"/>
    <n v="1.2853495673797752"/>
    <n v="0"/>
    <n v="1.2853495673797752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0.29674680641973877"/>
    <n v="2.9122731582033161"/>
    <n v="0.94503263983697616"/>
    <n v="0.94503263983697616"/>
  </r>
  <r>
    <x v="0"/>
    <x v="1"/>
    <x v="1"/>
    <s v="Konventionel"/>
    <x v="2"/>
    <s v="Halm"/>
    <n v="1.7086450333499009E-2"/>
    <n v="9.2335177602228646E-2"/>
    <n v="2.7252990800632915E-2"/>
    <n v="2.7252990800632915E-2"/>
  </r>
  <r>
    <x v="0"/>
    <x v="2"/>
    <x v="1"/>
    <s v="Konventionel"/>
    <x v="2"/>
    <s v="Halm"/>
    <n v="2.2126179468366147E-2"/>
    <n v="0.13629726552513546"/>
    <n v="7.2373847993846926E-2"/>
    <n v="7.2373847993846926E-2"/>
  </r>
  <r>
    <x v="0"/>
    <x v="3"/>
    <x v="1"/>
    <s v="Konventionel"/>
    <x v="2"/>
    <s v="Græs"/>
    <n v="0.51029954485989426"/>
    <n v="35.44948878232713"/>
    <n v="0"/>
    <n v="35.44948878232713"/>
  </r>
  <r>
    <x v="0"/>
    <x v="4"/>
    <x v="1"/>
    <s v="Konventionel"/>
    <x v="2"/>
    <s v="Grøntsager"/>
    <n v="5.9312754358377721E-4"/>
    <n v="1.7230355141108728E-2"/>
    <n v="0"/>
    <n v="1.7230355141108728E-2"/>
  </r>
  <r>
    <x v="0"/>
    <x v="5"/>
    <x v="1"/>
    <s v="Konventionel"/>
    <x v="2"/>
    <s v="Kartofler"/>
    <n v="3.1394414813143305E-2"/>
    <n v="1.8666886496674167"/>
    <n v="0"/>
    <n v="1.8666886496674167"/>
  </r>
  <r>
    <x v="0"/>
    <x v="6"/>
    <x v="1"/>
    <s v="Konventionel"/>
    <x v="2"/>
    <s v="Roer"/>
    <n v="3.3950117003646611E-4"/>
    <n v="3.8620031605222829E-2"/>
    <n v="0"/>
    <n v="3.8620031605222829E-2"/>
  </r>
  <r>
    <x v="0"/>
    <x v="7"/>
    <x v="1"/>
    <s v="Konventionel"/>
    <x v="2"/>
    <s v="Majs"/>
    <n v="4.2220294070089238E-2"/>
    <n v="2.6309154046835412"/>
    <n v="0"/>
    <n v="2.6309154046835412"/>
  </r>
  <r>
    <x v="0"/>
    <x v="8"/>
    <x v="1"/>
    <s v="Konventionel"/>
    <x v="2"/>
    <s v="Frugt"/>
    <n v="1.2099053290264164E-3"/>
    <n v="1.4380934740807986E-2"/>
    <n v="0"/>
    <n v="1.4380934740807986E-2"/>
  </r>
  <r>
    <x v="0"/>
    <x v="9"/>
    <x v="1"/>
    <s v="Konventionel"/>
    <x v="2"/>
    <s v="Øvrige"/>
    <n v="2.1398266344745977E-2"/>
    <n v="0.89261414925364546"/>
    <n v="0"/>
    <n v="0.89261414925364546"/>
  </r>
  <r>
    <x v="0"/>
    <x v="10"/>
    <x v="1"/>
    <s v="Konventionel"/>
    <x v="2"/>
    <s v="Halm"/>
    <n v="6.8082129291564208E-2"/>
    <n v="1.3619424919198089"/>
    <n v="0.22494335517932812"/>
    <n v="0.22494335517932812"/>
  </r>
  <r>
    <x v="0"/>
    <x v="11"/>
    <x v="1"/>
    <s v="Konventionel"/>
    <x v="2"/>
    <s v="Juletræer"/>
    <n v="6.0683334637179846E-3"/>
    <n v="0.42478334246025895"/>
    <n v="0"/>
    <n v="0.42478334246025895"/>
  </r>
  <r>
    <x v="0"/>
    <x v="12"/>
    <x v="1"/>
    <s v="Konventionel"/>
    <x v="2"/>
    <s v="Pil &amp; poppel"/>
    <n v="1.4324445842879414E-2"/>
    <n v="0.48912741902515072"/>
    <n v="0"/>
    <n v="0.48912741902515072"/>
  </r>
  <r>
    <x v="0"/>
    <x v="13"/>
    <x v="1"/>
    <s v="Konventionel"/>
    <x v="2"/>
    <s v="Græs"/>
    <n v="0.52979341323357754"/>
    <n v="10.228191635887448"/>
    <n v="0"/>
    <n v="10.228191635887448"/>
  </r>
  <r>
    <x v="0"/>
    <x v="0"/>
    <x v="2"/>
    <s v="Konventionel"/>
    <x v="2"/>
    <s v="Halm"/>
    <n v="0.28302441074714974"/>
    <n v="2.7776015670725269"/>
    <n v="1.5124040532709913"/>
    <n v="1.5124040532709913"/>
  </r>
  <r>
    <x v="0"/>
    <x v="1"/>
    <x v="2"/>
    <s v="Konventionel"/>
    <x v="2"/>
    <s v="Halm"/>
    <n v="1.6296325462585758E-2"/>
    <n v="8.8065342799813429E-2"/>
    <n v="4.3614931392998796E-2"/>
    <n v="4.3614931392998796E-2"/>
  </r>
  <r>
    <x v="0"/>
    <x v="2"/>
    <x v="2"/>
    <s v="Konventionel"/>
    <x v="2"/>
    <s v="Halm"/>
    <n v="2.1103003539193144E-2"/>
    <n v="0.12999450180142977"/>
    <n v="0.11582510110507394"/>
    <n v="0.11582510110507394"/>
  </r>
  <r>
    <x v="0"/>
    <x v="3"/>
    <x v="2"/>
    <s v="Konventionel"/>
    <x v="2"/>
    <s v="Græs"/>
    <n v="0.48670187804556381"/>
    <n v="33.810206064069227"/>
    <n v="0"/>
    <n v="33.810206064069227"/>
  </r>
  <r>
    <x v="0"/>
    <x v="4"/>
    <x v="2"/>
    <s v="Konventionel"/>
    <x v="2"/>
    <s v="Grøntsager"/>
    <n v="5.6569968029666602E-4"/>
    <n v="1.6433575712618147E-2"/>
    <n v="0"/>
    <n v="1.6433575712618147E-2"/>
  </r>
  <r>
    <x v="0"/>
    <x v="5"/>
    <x v="2"/>
    <s v="Konventionel"/>
    <x v="2"/>
    <s v="Kartofler"/>
    <n v="2.9942649966292749E-2"/>
    <n v="1.780367787255051"/>
    <n v="0"/>
    <n v="1.780367787255051"/>
  </r>
  <r>
    <x v="0"/>
    <x v="6"/>
    <x v="2"/>
    <s v="Konventionel"/>
    <x v="2"/>
    <s v="Roer"/>
    <n v="3.2380169396541565E-4"/>
    <n v="3.6834134189952412E-2"/>
    <n v="0"/>
    <n v="3.6834134189952412E-2"/>
  </r>
  <r>
    <x v="0"/>
    <x v="7"/>
    <x v="2"/>
    <s v="Konventionel"/>
    <x v="2"/>
    <s v="Majs"/>
    <n v="4.0267910529275863E-2"/>
    <n v="2.5092545767212968"/>
    <n v="0"/>
    <n v="2.5092545767212968"/>
  </r>
  <r>
    <x v="0"/>
    <x v="8"/>
    <x v="2"/>
    <s v="Konventionel"/>
    <x v="2"/>
    <s v="Frugt"/>
    <n v="1.1539559496494725E-3"/>
    <n v="1.3715920417533629E-2"/>
    <n v="0"/>
    <n v="1.3715920417533629E-2"/>
  </r>
  <r>
    <x v="0"/>
    <x v="9"/>
    <x v="2"/>
    <s v="Konventionel"/>
    <x v="2"/>
    <s v="Øvrige"/>
    <n v="2.040875113805252E-2"/>
    <n v="0.85133719437486421"/>
    <n v="0"/>
    <n v="0.85133719437486421"/>
  </r>
  <r>
    <x v="0"/>
    <x v="10"/>
    <x v="2"/>
    <s v="Konventionel"/>
    <x v="2"/>
    <s v="Halm"/>
    <n v="6.4933822734728863E-2"/>
    <n v="1.2989624922934593"/>
    <n v="0.35999311324133687"/>
    <n v="0.35999311324133687"/>
  </r>
  <r>
    <x v="0"/>
    <x v="11"/>
    <x v="2"/>
    <s v="Konventionel"/>
    <x v="2"/>
    <s v="Juletræer"/>
    <n v="5.7877168873610831E-3"/>
    <n v="0.4051401821152758"/>
    <n v="0"/>
    <n v="0.4051401821152758"/>
  </r>
  <r>
    <x v="0"/>
    <x v="12"/>
    <x v="2"/>
    <s v="Konventionel"/>
    <x v="2"/>
    <s v="Pil &amp; poppel"/>
    <n v="1.3662043722977473E-2"/>
    <n v="0.4665088100528893"/>
    <n v="0"/>
    <n v="0.4665088100528893"/>
  </r>
  <r>
    <x v="0"/>
    <x v="13"/>
    <x v="2"/>
    <s v="Konventionel"/>
    <x v="2"/>
    <s v="Græs"/>
    <n v="0.50529429585861441"/>
    <n v="9.7552116758464091"/>
    <n v="0"/>
    <n v="9.755211675846409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4.6313085394988143E-2"/>
    <n v="0.30452613544449708"/>
    <n v="9.881873095173932E-2"/>
    <n v="9.881873095173932E-2"/>
  </r>
  <r>
    <x v="0"/>
    <x v="1"/>
    <x v="1"/>
    <s v="Økologisk"/>
    <x v="2"/>
    <s v="Halm"/>
    <n v="2.6666714393322154E-3"/>
    <n v="8.2140947011462347E-3"/>
    <n v="2.4244134590852054E-3"/>
    <n v="2.4244134590852054E-3"/>
  </r>
  <r>
    <x v="0"/>
    <x v="2"/>
    <x v="1"/>
    <s v="Økologisk"/>
    <x v="2"/>
    <s v="Halm"/>
    <n v="3.4532187609588785E-3"/>
    <n v="1.1699505162128679E-2"/>
    <n v="6.2124372410903295E-3"/>
    <n v="6.2124372410903295E-3"/>
  </r>
  <r>
    <x v="0"/>
    <x v="3"/>
    <x v="1"/>
    <s v="Økologisk"/>
    <x v="2"/>
    <s v="Græs"/>
    <n v="7.9642125498364996E-2"/>
    <n v="4.3154117558139271"/>
    <n v="0"/>
    <n v="4.3154117558139271"/>
  </r>
  <r>
    <x v="0"/>
    <x v="4"/>
    <x v="1"/>
    <s v="Økologisk"/>
    <x v="2"/>
    <s v="Grøntsager"/>
    <n v="9.2569038593999904E-5"/>
    <n v="1.5328044255587476E-3"/>
    <n v="0"/>
    <n v="1.5328044255587476E-3"/>
  </r>
  <r>
    <x v="0"/>
    <x v="5"/>
    <x v="1"/>
    <s v="Økologisk"/>
    <x v="2"/>
    <s v="Kartofler"/>
    <n v="4.8997063581206323E-3"/>
    <n v="0.16605975906578929"/>
    <n v="0"/>
    <n v="0.16605975906578929"/>
  </r>
  <r>
    <x v="0"/>
    <x v="6"/>
    <x v="1"/>
    <s v="Økologisk"/>
    <x v="2"/>
    <s v="Roer"/>
    <n v="5.2985731739795291E-5"/>
    <n v="3.4356201526264695E-3"/>
    <n v="0"/>
    <n v="3.4356201526264695E-3"/>
  </r>
  <r>
    <x v="0"/>
    <x v="7"/>
    <x v="1"/>
    <s v="Økologisk"/>
    <x v="2"/>
    <s v="Majs"/>
    <n v="6.5892944502451414E-3"/>
    <n v="0.34080239432923787"/>
    <n v="0"/>
    <n v="0.34080239432923787"/>
  </r>
  <r>
    <x v="0"/>
    <x v="8"/>
    <x v="1"/>
    <s v="Økologisk"/>
    <x v="2"/>
    <s v="Frugt"/>
    <n v="1.8882915539718639E-4"/>
    <n v="1.2793213043990458E-3"/>
    <n v="0"/>
    <n v="1.2793213043990458E-3"/>
  </r>
  <r>
    <x v="0"/>
    <x v="9"/>
    <x v="1"/>
    <s v="Økologisk"/>
    <x v="2"/>
    <s v="Øvrige"/>
    <n v="3.3396138225904128E-3"/>
    <n v="7.940654194805552E-2"/>
    <n v="0"/>
    <n v="7.940654194805552E-2"/>
  </r>
  <r>
    <x v="0"/>
    <x v="10"/>
    <x v="1"/>
    <s v="Økologisk"/>
    <x v="2"/>
    <s v="Halm"/>
    <n v="1.0625534629319271E-2"/>
    <n v="0.12115777428118996"/>
    <n v="2.0010856856704395E-2"/>
    <n v="2.0010856856704395E-2"/>
  </r>
  <r>
    <x v="0"/>
    <x v="11"/>
    <x v="1"/>
    <s v="Økologisk"/>
    <x v="2"/>
    <s v="Juletræer"/>
    <n v="9.4708094520454093E-4"/>
    <n v="3.778852971366118E-2"/>
    <n v="0"/>
    <n v="3.778852971366118E-2"/>
  </r>
  <r>
    <x v="0"/>
    <x v="12"/>
    <x v="1"/>
    <s v="Økologisk"/>
    <x v="2"/>
    <s v="Pil &amp; poppel"/>
    <n v="2.2356071546690416E-3"/>
    <n v="4.3512549010387688E-2"/>
    <n v="0"/>
    <n v="4.3512549010387688E-2"/>
  </r>
  <r>
    <x v="0"/>
    <x v="13"/>
    <x v="1"/>
    <s v="Økologisk"/>
    <x v="2"/>
    <s v="Græs"/>
    <n v="8.2684521140500539E-2"/>
    <n v="1.5963073651385034"/>
    <n v="0"/>
    <n v="1.5963073651385034"/>
  </r>
  <r>
    <x v="0"/>
    <x v="0"/>
    <x v="2"/>
    <s v="Økologisk"/>
    <x v="2"/>
    <s v="Halm"/>
    <n v="6.0035481067577209E-2"/>
    <n v="0.39475610150212581"/>
    <n v="0.21494469726790755"/>
    <n v="0.21494469726790755"/>
  </r>
  <r>
    <x v="0"/>
    <x v="1"/>
    <x v="2"/>
    <s v="Økologisk"/>
    <x v="2"/>
    <s v="Halm"/>
    <n v="3.4567963102454641E-3"/>
    <n v="1.06479005385229E-2"/>
    <n v="5.2734417047898552E-3"/>
    <n v="5.2734417047898552E-3"/>
  </r>
  <r>
    <x v="0"/>
    <x v="2"/>
    <x v="2"/>
    <s v="Økologisk"/>
    <x v="2"/>
    <s v="Halm"/>
    <n v="4.4763946901318786E-3"/>
    <n v="1.5166025210166807E-2"/>
    <n v="1.3512928462258628E-2"/>
    <n v="1.3512928462258628E-2"/>
  </r>
  <r>
    <x v="0"/>
    <x v="3"/>
    <x v="2"/>
    <s v="Økologisk"/>
    <x v="2"/>
    <s v="Græs"/>
    <n v="0.10323979231269535"/>
    <n v="5.5940522760550913"/>
    <n v="0"/>
    <n v="5.5940522760550913"/>
  </r>
  <r>
    <x v="0"/>
    <x v="4"/>
    <x v="2"/>
    <s v="Økologisk"/>
    <x v="2"/>
    <s v="Grøntsager"/>
    <n v="1.1999690188111097E-4"/>
    <n v="1.9869686997983755E-3"/>
    <n v="0"/>
    <n v="1.9869686997983755E-3"/>
  </r>
  <r>
    <x v="0"/>
    <x v="5"/>
    <x v="2"/>
    <s v="Økologisk"/>
    <x v="2"/>
    <s v="Kartofler"/>
    <n v="6.3514712049711885E-3"/>
    <n v="0.21526265064083791"/>
    <n v="0"/>
    <n v="0.21526265064083791"/>
  </r>
  <r>
    <x v="0"/>
    <x v="6"/>
    <x v="2"/>
    <s v="Økologisk"/>
    <x v="2"/>
    <s v="Roer"/>
    <n v="6.8685207810845745E-5"/>
    <n v="4.4535816793306099E-3"/>
    <n v="0"/>
    <n v="4.4535816793306099E-3"/>
  </r>
  <r>
    <x v="0"/>
    <x v="7"/>
    <x v="2"/>
    <s v="Økologisk"/>
    <x v="2"/>
    <s v="Majs"/>
    <n v="8.5416779910585158E-3"/>
    <n v="0.4417808815379009"/>
    <n v="0"/>
    <n v="0.4417808815379009"/>
  </r>
  <r>
    <x v="0"/>
    <x v="8"/>
    <x v="2"/>
    <s v="Økologisk"/>
    <x v="2"/>
    <s v="Frugt"/>
    <n v="2.4477853477413049E-4"/>
    <n v="1.6583794686654296E-3"/>
    <n v="0"/>
    <n v="1.6583794686654296E-3"/>
  </r>
  <r>
    <x v="0"/>
    <x v="9"/>
    <x v="2"/>
    <s v="Økologisk"/>
    <x v="2"/>
    <s v="Øvrige"/>
    <n v="4.329129029283868E-3"/>
    <n v="0.10293440622896084"/>
    <n v="0"/>
    <n v="0.10293440622896084"/>
  </r>
  <r>
    <x v="0"/>
    <x v="10"/>
    <x v="2"/>
    <s v="Økologisk"/>
    <x v="2"/>
    <s v="Halm"/>
    <n v="1.3773841186154611E-2"/>
    <n v="0.15705637406820919"/>
    <n v="4.3526440055543465E-2"/>
    <n v="4.3526440055543465E-2"/>
  </r>
  <r>
    <x v="0"/>
    <x v="11"/>
    <x v="2"/>
    <s v="Økologisk"/>
    <x v="2"/>
    <s v="Juletræer"/>
    <n v="1.2276975215614421E-3"/>
    <n v="4.8985131110301533E-2"/>
    <n v="0"/>
    <n v="4.8985131110301533E-2"/>
  </r>
  <r>
    <x v="0"/>
    <x v="12"/>
    <x v="2"/>
    <s v="Økologisk"/>
    <x v="2"/>
    <s v="Pil &amp; poppel"/>
    <n v="2.8980092745709792E-3"/>
    <n v="5.6405156124576618E-2"/>
    <n v="0"/>
    <n v="5.6405156124576618E-2"/>
  </r>
  <r>
    <x v="0"/>
    <x v="13"/>
    <x v="2"/>
    <s v="Økologisk"/>
    <x v="2"/>
    <s v="Græs"/>
    <n v="0.10718363851546366"/>
    <n v="2.0692873251795416"/>
    <n v="0"/>
    <n v="2.069287325179541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34037.42495969174"/>
    <n v="1640602.348967439"/>
    <n v="532375.46223993402"/>
    <n v="532375.46223993402"/>
  </r>
  <r>
    <x v="1"/>
    <x v="1"/>
    <x v="1"/>
    <s v="Konventionel"/>
    <x v="0"/>
    <s v="Halm"/>
    <n v="27224.761678984549"/>
    <n v="105087.58008088038"/>
    <n v="31016.898733250302"/>
    <n v="31016.898733250302"/>
  </r>
  <r>
    <x v="1"/>
    <x v="2"/>
    <x v="1"/>
    <s v="Konventionel"/>
    <x v="0"/>
    <s v="Halm"/>
    <n v="40120.701421661441"/>
    <n v="176531.08625531034"/>
    <n v="93738.006801569791"/>
    <n v="93738.006801569791"/>
  </r>
  <r>
    <x v="1"/>
    <x v="3"/>
    <x v="1"/>
    <s v="Konventionel"/>
    <x v="0"/>
    <s v="Græs"/>
    <n v="52539.013766461409"/>
    <n v="2606985.8630918153"/>
    <n v="0"/>
    <n v="2606985.8630918153"/>
  </r>
  <r>
    <x v="1"/>
    <x v="4"/>
    <x v="1"/>
    <s v="Konventionel"/>
    <x v="0"/>
    <s v="Grøntsager"/>
    <n v="9552.5479575384379"/>
    <n v="198215.37011892258"/>
    <n v="0"/>
    <n v="198215.37011892258"/>
  </r>
  <r>
    <x v="1"/>
    <x v="5"/>
    <x v="1"/>
    <s v="Konventionel"/>
    <x v="0"/>
    <s v="Kartofler"/>
    <n v="10458.742659116117"/>
    <n v="444192.20806732844"/>
    <n v="0"/>
    <n v="444192.20806732844"/>
  </r>
  <r>
    <x v="1"/>
    <x v="6"/>
    <x v="1"/>
    <s v="Konventionel"/>
    <x v="0"/>
    <s v="Roer"/>
    <n v="4776.273978769219"/>
    <n v="388090.08269283024"/>
    <n v="0"/>
    <n v="388090.08269283024"/>
  </r>
  <r>
    <x v="1"/>
    <x v="7"/>
    <x v="1"/>
    <s v="Konventionel"/>
    <x v="0"/>
    <s v="Majs"/>
    <n v="26269.506883230704"/>
    <n v="1169255.7513725988"/>
    <n v="0"/>
    <n v="1169255.7513725988"/>
  </r>
  <r>
    <x v="1"/>
    <x v="8"/>
    <x v="1"/>
    <s v="Konventionel"/>
    <x v="0"/>
    <s v="Frugt"/>
    <n v="969.67502399025432"/>
    <n v="8232.5409536772604"/>
    <n v="0"/>
    <n v="8232.5409536772604"/>
  </r>
  <r>
    <x v="1"/>
    <x v="9"/>
    <x v="1"/>
    <s v="Konventionel"/>
    <x v="0"/>
    <s v="Øvrige"/>
    <n v="13358.60317859992"/>
    <n v="398032.18565784121"/>
    <n v="0"/>
    <n v="398032.18565784121"/>
  </r>
  <r>
    <x v="1"/>
    <x v="10"/>
    <x v="1"/>
    <s v="Konventionel"/>
    <x v="0"/>
    <s v="Halm"/>
    <n v="19293.905517422652"/>
    <n v="275687.92944527901"/>
    <n v="45533.617021117461"/>
    <n v="45533.617021117461"/>
  </r>
  <r>
    <x v="1"/>
    <x v="11"/>
    <x v="1"/>
    <s v="Konventionel"/>
    <x v="0"/>
    <s v="Juletræer"/>
    <n v="3623.7280096758932"/>
    <n v="181186.40048379466"/>
    <n v="0"/>
    <n v="181186.40048379466"/>
  </r>
  <r>
    <x v="1"/>
    <x v="12"/>
    <x v="1"/>
    <s v="Konventionel"/>
    <x v="0"/>
    <s v="Pil &amp; poppel"/>
    <n v="1393.4824612096497"/>
    <n v="33987.377102674385"/>
    <n v="0"/>
    <n v="33987.377102674385"/>
  </r>
  <r>
    <x v="1"/>
    <x v="13"/>
    <x v="1"/>
    <s v="Konventionel"/>
    <x v="0"/>
    <s v="Græs"/>
    <n v="33803.046038754874"/>
    <n v="466144.00487442978"/>
    <n v="0"/>
    <n v="466144.00487442978"/>
  </r>
  <r>
    <x v="1"/>
    <x v="0"/>
    <x v="2"/>
    <s v="Konventionel"/>
    <x v="0"/>
    <s v="Halm"/>
    <n v="165742.2609289588"/>
    <n v="1161853.2491120012"/>
    <n v="632629.0941414847"/>
    <n v="632629.0941414847"/>
  </r>
  <r>
    <x v="1"/>
    <x v="1"/>
    <x v="2"/>
    <s v="Konventionel"/>
    <x v="0"/>
    <s v="Halm"/>
    <n v="42678.632189206888"/>
    <n v="164739.5202503386"/>
    <n v="81588.314369784915"/>
    <n v="81588.314369784915"/>
  </r>
  <r>
    <x v="1"/>
    <x v="2"/>
    <x v="2"/>
    <s v="Konventionel"/>
    <x v="0"/>
    <s v="Halm"/>
    <n v="42678.632189206888"/>
    <n v="187785.98163251032"/>
    <n v="167317.30963456671"/>
    <n v="167317.30963456671"/>
  </r>
  <r>
    <x v="1"/>
    <x v="3"/>
    <x v="2"/>
    <s v="Konventionel"/>
    <x v="0"/>
    <s v="Græs"/>
    <n v="35220.230447403745"/>
    <n v="1747627.8348001738"/>
    <n v="0"/>
    <n v="1747627.8348001738"/>
  </r>
  <r>
    <x v="1"/>
    <x v="4"/>
    <x v="2"/>
    <s v="Konventionel"/>
    <x v="0"/>
    <s v="Grøntsager"/>
    <n v="16574.226092895879"/>
    <n v="343915.19142758951"/>
    <n v="0"/>
    <n v="343915.19142758951"/>
  </r>
  <r>
    <x v="1"/>
    <x v="5"/>
    <x v="2"/>
    <s v="Konventionel"/>
    <x v="0"/>
    <s v="Kartofler"/>
    <n v="12430.669569671909"/>
    <n v="527941.71764950489"/>
    <n v="0"/>
    <n v="527941.71764950489"/>
  </r>
  <r>
    <x v="1"/>
    <x v="6"/>
    <x v="2"/>
    <s v="Konventionel"/>
    <x v="0"/>
    <s v="Roer"/>
    <n v="2071.7782616119848"/>
    <n v="168339.7142718753"/>
    <n v="0"/>
    <n v="168339.7142718753"/>
  </r>
  <r>
    <x v="1"/>
    <x v="7"/>
    <x v="2"/>
    <s v="Konventionel"/>
    <x v="0"/>
    <s v="Majs"/>
    <n v="20717.78261611985"/>
    <n v="922148.50424349459"/>
    <n v="0"/>
    <n v="922148.50424349459"/>
  </r>
  <r>
    <x v="1"/>
    <x v="8"/>
    <x v="2"/>
    <s v="Konventionel"/>
    <x v="0"/>
    <s v="Frugt"/>
    <n v="4143.5565232239696"/>
    <n v="35178.794882171504"/>
    <n v="0"/>
    <n v="35178.794882171504"/>
  </r>
  <r>
    <x v="1"/>
    <x v="9"/>
    <x v="2"/>
    <s v="Konventionel"/>
    <x v="0"/>
    <s v="Øvrige"/>
    <n v="11588.976593028619"/>
    <n v="345304.49188357411"/>
    <n v="0"/>
    <n v="345304.49188357411"/>
  </r>
  <r>
    <x v="1"/>
    <x v="10"/>
    <x v="2"/>
    <s v="Konventionel"/>
    <x v="0"/>
    <s v="Halm"/>
    <n v="16738.023911640095"/>
    <n v="239167.29306250089"/>
    <n v="66282.574690094785"/>
    <n v="66282.574690094785"/>
  </r>
  <r>
    <x v="1"/>
    <x v="11"/>
    <x v="2"/>
    <s v="Konventionel"/>
    <x v="0"/>
    <s v="Juletræer"/>
    <n v="3143.6893904380149"/>
    <n v="157184.46952190076"/>
    <n v="0"/>
    <n v="157184.46952190076"/>
  </r>
  <r>
    <x v="1"/>
    <x v="12"/>
    <x v="2"/>
    <s v="Konventionel"/>
    <x v="0"/>
    <s v="Pil &amp; poppel"/>
    <n v="1208.8865437387055"/>
    <n v="29485.037652163552"/>
    <n v="0"/>
    <n v="29485.037652163552"/>
  </r>
  <r>
    <x v="1"/>
    <x v="13"/>
    <x v="2"/>
    <s v="Konventionel"/>
    <x v="0"/>
    <s v="Græs"/>
    <n v="39363.786970627712"/>
    <n v="542826.62232495623"/>
    <n v="0"/>
    <n v="542826.6223249562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6526.072103535706"/>
    <n v="171552.00284867617"/>
    <n v="55668.624924395408"/>
    <n v="55668.624924395408"/>
  </r>
  <r>
    <x v="1"/>
    <x v="1"/>
    <x v="1"/>
    <s v="Økologisk"/>
    <x v="0"/>
    <s v="Halm"/>
    <n v="4248.9512446970111"/>
    <n v="9348.542528582364"/>
    <n v="2759.2489682353889"/>
    <n v="2759.2489682353889"/>
  </r>
  <r>
    <x v="1"/>
    <x v="2"/>
    <x v="1"/>
    <s v="Økologisk"/>
    <x v="0"/>
    <s v="Halm"/>
    <n v="6261.6123606061219"/>
    <n v="15153.101912666818"/>
    <n v="8046.2971156260801"/>
    <n v="8046.2971156260801"/>
  </r>
  <r>
    <x v="1"/>
    <x v="3"/>
    <x v="1"/>
    <s v="Økologisk"/>
    <x v="0"/>
    <s v="Græs"/>
    <n v="8199.7304722223016"/>
    <n v="317359.08830470312"/>
    <n v="0"/>
    <n v="317359.08830470312"/>
  </r>
  <r>
    <x v="1"/>
    <x v="4"/>
    <x v="1"/>
    <s v="Økologisk"/>
    <x v="0"/>
    <s v="Grøntsager"/>
    <n v="1490.8600858586003"/>
    <n v="17633.147665492597"/>
    <n v="0"/>
    <n v="17633.147665492597"/>
  </r>
  <r>
    <x v="1"/>
    <x v="5"/>
    <x v="1"/>
    <s v="Økologisk"/>
    <x v="0"/>
    <s v="Kartofler"/>
    <n v="1632.289316740666"/>
    <n v="39515.133422868123"/>
    <n v="0"/>
    <n v="39515.133422868123"/>
  </r>
  <r>
    <x v="1"/>
    <x v="6"/>
    <x v="1"/>
    <s v="Økologisk"/>
    <x v="0"/>
    <s v="Roer"/>
    <n v="745.43004292930016"/>
    <n v="34524.314292732124"/>
    <n v="0"/>
    <n v="34524.314292732124"/>
  </r>
  <r>
    <x v="1"/>
    <x v="7"/>
    <x v="1"/>
    <s v="Økologisk"/>
    <x v="0"/>
    <s v="Majs"/>
    <n v="4099.8652361111508"/>
    <n v="151462.55137722506"/>
    <n v="0"/>
    <n v="151462.55137722506"/>
  </r>
  <r>
    <x v="1"/>
    <x v="8"/>
    <x v="1"/>
    <s v="Økologisk"/>
    <x v="0"/>
    <s v="Frugt"/>
    <n v="151.33656443778534"/>
    <n v="732.3630362837747"/>
    <n v="0"/>
    <n v="732.3630362837747"/>
  </r>
  <r>
    <x v="1"/>
    <x v="9"/>
    <x v="1"/>
    <s v="Økologisk"/>
    <x v="0"/>
    <s v="Øvrige"/>
    <n v="2084.8687041745543"/>
    <n v="35408.759174995241"/>
    <n v="0"/>
    <n v="35408.759174995241"/>
  </r>
  <r>
    <x v="1"/>
    <x v="10"/>
    <x v="1"/>
    <s v="Økologisk"/>
    <x v="0"/>
    <s v="Halm"/>
    <n v="3011.1875663029573"/>
    <n v="24525.070717704293"/>
    <n v="4050.649514190738"/>
    <n v="4050.649514190738"/>
  </r>
  <r>
    <x v="1"/>
    <x v="11"/>
    <x v="1"/>
    <s v="Økologisk"/>
    <x v="0"/>
    <s v="Juletræer"/>
    <n v="565.55292636560182"/>
    <n v="16118.258401419651"/>
    <n v="0"/>
    <n v="16118.258401419651"/>
  </r>
  <r>
    <x v="1"/>
    <x v="12"/>
    <x v="1"/>
    <s v="Økologisk"/>
    <x v="0"/>
    <s v="Pil &amp; poppel"/>
    <n v="217.47992169167946"/>
    <n v="3023.5013503477389"/>
    <n v="0"/>
    <n v="3023.5013503477389"/>
  </r>
  <r>
    <x v="1"/>
    <x v="13"/>
    <x v="1"/>
    <s v="Økologisk"/>
    <x v="0"/>
    <s v="Græs"/>
    <n v="5275.6199020022059"/>
    <n v="72750.798448610425"/>
    <n v="0"/>
    <n v="72750.798448610425"/>
  </r>
  <r>
    <x v="1"/>
    <x v="0"/>
    <x v="2"/>
    <s v="Økologisk"/>
    <x v="0"/>
    <s v="Halm"/>
    <n v="35157.449287960953"/>
    <n v="165123.99207076619"/>
    <n v="89910.013682532212"/>
    <n v="89910.013682532212"/>
  </r>
  <r>
    <x v="1"/>
    <x v="1"/>
    <x v="2"/>
    <s v="Økologisk"/>
    <x v="0"/>
    <s v="Halm"/>
    <n v="9053.0431916499456"/>
    <n v="19918.50563026821"/>
    <n v="9864.7689192558119"/>
    <n v="9864.7689192558119"/>
  </r>
  <r>
    <x v="1"/>
    <x v="2"/>
    <x v="2"/>
    <s v="Økologisk"/>
    <x v="0"/>
    <s v="Halm"/>
    <n v="9053.0431916499456"/>
    <n v="21908.364523792872"/>
    <n v="19520.35279069945"/>
    <n v="19520.35279069945"/>
  </r>
  <r>
    <x v="1"/>
    <x v="3"/>
    <x v="2"/>
    <s v="Økologisk"/>
    <x v="0"/>
    <s v="Græs"/>
    <n v="7470.957973691703"/>
    <n v="289152.9690305742"/>
    <n v="0"/>
    <n v="289152.9690305742"/>
  </r>
  <r>
    <x v="1"/>
    <x v="4"/>
    <x v="2"/>
    <s v="Økologisk"/>
    <x v="0"/>
    <s v="Grøntsager"/>
    <n v="3515.7449287960953"/>
    <n v="41582.473145335818"/>
    <n v="0"/>
    <n v="41582.473145335818"/>
  </r>
  <r>
    <x v="1"/>
    <x v="5"/>
    <x v="2"/>
    <s v="Økologisk"/>
    <x v="0"/>
    <s v="Kartofler"/>
    <n v="2636.8086965970715"/>
    <n v="63832.953133985575"/>
    <n v="0"/>
    <n v="63832.953133985575"/>
  </r>
  <r>
    <x v="1"/>
    <x v="6"/>
    <x v="2"/>
    <s v="Økologisk"/>
    <x v="0"/>
    <s v="Roer"/>
    <n v="439.46811609951192"/>
    <n v="20353.801816508556"/>
    <n v="0"/>
    <n v="20353.801816508556"/>
  </r>
  <r>
    <x v="1"/>
    <x v="7"/>
    <x v="2"/>
    <s v="Økologisk"/>
    <x v="0"/>
    <s v="Majs"/>
    <n v="4394.6811609951192"/>
    <n v="162354.02453499101"/>
    <n v="0"/>
    <n v="162354.02453499101"/>
  </r>
  <r>
    <x v="1"/>
    <x v="8"/>
    <x v="2"/>
    <s v="Økologisk"/>
    <x v="0"/>
    <s v="Frugt"/>
    <n v="878.93623219902383"/>
    <n v="4253.436108480736"/>
    <n v="0"/>
    <n v="4253.436108480736"/>
  </r>
  <r>
    <x v="1"/>
    <x v="9"/>
    <x v="2"/>
    <s v="Økologisk"/>
    <x v="0"/>
    <s v="Øvrige"/>
    <n v="2458.2677621575858"/>
    <n v="41750.452200468506"/>
    <n v="0"/>
    <n v="41750.452200468506"/>
  </r>
  <r>
    <x v="1"/>
    <x v="10"/>
    <x v="2"/>
    <s v="Økologisk"/>
    <x v="0"/>
    <s v="Halm"/>
    <n v="3550.4899206509294"/>
    <n v="28917.499979375105"/>
    <n v="8014.1658488932781"/>
    <n v="8014.1658488932781"/>
  </r>
  <r>
    <x v="1"/>
    <x v="11"/>
    <x v="2"/>
    <s v="Økologisk"/>
    <x v="0"/>
    <s v="Juletræer"/>
    <n v="666.84320403230618"/>
    <n v="19005.031314920725"/>
    <n v="0"/>
    <n v="19005.031314920725"/>
  </r>
  <r>
    <x v="1"/>
    <x v="12"/>
    <x v="2"/>
    <s v="Økologisk"/>
    <x v="0"/>
    <s v="Pil &amp; poppel"/>
    <n v="256.43047897487696"/>
    <n v="3565.0090979434117"/>
    <n v="0"/>
    <n v="3565.0090979434117"/>
  </r>
  <r>
    <x v="1"/>
    <x v="13"/>
    <x v="2"/>
    <s v="Økologisk"/>
    <x v="0"/>
    <s v="Græs"/>
    <n v="8349.8942058907251"/>
    <n v="115145.04109923312"/>
    <n v="0"/>
    <n v="115145.0410992331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266161074505"/>
    <n v="21396.145894695874"/>
    <n v="6943.04934282881"/>
    <n v="6943.04934282881"/>
  </r>
  <r>
    <x v="1"/>
    <x v="1"/>
    <x v="1"/>
    <s v="Konventionel"/>
    <x v="1"/>
    <s v="Halm"/>
    <n v="68.781025480452769"/>
    <n v="318.59371002545726"/>
    <n v="94.03384142355003"/>
    <n v="94.03384142355003"/>
  </r>
  <r>
    <x v="1"/>
    <x v="2"/>
    <x v="1"/>
    <s v="Konventionel"/>
    <x v="1"/>
    <s v="Halm"/>
    <n v="277.81730642917057"/>
    <n v="1466.8753779460208"/>
    <n v="778.91082568933689"/>
    <n v="778.91082568933689"/>
  </r>
  <r>
    <x v="1"/>
    <x v="3"/>
    <x v="1"/>
    <s v="Konventionel"/>
    <x v="1"/>
    <s v="Græs"/>
    <n v="816.89928733229783"/>
    <n v="48641.451164914346"/>
    <n v="0"/>
    <n v="48641.451164914346"/>
  </r>
  <r>
    <x v="1"/>
    <x v="4"/>
    <x v="1"/>
    <s v="Konventionel"/>
    <x v="1"/>
    <s v="Grøntsager"/>
    <n v="15.471187824817051"/>
    <n v="385.23257683794458"/>
    <n v="0"/>
    <n v="385.23257683794458"/>
  </r>
  <r>
    <x v="1"/>
    <x v="5"/>
    <x v="1"/>
    <s v="Konventionel"/>
    <x v="1"/>
    <s v="Kartofler"/>
    <n v="26.302435262527187"/>
    <n v="1340.5057006495601"/>
    <n v="0"/>
    <n v="1340.5057006495601"/>
  </r>
  <r>
    <x v="1"/>
    <x v="6"/>
    <x v="1"/>
    <s v="Konventionel"/>
    <x v="1"/>
    <s v="Roer"/>
    <n v="73.48347036613049"/>
    <n v="7164.9673911620484"/>
    <n v="0"/>
    <n v="7164.9673911620484"/>
  </r>
  <r>
    <x v="1"/>
    <x v="7"/>
    <x v="1"/>
    <s v="Konventionel"/>
    <x v="1"/>
    <s v="Majs"/>
    <n v="78.344719162303662"/>
    <n v="4184.5481398969632"/>
    <n v="0"/>
    <n v="4184.5481398969632"/>
  </r>
  <r>
    <x v="1"/>
    <x v="8"/>
    <x v="1"/>
    <s v="Konventionel"/>
    <x v="1"/>
    <s v="Frugt"/>
    <n v="16.900566419398675"/>
    <n v="172.18297068083373"/>
    <n v="0"/>
    <n v="172.18297068083373"/>
  </r>
  <r>
    <x v="1"/>
    <x v="9"/>
    <x v="1"/>
    <s v="Konventionel"/>
    <x v="1"/>
    <s v="Øvrige"/>
    <n v="120.67824120695344"/>
    <n v="4314.8664692035982"/>
    <n v="0"/>
    <n v="4314.8664692035982"/>
  </r>
  <r>
    <x v="1"/>
    <x v="10"/>
    <x v="1"/>
    <s v="Konventionel"/>
    <x v="1"/>
    <s v="Halm"/>
    <n v="876.11830838913772"/>
    <n v="15022.479020898631"/>
    <n v="2481.1670493580382"/>
    <n v="2481.1670493580382"/>
  </r>
  <r>
    <x v="1"/>
    <x v="11"/>
    <x v="1"/>
    <s v="Konventionel"/>
    <x v="1"/>
    <s v="Juletræer"/>
    <n v="26.483091404220694"/>
    <n v="1588.9854842532416"/>
    <n v="0"/>
    <n v="1588.9854842532416"/>
  </r>
  <r>
    <x v="1"/>
    <x v="12"/>
    <x v="1"/>
    <s v="Konventionel"/>
    <x v="1"/>
    <s v="Pil &amp; poppel"/>
    <n v="56.207011126951372"/>
    <n v="1645.0832524961379"/>
    <n v="0"/>
    <n v="1645.0832524961379"/>
  </r>
  <r>
    <x v="1"/>
    <x v="13"/>
    <x v="1"/>
    <s v="Konventionel"/>
    <x v="1"/>
    <s v="Græs"/>
    <n v="1628.961148843877"/>
    <n v="26956.049091068475"/>
    <n v="0"/>
    <n v="26956.049091068475"/>
  </r>
  <r>
    <x v="1"/>
    <x v="0"/>
    <x v="2"/>
    <s v="Konventionel"/>
    <x v="1"/>
    <s v="Halm"/>
    <n v="6.1624419250252083E-2"/>
    <n v="0.51838461473312047"/>
    <n v="0.28226042272218416"/>
    <n v="0.28226042272218416"/>
  </r>
  <r>
    <x v="1"/>
    <x v="1"/>
    <x v="2"/>
    <s v="Konventionel"/>
    <x v="1"/>
    <s v="Halm"/>
    <n v="1.6664228020370887E-3"/>
    <n v="7.7188704190357948E-3"/>
    <n v="3.8228205677115386E-3"/>
    <n v="3.8228205677115386E-3"/>
  </r>
  <r>
    <x v="1"/>
    <x v="2"/>
    <x v="2"/>
    <s v="Konventionel"/>
    <x v="1"/>
    <s v="Halm"/>
    <n v="6.7309420148972078E-3"/>
    <n v="3.5539373838657261E-2"/>
    <n v="3.1665582090243616E-2"/>
    <n v="3.1665582090243616E-2"/>
  </r>
  <r>
    <x v="1"/>
    <x v="3"/>
    <x v="2"/>
    <s v="Konventionel"/>
    <x v="1"/>
    <s v="Græs"/>
    <n v="1.9791789812224642E-2"/>
    <n v="1.1784823325791041"/>
    <n v="0"/>
    <n v="1.1784823325791041"/>
  </r>
  <r>
    <x v="1"/>
    <x v="4"/>
    <x v="2"/>
    <s v="Konventionel"/>
    <x v="1"/>
    <s v="Grøntsager"/>
    <n v="3.7483506513290803E-4"/>
    <n v="9.3333931218094104E-3"/>
    <n v="0"/>
    <n v="9.3333931218094104E-3"/>
  </r>
  <r>
    <x v="1"/>
    <x v="5"/>
    <x v="2"/>
    <s v="Konventionel"/>
    <x v="1"/>
    <s v="Kartofler"/>
    <n v="6.37253916533074E-4"/>
    <n v="3.2477696431815778E-2"/>
    <n v="0"/>
    <n v="3.2477696431815778E-2"/>
  </r>
  <r>
    <x v="1"/>
    <x v="6"/>
    <x v="2"/>
    <s v="Konventionel"/>
    <x v="1"/>
    <s v="Roer"/>
    <n v="1.7803533712322671E-3"/>
    <n v="0.17359242542665901"/>
    <n v="0"/>
    <n v="0.17359242542665901"/>
  </r>
  <r>
    <x v="1"/>
    <x v="7"/>
    <x v="2"/>
    <s v="Konventionel"/>
    <x v="1"/>
    <s v="Majs"/>
    <n v="1.8981314326050301E-3"/>
    <n v="0.10138299607829987"/>
    <n v="0"/>
    <n v="0.10138299607829987"/>
  </r>
  <r>
    <x v="1"/>
    <x v="8"/>
    <x v="2"/>
    <s v="Konventionel"/>
    <x v="1"/>
    <s v="Frugt"/>
    <n v="4.094659690212412E-4"/>
    <n v="4.1716392923884056E-3"/>
    <n v="0"/>
    <n v="4.1716392923884056E-3"/>
  </r>
  <r>
    <x v="1"/>
    <x v="9"/>
    <x v="2"/>
    <s v="Konventionel"/>
    <x v="1"/>
    <s v="Øvrige"/>
    <n v="2.9237856145973122E-3"/>
    <n v="0.10454034120310714"/>
    <n v="0"/>
    <n v="0.10454034120310714"/>
  </r>
  <r>
    <x v="1"/>
    <x v="10"/>
    <x v="2"/>
    <s v="Konventionel"/>
    <x v="1"/>
    <s v="Halm"/>
    <n v="2.1226544910947009E-2"/>
    <n v="0.36396377356519294"/>
    <n v="0.10086854141682021"/>
    <n v="0.10086854141682021"/>
  </r>
  <r>
    <x v="1"/>
    <x v="11"/>
    <x v="2"/>
    <s v="Konventionel"/>
    <x v="1"/>
    <s v="Juletræer"/>
    <n v="6.4163084333437122E-4"/>
    <n v="3.8497850600062278E-2"/>
    <n v="0"/>
    <n v="3.8497850600062278E-2"/>
  </r>
  <r>
    <x v="1"/>
    <x v="12"/>
    <x v="2"/>
    <s v="Konventionel"/>
    <x v="1"/>
    <s v="Pil &amp; poppel"/>
    <n v="1.3617802921958929E-3"/>
    <n v="3.9856984161831012E-2"/>
    <n v="0"/>
    <n v="3.9856984161831012E-2"/>
  </r>
  <r>
    <x v="1"/>
    <x v="13"/>
    <x v="2"/>
    <s v="Konventionel"/>
    <x v="1"/>
    <s v="Græs"/>
    <n v="3.9466378744780817E-2"/>
    <n v="0.65308963546863297"/>
    <n v="0"/>
    <n v="0.6530896354686329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6658170463104"/>
    <n v="2237.319533150569"/>
    <n v="726.01018850735954"/>
    <n v="726.01018850735954"/>
  </r>
  <r>
    <x v="1"/>
    <x v="1"/>
    <x v="1"/>
    <s v="Økologisk"/>
    <x v="1"/>
    <s v="Halm"/>
    <n v="10.734610913134247"/>
    <n v="28.341949117293566"/>
    <n v="8.3652070491817039"/>
    <n v="8.3652070491817039"/>
  </r>
  <r>
    <x v="1"/>
    <x v="2"/>
    <x v="1"/>
    <s v="Økologisk"/>
    <x v="1"/>
    <s v="Halm"/>
    <n v="43.358770367558421"/>
    <n v="125.91386914738968"/>
    <n v="66.860264517263914"/>
    <n v="66.860264517263914"/>
  </r>
  <r>
    <x v="1"/>
    <x v="3"/>
    <x v="1"/>
    <s v="Økologisk"/>
    <x v="1"/>
    <s v="Græs"/>
    <n v="127.4929523582199"/>
    <n v="5921.32347706992"/>
    <n v="0"/>
    <n v="5921.32347706992"/>
  </r>
  <r>
    <x v="1"/>
    <x v="4"/>
    <x v="1"/>
    <s v="Økologisk"/>
    <x v="1"/>
    <s v="Grøntsager"/>
    <n v="2.4145784466477478"/>
    <n v="34.270111893271483"/>
    <n v="0"/>
    <n v="34.270111893271483"/>
  </r>
  <r>
    <x v="1"/>
    <x v="5"/>
    <x v="1"/>
    <s v="Økologisk"/>
    <x v="1"/>
    <s v="Kartofler"/>
    <n v="4.1050043473308326"/>
    <n v="119.25076724275564"/>
    <n v="0"/>
    <n v="119.25076724275564"/>
  </r>
  <r>
    <x v="1"/>
    <x v="6"/>
    <x v="1"/>
    <s v="Økologisk"/>
    <x v="1"/>
    <s v="Roer"/>
    <n v="11.468518496448112"/>
    <n v="637.39218583805734"/>
    <n v="0"/>
    <n v="637.39218583805734"/>
  </r>
  <r>
    <x v="1"/>
    <x v="7"/>
    <x v="1"/>
    <s v="Økologisk"/>
    <x v="1"/>
    <s v="Majs"/>
    <n v="12.227210505099418"/>
    <n v="542.05620702364729"/>
    <n v="0"/>
    <n v="542.05620702364729"/>
  </r>
  <r>
    <x v="1"/>
    <x v="8"/>
    <x v="1"/>
    <s v="Økologisk"/>
    <x v="1"/>
    <s v="Frugt"/>
    <n v="2.6376606550506607"/>
    <n v="15.317317449583994"/>
    <n v="0"/>
    <n v="15.317317449583994"/>
  </r>
  <r>
    <x v="1"/>
    <x v="9"/>
    <x v="1"/>
    <s v="Økologisk"/>
    <x v="1"/>
    <s v="Øvrige"/>
    <n v="18.834176373339556"/>
    <n v="383.84852578637788"/>
    <n v="0"/>
    <n v="383.84852578637788"/>
  </r>
  <r>
    <x v="1"/>
    <x v="10"/>
    <x v="1"/>
    <s v="Økologisk"/>
    <x v="1"/>
    <s v="Halm"/>
    <n v="136.73522732084808"/>
    <n v="1336.3927868880339"/>
    <n v="220.72347335040578"/>
    <n v="220.72347335040578"/>
  </r>
  <r>
    <x v="1"/>
    <x v="11"/>
    <x v="1"/>
    <s v="Økologisk"/>
    <x v="1"/>
    <s v="Juletræer"/>
    <n v="4.1331992364968713"/>
    <n v="141.35541388819297"/>
    <n v="0"/>
    <n v="141.35541388819297"/>
  </r>
  <r>
    <x v="1"/>
    <x v="12"/>
    <x v="1"/>
    <s v="Økologisk"/>
    <x v="1"/>
    <s v="Pil &amp; poppel"/>
    <n v="8.7721924880213127"/>
    <n v="146.34584540991651"/>
    <n v="0"/>
    <n v="146.34584540991651"/>
  </r>
  <r>
    <x v="1"/>
    <x v="13"/>
    <x v="1"/>
    <s v="Økologisk"/>
    <x v="1"/>
    <s v="Græs"/>
    <n v="254.23093074442014"/>
    <n v="4207.0134419586639"/>
    <n v="0"/>
    <n v="4207.0134419586639"/>
  </r>
  <r>
    <x v="1"/>
    <x v="0"/>
    <x v="2"/>
    <s v="Økologisk"/>
    <x v="1"/>
    <s v="Halm"/>
    <n v="1.3071846507629228E-2"/>
    <n v="7.3673449790858631E-2"/>
    <n v="4.0115193411122525E-2"/>
    <n v="4.0115193411122525E-2"/>
  </r>
  <r>
    <x v="1"/>
    <x v="1"/>
    <x v="2"/>
    <s v="Økologisk"/>
    <x v="1"/>
    <s v="Halm"/>
    <n v="3.5348362467453397E-4"/>
    <n v="9.3328160521069156E-4"/>
    <n v="4.6221375955057689E-4"/>
    <n v="4.6221375955057689E-4"/>
  </r>
  <r>
    <x v="1"/>
    <x v="2"/>
    <x v="2"/>
    <s v="Økologisk"/>
    <x v="1"/>
    <s v="Halm"/>
    <n v="1.4277755789175895E-3"/>
    <n v="4.1462602811766806E-3"/>
    <n v="3.6943179105284225E-3"/>
    <n v="3.6943179105284225E-3"/>
  </r>
  <r>
    <x v="1"/>
    <x v="3"/>
    <x v="2"/>
    <s v="Økologisk"/>
    <x v="1"/>
    <s v="Græs"/>
    <n v="4.1982584450173483E-3"/>
    <n v="0.19498525866308813"/>
    <n v="0"/>
    <n v="0.19498525866308813"/>
  </r>
  <r>
    <x v="1"/>
    <x v="4"/>
    <x v="2"/>
    <s v="Økologisk"/>
    <x v="1"/>
    <s v="Grøntsager"/>
    <n v="7.9510468361525957E-5"/>
    <n v="1.1284920774551376E-3"/>
    <n v="0"/>
    <n v="1.1284920774551376E-3"/>
  </r>
  <r>
    <x v="1"/>
    <x v="5"/>
    <x v="2"/>
    <s v="Økologisk"/>
    <x v="1"/>
    <s v="Kartofler"/>
    <n v="1.351750732039854E-4"/>
    <n v="3.926848750392271E-3"/>
    <n v="0"/>
    <n v="3.926848750392271E-3"/>
  </r>
  <r>
    <x v="1"/>
    <x v="6"/>
    <x v="2"/>
    <s v="Økologisk"/>
    <x v="1"/>
    <s v="Roer"/>
    <n v="3.7765071510987484E-4"/>
    <n v="2.0988902347041496E-2"/>
    <n v="0"/>
    <n v="2.0988902347041496E-2"/>
  </r>
  <r>
    <x v="1"/>
    <x v="7"/>
    <x v="2"/>
    <s v="Økologisk"/>
    <x v="1"/>
    <s v="Majs"/>
    <n v="4.0263394024955173E-4"/>
    <n v="1.784955173378552E-2"/>
    <n v="0"/>
    <n v="1.784955173378552E-2"/>
  </r>
  <r>
    <x v="1"/>
    <x v="8"/>
    <x v="2"/>
    <s v="Økologisk"/>
    <x v="1"/>
    <s v="Frugt"/>
    <n v="8.6856417671172357E-5"/>
    <n v="5.0438911444332531E-4"/>
    <n v="0"/>
    <n v="5.0438911444332531E-4"/>
  </r>
  <r>
    <x v="1"/>
    <x v="9"/>
    <x v="2"/>
    <s v="Økologisk"/>
    <x v="1"/>
    <s v="Øvrige"/>
    <n v="6.2019694855094509E-4"/>
    <n v="1.2639877618193865E-2"/>
    <n v="0"/>
    <n v="1.2639877618193865E-2"/>
  </r>
  <r>
    <x v="1"/>
    <x v="10"/>
    <x v="2"/>
    <s v="Økologisk"/>
    <x v="1"/>
    <s v="Halm"/>
    <n v="4.5026004356554256E-3"/>
    <n v="4.400652898560968E-2"/>
    <n v="1.2195923644033711E-2"/>
    <n v="1.2195923644033711E-2"/>
  </r>
  <r>
    <x v="1"/>
    <x v="11"/>
    <x v="2"/>
    <s v="Økologisk"/>
    <x v="1"/>
    <s v="Juletræer"/>
    <n v="1.3610351222244238E-4"/>
    <n v="4.6547401180075292E-3"/>
    <n v="0"/>
    <n v="4.6547401180075292E-3"/>
  </r>
  <r>
    <x v="1"/>
    <x v="12"/>
    <x v="2"/>
    <s v="Økologisk"/>
    <x v="1"/>
    <s v="Pil &amp; poppel"/>
    <n v="2.8886248622337122E-4"/>
    <n v="4.8190717213850223E-3"/>
    <n v="0"/>
    <n v="4.8190717213850223E-3"/>
  </r>
  <r>
    <x v="1"/>
    <x v="13"/>
    <x v="2"/>
    <s v="Økologisk"/>
    <x v="1"/>
    <s v="Græs"/>
    <n v="8.3716560973777481E-3"/>
    <n v="0.13853416509940697"/>
    <n v="0"/>
    <n v="0.13853416509940697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.5754933628917617E-2"/>
    <n v="0.44903891863419743"/>
    <n v="0.14571312909679709"/>
    <n v="0.14571312909679709"/>
  </r>
  <r>
    <x v="1"/>
    <x v="1"/>
    <x v="1"/>
    <s v="Konventionel"/>
    <x v="2"/>
    <s v="Halm"/>
    <n v="8.3106047603679744E-4"/>
    <n v="4.4910508125028531E-3"/>
    <n v="1.3255464456415479E-3"/>
    <n v="1.3255464456415479E-3"/>
  </r>
  <r>
    <x v="1"/>
    <x v="2"/>
    <x v="1"/>
    <s v="Konventionel"/>
    <x v="2"/>
    <s v="Halm"/>
    <n v="4.0595359645178462E-3"/>
    <n v="2.5006741541429935E-2"/>
    <n v="1.3278579758499293E-2"/>
    <n v="1.3278579758499293E-2"/>
  </r>
  <r>
    <x v="1"/>
    <x v="3"/>
    <x v="1"/>
    <s v="Konventionel"/>
    <x v="2"/>
    <s v="Græs"/>
    <n v="2.9831848636857054E-2"/>
    <n v="2.0723588611051857"/>
    <n v="0"/>
    <n v="2.0723588611051857"/>
  </r>
  <r>
    <x v="1"/>
    <x v="4"/>
    <x v="1"/>
    <s v="Konventionel"/>
    <x v="2"/>
    <s v="Grøntsager"/>
    <n v="1.4040654632499296E-4"/>
    <n v="4.078810170741045E-3"/>
    <n v="0"/>
    <n v="4.078810170741045E-3"/>
  </r>
  <r>
    <x v="1"/>
    <x v="5"/>
    <x v="1"/>
    <s v="Konventionel"/>
    <x v="2"/>
    <s v="Kartofler"/>
    <n v="8.0030056464171814E-4"/>
    <n v="4.7585278758363492E-2"/>
    <n v="0"/>
    <n v="4.7585278758363492E-2"/>
  </r>
  <r>
    <x v="1"/>
    <x v="6"/>
    <x v="1"/>
    <s v="Konventionel"/>
    <x v="2"/>
    <s v="Roer"/>
    <n v="9.2161460426674424E-4"/>
    <n v="0.1048384756399913"/>
    <n v="0"/>
    <n v="0.1048384756399913"/>
  </r>
  <r>
    <x v="1"/>
    <x v="7"/>
    <x v="1"/>
    <s v="Konventionel"/>
    <x v="2"/>
    <s v="Majs"/>
    <n v="9.466157148310761E-4"/>
    <n v="5.8987411653983683E-2"/>
    <n v="0"/>
    <n v="5.8987411653983683E-2"/>
  </r>
  <r>
    <x v="1"/>
    <x v="8"/>
    <x v="1"/>
    <s v="Konventionel"/>
    <x v="2"/>
    <s v="Frugt"/>
    <n v="3.4350362462884858E-4"/>
    <n v="4.0828840823384947E-3"/>
    <n v="0"/>
    <n v="4.0828840823384947E-3"/>
  </r>
  <r>
    <x v="1"/>
    <x v="9"/>
    <x v="1"/>
    <s v="Konventionel"/>
    <x v="2"/>
    <s v="Øvrige"/>
    <n v="2.452782483126852E-3"/>
    <n v="0.10231615562716326"/>
    <n v="0"/>
    <n v="0.10231615562716326"/>
  </r>
  <r>
    <x v="1"/>
    <x v="10"/>
    <x v="1"/>
    <s v="Konventionel"/>
    <x v="2"/>
    <s v="Halm"/>
    <n v="2.2953573895167008E-2"/>
    <n v="0.45917258984910614"/>
    <n v="7.5838608149631781E-2"/>
    <n v="7.5838608149631781E-2"/>
  </r>
  <r>
    <x v="1"/>
    <x v="11"/>
    <x v="1"/>
    <s v="Konventionel"/>
    <x v="2"/>
    <s v="Juletræer"/>
    <n v="5.3826822503920445E-4"/>
    <n v="3.7678775752744309E-2"/>
    <n v="0"/>
    <n v="3.7678775752744309E-2"/>
  </r>
  <r>
    <x v="1"/>
    <x v="12"/>
    <x v="1"/>
    <s v="Konventionel"/>
    <x v="2"/>
    <s v="Pil &amp; poppel"/>
    <n v="1.6419437573988649E-3"/>
    <n v="5.6066372203863679E-2"/>
    <n v="0"/>
    <n v="5.6066372203863679E-2"/>
  </r>
  <r>
    <x v="1"/>
    <x v="13"/>
    <x v="1"/>
    <s v="Konventionel"/>
    <x v="2"/>
    <s v="Græs"/>
    <n v="5.7100799688875818E-2"/>
    <n v="1.1023880387934366"/>
    <n v="0"/>
    <n v="1.1023880387934366"/>
  </r>
  <r>
    <x v="1"/>
    <x v="0"/>
    <x v="2"/>
    <s v="Konventionel"/>
    <x v="2"/>
    <s v="Halm"/>
    <n v="4.3639098547811596E-2"/>
    <n v="0.42827411314822295"/>
    <n v="0.23319525460920743"/>
    <n v="0.23319525460920743"/>
  </r>
  <r>
    <x v="1"/>
    <x v="1"/>
    <x v="2"/>
    <s v="Konventionel"/>
    <x v="2"/>
    <s v="Halm"/>
    <n v="7.9262993379232123E-4"/>
    <n v="4.283372162213704E-3"/>
    <n v="2.1213678053840198E-3"/>
    <n v="2.1213678053840198E-3"/>
  </r>
  <r>
    <x v="1"/>
    <x v="2"/>
    <x v="2"/>
    <s v="Konventionel"/>
    <x v="2"/>
    <s v="Halm"/>
    <n v="3.8718117580661539E-3"/>
    <n v="2.3850360429687509E-2"/>
    <n v="2.1250671142851573E-2"/>
    <n v="2.1250671142851573E-2"/>
  </r>
  <r>
    <x v="1"/>
    <x v="3"/>
    <x v="2"/>
    <s v="Konventionel"/>
    <x v="2"/>
    <s v="Græs"/>
    <n v="2.8452341185441699E-2"/>
    <n v="1.9765272374702638"/>
    <n v="0"/>
    <n v="1.9765272374702638"/>
  </r>
  <r>
    <x v="1"/>
    <x v="4"/>
    <x v="2"/>
    <s v="Konventionel"/>
    <x v="2"/>
    <s v="Grøntsager"/>
    <n v="1.3391375805562911E-4"/>
    <n v="3.8901946715160251E-3"/>
    <n v="0"/>
    <n v="3.8901946715160251E-3"/>
  </r>
  <r>
    <x v="1"/>
    <x v="5"/>
    <x v="2"/>
    <s v="Konventionel"/>
    <x v="2"/>
    <s v="Kartofler"/>
    <n v="7.6329244604556935E-4"/>
    <n v="4.5384803440057665E-2"/>
    <n v="0"/>
    <n v="4.5384803440057665E-2"/>
  </r>
  <r>
    <x v="1"/>
    <x v="6"/>
    <x v="2"/>
    <s v="Konventionel"/>
    <x v="2"/>
    <s v="Roer"/>
    <n v="8.7899658788446707E-4"/>
    <n v="9.99904536450784E-2"/>
    <n v="0"/>
    <n v="9.99904536450784E-2"/>
  </r>
  <r>
    <x v="1"/>
    <x v="7"/>
    <x v="2"/>
    <s v="Konventionel"/>
    <x v="2"/>
    <s v="Majs"/>
    <n v="9.0284157772906114E-4"/>
    <n v="5.625967007460872E-2"/>
    <n v="0"/>
    <n v="5.625967007460872E-2"/>
  </r>
  <r>
    <x v="1"/>
    <x v="8"/>
    <x v="2"/>
    <s v="Konventionel"/>
    <x v="2"/>
    <s v="Frugt"/>
    <n v="3.2761906395237006E-4"/>
    <n v="3.894080194137871E-3"/>
    <n v="0"/>
    <n v="3.894080194137871E-3"/>
  </r>
  <r>
    <x v="1"/>
    <x v="9"/>
    <x v="2"/>
    <s v="Konventionel"/>
    <x v="2"/>
    <s v="Øvrige"/>
    <n v="2.3393590156990207E-3"/>
    <n v="9.7584772707988071E-2"/>
    <n v="0"/>
    <n v="9.7584772707988071E-2"/>
  </r>
  <r>
    <x v="1"/>
    <x v="10"/>
    <x v="2"/>
    <s v="Konventionel"/>
    <x v="2"/>
    <s v="Halm"/>
    <n v="2.1892136952037899E-2"/>
    <n v="0.43793917528960996"/>
    <n v="0.12137000726209812"/>
    <n v="0.12137000726209812"/>
  </r>
  <r>
    <x v="1"/>
    <x v="11"/>
    <x v="2"/>
    <s v="Konventionel"/>
    <x v="2"/>
    <s v="Juletræer"/>
    <n v="5.1337720885242047E-4"/>
    <n v="3.5936404619669425E-2"/>
    <n v="0"/>
    <n v="3.5936404619669425E-2"/>
  </r>
  <r>
    <x v="1"/>
    <x v="12"/>
    <x v="2"/>
    <s v="Konventionel"/>
    <x v="2"/>
    <s v="Pil &amp; poppel"/>
    <n v="1.56601572237464E-3"/>
    <n v="5.3473707593280385E-2"/>
    <n v="0"/>
    <n v="5.3473707593280385E-2"/>
  </r>
  <r>
    <x v="1"/>
    <x v="13"/>
    <x v="2"/>
    <s v="Konventionel"/>
    <x v="2"/>
    <s v="Græs"/>
    <n v="5.4460300281297752E-2"/>
    <n v="1.0514105572307344"/>
    <n v="0"/>
    <n v="1.0514105572307344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7.1409433987328075E-3"/>
    <n v="4.6954416405159731E-2"/>
    <n v="1.523670812347433E-2"/>
    <n v="1.523670812347433E-2"/>
  </r>
  <r>
    <x v="1"/>
    <x v="1"/>
    <x v="1"/>
    <s v="Økologisk"/>
    <x v="2"/>
    <s v="Halm"/>
    <n v="1.2970308007510711E-4"/>
    <n v="3.9952180349375088E-4"/>
    <n v="1.1791999883481743E-4"/>
    <n v="1.1791999883481743E-4"/>
  </r>
  <r>
    <x v="1"/>
    <x v="2"/>
    <x v="1"/>
    <s v="Økologisk"/>
    <x v="2"/>
    <s v="Halm"/>
    <n v="6.3356919677446158E-4"/>
    <n v="2.1465324386718758E-3"/>
    <n v="1.139808724934766E-3"/>
    <n v="1.139808724934766E-3"/>
  </r>
  <r>
    <x v="1"/>
    <x v="3"/>
    <x v="1"/>
    <s v="Økologisk"/>
    <x v="2"/>
    <s v="Græs"/>
    <n v="4.6558376485268237E-3"/>
    <n v="0.25227674921893189"/>
    <n v="0"/>
    <n v="0.25227674921893189"/>
  </r>
  <r>
    <x v="1"/>
    <x v="4"/>
    <x v="1"/>
    <s v="Økologisk"/>
    <x v="2"/>
    <s v="Grøntsager"/>
    <n v="2.1913160409102947E-5"/>
    <n v="3.628490666341311E-4"/>
    <n v="0"/>
    <n v="3.628490666341311E-4"/>
  </r>
  <r>
    <x v="1"/>
    <x v="5"/>
    <x v="1"/>
    <s v="Økologisk"/>
    <x v="2"/>
    <s v="Kartofler"/>
    <n v="1.2490240026200229E-4"/>
    <n v="4.2331643935908337E-3"/>
    <n v="0"/>
    <n v="4.2331643935908337E-3"/>
  </r>
  <r>
    <x v="1"/>
    <x v="6"/>
    <x v="1"/>
    <s v="Økologisk"/>
    <x v="2"/>
    <s v="Roer"/>
    <n v="1.4383580529018554E-4"/>
    <n v="9.3263823127136773E-3"/>
    <n v="0"/>
    <n v="9.3263823127136773E-3"/>
  </r>
  <r>
    <x v="1"/>
    <x v="7"/>
    <x v="1"/>
    <s v="Økologisk"/>
    <x v="2"/>
    <s v="Majs"/>
    <n v="1.4773771271930092E-4"/>
    <n v="7.6410860992241307E-3"/>
    <n v="0"/>
    <n v="7.6410860992241307E-3"/>
  </r>
  <r>
    <x v="1"/>
    <x v="8"/>
    <x v="1"/>
    <s v="Økologisk"/>
    <x v="2"/>
    <s v="Frugt"/>
    <n v="5.36103922831151E-5"/>
    <n v="3.6321147992595049E-4"/>
    <n v="0"/>
    <n v="3.6321147992595049E-4"/>
  </r>
  <r>
    <x v="1"/>
    <x v="9"/>
    <x v="1"/>
    <s v="Økologisk"/>
    <x v="2"/>
    <s v="Øvrige"/>
    <n v="3.8280420256893069E-4"/>
    <n v="9.1019978907632502E-3"/>
    <n v="0"/>
    <n v="9.1019978907632502E-3"/>
  </r>
  <r>
    <x v="1"/>
    <x v="10"/>
    <x v="1"/>
    <s v="Økologisk"/>
    <x v="2"/>
    <s v="Halm"/>
    <n v="3.5823496830607472E-3"/>
    <n v="4.0847781258830901E-2"/>
    <n v="6.746567511114643E-3"/>
    <n v="6.746567511114643E-3"/>
  </r>
  <r>
    <x v="1"/>
    <x v="11"/>
    <x v="1"/>
    <s v="Økologisk"/>
    <x v="2"/>
    <s v="Juletræer"/>
    <n v="8.4007179630396072E-5"/>
    <n v="3.351886467252803E-3"/>
    <n v="0"/>
    <n v="3.351886467252803E-3"/>
  </r>
  <r>
    <x v="1"/>
    <x v="12"/>
    <x v="1"/>
    <s v="Økologisk"/>
    <x v="2"/>
    <s v="Pil &amp; poppel"/>
    <n v="2.5625711820675929E-4"/>
    <n v="4.9876385446096065E-3"/>
    <n v="0"/>
    <n v="4.9876385446096065E-3"/>
  </r>
  <r>
    <x v="1"/>
    <x v="13"/>
    <x v="1"/>
    <s v="Økologisk"/>
    <x v="2"/>
    <s v="Græs"/>
    <n v="8.9116855005759964E-3"/>
    <n v="0.17204900027412021"/>
    <n v="0"/>
    <n v="0.17204900027412021"/>
  </r>
  <r>
    <x v="1"/>
    <x v="0"/>
    <x v="2"/>
    <s v="Økologisk"/>
    <x v="2"/>
    <s v="Halm"/>
    <n v="9.2567784798388234E-3"/>
    <n v="6.0866836080762599E-2"/>
    <n v="3.3141992245975242E-2"/>
    <n v="3.3141992245975242E-2"/>
  </r>
  <r>
    <x v="1"/>
    <x v="1"/>
    <x v="2"/>
    <s v="Økologisk"/>
    <x v="2"/>
    <s v="Halm"/>
    <n v="1.6813362231958326E-4"/>
    <n v="5.1789863415856597E-4"/>
    <n v="2.5649265283279502E-4"/>
    <n v="2.5649265283279502E-4"/>
  </r>
  <r>
    <x v="1"/>
    <x v="2"/>
    <x v="2"/>
    <s v="Økologisk"/>
    <x v="2"/>
    <s v="Halm"/>
    <n v="8.2129340322615392E-4"/>
    <n v="2.7825420501302097E-3"/>
    <n v="2.4792449666660174E-3"/>
    <n v="2.4792449666660174E-3"/>
  </r>
  <r>
    <x v="1"/>
    <x v="3"/>
    <x v="2"/>
    <s v="Økologisk"/>
    <x v="2"/>
    <s v="Græs"/>
    <n v="6.0353450999421779E-3"/>
    <n v="0.32702541565417098"/>
    <n v="0"/>
    <n v="0.32702541565417098"/>
  </r>
  <r>
    <x v="1"/>
    <x v="4"/>
    <x v="2"/>
    <s v="Økologisk"/>
    <x v="2"/>
    <s v="Grøntsager"/>
    <n v="2.8405948678466784E-5"/>
    <n v="4.7035990119239225E-4"/>
    <n v="0"/>
    <n v="4.7035990119239225E-4"/>
  </r>
  <r>
    <x v="1"/>
    <x v="5"/>
    <x v="2"/>
    <s v="Økologisk"/>
    <x v="2"/>
    <s v="Kartofler"/>
    <n v="1.6191051885815108E-4"/>
    <n v="5.4874353250251532E-3"/>
    <n v="0"/>
    <n v="5.4874353250251532E-3"/>
  </r>
  <r>
    <x v="1"/>
    <x v="6"/>
    <x v="2"/>
    <s v="Økologisk"/>
    <x v="2"/>
    <s v="Roer"/>
    <n v="1.8645382167246271E-4"/>
    <n v="1.2089754849814026E-2"/>
    <n v="0"/>
    <n v="1.2089754849814026E-2"/>
  </r>
  <r>
    <x v="1"/>
    <x v="7"/>
    <x v="2"/>
    <s v="Økologisk"/>
    <x v="2"/>
    <s v="Majs"/>
    <n v="1.9151184982131597E-4"/>
    <n v="9.9051116101053494E-3"/>
    <n v="0"/>
    <n v="9.9051116101053494E-3"/>
  </r>
  <r>
    <x v="1"/>
    <x v="8"/>
    <x v="2"/>
    <s v="Økologisk"/>
    <x v="2"/>
    <s v="Frugt"/>
    <n v="6.9494952959593638E-5"/>
    <n v="4.7082969620030604E-4"/>
    <n v="0"/>
    <n v="4.7082969620030604E-4"/>
  </r>
  <r>
    <x v="1"/>
    <x v="9"/>
    <x v="2"/>
    <s v="Økologisk"/>
    <x v="2"/>
    <s v="Øvrige"/>
    <n v="4.9622766999676197E-4"/>
    <n v="1.1798886154693104E-2"/>
    <n v="0"/>
    <n v="1.1798886154693104E-2"/>
  </r>
  <r>
    <x v="1"/>
    <x v="10"/>
    <x v="2"/>
    <s v="Økologisk"/>
    <x v="2"/>
    <s v="Halm"/>
    <n v="4.6437866261898574E-3"/>
    <n v="5.2950827557743746E-2"/>
    <n v="1.4674737241690045E-2"/>
    <n v="1.4674737241690045E-2"/>
  </r>
  <r>
    <x v="1"/>
    <x v="11"/>
    <x v="2"/>
    <s v="Økologisk"/>
    <x v="2"/>
    <s v="Juletræer"/>
    <n v="1.0889819581718008E-4"/>
    <n v="4.3450380131054853E-3"/>
    <n v="0"/>
    <n v="4.3450380131054853E-3"/>
  </r>
  <r>
    <x v="1"/>
    <x v="12"/>
    <x v="2"/>
    <s v="Økologisk"/>
    <x v="2"/>
    <s v="Pil &amp; poppel"/>
    <n v="3.3218515323098425E-4"/>
    <n v="6.4654573726420821E-3"/>
    <n v="0"/>
    <n v="6.4654573726420821E-3"/>
  </r>
  <r>
    <x v="1"/>
    <x v="13"/>
    <x v="2"/>
    <s v="Økologisk"/>
    <x v="2"/>
    <s v="Græs"/>
    <n v="1.1552184908154068E-2"/>
    <n v="0.22302648183682244"/>
    <n v="0"/>
    <n v="0.2230264818368224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6678880.1812345712"/>
  </r>
  <r>
    <x v="1"/>
    <x v="0"/>
    <x v="1"/>
    <n v="418789.26410326542"/>
  </r>
  <r>
    <x v="2"/>
    <x v="0"/>
    <x v="1"/>
    <n v="697666.9509630102"/>
  </r>
  <r>
    <x v="3"/>
    <x v="0"/>
    <x v="1"/>
    <n v="13822764.410718527"/>
  </r>
  <r>
    <x v="4"/>
    <x v="0"/>
    <x v="1"/>
    <n v="856846.09368548705"/>
  </r>
  <r>
    <x v="5"/>
    <x v="0"/>
    <x v="1"/>
    <n v="1801867.7489844554"/>
  </r>
  <r>
    <x v="6"/>
    <x v="0"/>
    <x v="1"/>
    <n v="1519161.3760726012"/>
  </r>
  <r>
    <x v="7"/>
    <x v="0"/>
    <x v="1"/>
    <n v="4983493.3169037867"/>
  </r>
  <r>
    <x v="8"/>
    <x v="0"/>
    <x v="1"/>
    <n v="32926.683610133667"/>
  </r>
  <r>
    <x v="9"/>
    <x v="0"/>
    <x v="1"/>
    <n v="1602553.3899505115"/>
  </r>
  <r>
    <x v="10"/>
    <x v="0"/>
    <x v="1"/>
    <n v="1133504.1967338757"/>
  </r>
  <r>
    <x v="11"/>
    <x v="0"/>
    <x v="1"/>
    <n v="730482.01569836587"/>
  </r>
  <r>
    <x v="12"/>
    <x v="0"/>
    <x v="1"/>
    <n v="151017.99543542339"/>
  </r>
  <r>
    <x v="0"/>
    <x v="0"/>
    <x v="2"/>
    <n v="3920720.3662957777"/>
  </r>
  <r>
    <x v="1"/>
    <x v="0"/>
    <x v="2"/>
    <n v="545594.46832024341"/>
  </r>
  <r>
    <x v="2"/>
    <x v="0"/>
    <x v="2"/>
    <n v="619567.35639770923"/>
  </r>
  <r>
    <x v="3"/>
    <x v="0"/>
    <x v="2"/>
    <n v="7962057.7199019091"/>
  </r>
  <r>
    <x v="4"/>
    <x v="0"/>
    <x v="2"/>
    <n v="1257296.7096095001"/>
  </r>
  <r>
    <x v="5"/>
    <x v="0"/>
    <x v="2"/>
    <n v="1748472.631855153"/>
  </r>
  <r>
    <x v="6"/>
    <x v="0"/>
    <x v="2"/>
    <n v="557517.61958207632"/>
  </r>
  <r>
    <x v="7"/>
    <x v="0"/>
    <x v="2"/>
    <n v="3204301.4084430053"/>
  </r>
  <r>
    <x v="8"/>
    <x v="0"/>
    <x v="2"/>
    <n v="116507.263767978"/>
  </r>
  <r>
    <x v="9"/>
    <x v="0"/>
    <x v="2"/>
    <n v="1143602.1995332621"/>
  </r>
  <r>
    <x v="10"/>
    <x v="0"/>
    <x v="2"/>
    <n v="792091.46065631567"/>
  </r>
  <r>
    <x v="11"/>
    <x v="0"/>
    <x v="2"/>
    <n v="520573.94312179892"/>
  </r>
  <r>
    <x v="12"/>
    <x v="0"/>
    <x v="2"/>
    <n v="97651.319921337825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967965.071790382"/>
  </r>
  <r>
    <x v="1"/>
    <x v="1"/>
    <x v="1"/>
    <n v="123047.44370663891"/>
  </r>
  <r>
    <x v="2"/>
    <x v="1"/>
    <x v="1"/>
    <n v="207192.94889726539"/>
  </r>
  <r>
    <x v="3"/>
    <x v="1"/>
    <x v="1"/>
    <n v="3804494.9727168591"/>
  </r>
  <r>
    <x v="4"/>
    <x v="1"/>
    <x v="1"/>
    <n v="255910.1701378283"/>
  </r>
  <r>
    <x v="5"/>
    <x v="1"/>
    <x v="1"/>
    <n v="520099.18456044223"/>
  </r>
  <r>
    <x v="6"/>
    <x v="1"/>
    <x v="1"/>
    <n v="461406.88541979471"/>
  </r>
  <r>
    <x v="7"/>
    <x v="1"/>
    <x v="1"/>
    <n v="1420877.0118334598"/>
  </r>
  <r>
    <x v="8"/>
    <x v="1"/>
    <x v="1"/>
    <n v="9811.3821523284805"/>
  </r>
  <r>
    <x v="9"/>
    <x v="1"/>
    <x v="1"/>
    <n v="469685.83477569057"/>
  </r>
  <r>
    <x v="10"/>
    <x v="1"/>
    <x v="1"/>
    <n v="339365.5827745031"/>
  </r>
  <r>
    <x v="11"/>
    <x v="1"/>
    <x v="1"/>
    <n v="213365.56375262729"/>
  </r>
  <r>
    <x v="12"/>
    <x v="1"/>
    <x v="1"/>
    <n v="41596.139144494533"/>
  </r>
  <r>
    <x v="0"/>
    <x v="1"/>
    <x v="2"/>
    <n v="1422520.7615932694"/>
  </r>
  <r>
    <x v="1"/>
    <x v="1"/>
    <x v="2"/>
    <n v="197953.41816607979"/>
  </r>
  <r>
    <x v="2"/>
    <x v="1"/>
    <x v="2"/>
    <n v="224792.41017302827"/>
  </r>
  <r>
    <x v="3"/>
    <x v="1"/>
    <x v="2"/>
    <n v="2888780.8014802146"/>
  </r>
  <r>
    <x v="4"/>
    <x v="1"/>
    <x v="2"/>
    <n v="456174.53044673882"/>
  </r>
  <r>
    <x v="5"/>
    <x v="1"/>
    <x v="2"/>
    <n v="634382.54064061423"/>
  </r>
  <r>
    <x v="6"/>
    <x v="1"/>
    <x v="2"/>
    <n v="202279.77798791436"/>
  </r>
  <r>
    <x v="7"/>
    <x v="1"/>
    <x v="2"/>
    <n v="1162586.9095964739"/>
  </r>
  <r>
    <x v="8"/>
    <x v="1"/>
    <x v="2"/>
    <n v="42271.361313865054"/>
  </r>
  <r>
    <x v="9"/>
    <x v="1"/>
    <x v="2"/>
    <n v="414923.14293457061"/>
  </r>
  <r>
    <x v="10"/>
    <x v="1"/>
    <x v="2"/>
    <n v="287387.86171913851"/>
  </r>
  <r>
    <x v="11"/>
    <x v="1"/>
    <x v="2"/>
    <n v="188875.23433835641"/>
  </r>
  <r>
    <x v="12"/>
    <x v="1"/>
    <x v="2"/>
    <n v="35429.76226363141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47465.5978301479"/>
  </r>
  <r>
    <x v="0"/>
    <x v="2"/>
    <x v="1"/>
    <s v="JB1-10"/>
    <n v="434670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1.913970687048"/>
  </r>
  <r>
    <x v="0"/>
    <x v="2"/>
    <x v="1"/>
    <s v="OC6"/>
    <n v="0"/>
  </r>
  <r>
    <x v="0"/>
    <x v="3"/>
    <x v="1"/>
    <s v="OC6"/>
    <n v="75166.592141837755"/>
  </r>
  <r>
    <x v="0"/>
    <x v="4"/>
    <x v="1"/>
    <s v="OC6"/>
    <n v="0"/>
  </r>
  <r>
    <x v="0"/>
    <x v="0"/>
    <x v="1"/>
    <s v="OC12"/>
    <n v="0"/>
  </r>
  <r>
    <x v="0"/>
    <x v="1"/>
    <x v="1"/>
    <s v="OC12"/>
    <n v="1.8054136557038873"/>
  </r>
  <r>
    <x v="0"/>
    <x v="2"/>
    <x v="1"/>
    <s v="OC12"/>
    <n v="0"/>
  </r>
  <r>
    <x v="0"/>
    <x v="3"/>
    <x v="1"/>
    <s v="OC12"/>
    <n v="116447.37537965109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84286.7244577005"/>
  </r>
  <r>
    <x v="0"/>
    <x v="2"/>
    <x v="2"/>
    <s v="JB1-10"/>
    <n v="897848.8733724474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1.8054136557038873"/>
  </r>
  <r>
    <x v="0"/>
    <x v="2"/>
    <x v="2"/>
    <s v="OC6"/>
    <n v="0"/>
  </r>
  <r>
    <x v="0"/>
    <x v="3"/>
    <x v="2"/>
    <s v="OC6"/>
    <n v="146236.7006988691"/>
  </r>
  <r>
    <x v="0"/>
    <x v="4"/>
    <x v="2"/>
    <s v="OC6"/>
    <n v="0"/>
  </r>
  <r>
    <x v="0"/>
    <x v="0"/>
    <x v="2"/>
    <s v="OC12"/>
    <n v="0"/>
  </r>
  <r>
    <x v="0"/>
    <x v="1"/>
    <x v="2"/>
    <s v="OC12"/>
    <n v="1.8054136557038873"/>
  </r>
  <r>
    <x v="0"/>
    <x v="2"/>
    <x v="2"/>
    <s v="OC12"/>
    <n v="0"/>
  </r>
  <r>
    <x v="0"/>
    <x v="3"/>
    <x v="2"/>
    <s v="OC12"/>
    <n v="116447.37537965109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2170.40216985194"/>
  </r>
  <r>
    <x v="1"/>
    <x v="2"/>
    <x v="1"/>
    <s v="JB1-10"/>
    <n v="127230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0860293129354"/>
  </r>
  <r>
    <x v="1"/>
    <x v="2"/>
    <x v="1"/>
    <s v="OC6"/>
    <n v="0"/>
  </r>
  <r>
    <x v="1"/>
    <x v="3"/>
    <x v="1"/>
    <s v="OC6"/>
    <n v="8101.4078581622398"/>
  </r>
  <r>
    <x v="1"/>
    <x v="4"/>
    <x v="1"/>
    <s v="OC6"/>
    <n v="0"/>
  </r>
  <r>
    <x v="1"/>
    <x v="0"/>
    <x v="1"/>
    <s v="OC12"/>
    <n v="0"/>
  </r>
  <r>
    <x v="1"/>
    <x v="1"/>
    <x v="1"/>
    <s v="OC12"/>
    <n v="0.19458634428974619"/>
  </r>
  <r>
    <x v="1"/>
    <x v="2"/>
    <x v="1"/>
    <s v="OC12"/>
    <n v="0"/>
  </r>
  <r>
    <x v="1"/>
    <x v="3"/>
    <x v="1"/>
    <s v="OC12"/>
    <n v="12550.624620348905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2249.27554229938"/>
  </r>
  <r>
    <x v="1"/>
    <x v="2"/>
    <x v="2"/>
    <s v="JB1-10"/>
    <n v="177151.12662755256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.19458634429065569"/>
  </r>
  <r>
    <x v="1"/>
    <x v="2"/>
    <x v="2"/>
    <s v="OC6"/>
    <n v="0"/>
  </r>
  <r>
    <x v="1"/>
    <x v="3"/>
    <x v="2"/>
    <s v="OC6"/>
    <n v="15761.299301130884"/>
  </r>
  <r>
    <x v="1"/>
    <x v="4"/>
    <x v="2"/>
    <s v="OC6"/>
    <n v="0"/>
  </r>
  <r>
    <x v="1"/>
    <x v="0"/>
    <x v="2"/>
    <s v="OC12"/>
    <n v="0"/>
  </r>
  <r>
    <x v="1"/>
    <x v="1"/>
    <x v="2"/>
    <s v="OC12"/>
    <n v="0.19458634428974619"/>
  </r>
  <r>
    <x v="1"/>
    <x v="2"/>
    <x v="2"/>
    <s v="OC12"/>
    <n v="0"/>
  </r>
  <r>
    <x v="1"/>
    <x v="3"/>
    <x v="2"/>
    <s v="OC12"/>
    <n v="12550.624620348905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63313.545971354491"/>
  </r>
  <r>
    <x v="0"/>
    <s v="Vestdanmark"/>
    <x v="4"/>
    <x v="2"/>
    <n v="31184.283836637289"/>
  </r>
  <r>
    <x v="0"/>
    <s v="Vestdanmark"/>
    <x v="5"/>
    <x v="2"/>
    <n v="112833.229621482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18335.399813490942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55237.148778432362"/>
  </r>
  <r>
    <x v="0"/>
    <s v="Østdanmark"/>
    <x v="4"/>
    <x v="2"/>
    <n v="27206.356861018925"/>
  </r>
  <r>
    <x v="0"/>
    <s v="Østdanmark"/>
    <x v="5"/>
    <x v="2"/>
    <n v="98440.006733673188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5996.501094221892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143421.61804386508"/>
  </r>
  <r>
    <x v="1"/>
    <s v="Vestdanmark"/>
    <x v="22"/>
    <x v="1"/>
    <n v="0"/>
  </r>
  <r>
    <x v="1"/>
    <s v="Vestdanmark"/>
    <x v="0"/>
    <x v="1"/>
    <n v="2924.3313169399116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267973.79239933251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33724.0012213131"/>
  </r>
  <r>
    <x v="1"/>
    <s v="Vestdanmark"/>
    <x v="15"/>
    <x v="2"/>
    <n v="5412547.763583675"/>
  </r>
  <r>
    <x v="1"/>
    <s v="Vestdanmark"/>
    <x v="16"/>
    <x v="2"/>
    <n v="7323.2019641100578"/>
  </r>
  <r>
    <x v="1"/>
    <s v="Vestdanmark"/>
    <x v="17"/>
    <x v="2"/>
    <n v="3452770.6122393245"/>
  </r>
  <r>
    <x v="1"/>
    <s v="Vestdanmark"/>
    <x v="18"/>
    <x v="2"/>
    <n v="197484.23354298095"/>
  </r>
  <r>
    <x v="1"/>
    <s v="Vestdanmark"/>
    <x v="19"/>
    <x v="2"/>
    <n v="330372.74489675317"/>
  </r>
  <r>
    <x v="1"/>
    <s v="Vestdanmark"/>
    <x v="20"/>
    <x v="2"/>
    <n v="1239416.7164923118"/>
  </r>
  <r>
    <x v="1"/>
    <s v="Vestdanmark"/>
    <x v="21"/>
    <x v="2"/>
    <n v="1353770.9865174799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550329.17750715138"/>
  </r>
  <r>
    <x v="1"/>
    <s v="Vestdanmark"/>
    <x v="25"/>
    <x v="2"/>
    <n v="0"/>
  </r>
  <r>
    <x v="1"/>
    <s v="Vestdanmark"/>
    <x v="26"/>
    <x v="2"/>
    <n v="427250.4423865863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17603.733667957611"/>
  </r>
  <r>
    <x v="1"/>
    <s v="Østdanmark"/>
    <x v="22"/>
    <x v="1"/>
    <n v="0"/>
  </r>
  <r>
    <x v="1"/>
    <s v="Østdanmark"/>
    <x v="0"/>
    <x v="1"/>
    <n v="861.66868306008803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232026.20760066749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8758.91269583965"/>
  </r>
  <r>
    <x v="1"/>
    <s v="Østdanmark"/>
    <x v="15"/>
    <x v="2"/>
    <n v="384691.4728613086"/>
  </r>
  <r>
    <x v="1"/>
    <s v="Østdanmark"/>
    <x v="16"/>
    <x v="2"/>
    <n v="614.63363776327014"/>
  </r>
  <r>
    <x v="1"/>
    <s v="Østdanmark"/>
    <x v="17"/>
    <x v="2"/>
    <n v="2971629.6255114949"/>
  </r>
  <r>
    <x v="1"/>
    <s v="Østdanmark"/>
    <x v="18"/>
    <x v="2"/>
    <n v="172292.76645701908"/>
  </r>
  <r>
    <x v="1"/>
    <s v="Østdanmark"/>
    <x v="19"/>
    <x v="2"/>
    <n v="169627.25510324695"/>
  </r>
  <r>
    <x v="1"/>
    <s v="Østdanmark"/>
    <x v="20"/>
    <x v="2"/>
    <n v="165182.75876089992"/>
  </r>
  <r>
    <x v="1"/>
    <s v="Østdanmark"/>
    <x v="21"/>
    <x v="2"/>
    <n v="164646.92607689698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199670.8224928487"/>
  </r>
  <r>
    <x v="1"/>
    <s v="Østdanmark"/>
    <x v="25"/>
    <x v="2"/>
    <n v="0"/>
  </r>
  <r>
    <x v="1"/>
    <s v="Østdanmark"/>
    <x v="26"/>
    <x v="2"/>
    <n v="372749.55761341366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85"/>
  </r>
  <r>
    <x v="2"/>
    <s v="Vestdanmark"/>
    <x v="22"/>
    <x v="1"/>
    <n v="765718.007862392"/>
  </r>
  <r>
    <x v="2"/>
    <s v="Vestdanmark"/>
    <x v="2"/>
    <x v="1"/>
    <n v="0"/>
  </r>
  <r>
    <x v="2"/>
    <s v="Vestdanmark"/>
    <x v="5"/>
    <x v="1"/>
    <n v="61054.422265523077"/>
  </r>
  <r>
    <x v="2"/>
    <s v="Vestdanmark"/>
    <x v="25"/>
    <x v="1"/>
    <n v="868637.91677766922"/>
  </r>
  <r>
    <x v="2"/>
    <s v="Vestdanmark"/>
    <x v="24"/>
    <x v="1"/>
    <n v="5642415.7793918829"/>
  </r>
  <r>
    <x v="2"/>
    <s v="Vestdanmark"/>
    <x v="28"/>
    <x v="1"/>
    <n v="393560.35265348584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49098.107862087"/>
  </r>
  <r>
    <x v="2"/>
    <s v="Vestdanmark"/>
    <x v="29"/>
    <x v="1"/>
    <n v="1510478.9155088854"/>
  </r>
  <r>
    <x v="2"/>
    <s v="Vestdanmark"/>
    <x v="30"/>
    <x v="1"/>
    <n v="855103.95329864242"/>
  </r>
  <r>
    <x v="2"/>
    <s v="Vestdanmark"/>
    <x v="31"/>
    <x v="1"/>
    <n v="490655.53893383988"/>
  </r>
  <r>
    <x v="2"/>
    <s v="Vestdanmark"/>
    <x v="32"/>
    <x v="1"/>
    <n v="38482.787367359997"/>
  </r>
  <r>
    <x v="2"/>
    <s v="Vestdanmark"/>
    <x v="33"/>
    <x v="1"/>
    <n v="2420616.3174727387"/>
  </r>
  <r>
    <x v="2"/>
    <s v="Vestdanmark"/>
    <x v="0"/>
    <x v="2"/>
    <n v="3027382.7402155618"/>
  </r>
  <r>
    <x v="2"/>
    <s v="Vestdanmark"/>
    <x v="22"/>
    <x v="2"/>
    <n v="394237.57109337207"/>
  </r>
  <r>
    <x v="2"/>
    <s v="Vestdanmark"/>
    <x v="2"/>
    <x v="2"/>
    <n v="0"/>
  </r>
  <r>
    <x v="2"/>
    <s v="Vestdanmark"/>
    <x v="5"/>
    <x v="2"/>
    <n v="31434.479653499999"/>
  </r>
  <r>
    <x v="2"/>
    <s v="Vestdanmark"/>
    <x v="25"/>
    <x v="2"/>
    <n v="447226.91507024999"/>
  </r>
  <r>
    <x v="2"/>
    <s v="Vestdanmark"/>
    <x v="24"/>
    <x v="2"/>
    <n v="2570844.3984400104"/>
  </r>
  <r>
    <x v="2"/>
    <s v="Vestdanmark"/>
    <x v="28"/>
    <x v="2"/>
    <n v="202628.48191581847"/>
  </r>
  <r>
    <x v="2"/>
    <s v="Vestdanmark"/>
    <x v="7"/>
    <x v="2"/>
    <n v="5007.9440624448525"/>
  </r>
  <r>
    <x v="2"/>
    <s v="Vestdanmark"/>
    <x v="6"/>
    <x v="2"/>
    <n v="0"/>
  </r>
  <r>
    <x v="2"/>
    <s v="Vestdanmark"/>
    <x v="23"/>
    <x v="2"/>
    <n v="6306570.6128669288"/>
  </r>
  <r>
    <x v="2"/>
    <s v="Vestdanmark"/>
    <x v="29"/>
    <x v="2"/>
    <n v="777685.16963622137"/>
  </r>
  <r>
    <x v="2"/>
    <s v="Vestdanmark"/>
    <x v="30"/>
    <x v="2"/>
    <n v="1100647.0466911762"/>
  </r>
  <r>
    <x v="2"/>
    <s v="Vestdanmark"/>
    <x v="31"/>
    <x v="2"/>
    <n v="544864.31399399997"/>
  </r>
  <r>
    <x v="2"/>
    <s v="Vestdanmark"/>
    <x v="32"/>
    <x v="2"/>
    <n v="19813.247781599999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93985.10530710897"/>
  </r>
  <r>
    <x v="2"/>
    <s v="Østdanmark"/>
    <x v="2"/>
    <x v="1"/>
    <n v="0"/>
  </r>
  <r>
    <x v="2"/>
    <s v="Østdanmark"/>
    <x v="5"/>
    <x v="1"/>
    <n v="7493.8897181076936"/>
  </r>
  <r>
    <x v="2"/>
    <s v="Østdanmark"/>
    <x v="25"/>
    <x v="1"/>
    <n v="106617.6128076231"/>
  </r>
  <r>
    <x v="2"/>
    <s v="Østdanmark"/>
    <x v="24"/>
    <x v="1"/>
    <n v="692556.57535474957"/>
  </r>
  <r>
    <x v="2"/>
    <s v="Østdanmark"/>
    <x v="28"/>
    <x v="1"/>
    <n v="48306.048452615352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3468.3313748278"/>
  </r>
  <r>
    <x v="2"/>
    <s v="Østdanmark"/>
    <x v="29"/>
    <x v="1"/>
    <n v="185397.91213031337"/>
  </r>
  <r>
    <x v="2"/>
    <s v="Østdanmark"/>
    <x v="30"/>
    <x v="1"/>
    <n v="104956.43862895928"/>
  </r>
  <r>
    <x v="2"/>
    <s v="Østdanmark"/>
    <x v="31"/>
    <x v="1"/>
    <n v="60223.622825520004"/>
  </r>
  <r>
    <x v="2"/>
    <s v="Østdanmark"/>
    <x v="32"/>
    <x v="1"/>
    <n v="4723.4213980800005"/>
  </r>
  <r>
    <x v="2"/>
    <s v="Østdanmark"/>
    <x v="33"/>
    <x v="1"/>
    <n v="297109.21928150119"/>
  </r>
  <r>
    <x v="2"/>
    <s v="Østdanmark"/>
    <x v="0"/>
    <x v="2"/>
    <n v="368193.1930872486"/>
  </r>
  <r>
    <x v="2"/>
    <s v="Østdanmark"/>
    <x v="22"/>
    <x v="2"/>
    <n v="47947.551595505945"/>
  </r>
  <r>
    <x v="2"/>
    <s v="Østdanmark"/>
    <x v="2"/>
    <x v="2"/>
    <n v="0"/>
  </r>
  <r>
    <x v="2"/>
    <s v="Østdanmark"/>
    <x v="5"/>
    <x v="2"/>
    <n v="3823.0915711153852"/>
  </r>
  <r>
    <x v="2"/>
    <s v="Østdanmark"/>
    <x v="25"/>
    <x v="2"/>
    <n v="54392.166443596157"/>
  </r>
  <r>
    <x v="2"/>
    <s v="Østdanmark"/>
    <x v="24"/>
    <x v="2"/>
    <n v="312668.56199513603"/>
  </r>
  <r>
    <x v="2"/>
    <s v="Østdanmark"/>
    <x v="28"/>
    <x v="2"/>
    <n v="24643.870355716808"/>
  </r>
  <r>
    <x v="2"/>
    <s v="Østdanmark"/>
    <x v="7"/>
    <x v="2"/>
    <n v="609.07096108455892"/>
  </r>
  <r>
    <x v="2"/>
    <s v="Østdanmark"/>
    <x v="6"/>
    <x v="2"/>
    <n v="0"/>
  </r>
  <r>
    <x v="2"/>
    <s v="Østdanmark"/>
    <x v="23"/>
    <x v="2"/>
    <n v="767011.16794249229"/>
  </r>
  <r>
    <x v="2"/>
    <s v="Østdanmark"/>
    <x v="29"/>
    <x v="2"/>
    <n v="94582.816378404299"/>
  </r>
  <r>
    <x v="2"/>
    <s v="Østdanmark"/>
    <x v="30"/>
    <x v="2"/>
    <n v="133861.74968891402"/>
  </r>
  <r>
    <x v="2"/>
    <s v="Østdanmark"/>
    <x v="31"/>
    <x v="2"/>
    <n v="66266.920566000001"/>
  </r>
  <r>
    <x v="2"/>
    <s v="Østdanmark"/>
    <x v="32"/>
    <x v="2"/>
    <n v="2409.7062024000002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09121.9875318299"/>
  </r>
  <r>
    <x v="3"/>
    <s v="Vestdanmark"/>
    <x v="34"/>
    <x v="1"/>
    <n v="223253.42430816326"/>
  </r>
  <r>
    <x v="3"/>
    <s v="Vestdanmark"/>
    <x v="35"/>
    <x v="1"/>
    <n v="151017.99543542339"/>
  </r>
  <r>
    <x v="3"/>
    <s v="Vestdanmark"/>
    <x v="36"/>
    <x v="1"/>
    <n v="2205884.0906945551"/>
  </r>
  <r>
    <x v="3"/>
    <s v="Vestdanmark"/>
    <x v="26"/>
    <x v="1"/>
    <n v="258760.31746905867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6661.0472697906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567443.12264488416"/>
  </r>
  <r>
    <x v="3"/>
    <s v="Østdanmark"/>
    <x v="34"/>
    <x v="1"/>
    <n v="66301.743647124924"/>
  </r>
  <r>
    <x v="3"/>
    <s v="Østdanmark"/>
    <x v="35"/>
    <x v="1"/>
    <n v="41596.139144494533"/>
  </r>
  <r>
    <x v="3"/>
    <s v="Østdanmark"/>
    <x v="36"/>
    <x v="1"/>
    <n v="645672.88485303381"/>
  </r>
  <r>
    <x v="3"/>
    <s v="Østdanmark"/>
    <x v="26"/>
    <x v="1"/>
    <n v="224048.68253094138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572.60690670041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408304.80676701013"/>
  </r>
  <r>
    <x v="3"/>
    <s v="Vestdanmark"/>
    <x v="34"/>
    <x v="2"/>
    <n v="198261.55404726695"/>
  </r>
  <r>
    <x v="3"/>
    <s v="Vestdanmark"/>
    <x v="35"/>
    <x v="2"/>
    <n v="97651.319921337825"/>
  </r>
  <r>
    <x v="3"/>
    <s v="Vestdanmark"/>
    <x v="36"/>
    <x v="2"/>
    <n v="2270482.6440612082"/>
  </r>
  <r>
    <x v="3"/>
    <s v="Vestdanmark"/>
    <x v="26"/>
    <x v="2"/>
    <n v="97631.532652811788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43517.0111770533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68382.25141989789"/>
  </r>
  <r>
    <x v="3"/>
    <s v="Østdanmark"/>
    <x v="34"/>
    <x v="2"/>
    <n v="71933.571255369054"/>
  </r>
  <r>
    <x v="3"/>
    <s v="Østdanmark"/>
    <x v="35"/>
    <x v="2"/>
    <n v="35429.762263631419"/>
  </r>
  <r>
    <x v="3"/>
    <s v="Østdanmark"/>
    <x v="36"/>
    <x v="2"/>
    <n v="620759.09234547918"/>
  </r>
  <r>
    <x v="3"/>
    <s v="Østdanmark"/>
    <x v="26"/>
    <x v="2"/>
    <n v="85177.467347188154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73632.2717760141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682350.705808945"/>
  </r>
  <r>
    <x v="5"/>
    <s v="Vestdanmark"/>
    <x v="39"/>
    <x v="1"/>
    <n v="870082.97483693098"/>
  </r>
  <r>
    <x v="5"/>
    <s v="Vestdanmark"/>
    <x v="14"/>
    <x v="2"/>
    <n v="1082421.8825684672"/>
  </r>
  <r>
    <x v="5"/>
    <s v="Vestdanmark"/>
    <x v="15"/>
    <x v="2"/>
    <n v="955155.48769123689"/>
  </r>
  <r>
    <x v="5"/>
    <s v="Vestdanmark"/>
    <x v="16"/>
    <x v="2"/>
    <n v="1292.3297583723634"/>
  </r>
  <r>
    <x v="5"/>
    <s v="Vestdanmark"/>
    <x v="20"/>
    <x v="2"/>
    <n v="82801.368874906548"/>
  </r>
  <r>
    <x v="5"/>
    <s v="Vestdanmark"/>
    <x v="38"/>
    <x v="2"/>
    <n v="11772329.827718841"/>
  </r>
  <r>
    <x v="5"/>
    <s v="Vestdanmark"/>
    <x v="39"/>
    <x v="2"/>
    <n v="1155727.8519823398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189268.06030375"/>
  </r>
  <r>
    <x v="5"/>
    <s v="Østdanmark"/>
    <x v="39"/>
    <x v="1"/>
    <n v="421833.87879780139"/>
  </r>
  <r>
    <x v="5"/>
    <s v="Østdanmark"/>
    <x v="14"/>
    <x v="2"/>
    <n v="156839.80812279525"/>
  </r>
  <r>
    <x v="5"/>
    <s v="Østdanmark"/>
    <x v="15"/>
    <x v="2"/>
    <n v="67886.73050493683"/>
  </r>
  <r>
    <x v="5"/>
    <s v="Østdanmark"/>
    <x v="16"/>
    <x v="2"/>
    <n v="108.46475960528299"/>
  </r>
  <r>
    <x v="5"/>
    <s v="Østdanmark"/>
    <x v="20"/>
    <x v="2"/>
    <n v="11035.318757555919"/>
  </r>
  <r>
    <x v="5"/>
    <s v="Østdanmark"/>
    <x v="38"/>
    <x v="2"/>
    <n v="3380194.5630334695"/>
  </r>
  <r>
    <x v="5"/>
    <s v="Østdanmark"/>
    <x v="39"/>
    <x v="2"/>
    <n v="481732.42010316846"/>
  </r>
  <r>
    <x v="6"/>
    <s v="Vestdanmark"/>
    <x v="23"/>
    <x v="0"/>
    <n v="0"/>
  </r>
  <r>
    <x v="6"/>
    <s v="Vestdanmark"/>
    <x v="23"/>
    <x v="1"/>
    <n v="2935044.8877656907"/>
  </r>
  <r>
    <x v="6"/>
    <s v="Vestdanmark"/>
    <x v="23"/>
    <x v="2"/>
    <n v="3259315.5328257415"/>
  </r>
  <r>
    <x v="6"/>
    <s v="Østdanmark"/>
    <x v="23"/>
    <x v="0"/>
    <n v="0"/>
  </r>
  <r>
    <x v="6"/>
    <s v="Østdanmark"/>
    <x v="23"/>
    <x v="1"/>
    <n v="360250.77120469615"/>
  </r>
  <r>
    <x v="6"/>
    <s v="Østdanmark"/>
    <x v="23"/>
    <x v="2"/>
    <n v="396401.08182176121"/>
  </r>
  <r>
    <x v="7"/>
    <s v="Vestdanmark"/>
    <x v="40"/>
    <x v="0"/>
    <n v="484833.6848947219"/>
  </r>
  <r>
    <x v="7"/>
    <s v="Vestdanmark"/>
    <x v="40"/>
    <x v="1"/>
    <n v="697666.9509630102"/>
  </r>
  <r>
    <x v="7"/>
    <s v="Vestdanmark"/>
    <x v="40"/>
    <x v="2"/>
    <n v="619567.35639770923"/>
  </r>
  <r>
    <x v="7"/>
    <s v="Østdanmark"/>
    <x v="40"/>
    <x v="0"/>
    <n v="193574.13238370849"/>
  </r>
  <r>
    <x v="7"/>
    <s v="Østdanmark"/>
    <x v="40"/>
    <x v="1"/>
    <n v="207192.94889726539"/>
  </r>
  <r>
    <x v="7"/>
    <s v="Østdanmark"/>
    <x v="40"/>
    <x v="2"/>
    <n v="224792.41017302827"/>
  </r>
  <r>
    <x v="8"/>
    <s v="Vestdanmark"/>
    <x v="22"/>
    <x v="0"/>
    <n v="0"/>
  </r>
  <r>
    <x v="8"/>
    <s v="Vestdanmark"/>
    <x v="22"/>
    <x v="1"/>
    <n v="55440.902645954935"/>
  </r>
  <r>
    <x v="8"/>
    <s v="Vestdanmark"/>
    <x v="22"/>
    <x v="2"/>
    <n v="1793194.9501868032"/>
  </r>
  <r>
    <x v="8"/>
    <s v="Østdanmark"/>
    <x v="22"/>
    <x v="0"/>
    <n v="0"/>
  </r>
  <r>
    <x v="8"/>
    <s v="Østdanmark"/>
    <x v="22"/>
    <x v="1"/>
    <n v="19559.097354045036"/>
  </r>
  <r>
    <x v="8"/>
    <s v="Østdanmark"/>
    <x v="22"/>
    <x v="2"/>
    <n v="706805.04981319618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31046.905481734768"/>
  </r>
  <r>
    <x v="3"/>
    <s v="Vestdanmark"/>
    <x v="42"/>
    <x v="1"/>
    <n v="7761.726370433692"/>
  </r>
  <r>
    <x v="3"/>
    <s v="Vestdanmark"/>
    <x v="41"/>
    <x v="2"/>
    <n v="1004189.1721046099"/>
  </r>
  <r>
    <x v="3"/>
    <s v="Vestdanmark"/>
    <x v="42"/>
    <x v="2"/>
    <n v="251047.29302615247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10953.094518265221"/>
  </r>
  <r>
    <x v="3"/>
    <s v="Østdanmark"/>
    <x v="42"/>
    <x v="1"/>
    <n v="2738.2736295663053"/>
  </r>
  <r>
    <x v="3"/>
    <s v="Østdanmark"/>
    <x v="41"/>
    <x v="2"/>
    <n v="395810.82789538987"/>
  </r>
  <r>
    <x v="3"/>
    <s v="Østdanmark"/>
    <x v="42"/>
    <x v="2"/>
    <n v="98952.706973847467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8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Q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80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4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79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78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7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79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81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7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7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81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80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3" sqref="D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2" t="s">
        <v>278</v>
      </c>
      <c r="B1" s="342"/>
      <c r="D1" s="75" t="s">
        <v>291</v>
      </c>
    </row>
    <row r="2" spans="1:6" x14ac:dyDescent="0.25">
      <c r="A2" s="6" t="s">
        <v>0</v>
      </c>
      <c r="B2" s="225" t="s">
        <v>310</v>
      </c>
    </row>
    <row r="4" spans="1:6" ht="30" customHeight="1" thickBot="1" x14ac:dyDescent="0.3">
      <c r="A4" s="341" t="s">
        <v>277</v>
      </c>
      <c r="B4" s="341"/>
      <c r="D4" s="75"/>
    </row>
    <row r="5" spans="1:6" ht="15.75" thickTop="1" x14ac:dyDescent="0.2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43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43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313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U123"/>
  <sheetViews>
    <sheetView topLeftCell="A23" zoomScale="60" zoomScaleNormal="60" workbookViewId="0">
      <selection activeCell="R70" sqref="R70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5" t="s">
        <v>305</v>
      </c>
      <c r="B1" s="254"/>
      <c r="C1" s="344" t="s">
        <v>304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</row>
    <row r="2" spans="1:17" ht="15" customHeight="1" x14ac:dyDescent="0.25">
      <c r="A2" s="254"/>
      <c r="B2" s="25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</row>
    <row r="3" spans="1:17" x14ac:dyDescent="0.25">
      <c r="A3" s="75"/>
    </row>
    <row r="34" spans="16:21" x14ac:dyDescent="0.25">
      <c r="P34" s="1">
        <v>2019</v>
      </c>
      <c r="Q34" s="1">
        <v>0</v>
      </c>
      <c r="R34" s="1">
        <f>T34*Q34+U34</f>
        <v>14.5</v>
      </c>
      <c r="T34" s="1">
        <f>(11-14.5)/11</f>
        <v>-0.31818181818181818</v>
      </c>
      <c r="U34" s="1">
        <v>14.5</v>
      </c>
    </row>
    <row r="35" spans="16:21" x14ac:dyDescent="0.25">
      <c r="P35" s="1">
        <f>P34+1</f>
        <v>2020</v>
      </c>
      <c r="Q35" s="1">
        <f>Q34+1</f>
        <v>1</v>
      </c>
      <c r="R35" s="1">
        <f t="shared" ref="R35:R65" si="0">T35*Q35+U35</f>
        <v>14.181818181818182</v>
      </c>
      <c r="T35" s="1">
        <f t="shared" ref="T35:T44" si="1">(11-14.5)/11</f>
        <v>-0.31818181818181818</v>
      </c>
      <c r="U35" s="1">
        <v>14.5</v>
      </c>
    </row>
    <row r="36" spans="16:21" x14ac:dyDescent="0.25">
      <c r="P36" s="1">
        <f t="shared" ref="P36:P65" si="2">P35+1</f>
        <v>2021</v>
      </c>
      <c r="Q36" s="1">
        <f t="shared" ref="Q36:Q65" si="3">Q35+1</f>
        <v>2</v>
      </c>
      <c r="R36" s="1">
        <f t="shared" si="0"/>
        <v>13.863636363636363</v>
      </c>
      <c r="T36" s="1">
        <f t="shared" si="1"/>
        <v>-0.31818181818181818</v>
      </c>
      <c r="U36" s="1">
        <v>14.5</v>
      </c>
    </row>
    <row r="37" spans="16:21" x14ac:dyDescent="0.25">
      <c r="P37" s="1">
        <f t="shared" si="2"/>
        <v>2022</v>
      </c>
      <c r="Q37" s="1">
        <f t="shared" si="3"/>
        <v>3</v>
      </c>
      <c r="R37" s="1">
        <f t="shared" si="0"/>
        <v>13.545454545454545</v>
      </c>
      <c r="T37" s="1">
        <f t="shared" si="1"/>
        <v>-0.31818181818181818</v>
      </c>
      <c r="U37" s="1">
        <v>14.5</v>
      </c>
    </row>
    <row r="38" spans="16:21" x14ac:dyDescent="0.25">
      <c r="P38" s="1">
        <f t="shared" si="2"/>
        <v>2023</v>
      </c>
      <c r="Q38" s="1">
        <f t="shared" si="3"/>
        <v>4</v>
      </c>
      <c r="R38" s="1">
        <f t="shared" si="0"/>
        <v>13.227272727272727</v>
      </c>
      <c r="T38" s="1">
        <f t="shared" si="1"/>
        <v>-0.31818181818181818</v>
      </c>
      <c r="U38" s="1">
        <v>14.5</v>
      </c>
    </row>
    <row r="39" spans="16:21" x14ac:dyDescent="0.25">
      <c r="P39" s="1">
        <f t="shared" si="2"/>
        <v>2024</v>
      </c>
      <c r="Q39" s="1">
        <f t="shared" si="3"/>
        <v>5</v>
      </c>
      <c r="R39" s="1">
        <f t="shared" si="0"/>
        <v>12.90909090909091</v>
      </c>
      <c r="T39" s="1">
        <f t="shared" si="1"/>
        <v>-0.31818181818181818</v>
      </c>
      <c r="U39" s="1">
        <v>14.5</v>
      </c>
    </row>
    <row r="40" spans="16:21" x14ac:dyDescent="0.25">
      <c r="P40" s="1">
        <f t="shared" si="2"/>
        <v>2025</v>
      </c>
      <c r="Q40" s="1">
        <f t="shared" si="3"/>
        <v>6</v>
      </c>
      <c r="R40" s="1">
        <f t="shared" si="0"/>
        <v>12.59090909090909</v>
      </c>
      <c r="T40" s="1">
        <f t="shared" si="1"/>
        <v>-0.31818181818181818</v>
      </c>
      <c r="U40" s="1">
        <v>14.5</v>
      </c>
    </row>
    <row r="41" spans="16:21" x14ac:dyDescent="0.25">
      <c r="P41" s="1">
        <f t="shared" si="2"/>
        <v>2026</v>
      </c>
      <c r="Q41" s="1">
        <f t="shared" si="3"/>
        <v>7</v>
      </c>
      <c r="R41" s="1">
        <f t="shared" si="0"/>
        <v>12.272727272727273</v>
      </c>
      <c r="T41" s="1">
        <f t="shared" si="1"/>
        <v>-0.31818181818181818</v>
      </c>
      <c r="U41" s="1">
        <v>14.5</v>
      </c>
    </row>
    <row r="42" spans="16:21" x14ac:dyDescent="0.25">
      <c r="P42" s="1">
        <f t="shared" si="2"/>
        <v>2027</v>
      </c>
      <c r="Q42" s="1">
        <f t="shared" si="3"/>
        <v>8</v>
      </c>
      <c r="R42" s="1">
        <f t="shared" si="0"/>
        <v>11.954545454545455</v>
      </c>
      <c r="T42" s="1">
        <f t="shared" si="1"/>
        <v>-0.31818181818181818</v>
      </c>
      <c r="U42" s="1">
        <v>14.5</v>
      </c>
    </row>
    <row r="43" spans="16:21" x14ac:dyDescent="0.25">
      <c r="P43" s="1">
        <f t="shared" si="2"/>
        <v>2028</v>
      </c>
      <c r="Q43" s="1">
        <f t="shared" si="3"/>
        <v>9</v>
      </c>
      <c r="R43" s="1">
        <f t="shared" si="0"/>
        <v>11.636363636363637</v>
      </c>
      <c r="T43" s="1">
        <f t="shared" si="1"/>
        <v>-0.31818181818181818</v>
      </c>
      <c r="U43" s="1">
        <v>14.5</v>
      </c>
    </row>
    <row r="44" spans="16:21" x14ac:dyDescent="0.25">
      <c r="P44" s="1">
        <f t="shared" si="2"/>
        <v>2029</v>
      </c>
      <c r="Q44" s="1">
        <f t="shared" si="3"/>
        <v>10</v>
      </c>
      <c r="R44" s="1">
        <f t="shared" si="0"/>
        <v>11.318181818181818</v>
      </c>
      <c r="T44" s="1">
        <f t="shared" si="1"/>
        <v>-0.31818181818181818</v>
      </c>
      <c r="U44" s="1">
        <v>14.5</v>
      </c>
    </row>
    <row r="45" spans="16:21" x14ac:dyDescent="0.25">
      <c r="P45" s="1">
        <f t="shared" si="2"/>
        <v>2030</v>
      </c>
      <c r="Q45" s="1">
        <f t="shared" si="3"/>
        <v>11</v>
      </c>
      <c r="R45" s="1">
        <f t="shared" si="0"/>
        <v>11</v>
      </c>
      <c r="T45" s="1">
        <f>(0-11)/20</f>
        <v>-0.55000000000000004</v>
      </c>
      <c r="U45" s="1">
        <f>-T45*31</f>
        <v>17.05</v>
      </c>
    </row>
    <row r="46" spans="16:21" x14ac:dyDescent="0.25">
      <c r="P46" s="1">
        <f t="shared" si="2"/>
        <v>2031</v>
      </c>
      <c r="Q46" s="1">
        <f t="shared" si="3"/>
        <v>12</v>
      </c>
      <c r="R46" s="1">
        <f t="shared" si="0"/>
        <v>10.45</v>
      </c>
      <c r="T46" s="1">
        <f t="shared" ref="T46:T65" si="4">(0-11)/20</f>
        <v>-0.55000000000000004</v>
      </c>
      <c r="U46" s="1">
        <f t="shared" ref="U46:U65" si="5">-T46*31</f>
        <v>17.05</v>
      </c>
    </row>
    <row r="47" spans="16:21" x14ac:dyDescent="0.25">
      <c r="P47" s="1">
        <f t="shared" si="2"/>
        <v>2032</v>
      </c>
      <c r="Q47" s="1">
        <f t="shared" si="3"/>
        <v>13</v>
      </c>
      <c r="R47" s="1">
        <f t="shared" si="0"/>
        <v>9.9</v>
      </c>
      <c r="T47" s="1">
        <f t="shared" si="4"/>
        <v>-0.55000000000000004</v>
      </c>
      <c r="U47" s="1">
        <f t="shared" si="5"/>
        <v>17.05</v>
      </c>
    </row>
    <row r="48" spans="16:21" x14ac:dyDescent="0.25">
      <c r="P48" s="1">
        <f t="shared" si="2"/>
        <v>2033</v>
      </c>
      <c r="Q48" s="1">
        <f t="shared" si="3"/>
        <v>14</v>
      </c>
      <c r="R48" s="1">
        <f t="shared" si="0"/>
        <v>9.35</v>
      </c>
      <c r="T48" s="1">
        <f t="shared" si="4"/>
        <v>-0.55000000000000004</v>
      </c>
      <c r="U48" s="1">
        <f t="shared" si="5"/>
        <v>17.05</v>
      </c>
    </row>
    <row r="49" spans="16:21" x14ac:dyDescent="0.25">
      <c r="P49" s="1">
        <f t="shared" si="2"/>
        <v>2034</v>
      </c>
      <c r="Q49" s="1">
        <f t="shared" si="3"/>
        <v>15</v>
      </c>
      <c r="R49" s="1">
        <f t="shared" si="0"/>
        <v>8.8000000000000007</v>
      </c>
      <c r="T49" s="1">
        <f t="shared" si="4"/>
        <v>-0.55000000000000004</v>
      </c>
      <c r="U49" s="1">
        <f t="shared" si="5"/>
        <v>17.05</v>
      </c>
    </row>
    <row r="50" spans="16:21" x14ac:dyDescent="0.25">
      <c r="P50" s="1">
        <f t="shared" si="2"/>
        <v>2035</v>
      </c>
      <c r="Q50" s="1">
        <f t="shared" si="3"/>
        <v>16</v>
      </c>
      <c r="R50" s="1">
        <f t="shared" si="0"/>
        <v>8.25</v>
      </c>
      <c r="T50" s="1">
        <f t="shared" si="4"/>
        <v>-0.55000000000000004</v>
      </c>
      <c r="U50" s="1">
        <f t="shared" si="5"/>
        <v>17.05</v>
      </c>
    </row>
    <row r="51" spans="16:21" x14ac:dyDescent="0.25">
      <c r="P51" s="1">
        <f t="shared" si="2"/>
        <v>2036</v>
      </c>
      <c r="Q51" s="1">
        <f t="shared" si="3"/>
        <v>17</v>
      </c>
      <c r="R51" s="1">
        <f t="shared" si="0"/>
        <v>7.6999999999999993</v>
      </c>
      <c r="T51" s="1">
        <f t="shared" si="4"/>
        <v>-0.55000000000000004</v>
      </c>
      <c r="U51" s="1">
        <f t="shared" si="5"/>
        <v>17.05</v>
      </c>
    </row>
    <row r="52" spans="16:21" x14ac:dyDescent="0.25">
      <c r="P52" s="1">
        <f t="shared" si="2"/>
        <v>2037</v>
      </c>
      <c r="Q52" s="1">
        <f t="shared" si="3"/>
        <v>18</v>
      </c>
      <c r="R52" s="1">
        <f t="shared" si="0"/>
        <v>7.15</v>
      </c>
      <c r="T52" s="1">
        <f t="shared" si="4"/>
        <v>-0.55000000000000004</v>
      </c>
      <c r="U52" s="1">
        <f t="shared" si="5"/>
        <v>17.05</v>
      </c>
    </row>
    <row r="53" spans="16:21" x14ac:dyDescent="0.25">
      <c r="P53" s="1">
        <f t="shared" si="2"/>
        <v>2038</v>
      </c>
      <c r="Q53" s="1">
        <f t="shared" si="3"/>
        <v>19</v>
      </c>
      <c r="R53" s="1">
        <f t="shared" si="0"/>
        <v>6.6</v>
      </c>
      <c r="T53" s="1">
        <f t="shared" si="4"/>
        <v>-0.55000000000000004</v>
      </c>
      <c r="U53" s="1">
        <f t="shared" si="5"/>
        <v>17.05</v>
      </c>
    </row>
    <row r="54" spans="16:21" x14ac:dyDescent="0.25">
      <c r="P54" s="1">
        <f t="shared" si="2"/>
        <v>2039</v>
      </c>
      <c r="Q54" s="1">
        <f t="shared" si="3"/>
        <v>20</v>
      </c>
      <c r="R54" s="1">
        <f t="shared" si="0"/>
        <v>6.0500000000000007</v>
      </c>
      <c r="T54" s="1">
        <f t="shared" si="4"/>
        <v>-0.55000000000000004</v>
      </c>
      <c r="U54" s="1">
        <f t="shared" si="5"/>
        <v>17.05</v>
      </c>
    </row>
    <row r="55" spans="16:21" x14ac:dyDescent="0.25">
      <c r="P55" s="1">
        <f t="shared" si="2"/>
        <v>2040</v>
      </c>
      <c r="Q55" s="1">
        <f t="shared" si="3"/>
        <v>21</v>
      </c>
      <c r="R55" s="1">
        <f t="shared" si="0"/>
        <v>5.5</v>
      </c>
      <c r="T55" s="1">
        <f t="shared" si="4"/>
        <v>-0.55000000000000004</v>
      </c>
      <c r="U55" s="1">
        <f t="shared" si="5"/>
        <v>17.05</v>
      </c>
    </row>
    <row r="56" spans="16:21" x14ac:dyDescent="0.25">
      <c r="P56" s="1">
        <f t="shared" si="2"/>
        <v>2041</v>
      </c>
      <c r="Q56" s="1">
        <f t="shared" si="3"/>
        <v>22</v>
      </c>
      <c r="R56" s="1">
        <f t="shared" si="0"/>
        <v>4.9499999999999993</v>
      </c>
      <c r="T56" s="1">
        <f t="shared" si="4"/>
        <v>-0.55000000000000004</v>
      </c>
      <c r="U56" s="1">
        <f t="shared" si="5"/>
        <v>17.05</v>
      </c>
    </row>
    <row r="57" spans="16:21" x14ac:dyDescent="0.25">
      <c r="P57" s="1">
        <f t="shared" si="2"/>
        <v>2042</v>
      </c>
      <c r="Q57" s="1">
        <f t="shared" si="3"/>
        <v>23</v>
      </c>
      <c r="R57" s="1">
        <f t="shared" si="0"/>
        <v>4.4000000000000004</v>
      </c>
      <c r="T57" s="1">
        <f t="shared" si="4"/>
        <v>-0.55000000000000004</v>
      </c>
      <c r="U57" s="1">
        <f t="shared" si="5"/>
        <v>17.05</v>
      </c>
    </row>
    <row r="58" spans="16:21" x14ac:dyDescent="0.25">
      <c r="P58" s="1">
        <f t="shared" si="2"/>
        <v>2043</v>
      </c>
      <c r="Q58" s="1">
        <f t="shared" si="3"/>
        <v>24</v>
      </c>
      <c r="R58" s="1">
        <f t="shared" si="0"/>
        <v>3.8499999999999996</v>
      </c>
      <c r="T58" s="1">
        <f t="shared" si="4"/>
        <v>-0.55000000000000004</v>
      </c>
      <c r="U58" s="1">
        <f t="shared" si="5"/>
        <v>17.05</v>
      </c>
    </row>
    <row r="59" spans="16:21" x14ac:dyDescent="0.25">
      <c r="P59" s="1">
        <f t="shared" si="2"/>
        <v>2044</v>
      </c>
      <c r="Q59" s="1">
        <f t="shared" si="3"/>
        <v>25</v>
      </c>
      <c r="R59" s="1">
        <f t="shared" si="0"/>
        <v>3.2999999999999989</v>
      </c>
      <c r="T59" s="1">
        <f t="shared" si="4"/>
        <v>-0.55000000000000004</v>
      </c>
      <c r="U59" s="1">
        <f t="shared" si="5"/>
        <v>17.05</v>
      </c>
    </row>
    <row r="60" spans="16:21" x14ac:dyDescent="0.25">
      <c r="P60" s="1">
        <f t="shared" si="2"/>
        <v>2045</v>
      </c>
      <c r="Q60" s="1">
        <f t="shared" si="3"/>
        <v>26</v>
      </c>
      <c r="R60" s="1">
        <f t="shared" si="0"/>
        <v>2.75</v>
      </c>
      <c r="T60" s="1">
        <f t="shared" si="4"/>
        <v>-0.55000000000000004</v>
      </c>
      <c r="U60" s="1">
        <f t="shared" si="5"/>
        <v>17.05</v>
      </c>
    </row>
    <row r="61" spans="16:21" x14ac:dyDescent="0.25">
      <c r="P61" s="1">
        <f t="shared" si="2"/>
        <v>2046</v>
      </c>
      <c r="Q61" s="1">
        <f t="shared" si="3"/>
        <v>27</v>
      </c>
      <c r="R61" s="1">
        <f t="shared" si="0"/>
        <v>2.1999999999999993</v>
      </c>
      <c r="T61" s="1">
        <f t="shared" si="4"/>
        <v>-0.55000000000000004</v>
      </c>
      <c r="U61" s="1">
        <f t="shared" si="5"/>
        <v>17.05</v>
      </c>
    </row>
    <row r="62" spans="16:21" x14ac:dyDescent="0.25">
      <c r="P62" s="1">
        <f t="shared" si="2"/>
        <v>2047</v>
      </c>
      <c r="Q62" s="1">
        <f t="shared" si="3"/>
        <v>28</v>
      </c>
      <c r="R62" s="1">
        <f t="shared" si="0"/>
        <v>1.6499999999999986</v>
      </c>
      <c r="T62" s="1">
        <f t="shared" si="4"/>
        <v>-0.55000000000000004</v>
      </c>
      <c r="U62" s="1">
        <f t="shared" si="5"/>
        <v>17.05</v>
      </c>
    </row>
    <row r="63" spans="16:21" x14ac:dyDescent="0.25">
      <c r="P63" s="1">
        <f t="shared" si="2"/>
        <v>2048</v>
      </c>
      <c r="Q63" s="1">
        <f t="shared" si="3"/>
        <v>29</v>
      </c>
      <c r="R63" s="1">
        <f t="shared" si="0"/>
        <v>1.0999999999999996</v>
      </c>
      <c r="T63" s="1">
        <f t="shared" si="4"/>
        <v>-0.55000000000000004</v>
      </c>
      <c r="U63" s="1">
        <f t="shared" si="5"/>
        <v>17.05</v>
      </c>
    </row>
    <row r="64" spans="16:21" x14ac:dyDescent="0.25">
      <c r="P64" s="1">
        <f t="shared" si="2"/>
        <v>2049</v>
      </c>
      <c r="Q64" s="1">
        <f t="shared" si="3"/>
        <v>30</v>
      </c>
      <c r="R64" s="1">
        <f t="shared" si="0"/>
        <v>0.55000000000000071</v>
      </c>
      <c r="T64" s="1">
        <f t="shared" si="4"/>
        <v>-0.55000000000000004</v>
      </c>
      <c r="U64" s="1">
        <f t="shared" si="5"/>
        <v>17.05</v>
      </c>
    </row>
    <row r="65" spans="16:21" x14ac:dyDescent="0.25">
      <c r="P65" s="1">
        <f t="shared" si="2"/>
        <v>2050</v>
      </c>
      <c r="Q65" s="1">
        <f t="shared" si="3"/>
        <v>31</v>
      </c>
      <c r="R65" s="1">
        <f t="shared" si="0"/>
        <v>0</v>
      </c>
      <c r="T65" s="1">
        <f t="shared" si="4"/>
        <v>-0.55000000000000004</v>
      </c>
      <c r="U65" s="1">
        <f t="shared" si="5"/>
        <v>17.05</v>
      </c>
    </row>
    <row r="67" spans="16:21" x14ac:dyDescent="0.25">
      <c r="R67" s="1">
        <f>SUM(R34:R65)</f>
        <v>257.5</v>
      </c>
    </row>
    <row r="69" spans="16:21" x14ac:dyDescent="0.25">
      <c r="R69" s="1">
        <f>R67-189.3</f>
        <v>68.199999999999989</v>
      </c>
    </row>
    <row r="70" spans="16:21" x14ac:dyDescent="0.25">
      <c r="R70" s="1">
        <f>R69/46.7</f>
        <v>1.4603854389721624</v>
      </c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70" zoomScaleNormal="70" workbookViewId="0">
      <selection activeCell="D6" sqref="D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4" width="11.42578125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78230</v>
      </c>
      <c r="D3" s="22">
        <v>78230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21770</v>
      </c>
      <c r="D4" s="22">
        <v>100500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/>
      <c r="D5" s="9">
        <v>513100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2399636</v>
      </c>
      <c r="N6" s="18">
        <f t="shared" si="1"/>
        <v>78731.999999999985</v>
      </c>
      <c r="O6" s="18">
        <f t="shared" si="1"/>
        <v>1.9999999999936335</v>
      </c>
      <c r="P6" s="18">
        <f t="shared" si="1"/>
        <v>1886536</v>
      </c>
      <c r="Q6" s="18">
        <f t="shared" si="1"/>
        <v>1.999999999994543</v>
      </c>
      <c r="R6" s="18">
        <f t="shared" si="1"/>
        <v>1.9999999999936335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561900</v>
      </c>
      <c r="N7" s="18">
        <f t="shared" si="2"/>
        <v>0</v>
      </c>
      <c r="O7" s="18">
        <f t="shared" si="2"/>
        <v>0</v>
      </c>
      <c r="P7" s="18">
        <f t="shared" si="2"/>
        <v>1075000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83268</v>
      </c>
      <c r="O8" s="18">
        <f t="shared" si="3"/>
        <v>128997.99999999999</v>
      </c>
      <c r="P8" s="18">
        <f t="shared" si="3"/>
        <v>360654</v>
      </c>
      <c r="Q8" s="18">
        <f t="shared" si="3"/>
        <v>161997.99999999997</v>
      </c>
      <c r="R8" s="18">
        <f t="shared" si="3"/>
        <v>128997.99999999999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128999.99999999999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1847465.5978301479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71071.913970687048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1.8054136557038873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1384286.7244577005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1.8054136557038873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1.8054136557038873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434670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897848.87337244744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75166.592141837755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116447.37537965109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146236.7006988691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116447.37537965109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3030352.3130941684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552170.40216985194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7660.0860293129354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0.19458634428974619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502249.27554229938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0.19458634429065569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0.19458634428974619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127230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177151.12662755256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8101.4078581622398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12550.624620348905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15761.299301130884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12550.624620348905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2" zoomScale="70" zoomScaleNormal="70" workbookViewId="0">
      <selection activeCell="B16" sqref="B16:E18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0.5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0.5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1.1000000000000001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7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787.31999999999982</v>
      </c>
      <c r="E26" s="10">
        <f>1%*Arealanvendelse!Q6</f>
        <v>1.9999999999945429E-2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1.9999999999936336E-2</v>
      </c>
      <c r="E27" s="116">
        <f>1%*Arealanvendelse!R6</f>
        <v>1.9999999999936336E-2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5" t="s">
        <v>333</v>
      </c>
      <c r="C30" s="25"/>
      <c r="D30" s="25"/>
      <c r="E30" s="25"/>
      <c r="K30" s="12"/>
    </row>
    <row r="31" spans="2:11" x14ac:dyDescent="0.25">
      <c r="B31" s="34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v>0.49</v>
      </c>
      <c r="E32" s="90">
        <v>0.4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v>5.7000000000000002E-2</v>
      </c>
      <c r="E33" s="90">
        <v>0.10299999999999999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v>8.4000000000000005E-2</v>
      </c>
      <c r="E34" s="90">
        <v>0.10299999999999999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v>0.11</v>
      </c>
      <c r="E35" s="90">
        <v>8.5000000000000006E-2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v>0.02</v>
      </c>
      <c r="E36" s="90">
        <v>0.04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ref="D33:D43" si="1">C37</f>
        <v>2.189728375215861E-2</v>
      </c>
      <c r="E37" s="90">
        <v>0.03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v>0.01</v>
      </c>
      <c r="E38" s="90">
        <v>5.0000000000000001E-3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v>5.5E-2</v>
      </c>
      <c r="E39" s="90">
        <v>0.05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v>0.01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v>9.5000000000000001E-2</v>
      </c>
      <c r="K45" s="12"/>
    </row>
    <row r="46" spans="2:11" x14ac:dyDescent="0.25">
      <c r="B46" s="25" t="s">
        <v>297</v>
      </c>
      <c r="C46" s="87"/>
      <c r="D46" s="89">
        <f>SUM(D32:D45)</f>
        <v>0.99956873424194115</v>
      </c>
      <c r="E46" s="89">
        <f>SUM(E32:E45)</f>
        <v>0.99986842198406523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163962.99282543443</v>
      </c>
      <c r="E47" s="115" cm="1">
        <f t="array" ref="E47">SUMPRODUCT((E32:E45&gt;$C$32:$C$45)*(E32:E45-$C$32:$C$45))*Arealanvendelse!P6</f>
        <v>348608.53289043921</v>
      </c>
      <c r="K47" s="12"/>
    </row>
    <row r="48" spans="2:11" x14ac:dyDescent="0.25">
      <c r="B48" s="25" t="s">
        <v>244</v>
      </c>
      <c r="C48" s="109"/>
      <c r="D48" s="115">
        <f>1%*Arealanvendelse!M6</f>
        <v>23996.36</v>
      </c>
      <c r="E48" s="115">
        <f>1%*Arealanvendelse!P6</f>
        <v>18865.36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4" sqref="E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25">
      <c r="A3" s="316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4">
        <f>E3</f>
        <v>0.4</v>
      </c>
      <c r="E3" s="314">
        <v>0.4</v>
      </c>
      <c r="I3" s="244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4">
        <f t="shared" ref="D4:D7" si="0">E4</f>
        <v>1.0999999999999999E-2</v>
      </c>
      <c r="E4" s="314">
        <v>1.0999999999999999E-2</v>
      </c>
      <c r="I4" s="244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v>0</v>
      </c>
      <c r="I5" s="244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5.0000000000000001E-3</v>
      </c>
      <c r="E6" s="314">
        <v>5.0000000000000001E-3</v>
      </c>
      <c r="I6" s="244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0.01</v>
      </c>
      <c r="E7" s="314">
        <v>0.01</v>
      </c>
      <c r="I7" s="244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4">
        <v>0.113</v>
      </c>
      <c r="E8" s="314">
        <v>0.1</v>
      </c>
      <c r="I8" s="244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4">
        <v>0.03</v>
      </c>
      <c r="E9" s="314">
        <v>0.03</v>
      </c>
      <c r="I9" s="244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4">
        <v>0</v>
      </c>
      <c r="E10" s="314">
        <v>1E-3</v>
      </c>
      <c r="I10" s="244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4">
        <v>0</v>
      </c>
      <c r="E11" s="314">
        <v>0</v>
      </c>
      <c r="I11" s="244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4">
        <v>0.154</v>
      </c>
      <c r="E12" s="314">
        <v>0.154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4">
        <v>1.0999999999999999E-2</v>
      </c>
      <c r="E13" s="314">
        <v>1.0999999999999999E-2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data'!$H$430,2)</f>
        <v>0.02</v>
      </c>
      <c r="E14" s="119">
        <f>ROUND('[1]Processer - data'!J$469/'[1]Processer - data'!J$468*E15*'[1]Processer - data'!$H$429/'[1]Processer - data'!$H$430,2)</f>
        <v>0.05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4">
        <v>0.10199999999999999</v>
      </c>
      <c r="E15" s="314">
        <v>0.22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v>8.0000000000000002E-3</v>
      </c>
      <c r="E16" s="314">
        <v>8.0000000000000002E-3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4">
        <v>0.13600000000000001</v>
      </c>
      <c r="E17" s="314">
        <v>0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326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abSelected="1" zoomScale="85" zoomScaleNormal="85" workbookViewId="0">
      <selection activeCell="B4" sqref="B4:B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178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179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180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x14ac:dyDescent="0.25">
      <c r="A20" s="316"/>
      <c r="B20" s="316"/>
      <c r="C20" s="316" t="s">
        <v>23</v>
      </c>
      <c r="D20" s="316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x14ac:dyDescent="0.25">
      <c r="A23" s="2" t="s">
        <v>177</v>
      </c>
      <c r="B23" s="186">
        <v>10</v>
      </c>
      <c r="C23" s="109">
        <v>0</v>
      </c>
      <c r="D23" s="109">
        <f>IF(D$21-C$21+10&gt;$B23,IF(D$21-C$21&lt;=10,VLOOKUP($A23,$A$13:$D$17,MATCH(D$21,$A$12:$D$12)),VLOOKUP($A23,$A$13:$D$17,MATCH(D$21,$A$12:$D$12))/(D$21-C$21)*IF($B23=10,10,D$21-C$21-$B22)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5299.5579073842573</v>
      </c>
      <c r="E23" s="109">
        <f>IF(E$21-D$21+10&gt;$B23,IF(E$21-D$21&lt;=10,VLOOKUP($A23,$A$13:$D$17,MATCH(E$21,$A$12:$D$12)),VLOOKUP($A23,$A$13:$D$17,MATCH(E$21,$A$12:$D$12))/(E$21-D$21)*IF($B23=10,10,E$21-D$21-$B22)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21)</f>
        <v>62802.192232986679</v>
      </c>
      <c r="F23" s="109">
        <v>0</v>
      </c>
      <c r="G23" s="109">
        <f>IF(G$21-F$21+10&gt;$B23,IF(G$21-F$21&lt;=10,VLOOKUP($A23,$A$13:$D$17,MATCH(G$21,$A$12:$D$12)),VLOOKUP($A23,$A$13:$D$17,MATCH(G$21,$A$12:$D$12))/(G$21-F$21)*IF($B23=10,10,G$21-F$21-$B22)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1551.2060932580989</v>
      </c>
      <c r="H23" s="109">
        <f>IF(H$21-G$21+10&gt;$B23,IF(H$21-G$21&lt;=10,VLOOKUP($A23,$A$13:$D$17,MATCH(H$21,$A$12:$D$12)),VLOOKUP($A23,$A$13:$D$17,MATCH(H$21,$A$12:$D$12))/(H$21-G$21)*IF($B23=10,10,H$21-G$21-$B22)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21)</f>
        <v>7675.8090604495792</v>
      </c>
    </row>
    <row r="24" spans="1:8" x14ac:dyDescent="0.25">
      <c r="A24" s="2" t="s">
        <v>177</v>
      </c>
      <c r="B24" s="186">
        <v>20</v>
      </c>
      <c r="C24" s="109">
        <v>0</v>
      </c>
      <c r="D24" s="109">
        <f>IF(D$21-C$21+10&gt;$B24,IF(D$21-C$21&lt;=10,VLOOKUP($A24,$A$13:$D$17,MATCH(D$21,$A$12:$D$12)),VLOOKUP($A24,$A$13:$D$17,MATCH(D$21,$A$12:$D$12))/(D$21-C$21)*IF($B24=10,10,D$21-C$21-$B23)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529.95579073842566</v>
      </c>
      <c r="E24" s="109">
        <f>IF(E$21-D$21+10&gt;$B24,IF(E$21-D$21&lt;=10,VLOOKUP($A24,$A$13:$D$17,MATCH(E$21,$A$12:$D$12)),VLOOKUP($A24,$A$13:$D$17,MATCH(E$21,$A$12:$D$12))/(E$21-D$21)*IF($B24=10,10,E$21-D$21-$B23)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22)</f>
        <v>62802.192232986679</v>
      </c>
      <c r="F24" s="109">
        <v>0</v>
      </c>
      <c r="G24" s="109">
        <f>IF(G$21-F$21+10&gt;$B24,IF(G$21-F$21&lt;=10,VLOOKUP($A24,$A$13:$D$17,MATCH(G$21,$A$12:$D$12)),VLOOKUP($A24,$A$13:$D$17,MATCH(G$21,$A$12:$D$12))/(G$21-F$21)*IF($B24=10,10,G$21-F$21-$B23)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155.12060932580988</v>
      </c>
      <c r="H24" s="109">
        <f>IF(H$21-G$21+10&gt;$B24,IF(H$21-G$21&lt;=10,VLOOKUP($A24,$A$13:$D$17,MATCH(H$21,$A$12:$D$12)),VLOOKUP($A24,$A$13:$D$17,MATCH(H$21,$A$12:$D$12))/(H$21-G$21)*IF($B24=10,10,H$21-G$21-$B23)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22)</f>
        <v>7675.8090604495792</v>
      </c>
    </row>
    <row r="25" spans="1:8" x14ac:dyDescent="0.25">
      <c r="A25" s="2" t="s">
        <v>177</v>
      </c>
      <c r="B25" s="186">
        <v>30</v>
      </c>
      <c r="C25" s="109">
        <v>0</v>
      </c>
      <c r="D25" s="109">
        <f>IF(D$21-C$21+10&gt;$B25,IF(D$21-C$21&lt;=10,VLOOKUP($A25,$A$13:$D$17,MATCH(D$21,$A$12:$D$12)),VLOOKUP($A25,$A$13:$D$17,MATCH(D$21,$A$12:$D$12))/(D$21-C$21)*IF($B25=10,10,D$21-C$21-$B24)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5" s="109">
        <f>IF(E$21-D$21+10&gt;$B25,IF(E$21-D$21&lt;=10,VLOOKUP($A25,$A$13:$D$17,MATCH(E$21,$A$12:$D$12)),VLOOKUP($A25,$A$13:$D$17,MATCH(E$21,$A$12:$D$12))/(E$21-D$21)*IF($B25=10,10,E$21-D$21-$B24)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23)</f>
        <v>5299.5579073842573</v>
      </c>
      <c r="F25" s="109">
        <v>0</v>
      </c>
      <c r="G25" s="109">
        <f>IF(G$21-F$21+10&gt;$B25,IF(G$21-F$21&lt;=10,VLOOKUP($A25,$A$13:$D$17,MATCH(G$21,$A$12:$D$12)),VLOOKUP($A25,$A$13:$D$17,MATCH(G$21,$A$12:$D$12))/(G$21-F$21)*IF($B25=10,10,G$21-F$21-$B24)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5" s="109">
        <f>IF(H$21-G$21+10&gt;$B25,IF(H$21-G$21&lt;=10,VLOOKUP($A25,$A$13:$D$17,MATCH(H$21,$A$12:$D$12)),VLOOKUP($A25,$A$13:$D$17,MATCH(H$21,$A$12:$D$12))/(H$21-G$21)*IF($B25=10,10,H$21-G$21-$B24)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23)</f>
        <v>1551.2060932580989</v>
      </c>
    </row>
    <row r="26" spans="1:8" x14ac:dyDescent="0.25">
      <c r="A26" s="2" t="s">
        <v>177</v>
      </c>
      <c r="B26" s="187">
        <v>40</v>
      </c>
      <c r="C26" s="109">
        <v>0</v>
      </c>
      <c r="D26" s="109">
        <f>IF(D$21-C$21+10&gt;$B26,IF(D$21-C$21&lt;=10,VLOOKUP($A26,$A$13:$D$17,MATCH(D$21,$A$12:$D$12)),VLOOKUP($A26,$A$13:$D$17,MATCH(D$21,$A$12:$D$12))/(D$21-C$21)*IF($B26=10,10,D$21-C$21-$B25)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6" s="109">
        <f>IF(E$21-D$21+10&gt;$B26,IF(E$21-D$21&lt;=10,VLOOKUP($A26,$A$13:$D$17,MATCH(E$21,$A$12:$D$12)),VLOOKUP($A26,$A$13:$D$17,MATCH(E$21,$A$12:$D$12))/(E$21-D$21)*IF($B26=10,10,E$21-D$21-$B25)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24)</f>
        <v>529.95579073842566</v>
      </c>
      <c r="F26" s="109">
        <v>0</v>
      </c>
      <c r="G26" s="109">
        <f>IF(G$21-F$21+10&gt;$B26,IF(G$21-F$21&lt;=10,VLOOKUP($A26,$A$13:$D$17,MATCH(G$21,$A$12:$D$12)),VLOOKUP($A26,$A$13:$D$17,MATCH(G$21,$A$12:$D$12))/(G$21-F$21)*IF($B26=10,10,G$21-F$21-$B25)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6" s="109">
        <f>IF(H$21-G$21+10&gt;$B26,IF(H$21-G$21&lt;=10,VLOOKUP($A26,$A$13:$D$17,MATCH(H$21,$A$12:$D$12)),VLOOKUP($A26,$A$13:$D$17,MATCH(H$21,$A$12:$D$12))/(H$21-G$21)*IF($B26=10,10,H$21-G$21-$B25)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24)</f>
        <v>155.12060932580988</v>
      </c>
    </row>
    <row r="27" spans="1:8" x14ac:dyDescent="0.25">
      <c r="A27" s="2" t="s">
        <v>178</v>
      </c>
      <c r="B27" s="186">
        <v>10</v>
      </c>
      <c r="C27" s="109">
        <v>0</v>
      </c>
      <c r="D27" s="109">
        <f>IF(D$21-C$21+10&gt;$B27,IF(D$21-C$21&lt;=10,VLOOKUP($A27,$A$13:$D$17,MATCH(D$21,$A$12:$D$12)),VLOOKUP($A27,$A$13:$D$17,MATCH(D$21,$A$12:$D$12))/(D$21-C$21)*IF($B27=10,10,D$21-C$21-$B26)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5299.5579073842573</v>
      </c>
      <c r="E27" s="109">
        <f>IF(E$21-D$21+10&gt;$B27,IF(E$21-D$21&lt;=10,VLOOKUP($A27,$A$13:$D$17,MATCH(E$21,$A$12:$D$12)),VLOOKUP($A27,$A$13:$D$17,MATCH(E$21,$A$12:$D$12))/(E$21-D$21)*IF($B27=10,10,E$21-D$21-$B26)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25)</f>
        <v>62802.192232986679</v>
      </c>
      <c r="F27" s="109">
        <v>0</v>
      </c>
      <c r="G27" s="109">
        <f>IF(G$21-F$21+10&gt;$B27,IF(G$21-F$21&lt;=10,VLOOKUP($A27,$A$13:$D$17,MATCH(G$21,$A$12:$D$12)),VLOOKUP($A27,$A$13:$D$17,MATCH(G$21,$A$12:$D$12))/(G$21-F$21)*IF($B27=10,10,G$21-F$21-$B26)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1551.2060932580989</v>
      </c>
      <c r="H27" s="109">
        <f>IF(H$21-G$21+10&gt;$B27,IF(H$21-G$21&lt;=10,VLOOKUP($A27,$A$13:$D$17,MATCH(H$21,$A$12:$D$12)),VLOOKUP($A27,$A$13:$D$17,MATCH(H$21,$A$12:$D$12))/(H$21-G$21)*IF($B27=10,10,H$21-G$21-$B26)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25)</f>
        <v>7675.8090604495792</v>
      </c>
    </row>
    <row r="28" spans="1:8" x14ac:dyDescent="0.25">
      <c r="A28" s="2" t="s">
        <v>178</v>
      </c>
      <c r="B28" s="186">
        <v>20</v>
      </c>
      <c r="C28" s="109">
        <v>0</v>
      </c>
      <c r="D28" s="109">
        <f>IF(D$21-C$21+10&gt;$B28,IF(D$21-C$21&lt;=10,VLOOKUP($A28,$A$13:$D$17,MATCH(D$21,$A$12:$D$12)),VLOOKUP($A28,$A$13:$D$17,MATCH(D$21,$A$12:$D$12))/(D$21-C$21)*IF($B28=10,10,D$21-C$21-$B27)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529.95579073842566</v>
      </c>
      <c r="E28" s="109">
        <f>IF(E$21-D$21+10&gt;$B28,IF(E$21-D$21&lt;=10,VLOOKUP($A28,$A$13:$D$17,MATCH(E$21,$A$12:$D$12)),VLOOKUP($A28,$A$13:$D$17,MATCH(E$21,$A$12:$D$12))/(E$21-D$21)*IF($B28=10,10,E$21-D$21-$B27)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26)</f>
        <v>62802.192232986679</v>
      </c>
      <c r="F28" s="109">
        <v>0</v>
      </c>
      <c r="G28" s="109">
        <f>IF(G$21-F$21+10&gt;$B28,IF(G$21-F$21&lt;=10,VLOOKUP($A28,$A$13:$D$17,MATCH(G$21,$A$12:$D$12)),VLOOKUP($A28,$A$13:$D$17,MATCH(G$21,$A$12:$D$12))/(G$21-F$21)*IF($B28=10,10,G$21-F$21-$B27)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155.12060932580988</v>
      </c>
      <c r="H28" s="109">
        <f>IF(H$21-G$21+10&gt;$B28,IF(H$21-G$21&lt;=10,VLOOKUP($A28,$A$13:$D$17,MATCH(H$21,$A$12:$D$12)),VLOOKUP($A28,$A$13:$D$17,MATCH(H$21,$A$12:$D$12))/(H$21-G$21)*IF($B28=10,10,H$21-G$21-$B27)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26)</f>
        <v>7675.8090604495792</v>
      </c>
    </row>
    <row r="29" spans="1:8" x14ac:dyDescent="0.25">
      <c r="A29" s="2" t="s">
        <v>178</v>
      </c>
      <c r="B29" s="186">
        <v>30</v>
      </c>
      <c r="C29" s="109">
        <v>0</v>
      </c>
      <c r="D29" s="109">
        <f>IF(D$21-C$21+10&gt;$B29,IF(D$21-C$21&lt;=10,VLOOKUP($A29,$A$13:$D$17,MATCH(D$21,$A$12:$D$12)),VLOOKUP($A29,$A$13:$D$17,MATCH(D$21,$A$12:$D$12))/(D$21-C$21)*IF($B29=10,10,D$21-C$21-$B28)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9" s="109">
        <f>IF(E$21-D$21+10&gt;$B29,IF(E$21-D$21&lt;=10,VLOOKUP($A29,$A$13:$D$17,MATCH(E$21,$A$12:$D$12)),VLOOKUP($A29,$A$13:$D$17,MATCH(E$21,$A$12:$D$12))/(E$21-D$21)*IF($B29=10,10,E$21-D$21-$B28)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27)</f>
        <v>5299.5579073842573</v>
      </c>
      <c r="F29" s="109">
        <v>0</v>
      </c>
      <c r="G29" s="109">
        <f>IF(G$21-F$21+10&gt;$B29,IF(G$21-F$21&lt;=10,VLOOKUP($A29,$A$13:$D$17,MATCH(G$21,$A$12:$D$12)),VLOOKUP($A29,$A$13:$D$17,MATCH(G$21,$A$12:$D$12))/(G$21-F$21)*IF($B29=10,10,G$21-F$21-$B28)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9" s="109">
        <f>IF(H$21-G$21+10&gt;$B29,IF(H$21-G$21&lt;=10,VLOOKUP($A29,$A$13:$D$17,MATCH(H$21,$A$12:$D$12)),VLOOKUP($A29,$A$13:$D$17,MATCH(H$21,$A$12:$D$12))/(H$21-G$21)*IF($B29=10,10,H$21-G$21-$B28)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27)</f>
        <v>1551.2060932580989</v>
      </c>
    </row>
    <row r="30" spans="1:8" x14ac:dyDescent="0.25">
      <c r="A30" s="2" t="s">
        <v>178</v>
      </c>
      <c r="B30" s="187">
        <v>40</v>
      </c>
      <c r="C30" s="109">
        <v>0</v>
      </c>
      <c r="D30" s="109">
        <f>IF(D$21-C$21+10&gt;$B30,IF(D$21-C$21&lt;=10,VLOOKUP($A30,$A$13:$D$17,MATCH(D$21,$A$12:$D$12)),VLOOKUP($A30,$A$13:$D$17,MATCH(D$21,$A$12:$D$12))/(D$21-C$21)*IF($B30=10,10,D$21-C$21-$B29)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0" s="109">
        <f>IF(E$21-D$21+10&gt;$B30,IF(E$21-D$21&lt;=10,VLOOKUP($A30,$A$13:$D$17,MATCH(E$21,$A$12:$D$12)),VLOOKUP($A30,$A$13:$D$17,MATCH(E$21,$A$12:$D$12))/(E$21-D$21)*IF($B30=10,10,E$21-D$21-$B29)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28)</f>
        <v>529.95579073842566</v>
      </c>
      <c r="F30" s="109">
        <v>0</v>
      </c>
      <c r="G30" s="109">
        <f>IF(G$21-F$21+10&gt;$B30,IF(G$21-F$21&lt;=10,VLOOKUP($A30,$A$13:$D$17,MATCH(G$21,$A$12:$D$12)),VLOOKUP($A30,$A$13:$D$17,MATCH(G$21,$A$12:$D$12))/(G$21-F$21)*IF($B30=10,10,G$21-F$21-$B29)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0" s="109">
        <f>IF(H$21-G$21+10&gt;$B30,IF(H$21-G$21&lt;=10,VLOOKUP($A30,$A$13:$D$17,MATCH(H$21,$A$12:$D$12)),VLOOKUP($A30,$A$13:$D$17,MATCH(H$21,$A$12:$D$12))/(H$21-G$21)*IF($B30=10,10,H$21-G$21-$B29)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28)</f>
        <v>155.12060932580988</v>
      </c>
    </row>
    <row r="31" spans="1:8" x14ac:dyDescent="0.25">
      <c r="A31" s="2" t="s">
        <v>179</v>
      </c>
      <c r="B31" s="186">
        <v>10</v>
      </c>
      <c r="C31" s="109">
        <v>0</v>
      </c>
      <c r="D31" s="109">
        <f>IF(D$21-C$21+10&gt;$B31,IF(D$21-C$21&lt;=10,VLOOKUP($A31,$A$13:$D$17,MATCH(D$21,$A$12:$D$12)),VLOOKUP($A31,$A$13:$D$17,MATCH(D$21,$A$12:$D$12))/(D$21-C$21)*IF($B31=10,10,D$21-C$21-$B30)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5299.5579073842573</v>
      </c>
      <c r="E31" s="109">
        <f>IF(E$21-D$21+10&gt;$B31,IF(E$21-D$21&lt;=10,VLOOKUP($A31,$A$13:$D$17,MATCH(E$21,$A$12:$D$12)),VLOOKUP($A31,$A$13:$D$17,MATCH(E$21,$A$12:$D$12))/(E$21-D$21)*IF($B31=10,10,E$21-D$21-$B30)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29)</f>
        <v>62802.192232986679</v>
      </c>
      <c r="F31" s="109">
        <v>0</v>
      </c>
      <c r="G31" s="109">
        <f>IF(G$21-F$21+10&gt;$B31,IF(G$21-F$21&lt;=10,VLOOKUP($A31,$A$13:$D$17,MATCH(G$21,$A$12:$D$12)),VLOOKUP($A31,$A$13:$D$17,MATCH(G$21,$A$12:$D$12))/(G$21-F$21)*IF($B31=10,10,G$21-F$21-$B30)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1551.2060932580989</v>
      </c>
      <c r="H31" s="109">
        <f>IF(H$21-G$21+10&gt;$B31,IF(H$21-G$21&lt;=10,VLOOKUP($A31,$A$13:$D$17,MATCH(H$21,$A$12:$D$12)),VLOOKUP($A31,$A$13:$D$17,MATCH(H$21,$A$12:$D$12))/(H$21-G$21)*IF($B31=10,10,H$21-G$21-$B30)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29)</f>
        <v>7675.8090604495792</v>
      </c>
    </row>
    <row r="32" spans="1:8" x14ac:dyDescent="0.25">
      <c r="A32" s="2" t="s">
        <v>179</v>
      </c>
      <c r="B32" s="186">
        <v>20</v>
      </c>
      <c r="C32" s="109">
        <v>0</v>
      </c>
      <c r="D32" s="109">
        <f>IF(D$21-C$21+10&gt;$B32,IF(D$21-C$21&lt;=10,VLOOKUP($A32,$A$13:$D$17,MATCH(D$21,$A$12:$D$12)),VLOOKUP($A32,$A$13:$D$17,MATCH(D$21,$A$12:$D$12))/(D$21-C$21)*IF($B32=10,10,D$21-C$21-$B31)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529.95579073842566</v>
      </c>
      <c r="E32" s="109">
        <f>IF(E$21-D$21+10&gt;$B32,IF(E$21-D$21&lt;=10,VLOOKUP($A32,$A$13:$D$17,MATCH(E$21,$A$12:$D$12)),VLOOKUP($A32,$A$13:$D$17,MATCH(E$21,$A$12:$D$12))/(E$21-D$21)*IF($B32=10,10,E$21-D$21-$B31)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30)</f>
        <v>62802.192232986679</v>
      </c>
      <c r="F32" s="109">
        <v>0</v>
      </c>
      <c r="G32" s="109">
        <f>IF(G$21-F$21+10&gt;$B32,IF(G$21-F$21&lt;=10,VLOOKUP($A32,$A$13:$D$17,MATCH(G$21,$A$12:$D$12)),VLOOKUP($A32,$A$13:$D$17,MATCH(G$21,$A$12:$D$12))/(G$21-F$21)*IF($B32=10,10,G$21-F$21-$B31)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155.12060932580988</v>
      </c>
      <c r="H32" s="109">
        <f>IF(H$21-G$21+10&gt;$B32,IF(H$21-G$21&lt;=10,VLOOKUP($A32,$A$13:$D$17,MATCH(H$21,$A$12:$D$12)),VLOOKUP($A32,$A$13:$D$17,MATCH(H$21,$A$12:$D$12))/(H$21-G$21)*IF($B32=10,10,H$21-G$21-$B31)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30)</f>
        <v>7675.8090604495792</v>
      </c>
    </row>
    <row r="33" spans="1:10" x14ac:dyDescent="0.25">
      <c r="A33" s="2" t="s">
        <v>179</v>
      </c>
      <c r="B33" s="186">
        <v>30</v>
      </c>
      <c r="C33" s="109">
        <v>0</v>
      </c>
      <c r="D33" s="109">
        <f>IF(D$21-C$21+10&gt;$B33,IF(D$21-C$21&lt;=10,VLOOKUP($A33,$A$13:$D$17,MATCH(D$21,$A$12:$D$12)),VLOOKUP($A33,$A$13:$D$17,MATCH(D$21,$A$12:$D$12))/(D$21-C$21)*IF($B33=10,10,D$21-C$21-$B32)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3" s="109">
        <f>IF(E$21-D$21+10&gt;$B33,IF(E$21-D$21&lt;=10,VLOOKUP($A33,$A$13:$D$17,MATCH(E$21,$A$12:$D$12)),VLOOKUP($A33,$A$13:$D$17,MATCH(E$21,$A$12:$D$12))/(E$21-D$21)*IF($B33=10,10,E$21-D$21-$B32)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31)</f>
        <v>5299.5579073842573</v>
      </c>
      <c r="F33" s="109">
        <v>0</v>
      </c>
      <c r="G33" s="109">
        <f>IF(G$21-F$21+10&gt;$B33,IF(G$21-F$21&lt;=10,VLOOKUP($A33,$A$13:$D$17,MATCH(G$21,$A$12:$D$12)),VLOOKUP($A33,$A$13:$D$17,MATCH(G$21,$A$12:$D$12))/(G$21-F$21)*IF($B33=10,10,G$21-F$21-$B32)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3" s="109">
        <f>IF(H$21-G$21+10&gt;$B33,IF(H$21-G$21&lt;=10,VLOOKUP($A33,$A$13:$D$17,MATCH(H$21,$A$12:$D$12)),VLOOKUP($A33,$A$13:$D$17,MATCH(H$21,$A$12:$D$12))/(H$21-G$21)*IF($B33=10,10,H$21-G$21-$B32)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31)</f>
        <v>1551.2060932580989</v>
      </c>
    </row>
    <row r="34" spans="1:10" x14ac:dyDescent="0.25">
      <c r="A34" s="2" t="s">
        <v>179</v>
      </c>
      <c r="B34" s="187">
        <v>40</v>
      </c>
      <c r="C34" s="109">
        <v>0</v>
      </c>
      <c r="D34" s="109">
        <f>IF(D$21-C$21+10&gt;$B34,IF(D$21-C$21&lt;=10,VLOOKUP($A34,$A$13:$D$17,MATCH(D$21,$A$12:$D$12)),VLOOKUP($A34,$A$13:$D$17,MATCH(D$21,$A$12:$D$12))/(D$21-C$21)*IF($B34=10,10,D$21-C$21-$B33)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4" s="109">
        <f>IF(E$21-D$21+10&gt;$B34,IF(E$21-D$21&lt;=10,VLOOKUP($A34,$A$13:$D$17,MATCH(E$21,$A$12:$D$12)),VLOOKUP($A34,$A$13:$D$17,MATCH(E$21,$A$12:$D$12))/(E$21-D$21)*IF($B34=10,10,E$21-D$21-$B33)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32)</f>
        <v>529.95579073842566</v>
      </c>
      <c r="F34" s="109">
        <v>0</v>
      </c>
      <c r="G34" s="109">
        <f>IF(G$21-F$21+10&gt;$B34,IF(G$21-F$21&lt;=10,VLOOKUP($A34,$A$13:$D$17,MATCH(G$21,$A$12:$D$12)),VLOOKUP($A34,$A$13:$D$17,MATCH(G$21,$A$12:$D$12))/(G$21-F$21)*IF($B34=10,10,G$21-F$21-$B33)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4" s="109">
        <f>IF(H$21-G$21+10&gt;$B34,IF(H$21-G$21&lt;=10,VLOOKUP($A34,$A$13:$D$17,MATCH(H$21,$A$12:$D$12)),VLOOKUP($A34,$A$13:$D$17,MATCH(H$21,$A$12:$D$12))/(H$21-G$21)*IF($B34=10,10,H$21-G$21-$B33)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32)</f>
        <v>155.12060932580988</v>
      </c>
    </row>
    <row r="35" spans="1:10" x14ac:dyDescent="0.25">
      <c r="A35" s="2" t="s">
        <v>180</v>
      </c>
      <c r="B35" s="186">
        <v>10</v>
      </c>
      <c r="C35" s="109">
        <v>0</v>
      </c>
      <c r="D35" s="109">
        <f>IF(D$21-C$21+10&gt;$B35,IF(D$21-C$21&lt;=10,VLOOKUP($A35,$A$13:$D$17,MATCH(D$21,$A$12:$D$12)),VLOOKUP($A35,$A$13:$D$17,MATCH(D$21,$A$12:$D$12))/(D$21-C$21)*IF($B35=10,10,D$21-C$21-$B34)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5299.5579073842573</v>
      </c>
      <c r="E35" s="109">
        <f>IF(E$21-D$21+10&gt;$B35,IF(E$21-D$21&lt;=10,VLOOKUP($A35,$A$13:$D$17,MATCH(E$21,$A$12:$D$12)),VLOOKUP($A35,$A$13:$D$17,MATCH(E$21,$A$12:$D$12))/(E$21-D$21)*IF($B35=10,10,E$21-D$21-$B34)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33)</f>
        <v>62802.192232986679</v>
      </c>
      <c r="F35" s="109">
        <v>0</v>
      </c>
      <c r="G35" s="109">
        <f>IF(G$21-F$21+10&gt;$B35,IF(G$21-F$21&lt;=10,VLOOKUP($A35,$A$13:$D$17,MATCH(G$21,$A$12:$D$12)),VLOOKUP($A35,$A$13:$D$17,MATCH(G$21,$A$12:$D$12))/(G$21-F$21)*IF($B35=10,10,G$21-F$21-$B34)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1551.2060932580989</v>
      </c>
      <c r="H35" s="109">
        <f>IF(H$21-G$21+10&gt;$B35,IF(H$21-G$21&lt;=10,VLOOKUP($A35,$A$13:$D$17,MATCH(H$21,$A$12:$D$12)),VLOOKUP($A35,$A$13:$D$17,MATCH(H$21,$A$12:$D$12))/(H$21-G$21)*IF($B35=10,10,H$21-G$21-$B34)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33)</f>
        <v>7675.8090604495792</v>
      </c>
    </row>
    <row r="36" spans="1:10" x14ac:dyDescent="0.25">
      <c r="A36" s="2" t="s">
        <v>180</v>
      </c>
      <c r="B36" s="186">
        <v>20</v>
      </c>
      <c r="C36" s="109">
        <v>0</v>
      </c>
      <c r="D36" s="109">
        <f>IF(D$21-C$21+10&gt;$B36,IF(D$21-C$21&lt;=10,VLOOKUP($A36,$A$13:$D$17,MATCH(D$21,$A$12:$D$12)),VLOOKUP($A36,$A$13:$D$17,MATCH(D$21,$A$12:$D$12))/(D$21-C$21)*IF($B36=10,10,D$21-C$21-$B35)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529.95579073842566</v>
      </c>
      <c r="E36" s="109">
        <f>IF(E$21-D$21+10&gt;$B36,IF(E$21-D$21&lt;=10,VLOOKUP($A36,$A$13:$D$17,MATCH(E$21,$A$12:$D$12)),VLOOKUP($A36,$A$13:$D$17,MATCH(E$21,$A$12:$D$12))/(E$21-D$21)*IF($B36=10,10,E$21-D$21-$B35)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34)</f>
        <v>62802.192232986679</v>
      </c>
      <c r="F36" s="109">
        <v>0</v>
      </c>
      <c r="G36" s="109">
        <f>IF(G$21-F$21+10&gt;$B36,IF(G$21-F$21&lt;=10,VLOOKUP($A36,$A$13:$D$17,MATCH(G$21,$A$12:$D$12)),VLOOKUP($A36,$A$13:$D$17,MATCH(G$21,$A$12:$D$12))/(G$21-F$21)*IF($B36=10,10,G$21-F$21-$B35)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155.12060932580988</v>
      </c>
      <c r="H36" s="109">
        <f>IF(H$21-G$21+10&gt;$B36,IF(H$21-G$21&lt;=10,VLOOKUP($A36,$A$13:$D$17,MATCH(H$21,$A$12:$D$12)),VLOOKUP($A36,$A$13:$D$17,MATCH(H$21,$A$12:$D$12))/(H$21-G$21)*IF($B36=10,10,H$21-G$21-$B35)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34)</f>
        <v>7675.8090604495792</v>
      </c>
    </row>
    <row r="37" spans="1:10" x14ac:dyDescent="0.25">
      <c r="A37" s="2" t="s">
        <v>180</v>
      </c>
      <c r="B37" s="186">
        <v>30</v>
      </c>
      <c r="C37" s="109">
        <v>0</v>
      </c>
      <c r="D37" s="109">
        <f>IF(D$21-C$21+10&gt;$B37,IF(D$21-C$21&lt;=10,VLOOKUP($A37,$A$13:$D$17,MATCH(D$21,$A$12:$D$12)),VLOOKUP($A37,$A$13:$D$17,MATCH(D$21,$A$12:$D$12))/(D$21-C$21)*IF($B37=10,10,D$21-C$21-$B36)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7" s="109">
        <f>IF(E$21-D$21+10&gt;$B37,IF(E$21-D$21&lt;=10,VLOOKUP($A37,$A$13:$D$17,MATCH(E$21,$A$12:$D$12)),VLOOKUP($A37,$A$13:$D$17,MATCH(E$21,$A$12:$D$12))/(E$21-D$21)*IF($B37=10,10,E$21-D$21-$B36)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35)</f>
        <v>5299.5579073842573</v>
      </c>
      <c r="F37" s="109">
        <v>0</v>
      </c>
      <c r="G37" s="109">
        <f>IF(G$21-F$21+10&gt;$B37,IF(G$21-F$21&lt;=10,VLOOKUP($A37,$A$13:$D$17,MATCH(G$21,$A$12:$D$12)),VLOOKUP($A37,$A$13:$D$17,MATCH(G$21,$A$12:$D$12))/(G$21-F$21)*IF($B37=10,10,G$21-F$21-$B36)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7" s="109">
        <f>IF(H$21-G$21+10&gt;$B37,IF(H$21-G$21&lt;=10,VLOOKUP($A37,$A$13:$D$17,MATCH(H$21,$A$12:$D$12)),VLOOKUP($A37,$A$13:$D$17,MATCH(H$21,$A$12:$D$12))/(H$21-G$21)*IF($B37=10,10,H$21-G$21-$B36)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35)</f>
        <v>1551.2060932580989</v>
      </c>
    </row>
    <row r="38" spans="1:10" x14ac:dyDescent="0.25">
      <c r="A38" s="2" t="s">
        <v>180</v>
      </c>
      <c r="B38" s="187">
        <v>40</v>
      </c>
      <c r="C38" s="109">
        <v>0</v>
      </c>
      <c r="D38" s="109">
        <f>IF(D$21-C$21+10&gt;$B38,IF(D$21-C$21&lt;=10,VLOOKUP($A38,$A$13:$D$17,MATCH(D$21,$A$12:$D$12)),VLOOKUP($A38,$A$13:$D$17,MATCH(D$21,$A$12:$D$12))/(D$21-C$21)*IF($B38=10,10,D$21-C$21-$B37)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8" s="109">
        <f>IF(E$21-D$21+10&gt;$B38,IF(E$21-D$21&lt;=10,VLOOKUP($A38,$A$13:$D$17,MATCH(E$21,$A$12:$D$12)),VLOOKUP($A38,$A$13:$D$17,MATCH(E$21,$A$12:$D$12))/(E$21-D$21)*IF($B38=10,10,E$21-D$21-$B37)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36)</f>
        <v>529.95579073842566</v>
      </c>
      <c r="F38" s="109">
        <v>0</v>
      </c>
      <c r="G38" s="109">
        <f>IF(G$21-F$21+10&gt;$B38,IF(G$21-F$21&lt;=10,VLOOKUP($A38,$A$13:$D$17,MATCH(G$21,$A$12:$D$12)),VLOOKUP($A38,$A$13:$D$17,MATCH(G$21,$A$12:$D$12))/(G$21-F$21)*IF($B38=10,10,G$21-F$21-$B37)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8" s="109">
        <f>IF(H$21-G$21+10&gt;$B38,IF(H$21-G$21&lt;=10,VLOOKUP($A38,$A$13:$D$17,MATCH(H$21,$A$12:$D$12)),VLOOKUP($A38,$A$13:$D$17,MATCH(H$21,$A$12:$D$12))/(H$21-G$21)*IF($B38=10,10,H$21-G$21-$B37)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36)</f>
        <v>155.12060932580988</v>
      </c>
    </row>
    <row r="39" spans="1:10" x14ac:dyDescent="0.25">
      <c r="A39" s="2" t="s">
        <v>181</v>
      </c>
      <c r="B39" s="186">
        <v>10</v>
      </c>
      <c r="C39" s="109">
        <v>0</v>
      </c>
      <c r="D39" s="109">
        <f>IF(D$21-C$21+10&gt;$B39,IF(D$21-C$21&lt;=10,VLOOKUP($A39,$A$13:$D$17,MATCH(D$21,$A$12:$D$12)),VLOOKUP($A39,$A$13:$D$17,MATCH(D$21,$A$12:$D$12))/(D$21-C$21)*IF($B39=10,10,D$21-C$21-$B38)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9" s="109">
        <f>IF(E$21-D$21+10&gt;$B39,IF(E$21-D$21&lt;=10,VLOOKUP($A39,$A$13:$D$17,MATCH(E$21,$A$12:$D$12)),VLOOKUP($A39,$A$13:$D$17,MATCH(E$21,$A$12:$D$12))/(E$21-D$21)*IF($B39=10,10,E$21-D$21-$B38)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37)</f>
        <v>0</v>
      </c>
      <c r="F39" s="109">
        <v>0</v>
      </c>
      <c r="G39" s="109">
        <f>IF(G$21-F$21+10&gt;$B39,IF(G$21-F$21&lt;=10,VLOOKUP($A39,$A$13:$D$17,MATCH(G$21,$A$12:$D$12)),VLOOKUP($A39,$A$13:$D$17,MATCH(G$21,$A$12:$D$12))/(G$21-F$21)*IF($B39=10,10,G$21-F$21-$B38)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9" s="109">
        <f>IF(H$21-G$21+10&gt;$B39,IF(H$21-G$21&lt;=10,VLOOKUP($A39,$A$13:$D$17,MATCH(H$21,$A$12:$D$12)),VLOOKUP($A39,$A$13:$D$17,MATCH(H$21,$A$12:$D$12))/(H$21-G$21)*IF($B39=10,10,H$21-G$21-$B38)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37)</f>
        <v>0</v>
      </c>
    </row>
    <row r="40" spans="1:10" x14ac:dyDescent="0.25">
      <c r="A40" s="2" t="s">
        <v>181</v>
      </c>
      <c r="B40" s="186">
        <v>20</v>
      </c>
      <c r="C40" s="109">
        <v>0</v>
      </c>
      <c r="D40" s="109">
        <f>IF(D$21-C$21+10&gt;$B40,IF(D$21-C$21&lt;=10,VLOOKUP($A40,$A$13:$D$17,MATCH(D$21,$A$12:$D$12)),VLOOKUP($A40,$A$13:$D$17,MATCH(D$21,$A$12:$D$12))/(D$21-C$21)*IF($B40=10,10,D$21-C$21-$B39)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0" s="109">
        <f>IF(E$21-D$21+10&gt;$B40,IF(E$21-D$21&lt;=10,VLOOKUP($A40,$A$13:$D$17,MATCH(E$21,$A$12:$D$12)),VLOOKUP($A40,$A$13:$D$17,MATCH(E$21,$A$12:$D$12))/(E$21-D$21)*IF($B40=10,10,E$21-D$21-$B39)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38)</f>
        <v>0</v>
      </c>
      <c r="F40" s="109">
        <v>0</v>
      </c>
      <c r="G40" s="109">
        <f>IF(G$21-F$21+10&gt;$B40,IF(G$21-F$21&lt;=10,VLOOKUP($A40,$A$13:$D$17,MATCH(G$21,$A$12:$D$12)),VLOOKUP($A40,$A$13:$D$17,MATCH(G$21,$A$12:$D$12))/(G$21-F$21)*IF($B40=10,10,G$21-F$21-$B39)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0" s="109">
        <f>IF(H$21-G$21+10&gt;$B40,IF(H$21-G$21&lt;=10,VLOOKUP($A40,$A$13:$D$17,MATCH(H$21,$A$12:$D$12)),VLOOKUP($A40,$A$13:$D$17,MATCH(H$21,$A$12:$D$12))/(H$21-G$21)*IF($B40=10,10,H$21-G$21-$B39)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38)</f>
        <v>0</v>
      </c>
    </row>
    <row r="41" spans="1:10" x14ac:dyDescent="0.25">
      <c r="A41" s="2" t="s">
        <v>181</v>
      </c>
      <c r="B41" s="186">
        <v>30</v>
      </c>
      <c r="C41" s="109">
        <v>0</v>
      </c>
      <c r="D41" s="109">
        <f>IF(D$21-C$21+10&gt;$B41,IF(D$21-C$21&lt;=10,VLOOKUP($A41,$A$13:$D$17,MATCH(D$21,$A$12:$D$12)),VLOOKUP($A41,$A$13:$D$17,MATCH(D$21,$A$12:$D$12))/(D$21-C$21)*IF($B41=10,10,D$21-C$21-$B40)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1" s="109">
        <f>IF(E$21-D$21+10&gt;$B41,IF(E$21-D$21&lt;=10,VLOOKUP($A41,$A$13:$D$17,MATCH(E$21,$A$12:$D$12)),VLOOKUP($A41,$A$13:$D$17,MATCH(E$21,$A$12:$D$12))/(E$21-D$21)*IF($B41=10,10,E$21-D$21-$B40)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39)</f>
        <v>0</v>
      </c>
      <c r="F41" s="109">
        <v>0</v>
      </c>
      <c r="G41" s="109">
        <f>IF(G$21-F$21+10&gt;$B41,IF(G$21-F$21&lt;=10,VLOOKUP($A41,$A$13:$D$17,MATCH(G$21,$A$12:$D$12)),VLOOKUP($A41,$A$13:$D$17,MATCH(G$21,$A$12:$D$12))/(G$21-F$21)*IF($B41=10,10,G$21-F$21-$B40)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1" s="109">
        <f>IF(H$21-G$21+10&gt;$B41,IF(H$21-G$21&lt;=10,VLOOKUP($A41,$A$13:$D$17,MATCH(H$21,$A$12:$D$12)),VLOOKUP($A41,$A$13:$D$17,MATCH(H$21,$A$12:$D$12))/(H$21-G$21)*IF($B41=10,10,H$21-G$21-$B40)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39)</f>
        <v>0</v>
      </c>
    </row>
    <row r="42" spans="1:10" x14ac:dyDescent="0.25">
      <c r="A42" s="2" t="s">
        <v>181</v>
      </c>
      <c r="B42" s="109">
        <v>40</v>
      </c>
      <c r="C42" s="109">
        <v>0</v>
      </c>
      <c r="D42" s="109">
        <f>IF(D$21-C$21+10&gt;$B42,IF(D$21-C$21&lt;=10,VLOOKUP($A42,$A$13:$D$17,MATCH(D$21,$A$12:$D$12)),VLOOKUP($A42,$A$13:$D$17,MATCH(D$21,$A$12:$D$12))/(D$21-C$21)*IF($B42=10,10,D$21-C$21-$B41)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2" s="109">
        <f>IF(E$21-D$21+10&gt;$B42,IF(E$21-D$21&lt;=10,VLOOKUP($A42,$A$13:$D$17,MATCH(E$21,$A$12:$D$12)),VLOOKUP($A42,$A$13:$D$17,MATCH(E$21,$A$12:$D$12))/(E$21-D$21)*IF($B42=10,10,E$21-D$21-$B41)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40)</f>
        <v>0</v>
      </c>
      <c r="F42" s="109">
        <v>0</v>
      </c>
      <c r="G42" s="109">
        <f>IF(G$21-F$21+10&gt;$B42,IF(G$21-F$21&lt;=10,VLOOKUP($A42,$A$13:$D$17,MATCH(G$21,$A$12:$D$12)),VLOOKUP($A42,$A$13:$D$17,MATCH(G$21,$A$12:$D$12))/(G$21-F$21)*IF($B42=10,10,G$21-F$21-$B41)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2" s="109">
        <f>IF(H$21-G$21+10&gt;$B42,IF(H$21-G$21&lt;=10,VLOOKUP($A42,$A$13:$D$17,MATCH(H$21,$A$12:$D$12)),VLOOKUP($A42,$A$13:$D$17,MATCH(H$21,$A$12:$D$12))/(H$21-G$21)*IF($B42=10,10,H$21-G$21-$B41)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40)</f>
        <v>0</v>
      </c>
    </row>
    <row r="43" spans="1:10" x14ac:dyDescent="0.25">
      <c r="B43" s="153"/>
    </row>
    <row r="44" spans="1:10" x14ac:dyDescent="0.25">
      <c r="B44" s="153"/>
    </row>
    <row r="45" spans="1:10" x14ac:dyDescent="0.25">
      <c r="B45" s="153"/>
    </row>
    <row r="47" spans="1:10" x14ac:dyDescent="0.25">
      <c r="A47" s="348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x14ac:dyDescent="0.25">
      <c r="A48" s="349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x14ac:dyDescent="0.25">
      <c r="A50" s="2" t="s">
        <v>177</v>
      </c>
      <c r="B50" s="109">
        <f t="shared" si="0"/>
        <v>0</v>
      </c>
      <c r="C50" s="109">
        <f t="shared" si="0"/>
        <v>5829.5136981226833</v>
      </c>
      <c r="D50" s="109">
        <f t="shared" si="0"/>
        <v>131433.89816409603</v>
      </c>
      <c r="E50" s="109">
        <f t="shared" si="0"/>
        <v>0</v>
      </c>
      <c r="F50" s="109">
        <f t="shared" si="0"/>
        <v>1706.3267025839089</v>
      </c>
      <c r="G50" s="109">
        <f t="shared" si="0"/>
        <v>17057.944823483067</v>
      </c>
      <c r="H50" s="109">
        <f t="shared" ref="H50:H54" si="2">SUM(B50,E50)</f>
        <v>0</v>
      </c>
      <c r="I50" s="109">
        <f t="shared" si="1"/>
        <v>7535.8404007065919</v>
      </c>
      <c r="J50" s="109">
        <f t="shared" si="1"/>
        <v>148491.84298757909</v>
      </c>
    </row>
    <row r="51" spans="1:10" x14ac:dyDescent="0.25">
      <c r="A51" s="2" t="s">
        <v>178</v>
      </c>
      <c r="B51" s="109">
        <f t="shared" si="0"/>
        <v>0</v>
      </c>
      <c r="C51" s="109">
        <f t="shared" si="0"/>
        <v>5829.5136981226833</v>
      </c>
      <c r="D51" s="109">
        <f t="shared" si="0"/>
        <v>131433.89816409603</v>
      </c>
      <c r="E51" s="109">
        <f t="shared" si="0"/>
        <v>0</v>
      </c>
      <c r="F51" s="109">
        <f t="shared" si="0"/>
        <v>1706.3267025839089</v>
      </c>
      <c r="G51" s="109">
        <f t="shared" si="0"/>
        <v>17057.944823483067</v>
      </c>
      <c r="H51" s="109">
        <f t="shared" si="2"/>
        <v>0</v>
      </c>
      <c r="I51" s="109">
        <f t="shared" si="1"/>
        <v>7535.8404007065919</v>
      </c>
      <c r="J51" s="109">
        <f t="shared" si="1"/>
        <v>148491.84298757909</v>
      </c>
    </row>
    <row r="52" spans="1:10" x14ac:dyDescent="0.25">
      <c r="A52" s="2" t="s">
        <v>179</v>
      </c>
      <c r="B52" s="109">
        <f t="shared" si="0"/>
        <v>0</v>
      </c>
      <c r="C52" s="109">
        <f t="shared" si="0"/>
        <v>5829.5136981226833</v>
      </c>
      <c r="D52" s="109">
        <f t="shared" si="0"/>
        <v>131433.89816409603</v>
      </c>
      <c r="E52" s="109">
        <f t="shared" si="0"/>
        <v>0</v>
      </c>
      <c r="F52" s="109">
        <f t="shared" si="0"/>
        <v>1706.3267025839089</v>
      </c>
      <c r="G52" s="109">
        <f t="shared" si="0"/>
        <v>17057.944823483067</v>
      </c>
      <c r="H52" s="109">
        <f t="shared" si="2"/>
        <v>0</v>
      </c>
      <c r="I52" s="109">
        <f t="shared" si="1"/>
        <v>7535.8404007065919</v>
      </c>
      <c r="J52" s="109">
        <f t="shared" si="1"/>
        <v>148491.84298757909</v>
      </c>
    </row>
    <row r="53" spans="1:10" x14ac:dyDescent="0.25">
      <c r="A53" s="2" t="s">
        <v>180</v>
      </c>
      <c r="B53" s="109">
        <f t="shared" si="0"/>
        <v>0</v>
      </c>
      <c r="C53" s="109">
        <f t="shared" si="0"/>
        <v>5829.5136981226833</v>
      </c>
      <c r="D53" s="109">
        <f t="shared" si="0"/>
        <v>131433.89816409603</v>
      </c>
      <c r="E53" s="109">
        <f t="shared" si="0"/>
        <v>0</v>
      </c>
      <c r="F53" s="109">
        <f t="shared" si="0"/>
        <v>1706.3267025839089</v>
      </c>
      <c r="G53" s="109">
        <f t="shared" si="0"/>
        <v>17057.944823483067</v>
      </c>
      <c r="H53" s="109">
        <f t="shared" si="2"/>
        <v>0</v>
      </c>
      <c r="I53" s="109">
        <f t="shared" si="1"/>
        <v>7535.8404007065919</v>
      </c>
      <c r="J53" s="109">
        <f t="shared" si="1"/>
        <v>148491.84298757909</v>
      </c>
    </row>
    <row r="54" spans="1:10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data'!$H402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data'!$H403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>
    <tabColor theme="9" tint="0.39997558519241921"/>
  </sheetPr>
  <dimension ref="A1:AI42"/>
  <sheetViews>
    <sheetView workbookViewId="0">
      <selection activeCell="D3" sqref="D3"/>
    </sheetView>
  </sheetViews>
  <sheetFormatPr defaultRowHeight="15" x14ac:dyDescent="0.25"/>
  <cols>
    <col min="2" max="2" width="9.140625" style="171"/>
  </cols>
  <sheetData>
    <row r="1" spans="1:35" x14ac:dyDescent="0.25">
      <c r="C1">
        <v>1</v>
      </c>
      <c r="D1">
        <v>2</v>
      </c>
      <c r="E1">
        <v>3</v>
      </c>
      <c r="F1">
        <v>4</v>
      </c>
      <c r="G1">
        <v>5</v>
      </c>
      <c r="H1" s="171">
        <v>6</v>
      </c>
      <c r="I1" s="171">
        <v>7</v>
      </c>
      <c r="J1" s="171">
        <v>8</v>
      </c>
      <c r="K1" s="171">
        <v>9</v>
      </c>
      <c r="L1" s="171">
        <v>10</v>
      </c>
      <c r="M1" s="171">
        <v>11</v>
      </c>
      <c r="N1" s="171">
        <v>12</v>
      </c>
      <c r="O1" s="171">
        <v>13</v>
      </c>
      <c r="P1" s="171">
        <v>14</v>
      </c>
      <c r="Q1" s="171">
        <v>15</v>
      </c>
      <c r="R1" s="171">
        <v>16</v>
      </c>
      <c r="S1" s="171">
        <v>17</v>
      </c>
      <c r="T1" s="171">
        <v>18</v>
      </c>
      <c r="U1" s="171">
        <v>19</v>
      </c>
      <c r="V1" s="171">
        <v>20</v>
      </c>
      <c r="W1" s="171">
        <v>21</v>
      </c>
      <c r="X1" s="171">
        <v>22</v>
      </c>
      <c r="Y1" s="171">
        <v>23</v>
      </c>
      <c r="Z1" s="171">
        <v>24</v>
      </c>
      <c r="AA1" s="171">
        <v>25</v>
      </c>
      <c r="AB1" s="171">
        <v>26</v>
      </c>
      <c r="AC1" s="171">
        <v>27</v>
      </c>
      <c r="AD1" s="171">
        <v>28</v>
      </c>
      <c r="AE1" s="171">
        <v>29</v>
      </c>
      <c r="AF1" s="171">
        <v>30</v>
      </c>
      <c r="AG1" s="171">
        <v>31</v>
      </c>
      <c r="AH1" s="171">
        <v>32</v>
      </c>
      <c r="AI1" s="171">
        <v>33</v>
      </c>
    </row>
    <row r="2" spans="1:35" x14ac:dyDescent="0.25">
      <c r="A2">
        <v>2020</v>
      </c>
      <c r="B2">
        <f>Skovbrug!$C$22-Skovbrug!$C$22*(1-Skovbrug!$C$9)^(A2-Skovbrug!$B$12)</f>
        <v>2173.3499999999767</v>
      </c>
      <c r="C2">
        <f>(Arealanvendelse!$M$7-Arealanvendelse!$J$7)/(Arealanvendelse!$M$3-Arealanvendelse!$J$3)+B2</f>
        <v>2173.3499999999767</v>
      </c>
    </row>
    <row r="3" spans="1:35" x14ac:dyDescent="0.25">
      <c r="A3">
        <v>2021</v>
      </c>
      <c r="B3" s="171">
        <f>Skovbrug!$C$22-SUM($B$2:B2)-Skovbrug!$C$22*(1-Skovbrug!$C$9)^(A3-Skovbrug!$B$12)</f>
        <v>2162.4832499999902</v>
      </c>
      <c r="C3" s="171">
        <f>(Arealanvendelse!$M$7-Arealanvendelse!$J$7)/(Arealanvendelse!$M$3-Arealanvendelse!$J$3)+B3</f>
        <v>2162.4832499999902</v>
      </c>
    </row>
    <row r="4" spans="1:35" x14ac:dyDescent="0.25">
      <c r="A4" s="171">
        <v>2022</v>
      </c>
      <c r="B4" s="171">
        <f>Skovbrug!$C$22-SUM($B$2:B3)-Skovbrug!$C$22*(1-Skovbrug!$C$9)^(A4-Skovbrug!$B$12)</f>
        <v>2151.6708337500459</v>
      </c>
      <c r="C4" s="171">
        <f>(Arealanvendelse!$M$7-Arealanvendelse!$J$7)/(Arealanvendelse!$M$3-Arealanvendelse!$J$3)+B4</f>
        <v>2151.6708337500459</v>
      </c>
    </row>
    <row r="5" spans="1:35" x14ac:dyDescent="0.25">
      <c r="A5" s="171">
        <v>2023</v>
      </c>
      <c r="B5" s="171">
        <f>Skovbrug!$C$22-SUM($B$2:B4)-Skovbrug!$C$22*(1-Skovbrug!$C$9)^(A5-Skovbrug!$B$12)</f>
        <v>2140.9124795811949</v>
      </c>
      <c r="C5" s="171">
        <f>(Arealanvendelse!$M$7-Arealanvendelse!$J$7)/(Arealanvendelse!$M$3-Arealanvendelse!$J$3)+B5</f>
        <v>2140.9124795811949</v>
      </c>
    </row>
    <row r="6" spans="1:35" x14ac:dyDescent="0.25">
      <c r="A6" s="171">
        <v>2024</v>
      </c>
      <c r="B6" s="171">
        <f>Skovbrug!$C$22-SUM($B$2:B5)-Skovbrug!$C$22*(1-Skovbrug!$C$9)^(A6-Skovbrug!$B$12)</f>
        <v>2130.2079171833466</v>
      </c>
      <c r="C6" s="171">
        <f>(Arealanvendelse!$M$7-Arealanvendelse!$J$7)/(Arealanvendelse!$M$3-Arealanvendelse!$J$3)+B6</f>
        <v>2130.2079171833466</v>
      </c>
    </row>
    <row r="7" spans="1:35" x14ac:dyDescent="0.25">
      <c r="A7" s="171">
        <v>2025</v>
      </c>
      <c r="B7" s="171">
        <f>Skovbrug!$C$22-SUM($B$2:B6)-Skovbrug!$C$22*(1-Skovbrug!$C$9)^(A7-Skovbrug!$B$12)</f>
        <v>2119.5568775974098</v>
      </c>
      <c r="C7" s="171">
        <f>(Arealanvendelse!$M$7-Arealanvendelse!$J$7)/(Arealanvendelse!$M$3-Arealanvendelse!$J$3)+B7</f>
        <v>2119.5568775974098</v>
      </c>
    </row>
    <row r="8" spans="1:35" x14ac:dyDescent="0.25">
      <c r="A8" s="171">
        <v>2026</v>
      </c>
      <c r="B8" s="171">
        <f>Skovbrug!$C$22-SUM($B$2:B7)-Skovbrug!$C$22*(1-Skovbrug!$C$9)^(A8-Skovbrug!$B$12)</f>
        <v>2108.9590932094725</v>
      </c>
      <c r="C8" s="171">
        <f>(Arealanvendelse!$M$7-Arealanvendelse!$J$7)/(Arealanvendelse!$M$3-Arealanvendelse!$J$3)+B8</f>
        <v>2108.9590932094725</v>
      </c>
    </row>
    <row r="9" spans="1:35" x14ac:dyDescent="0.25">
      <c r="A9" s="171">
        <v>2027</v>
      </c>
      <c r="B9" s="171">
        <f>Skovbrug!$C$22-SUM($B$2:B8)-Skovbrug!$C$22*(1-Skovbrug!$C$9)^(A9-Skovbrug!$B$12)</f>
        <v>2098.4142977434094</v>
      </c>
      <c r="C9" s="171">
        <f>(Arealanvendelse!$M$7-Arealanvendelse!$J$7)/(Arealanvendelse!$M$3-Arealanvendelse!$J$3)+B9</f>
        <v>2098.4142977434094</v>
      </c>
    </row>
    <row r="10" spans="1:35" x14ac:dyDescent="0.25">
      <c r="A10" s="171">
        <v>2028</v>
      </c>
      <c r="B10" s="171">
        <f>Skovbrug!$C$22-SUM($B$2:B9)-Skovbrug!$C$22*(1-Skovbrug!$C$9)^(A10-Skovbrug!$B$12)</f>
        <v>2087.9222262546537</v>
      </c>
      <c r="C10" s="171">
        <f>(Arealanvendelse!$M$7-Arealanvendelse!$J$7)/(Arealanvendelse!$M$3-Arealanvendelse!$J$3)+B10</f>
        <v>2087.9222262546537</v>
      </c>
    </row>
    <row r="11" spans="1:35" x14ac:dyDescent="0.25">
      <c r="A11" s="171">
        <v>2029</v>
      </c>
      <c r="B11" s="171">
        <f>Skovbrug!$C$22-SUM($B$2:B10)-Skovbrug!$C$22*(1-Skovbrug!$C$9)^(A11-Skovbrug!$B$12)</f>
        <v>2077.4826151233865</v>
      </c>
      <c r="C11" s="171">
        <f>(Arealanvendelse!$M$7-Arealanvendelse!$J$7)/(Arealanvendelse!$M$3-Arealanvendelse!$J$3)+B11</f>
        <v>2077.4826151233865</v>
      </c>
    </row>
    <row r="12" spans="1:35" x14ac:dyDescent="0.25">
      <c r="A12" s="171">
        <v>2030</v>
      </c>
      <c r="B12" s="171">
        <f>Skovbrug!$C$22-SUM($B$2:B11)-Skovbrug!$C$22*(1-Skovbrug!$C$9)^(A12-Skovbrug!$B$12)</f>
        <v>2067.0952020478435</v>
      </c>
      <c r="C12" s="171">
        <f>(Arealanvendelse!$M$7-Arealanvendelse!$J$7)/(Arealanvendelse!$M$3-Arealanvendelse!$J$3)+B12</f>
        <v>2067.0952020478435</v>
      </c>
    </row>
    <row r="13" spans="1:35" x14ac:dyDescent="0.25">
      <c r="A13" s="171">
        <v>2031</v>
      </c>
      <c r="B13" s="171">
        <f>Skovbrug!$C$22-SUM($B$2:B12)-Skovbrug!$C$22*(1-Skovbrug!$C$9)^(A13-Skovbrug!$B$12)</f>
        <v>2056.7597260375042</v>
      </c>
      <c r="C13" s="171">
        <f>(Arealanvendelse!$P$7-Arealanvendelse!$M$7)/(Arealanvendelse!$P$3-Arealanvendelse!$M$3)+B13</f>
        <v>27711.759726037504</v>
      </c>
    </row>
    <row r="14" spans="1:35" x14ac:dyDescent="0.25">
      <c r="A14" s="171">
        <v>2032</v>
      </c>
      <c r="B14" s="171">
        <f>Skovbrug!$C$22-SUM($B$2:B13)-Skovbrug!$C$22*(1-Skovbrug!$C$9)^(A14-Skovbrug!$B$12)</f>
        <v>2046.4759274073294</v>
      </c>
      <c r="C14" s="171">
        <f>(Arealanvendelse!$P$7-Arealanvendelse!$M$7)/(Arealanvendelse!$P$3-Arealanvendelse!$M$3)+B14</f>
        <v>27701.475927407329</v>
      </c>
    </row>
    <row r="15" spans="1:35" x14ac:dyDescent="0.25">
      <c r="A15" s="171">
        <v>2033</v>
      </c>
      <c r="B15" s="171">
        <f>Skovbrug!$C$22-SUM($B$2:B14)-Skovbrug!$C$22*(1-Skovbrug!$C$9)^(A15-Skovbrug!$B$12)</f>
        <v>2036.2435477703111</v>
      </c>
      <c r="C15" s="171">
        <f>(Arealanvendelse!$P$7-Arealanvendelse!$M$7)/(Arealanvendelse!$P$3-Arealanvendelse!$M$3)+B15</f>
        <v>27691.243547770311</v>
      </c>
    </row>
    <row r="16" spans="1:35" x14ac:dyDescent="0.25">
      <c r="A16" s="171">
        <v>2034</v>
      </c>
      <c r="B16" s="171">
        <f>Skovbrug!$C$22-SUM($B$2:B15)-Skovbrug!$C$22*(1-Skovbrug!$C$9)^(A16-Skovbrug!$B$12)</f>
        <v>2026.0623300314764</v>
      </c>
      <c r="C16" s="171">
        <f>(Arealanvendelse!$P$7-Arealanvendelse!$M$7)/(Arealanvendelse!$P$3-Arealanvendelse!$M$3)+B16</f>
        <v>27681.062330031476</v>
      </c>
    </row>
    <row r="17" spans="1:3" x14ac:dyDescent="0.25">
      <c r="A17" s="171">
        <v>2035</v>
      </c>
      <c r="B17" s="171">
        <f>Skovbrug!$C$22-SUM($B$2:B16)-Skovbrug!$C$22*(1-Skovbrug!$C$9)^(A17-Skovbrug!$B$12)</f>
        <v>2015.9320183813106</v>
      </c>
      <c r="C17" s="171">
        <f>(Arealanvendelse!$P$7-Arealanvendelse!$M$7)/(Arealanvendelse!$P$3-Arealanvendelse!$M$3)+B17</f>
        <v>27670.932018381311</v>
      </c>
    </row>
    <row r="18" spans="1:3" x14ac:dyDescent="0.25">
      <c r="A18" s="171">
        <v>2036</v>
      </c>
      <c r="B18" s="171">
        <f>Skovbrug!$C$22-SUM($B$2:B17)-Skovbrug!$C$22*(1-Skovbrug!$C$9)^(A18-Skovbrug!$B$12)</f>
        <v>2005.8523582894122</v>
      </c>
      <c r="C18" s="171">
        <f>(Arealanvendelse!$P$7-Arealanvendelse!$M$7)/(Arealanvendelse!$P$3-Arealanvendelse!$M$3)+B18</f>
        <v>27660.852358289412</v>
      </c>
    </row>
    <row r="19" spans="1:3" x14ac:dyDescent="0.25">
      <c r="A19" s="171">
        <v>2037</v>
      </c>
      <c r="B19" s="171">
        <f>Skovbrug!$C$22-SUM($B$2:B18)-Skovbrug!$C$22*(1-Skovbrug!$C$9)^(A19-Skovbrug!$B$12)</f>
        <v>1995.8230964979739</v>
      </c>
      <c r="C19" s="171">
        <f>(Arealanvendelse!$P$7-Arealanvendelse!$M$7)/(Arealanvendelse!$P$3-Arealanvendelse!$M$3)+B19</f>
        <v>27650.823096497974</v>
      </c>
    </row>
    <row r="20" spans="1:3" x14ac:dyDescent="0.25">
      <c r="A20" s="171">
        <v>2038</v>
      </c>
      <c r="B20" s="171">
        <f>Skovbrug!$C$22-SUM($B$2:B19)-Skovbrug!$C$22*(1-Skovbrug!$C$9)^(A20-Skovbrug!$B$12)</f>
        <v>1985.843981015496</v>
      </c>
      <c r="C20" s="171">
        <f>(Arealanvendelse!$P$7-Arealanvendelse!$M$7)/(Arealanvendelse!$P$3-Arealanvendelse!$M$3)+B20</f>
        <v>27640.843981015496</v>
      </c>
    </row>
    <row r="21" spans="1:3" x14ac:dyDescent="0.25">
      <c r="A21" s="171">
        <v>2039</v>
      </c>
      <c r="B21" s="171">
        <f>Skovbrug!$C$22-SUM($B$2:B20)-Skovbrug!$C$22*(1-Skovbrug!$C$9)^(A21-Skovbrug!$B$12)</f>
        <v>1975.9147611103253</v>
      </c>
      <c r="C21" s="171">
        <f>(Arealanvendelse!$P$7-Arealanvendelse!$M$7)/(Arealanvendelse!$P$3-Arealanvendelse!$M$3)+B21</f>
        <v>27630.914761110325</v>
      </c>
    </row>
    <row r="22" spans="1:3" x14ac:dyDescent="0.25">
      <c r="A22" s="171">
        <v>2040</v>
      </c>
      <c r="B22" s="171">
        <f>Skovbrug!$C$22-SUM($B$2:B21)-Skovbrug!$C$22*(1-Skovbrug!$C$9)^(A22-Skovbrug!$B$12)</f>
        <v>1966.0351873048348</v>
      </c>
      <c r="C22" s="171">
        <f>(Arealanvendelse!$P$7-Arealanvendelse!$M$7)/(Arealanvendelse!$P$3-Arealanvendelse!$M$3)+B22</f>
        <v>27621.035187304835</v>
      </c>
    </row>
    <row r="23" spans="1:3" x14ac:dyDescent="0.25">
      <c r="A23" s="171">
        <v>2041</v>
      </c>
      <c r="B23" s="171">
        <f>Skovbrug!$C$22-SUM($B$2:B22)-Skovbrug!$C$22*(1-Skovbrug!$C$9)^(A23-Skovbrug!$B$12)</f>
        <v>1956.2050113683217</v>
      </c>
      <c r="C23" s="171">
        <f>(Arealanvendelse!$P$7-Arealanvendelse!$M$7)/(Arealanvendelse!$P$3-Arealanvendelse!$M$3)+B23</f>
        <v>27611.205011368322</v>
      </c>
    </row>
    <row r="24" spans="1:3" x14ac:dyDescent="0.25">
      <c r="A24" s="171">
        <v>2042</v>
      </c>
      <c r="B24" s="171">
        <f>Skovbrug!$C$22-SUM($B$2:B23)-Skovbrug!$C$22*(1-Skovbrug!$C$9)^(A24-Skovbrug!$B$12)</f>
        <v>1946.4239863115363</v>
      </c>
      <c r="C24" s="171">
        <f>(Arealanvendelse!$P$7-Arealanvendelse!$M$7)/(Arealanvendelse!$P$3-Arealanvendelse!$M$3)+B24</f>
        <v>27601.423986311536</v>
      </c>
    </row>
    <row r="25" spans="1:3" x14ac:dyDescent="0.25">
      <c r="A25" s="171">
        <v>2043</v>
      </c>
      <c r="B25" s="171">
        <f>Skovbrug!$C$22-SUM($B$2:B24)-Skovbrug!$C$22*(1-Skovbrug!$C$9)^(A25-Skovbrug!$B$12)</f>
        <v>1936.6918663798715</v>
      </c>
      <c r="C25" s="171">
        <f>(Arealanvendelse!$P$7-Arealanvendelse!$M$7)/(Arealanvendelse!$P$3-Arealanvendelse!$M$3)+B25</f>
        <v>27591.691866379871</v>
      </c>
    </row>
    <row r="26" spans="1:3" x14ac:dyDescent="0.25">
      <c r="A26" s="171">
        <v>2044</v>
      </c>
      <c r="B26" s="171">
        <f>Skovbrug!$C$22-SUM($B$2:B25)-Skovbrug!$C$22*(1-Skovbrug!$C$9)^(A26-Skovbrug!$B$12)</f>
        <v>1927.0084070480079</v>
      </c>
      <c r="C26" s="171">
        <f>(Arealanvendelse!$P$7-Arealanvendelse!$M$7)/(Arealanvendelse!$P$3-Arealanvendelse!$M$3)+B26</f>
        <v>27582.008407048008</v>
      </c>
    </row>
    <row r="27" spans="1:3" x14ac:dyDescent="0.25">
      <c r="A27" s="171">
        <v>2045</v>
      </c>
      <c r="B27" s="171">
        <f>Skovbrug!$C$22-SUM($B$2:B26)-Skovbrug!$C$22*(1-Skovbrug!$C$9)^(A27-Skovbrug!$B$12)</f>
        <v>1917.3733650127542</v>
      </c>
      <c r="C27" s="171">
        <f>(Arealanvendelse!$P$7-Arealanvendelse!$M$7)/(Arealanvendelse!$P$3-Arealanvendelse!$M$3)+B27</f>
        <v>27572.373365012754</v>
      </c>
    </row>
    <row r="28" spans="1:3" x14ac:dyDescent="0.25">
      <c r="A28" s="171">
        <v>2046</v>
      </c>
      <c r="B28" s="171">
        <f>Skovbrug!$C$22-SUM($B$2:B27)-Skovbrug!$C$22*(1-Skovbrug!$C$9)^(A28-Skovbrug!$B$12)</f>
        <v>1907.7864981877501</v>
      </c>
      <c r="C28" s="171">
        <f>(Arealanvendelse!$P$7-Arealanvendelse!$M$7)/(Arealanvendelse!$P$3-Arealanvendelse!$M$3)+B28</f>
        <v>27562.78649818775</v>
      </c>
    </row>
    <row r="29" spans="1:3" x14ac:dyDescent="0.25">
      <c r="A29" s="171">
        <v>2047</v>
      </c>
      <c r="B29" s="171">
        <f>Skovbrug!$C$22-SUM($B$2:B28)-Skovbrug!$C$22*(1-Skovbrug!$C$9)^(A29-Skovbrug!$B$12)</f>
        <v>1898.2475656967144</v>
      </c>
      <c r="C29" s="171">
        <f>(Arealanvendelse!$P$7-Arealanvendelse!$M$7)/(Arealanvendelse!$P$3-Arealanvendelse!$M$3)+B29</f>
        <v>27553.247565696714</v>
      </c>
    </row>
    <row r="30" spans="1:3" x14ac:dyDescent="0.25">
      <c r="A30" s="171">
        <v>2048</v>
      </c>
      <c r="B30" s="171">
        <f>Skovbrug!$C$22-SUM($B$2:B29)-Skovbrug!$C$22*(1-Skovbrug!$C$9)^(A30-Skovbrug!$B$12)</f>
        <v>1888.7563278682646</v>
      </c>
      <c r="C30" s="171">
        <f>(Arealanvendelse!$P$7-Arealanvendelse!$M$7)/(Arealanvendelse!$P$3-Arealanvendelse!$M$3)+B30</f>
        <v>27543.756327868265</v>
      </c>
    </row>
    <row r="31" spans="1:3" x14ac:dyDescent="0.25">
      <c r="A31" s="171">
        <v>2049</v>
      </c>
      <c r="B31" s="171">
        <f>Skovbrug!$C$22-SUM($B$2:B30)-Skovbrug!$C$22*(1-Skovbrug!$C$9)^(A31-Skovbrug!$B$12)</f>
        <v>1879.31254622899</v>
      </c>
      <c r="C31" s="171">
        <f>(Arealanvendelse!$P$7-Arealanvendelse!$M$7)/(Arealanvendelse!$P$3-Arealanvendelse!$M$3)+B31</f>
        <v>27534.31254622899</v>
      </c>
    </row>
    <row r="32" spans="1:3" x14ac:dyDescent="0.25">
      <c r="A32" s="171">
        <v>2050</v>
      </c>
      <c r="B32" s="171">
        <f>Skovbrug!$C$22-SUM($B$2:B31)-Skovbrug!$C$22*(1-Skovbrug!$C$9)^(A32-Skovbrug!$B$12)</f>
        <v>1869.9159834978054</v>
      </c>
      <c r="C32" s="171">
        <f>(Arealanvendelse!$P$7-Arealanvendelse!$M$7)/(Arealanvendelse!$P$3-Arealanvendelse!$M$3)+B32</f>
        <v>27524.915983497805</v>
      </c>
    </row>
    <row r="33" spans="1:1" x14ac:dyDescent="0.25">
      <c r="A33" s="171"/>
    </row>
    <row r="34" spans="1:1" x14ac:dyDescent="0.25">
      <c r="A34" s="171"/>
    </row>
    <row r="35" spans="1:1" x14ac:dyDescent="0.25">
      <c r="A35" s="171"/>
    </row>
    <row r="36" spans="1:1" x14ac:dyDescent="0.25">
      <c r="A36" s="171"/>
    </row>
    <row r="37" spans="1:1" x14ac:dyDescent="0.25">
      <c r="A37" s="171"/>
    </row>
    <row r="38" spans="1:1" x14ac:dyDescent="0.25">
      <c r="A38" s="171"/>
    </row>
    <row r="39" spans="1:1" x14ac:dyDescent="0.25">
      <c r="A39" s="171"/>
    </row>
    <row r="40" spans="1:1" x14ac:dyDescent="0.25">
      <c r="A40" s="171"/>
    </row>
    <row r="41" spans="1:1" x14ac:dyDescent="0.25">
      <c r="A41" s="171"/>
    </row>
    <row r="42" spans="1:1" x14ac:dyDescent="0.25">
      <c r="A42" s="1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8" sqref="E8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50" t="s">
        <v>327</v>
      </c>
      <c r="D2" s="350"/>
      <c r="E2" s="350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0.1</v>
      </c>
      <c r="E4" s="8">
        <v>0.75</v>
      </c>
      <c r="F4" s="324">
        <f>(9.6+43.4+265+84.7+55.6+112.4+6.1+10.5+121.4+27.4+89.4+13.5+12.6+0.4+218.5+0.9+3.9+3.4+5+0.4)*100</f>
        <v>108410.00000000003</v>
      </c>
      <c r="G4" s="351" t="s">
        <v>329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0.1</v>
      </c>
      <c r="E5" s="8">
        <v>0.75</v>
      </c>
      <c r="F5" s="110">
        <f>(207.3+16.1+47.4)*100</f>
        <v>27080</v>
      </c>
      <c r="G5" s="351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0.1</v>
      </c>
      <c r="E6" s="3">
        <v>0.75</v>
      </c>
      <c r="F6" s="324">
        <v>600</v>
      </c>
      <c r="G6" s="352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0.1</v>
      </c>
      <c r="E7" s="3">
        <v>0.75</v>
      </c>
      <c r="F7" s="324">
        <v>200</v>
      </c>
      <c r="G7" s="352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10841.000000000004</v>
      </c>
      <c r="D12" s="1">
        <f t="shared" si="0"/>
        <v>81307.500000000029</v>
      </c>
      <c r="E12" s="1">
        <f>C5*$F$5</f>
        <v>0.6</v>
      </c>
      <c r="F12" s="1">
        <f t="shared" ref="F12:G12" si="1">D5*$F$5</f>
        <v>2708</v>
      </c>
      <c r="G12" s="1">
        <f t="shared" si="1"/>
        <v>20310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60</v>
      </c>
      <c r="D13" s="1">
        <f t="shared" si="2"/>
        <v>450</v>
      </c>
      <c r="E13" s="1">
        <f>C7*$F$7</f>
        <v>0</v>
      </c>
      <c r="F13" s="1">
        <f t="shared" ref="F13:G13" si="3">D7*$F$7</f>
        <v>20</v>
      </c>
      <c r="G13" s="1">
        <f t="shared" si="3"/>
        <v>150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D6" sqref="D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>
        <v>0.5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473288.3958262736</v>
      </c>
      <c r="J5" s="10">
        <f>SUMIFS('Resultat-Produktion &amp; forbrug'!$N$3:$N$1000,'Resultat-Produktion &amp; forbrug'!$A$3:$A$1000,Adfærd!$G5,'Resultat-Produktion &amp; forbrug'!$D$3:$D$1000,Adfærd!J$4)</f>
        <v>497017.07890655193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27045.758448627814</v>
      </c>
      <c r="J6" s="10">
        <f>SUMIFS('Resultat-Produktion &amp; forbrug'!$N$3:$N$1000,'Resultat-Produktion &amp; forbrug'!$A$3:$A$1000,Adfærd!$G6,'Resultat-Produktion &amp; forbrug'!$D$3:$D$1000,Adfærd!J$4)</f>
        <v>202843.18836470862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1800</v>
      </c>
      <c r="J7" s="10">
        <f>SUMIFS('Resultat-Produktion &amp; forbrug'!$N$3:$N$1000,'Resultat-Produktion &amp; forbrug'!$A$3:$A$1000,Adfærd!$G7,'Resultat-Produktion &amp; forbrug'!$D$3:$D$1000,Adfærd!J$4)</f>
        <v>7882.9849764705887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44.89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22.11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80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13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E32" sqref="E32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6" t="s">
        <v>335</v>
      </c>
      <c r="G2" s="357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Danmark'!H$3:H$482,'Resultater - Danmark'!$F$3:$F$482,$A3)</f>
        <v>0.16508293217043288</v>
      </c>
      <c r="C3" s="181">
        <v>0.53</v>
      </c>
      <c r="D3" s="181">
        <v>0.85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0.66630063675797169</v>
      </c>
    </row>
    <row r="4" spans="1:29" x14ac:dyDescent="0.2">
      <c r="A4" s="180" t="s">
        <v>137</v>
      </c>
      <c r="B4" s="233">
        <f>N13/SUMIFS('Resultater - Danmark'!H$3:H$482,'Resultater - Danmark'!$F$3:$F$482,$A4)</f>
        <v>0.30985833926453143</v>
      </c>
      <c r="C4" s="181">
        <v>0.76</v>
      </c>
      <c r="D4" s="181">
        <v>0.85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0.85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0.35319313591344231</v>
      </c>
      <c r="AC5" s="147">
        <f t="shared" si="0"/>
        <v>0.2838789484761356</v>
      </c>
    </row>
    <row r="6" spans="1:29" x14ac:dyDescent="0.2">
      <c r="A6" s="180" t="s">
        <v>141</v>
      </c>
      <c r="B6" s="233">
        <f>N15/SUMIFS('Resultater - Danmark'!H$3:H$482,'Resultater - Danmark'!$F$3:$F$482,$A6)</f>
        <v>0.37924884410556858</v>
      </c>
      <c r="C6" s="181">
        <v>0.37924884410556858</v>
      </c>
      <c r="D6" s="181">
        <v>0.85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0.40807703490229924</v>
      </c>
      <c r="AC6" s="147">
        <f t="shared" si="0"/>
        <v>0.23434933180757497</v>
      </c>
    </row>
    <row r="7" spans="1:29" x14ac:dyDescent="0.2">
      <c r="A7" s="180" t="s">
        <v>102</v>
      </c>
      <c r="B7" s="233">
        <f>N16/SUMIFS('Resultater - Danmark'!H$3:H$482,'Resultater - Danmark'!$F$3:$F$482,$A7)</f>
        <v>0.25812101313640656</v>
      </c>
      <c r="C7" s="181">
        <v>0.5</v>
      </c>
      <c r="D7" s="181">
        <v>0.85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0.85</v>
      </c>
      <c r="F8" s="177"/>
      <c r="G8" s="178"/>
      <c r="I8" s="159"/>
    </row>
    <row r="10" spans="1:29" ht="23.45" customHeight="1" x14ac:dyDescent="0.2">
      <c r="A10" s="129"/>
      <c r="B10" s="130"/>
      <c r="C10" s="354" t="s">
        <v>211</v>
      </c>
      <c r="D10" s="354"/>
      <c r="E10" s="354"/>
      <c r="F10" s="353" t="s">
        <v>336</v>
      </c>
      <c r="G10" s="353"/>
      <c r="J10" s="355" t="s">
        <v>212</v>
      </c>
      <c r="K10" s="355"/>
      <c r="L10" s="355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7022482.9139171531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1239261.6906912625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0.35319313591344231</v>
      </c>
      <c r="L12" s="134">
        <f t="shared" ref="L12:L28" si="3">E12/E$29</f>
        <v>0.2838789484761356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5797239.2364449827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1023042.2181961732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0.40807703490229924</v>
      </c>
      <c r="L13" s="137">
        <f t="shared" si="3"/>
        <v>0.23434933180757497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7937.8356018733293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1400.7945179776452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1.7458080414261537E-4</v>
      </c>
      <c r="L14" s="137">
        <f t="shared" si="3"/>
        <v>3.2088143915173897E-4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6424400.237750819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1133717.689014852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0.10715982813426561</v>
      </c>
      <c r="L15" s="137">
        <f t="shared" si="3"/>
        <v>0.2597018755956283</v>
      </c>
      <c r="M15" s="139" t="s">
        <v>300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1404599.4752532113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247870.49563291948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5.8129343521133005E-2</v>
      </c>
      <c r="L16" s="137">
        <f t="shared" si="3"/>
        <v>5.6779949051182201E-2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161025.3517118227</v>
      </c>
      <c r="E17" s="136">
        <f>SUMIFS('Resultater - Danmark'!J$3:J$482,'Resultater - Danmark'!$F$3:$F$482,$A17)*D8</f>
        <v>1518417.9125943771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1449228.1654064043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267956.10222253739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6.2174408997845189E-3</v>
      </c>
      <c r="L17" s="137">
        <f t="shared" si="3"/>
        <v>6.1380979584923161E-2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1.4054416750271907E-2</v>
      </c>
      <c r="L18" s="137">
        <f t="shared" si="3"/>
        <v>1.4947975981917551E-2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500000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44787.470491779037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2.8030760915291133E-2</v>
      </c>
      <c r="L19" s="137">
        <f t="shared" si="3"/>
        <v>2.0212149460238943E-2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/>
      <c r="E20" s="250"/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1676565.1101767141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676687.05818690779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0</v>
      </c>
      <c r="L20" s="137">
        <f t="shared" si="3"/>
        <v>0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/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1489160.4413894196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1371945.625518437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1.4618338663039174E-4</v>
      </c>
      <c r="L21" s="137">
        <f t="shared" si="3"/>
        <v>0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/>
      <c r="E22" s="250"/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579397.2852280857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121540.12592519959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0</v>
      </c>
      <c r="L22" s="137">
        <f t="shared" si="3"/>
        <v>0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/>
      <c r="E23" s="250">
        <v>750000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69397.973990614526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733375.35760433215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0</v>
      </c>
      <c r="L23" s="137">
        <f t="shared" si="3"/>
        <v>3.0318224190358414E-2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/>
      <c r="E24" s="250"/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1005312.7319071034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258178.31605614454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0</v>
      </c>
      <c r="L24" s="137">
        <f t="shared" si="3"/>
        <v>0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500000</v>
      </c>
      <c r="E25" s="250">
        <v>800000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482809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182809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1.9305782703432611E-2</v>
      </c>
      <c r="L25" s="137">
        <f t="shared" si="3"/>
        <v>3.2339439136382313E-2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5.5114920693067554E-3</v>
      </c>
      <c r="L26" s="137">
        <f t="shared" si="3"/>
        <v>5.7702452765068541E-3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27045.758448627814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202843.18836470862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1800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7882.9849764705887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25898975.84991977</v>
      </c>
      <c r="E29" s="145">
        <f>SUM(E12:E28)</f>
        <v>24737596.611562416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1.0000000000000002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9.932433241588276E-2</v>
      </c>
      <c r="E30" s="149">
        <f>SUMPRODUCT(E12:E28,$H$12:$H$28)/E29</f>
        <v>0.1039307238367658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1.4618338663039174E-4</v>
      </c>
      <c r="E31" s="149">
        <f>SUM(E21:E24)/E29</f>
        <v>3.0318224190358414E-2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583767654.85792637</v>
      </c>
      <c r="E32" s="125">
        <f>SUMPRODUCT(E12:E28,$I$12:$I$28)</f>
        <v>623375672.74583375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20.957258809399558</v>
      </c>
      <c r="E33" s="125">
        <f>E32*[1]Energiindhold!$C$10</f>
        <v>22.379186651575434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6133724.0012213131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888758.91269583965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5412547.763583675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384691.4728613086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7323.2019641100578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614.63363776327014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3452770.6122393245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2971629.6255114949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1239416.7164923118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165182.75876089992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143421.61804386508</v>
      </c>
      <c r="E44" s="136">
        <f>SUMIFS('Resultater - Vestdanmark'!J$3:J$482,'Resultater - Vestdanmark'!$F$3:$F$482,$A44)*D8</f>
        <v>1353770.9865174799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17603.733667957611</v>
      </c>
      <c r="M44" s="136">
        <f>SUMIFS('Resultater - Østdanmark'!J$3:J$482,'Resultater - Østdanmark'!$F$3:$F$482,$A44)*D8</f>
        <v>164646.92607689698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330372.74489675317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169627.25510324695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0</v>
      </c>
      <c r="E47" s="136">
        <f>SUMIFS('Resultater - Vestdanmark'!J$3:J$482,'Resultater - Vestdanmark'!$F$3:$F$482,$A47)/SUMIFS('Resultater - Danmark'!J$3:J$482,'Resultater - Danmark'!$F$3:$F$482,$A47)*E20</f>
        <v>0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0</v>
      </c>
      <c r="M47" s="136">
        <f>SUMIFS('Resultater - Østdanmark'!J$3:J$482,'Resultater - Østdanmark'!$F$3:$F$482,$A47)/SUMIFS('Resultater - Danmark'!J$3:J$482,'Resultater - Danmark'!$F$3:$F$482,$A47)*E20</f>
        <v>0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2924.3313169399116</v>
      </c>
      <c r="E48" s="136">
        <f>SUMIFS('Resultater - Vestdanmark'!J$3:J$482,'Resultater - Vestdanmark'!$F$3:$F$482,$A48)/SUMIFS('Resultater - Danmark'!J$3:J$482,'Resultater - Danmark'!$F$3:$F$482,$A48)*E21</f>
        <v>0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861.66868306008803</v>
      </c>
      <c r="M48" s="136">
        <f>SUMIFS('Resultater - Østdanmark'!J$3:J$482,'Resultater - Østdanmark'!$F$3:$F$482,$A48)/SUMIFS('Resultater - Danmark'!J$3:J$482,'Resultater - Danmark'!$F$3:$F$482,$A48)*E21</f>
        <v>0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0</v>
      </c>
      <c r="E49" s="136">
        <f>SUMIFS('Resultater - Vestdanmark'!J$3:J$482,'Resultater - Vestdanmark'!$F$3:$F$482,$A49)/SUMIFS('Resultater - Danmark'!J$3:J$482,'Resultater - Danmark'!$F$3:$F$482,$A49)*E22</f>
        <v>0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0</v>
      </c>
      <c r="M49" s="136">
        <f>SUMIFS('Resultater - Østdanmark'!J$3:J$482,'Resultater - Østdanmark'!$F$3:$F$482,$A49)/SUMIFS('Resultater - Danmark'!J$3:J$482,'Resultater - Danmark'!$F$3:$F$482,$A49)*E22</f>
        <v>0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0</v>
      </c>
      <c r="E50" s="136">
        <f>SUMIFS('Resultater - Vestdanmark'!J$3:J$482,'Resultater - Vestdanmark'!$F$3:$F$482,$A50)/SUMIFS('Resultater - Danmark'!J$3:J$482,'Resultater - Danmark'!$F$3:$F$482,$A50)*E23</f>
        <v>550329.17750715138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0</v>
      </c>
      <c r="M50" s="136">
        <f>SUMIFS('Resultater - Østdanmark'!J$3:J$482,'Resultater - Østdanmark'!$F$3:$F$482,$A50)/SUMIFS('Resultater - Danmark'!J$3:J$482,'Resultater - Danmark'!$F$3:$F$482,$A50)*E23</f>
        <v>199670.8224928487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0</v>
      </c>
      <c r="E51" s="136">
        <f>SUMIFS('Resultater - Vestdanmark'!J$3:J$482,'Resultater - Vestdanmark'!$F$3:$F$482,$A51)/SUMIFS('Resultater - Danmark'!J$3:J$482,'Resultater - Danmark'!$F$3:$F$482,$A51)*E24</f>
        <v>0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0</v>
      </c>
      <c r="M51" s="136">
        <f>SUMIFS('Resultater - Østdanmark'!J$3:J$482,'Resultater - Østdanmark'!$F$3:$F$482,$A51)/SUMIFS('Resultater - Danmark'!J$3:J$482,'Resultater - Danmark'!$F$3:$F$482,$A51)*E24</f>
        <v>0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267973.79239933251</v>
      </c>
      <c r="E52" s="136">
        <f>SUMIFS('Resultater - Vestdanmark'!J$3:J$482,'Resultater - Vestdanmark'!$F$3:$F$482,$A52)/SUMIFS('Resultater - Danmark'!J$3:J$482,'Resultater - Danmark'!$F$3:$F$482,$A52)*E25</f>
        <v>427250.44238658639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232026.20760066749</v>
      </c>
      <c r="M52" s="136">
        <f>SUMIFS('Resultater - Østdanmark'!J$3:J$482,'Resultater - Østdanmark'!$F$3:$F$482,$A52)/SUMIFS('Resultater - Danmark'!J$3:J$482,'Resultater - Danmark'!$F$3:$F$482,$A52)*E25</f>
        <v>372749.55761341366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21941507.222386423</v>
      </c>
      <c r="E56" s="145">
        <f ca="1">SUM(E39:E55)</f>
        <v>19219183.48035169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3957468.6275333497</v>
      </c>
      <c r="M56" s="145">
        <f ca="1">SUM(M39:M55)</f>
        <v>5518413.1312107341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9.5825264093178389E-2</v>
      </c>
      <c r="E57" s="149">
        <f ca="1">SUMPRODUCT(E39:E55,$F$39:$F$55)/E56</f>
        <v>0.10122618076188278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0.11872431763373002</v>
      </c>
      <c r="M57" s="149">
        <f ca="1">SUMPRODUCT(M39:M55,$N$39:$N$55)/M56</f>
        <v>0.11334993699656171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1.3327850668144996E-4</v>
      </c>
      <c r="E58" s="149">
        <f ca="1">SUM(E48:E51)/E56</f>
        <v>2.8634368263863463E-2</v>
      </c>
      <c r="I58" s="148" t="s">
        <v>161</v>
      </c>
      <c r="K58" s="149">
        <f ca="1">SUM(K48:K51)/K56</f>
        <v>1.8896340963997331E-2</v>
      </c>
      <c r="L58" s="149">
        <f ca="1">SUM(L48:L51)/L56</f>
        <v>2.1773228398203561E-4</v>
      </c>
      <c r="M58" s="149">
        <f ca="1">SUM(M48:M51)/M56</f>
        <v>3.6182652104019102E-2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471342992.17367357</v>
      </c>
      <c r="E59" s="125">
        <f ca="1">SUMPRODUCT(E39:E55,$I$12:$I$28)</f>
        <v>470018749.96798176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112424662.68425274</v>
      </c>
      <c r="M59" s="125">
        <f ca="1">SUMPRODUCT(M39:M55,$I$12:$I$28)</f>
        <v>153356922.77785194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16.921213419034881</v>
      </c>
      <c r="E60" s="125">
        <f ca="1">E59*[1]Energiindhold!$C$10</f>
        <v>16.873673123850548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4.0360453903646736</v>
      </c>
      <c r="M60" s="125">
        <f ca="1">M59*[1]Energiindhold!$C$10</f>
        <v>5.5055135277248848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="117" workbookViewId="0">
      <selection activeCell="C4" sqref="C4:D4"/>
    </sheetView>
  </sheetViews>
  <sheetFormatPr defaultColWidth="9.140625" defaultRowHeight="15" x14ac:dyDescent="0.25"/>
  <cols>
    <col min="1" max="1" width="20" style="1" customWidth="1"/>
    <col min="2" max="2" width="9.140625" style="1"/>
    <col min="3" max="3" width="11" style="1" bestFit="1" customWidth="1"/>
    <col min="4" max="4" width="13.7109375" style="1" bestFit="1" customWidth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380">
        <v>75000</v>
      </c>
      <c r="D4" s="380">
        <v>2500000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data'!$D463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data'!$D464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81" workbookViewId="0">
      <selection activeCell="H185" sqref="H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783048.2936403082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456814.61907104118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91089.291301015444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117629.7644107931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134236.85033833855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117629.7644107931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175786.35163353858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97073.106552596262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31961.154842461558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45681.461907104116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34993.123831602948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34261.096430328085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15980.577421230779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5710.1827383880145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87893.17581676929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57101.827383880147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3244.3630460041513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11420.365476776029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44695.549979761847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31941.243579612597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64554.033593888656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46132.91730390468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12124.360174796873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8664.5570255986549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4662.3486122180857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3331.9024543463102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113099.08030756452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108493.47202937228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17988.68709801232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0.43582889538516162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1542.0658644465243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3.7361084700125495E-2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1651.2179103063932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4.0005614304589723E-2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15238.021720870902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0.36918592992793164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71.268800751408534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1.7266964808312041E-3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1125.1496418632635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2.7260061998102159E-2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29.518660249897398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7.1517643393687155E-4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3810.4154462517859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9.2318530299077425E-2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64.91370276951497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1.5727255257291396E-3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1148.0573462747577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2.7815068567234969E-2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2833.7440917610315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6.8655791864482674E-2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325.57753513414758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7.888074139408327E-3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534.71836671684468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1.2955126399086169E-2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15113.849399235503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0.36617748993000948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0.29674680641973877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0.28302441074714974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1.7086450333499009E-2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1.6296325462585758E-2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2.2126179468366147E-2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2.1103003539193144E-2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0.51029954485989426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0.48670187804556381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5.9312754358377721E-4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5.6569968029666602E-4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3.1394414813143305E-2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2.9942649966292749E-2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3.3950117003646611E-4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3.2380169396541565E-4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4.2220294070089238E-2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4.0267910529275863E-2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1.2099053290264164E-3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1.1539559496494725E-3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2.1398266344745977E-2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2.040875113805252E-2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6.8082129291564208E-2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6.4933822734728863E-2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6.0683334637179846E-3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5.7877168873610831E-3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1.4324445842879414E-2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1.3662043722977473E-2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0.52979341323357754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0.50529429585861441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122209.84929646429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96900.070712039029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14216.247775302989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24951.768208350051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20950.259879393881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24951.768208350051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27434.864127777699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20591.265026308294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4988.1571141413997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9690.0070712039033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5461.3545864351427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7267.505303402927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2494.0785570706998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1211.2508839004879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13717.432063888849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12112.508839004879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506.34567770006993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2422.5017678009758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6975.6060662056061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6775.4153047663094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10074.906977080887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9785.7703371919033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1892.2411833498013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1837.9363387633509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727.64978340975915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706.76718728558092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17651.301550891574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23013.766794109266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2807.4829574932523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9.2448553566549435E-2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240.66923895986218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7.9250785727538933E-3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257.704529354177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8.4860393979432746E-3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2378.1883610607765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7.8312166954409748E-2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11.122876417849888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3.6626895047934632E-4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175.60138919253245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5.7824373935368217E-3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4.6069585361111542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1.5170409204721518E-4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594.6891158890071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1.9582718548289149E-2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10.131040316629504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3.3360844485163561E-4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179.17658005444198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5.9001660597165087E-3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442.26063859854253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1.4563349789435716E-2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50.812678893768705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1.6732278477532812E-3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83.453155499160744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2.7480571149576727E-3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2358.8088657766393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7.7674013015456553E-2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4.6313085394988143E-2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6.0035481067577209E-2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2.6666714393322154E-3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3.4567963102454641E-3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3.4532187609588785E-3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4.4763946901318786E-3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7.9642125498364996E-2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0.10323979231269535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9.2569038593999904E-5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1.1999690188111097E-4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4.8997063581206323E-3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6.3514712049711885E-3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5.2985731739795291E-5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6.8685207810845745E-5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6.5892944502451414E-3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8.5416779910585158E-3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1.8882915539718639E-4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2.4477853477413049E-4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3.3396138225904128E-3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4.329129029283868E-3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1.0625534629319271E-2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1.3773841186154611E-2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9.4708094520454093E-4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1.2276975215614421E-3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2.2356071546690416E-3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2.8980092745709792E-3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8.2684521140500539E-2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0.10718363851546366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234037.42495969174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165742.2609289588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27224.761678984549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42678.632189206888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40120.701421661441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42678.632189206888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52539.013766461409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35220.230447403745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9552.5479575384379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16574.226092895879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10458.742659116117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12430.669569671909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4776.273978769219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2071.7782616119848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26269.506883230704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20717.78261611985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969.67502399025432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4143.5565232239696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13358.60317859992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11588.976593028619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19293.905517422652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16738.023911640095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3623.7280096758932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3143.6893904380149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1393.4824612096497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1208.8865437387055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33803.046038754874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39363.786970627712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2543.5266161074505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6.1624419250252083E-2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68.781025480452769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1.6664228020370887E-3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277.81730642917057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6.7309420148972078E-3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816.89928733229783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1.9791789812224642E-2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15.471187824817051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3.7483506513290803E-4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26.302435262527187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6.37253916533074E-4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73.48347036613049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1.7803533712322671E-3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78.344719162303662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1.8981314326050301E-3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16.900566419398675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4.094659690212412E-4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120.67824120695344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2.9237856145973122E-3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876.11830838913772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2.1226544910947009E-2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26.483091404220694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6.4163084333437122E-4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56.207011126951372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1.3617802921958929E-3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1628.961148843877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3.9466378744780817E-2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4.5754933628917617E-2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4.3639098547811596E-2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8.3106047603679744E-4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7.9262993379232123E-4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4.0595359645178462E-3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3.8718117580661539E-3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2.9831848636857054E-2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2.8452341185441699E-2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1.4040654632499296E-4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1.3391375805562911E-4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8.0030056464171814E-4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7.6329244604556935E-4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9.2161460426674424E-4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8.7899658788446707E-4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9.466157148310761E-4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9.0284157772906114E-4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3.4350362462884858E-4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3.2761906395237006E-4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2.452782483126852E-3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2.3393590156990207E-3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2.2953573895167008E-2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2.1892136952037899E-2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5.3826822503920445E-4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5.1337720885242047E-4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1.6419437573988649E-3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1.56601572237464E-3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5.7100799688875818E-2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5.4460300281297752E-2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36526.072103535706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35157.449287960953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4248.9512446970111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9053.0431916499456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6261.6123606061219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9053.0431916499456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8199.7304722223016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7470.957973691703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1490.8600858586003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3515.7449287960953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1632.289316740666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2636.8086965970715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745.43004292930016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439.46811609951192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4099.8652361111508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4394.6811609951192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151.33656443778534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878.93623219902383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2084.8687041745543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2458.2677621575858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3011.1875663029573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3550.4899206509294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565.55292636560182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666.84320403230618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217.47992169167946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256.43047897487696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5275.6199020022059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8349.8942058907251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396.96658170463104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1.3071846507629228E-2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10.734610913134247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3.5348362467453397E-4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43.358770367558421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1.4277755789175895E-3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127.4929523582199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4.1982584450173483E-3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2.4145784466477478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7.9510468361525957E-5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4.1050043473308326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1.351750732039854E-4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11.468518496448112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3.7765071510987484E-4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12.227210505099418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4.0263394024955173E-4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2.6376606550506607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8.6856417671172357E-5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18.834176373339556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6.2019694855094509E-4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136.73522732084808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4.5026004356554256E-3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4.1331992364968713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1.3610351222244238E-4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8.7721924880213127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2.8886248622337122E-4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254.23093074442014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8.3716560973777481E-3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7.1409433987328075E-3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9.2567784798388234E-3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1.2970308007510711E-4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1.6813362231958326E-4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6.3356919677446158E-4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8.2129340322615392E-4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4.6558376485268237E-3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6.0353450999421779E-3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2.1913160409102947E-5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2.8405948678466784E-5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1.2490240026200229E-4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1.6191051885815108E-4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1.4383580529018554E-4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1.8645382167246271E-4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1.4773771271930092E-4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1.9151184982131597E-4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5.36103922831151E-5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6.9494952959593638E-5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3.8280420256893069E-4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4.9622766999676197E-4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3.5823496830607472E-3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4.6437866261898574E-3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8.4007179630396072E-5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1.0889819581718008E-4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2.5625711820675929E-4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3.3218515323098425E-4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8.9116855005759964E-3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1.1552184908154068E-2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4825776.8190355003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699241.13927277888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545444.68096449983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79033.360727221094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548590.27160400525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38990.51034720122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147641.72839599467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10493.48965279878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5299.5579073842573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62802.192232986679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529.95579073842566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62802.192232986679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5299.5579073842573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529.95579073842566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5299.5579073842573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62802.192232986679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529.95579073842566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62802.192232986679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5299.5579073842573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529.95579073842566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5299.5579073842573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62802.192232986679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529.95579073842566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62802.192232986679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5299.5579073842573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529.95579073842566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5299.5579073842573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62802.192232986679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529.95579073842566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62802.192232986679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5299.5579073842573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529.95579073842566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1551.2060932580989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7675.8090604495792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155.12060932580988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7675.8090604495792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1551.2060932580989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155.12060932580988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1551.2060932580989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7675.8090604495792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155.12060932580988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7675.8090604495792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1551.2060932580989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155.12060932580988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1551.2060932580989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7675.8090604495792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155.12060932580988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7675.8090604495792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1551.2060932580989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155.12060932580988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1551.2060932580989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7675.8090604495792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155.12060932580988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7675.8090604495792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1551.2060932580989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155.12060932580988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10841.000000000004</v>
      </c>
      <c r="I227" s="106">
        <f>SUMIFS(Havbrug!E$4:E$7,Havbrug!$A$4:$A$7,'Direkte input'!$B227,Havbrug!$B$4:$B$7,'Direkte input'!$A227)*SUMIFS(Havbrug!$F$4:$F$7,Havbrug!$A$4:$A$7,'Direkte input'!$B227,Havbrug!$B$4:$B$7,'Direkte input'!$A227)</f>
        <v>81307.500000000029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2708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20310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450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20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150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26" workbookViewId="0">
      <selection activeCell="E341" sqref="E34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63313.545971354491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31184.283836637289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112833.22962148272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18335.399813490942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55237.148778432362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27206.356861018925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98440.006733673188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15996.501094221892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143421.61804386508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2924.3313169399116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267973.79239933251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6133724.0012213131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5412547.763583675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7323.2019641100578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3452770.6122393245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330372.74489675317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1239416.7164923118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1353770.9865174799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550329.17750715138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427250.44238658639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17603.733667957611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861.66868306008803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232026.20760066749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888758.91269583965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384691.4728613086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614.63363776327014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2971629.6255114949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169627.25510324695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165182.75876089992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164646.92607689698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199670.8224928487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372749.55761341366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5880011.5738482485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765718.007862392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61054.422265523077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868637.91677766922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5642415.7793918829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393560.35265348584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12249098.107862087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1510478.9155088854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855103.95329864242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490655.53893383988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38482.787367359997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2420616.3174727387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3027382.7402155618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394237.57109337207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31434.479653499999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447226.91507024999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2570844.3984400104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202628.48191581847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5007.9440624448525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6306570.6128669288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777685.16963622137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1100647.0466911762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544864.31399399997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19813.247781599999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0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721719.35529882624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93985.10530710897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7493.8897181076936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106617.6128076231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692556.57535474957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48306.048452615352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1503468.3313748278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185397.91213031337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104956.43862895928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60223.622825520004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4723.4213980800005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297109.21928150119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368193.1930872486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47947.551595505945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3823.0915711153852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54392.166443596157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312668.56199513603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24643.870355716808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609.07096108455892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767011.16794249229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94582.816378404299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133861.74968891402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66266.920566000001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2409.7062024000002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0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Vestdanmark'!H$3:H$1000,'Resultater - Østdanmark'!H$3:H$1000),IF(D278=År2,IF(B278="Vestdanmark",'Resultater - Vestdanmark'!I$3:I$1000,'Resultater - Østdanmark'!I$3:I$1000),IF(B278="Vestdanmark",'Resultater - Vestdanmark'!J$3:J$1000,'Resultater - Østdanmark'!J$3:J$1000))),'Resultater - Vestdanmark'!$F$3:$F$1000,C278))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Vestdanmark'!H$3:H$1000,'Resultater - Østdanmark'!H$3:H$1000),IF(D279=År2,IF(B279="Vestdanmark",'Resultater - Vestdanmark'!I$3:I$1000,'Resultater - Østdanmark'!I$3:I$1000),IF(B279="Vestdanmark",'Resultater - Vestdanmark'!J$3:J$1000,'Resultater - Østdanmark'!J$3:J$1000))),'Resultater - Vestdanmark'!$F$3:$F$1000,C279))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Vestdanmark'!H$3:H$1000,'Resultater - Østdanmark'!H$3:H$1000),IF(D280=År2,IF(B280="Vestdanmark",'Resultater - Vestdanmark'!I$3:I$1000,'Resultater - Østdanmark'!I$3:I$1000),IF(B280="Vestdanmark",'Resultater - Vestdanmark'!J$3:J$1000,'Resultater - Østdanmark'!J$3:J$1000))),'Resultater - Vestdanmark'!$F$3:$F$1000,C280))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Vestdanmark'!H$3:H$1000,'Resultater - Østdanmark'!H$3:H$1000),IF(D281=År2,IF(B281="Vestdanmark",'Resultater - Vestdanmark'!I$3:I$1000,'Resultater - Østdanmark'!I$3:I$1000),IF(B281="Vestdanmark",'Resultater - Vestdanmark'!J$3:J$1000,'Resultater - Østdanmark'!J$3:J$1000))),'Resultater - Vestdanmark'!$F$3:$F$1000,C281))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Vestdanmark'!H$3:H$1000,'Resultater - Østdanmark'!H$3:H$1000),IF(D282=År2,IF(B282="Vestdanmark",'Resultater - Vestdanmark'!I$3:I$1000,'Resultater - Østdanmark'!I$3:I$1000),IF(B282="Vestdanmark",'Resultater - Vestdanmark'!J$3:J$1000,'Resultater - Østdanmark'!J$3:J$1000))),'Resultater - Vestdanmark'!$F$3:$F$1000,C282))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Vestdanmark'!H$3:H$1000,'Resultater - Østdanmark'!H$3:H$1000),IF(D283=År2,IF(B283="Vestdanmark",'Resultater - Vestdanmark'!I$3:I$1000,'Resultater - Østdanmark'!I$3:I$1000),IF(B283="Vestdanmark",'Resultater - Vestdanmark'!J$3:J$1000,'Resultater - Østdanmark'!J$3:J$1000))),'Resultater - Vestdanmark'!$F$3:$F$1000,C283))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Vestdanmark'!H$3:H$1000,'Resultater - Østdanmark'!H$3:H$1000),IF(D284=År2,IF(B284="Vestdanmark",'Resultater - Vestdanmark'!I$3:I$1000,'Resultater - Østdanmark'!I$3:I$1000),IF(B284="Vestdanmark",'Resultater - Vestdanmark'!J$3:J$1000,'Resultater - Østdanmark'!J$3:J$1000))),'Resultater - Vestdanmark'!$F$3:$F$1000,C284))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Vestdanmark'!H$3:H$1000,'Resultater - Østdanmark'!H$3:H$1000),IF(D285=År2,IF(B285="Vestdanmark",'Resultater - Vestdanmark'!I$3:I$1000,'Resultater - Østdanmark'!I$3:I$1000),IF(B285="Vestdanmark",'Resultater - Vestdanmark'!J$3:J$1000,'Resultater - Østdanmark'!J$3:J$1000))),'Resultater - Vestdanmark'!$F$3:$F$1000,C285))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Vestdanmark'!H$3:H$1000,'Resultater - Østdanmark'!H$3:H$1000),IF(D286=År2,IF(B286="Vestdanmark",'Resultater - Vestdanmark'!I$3:I$1000,'Resultater - Østdanmark'!I$3:I$1000),IF(B286="Vestdanmark",'Resultater - Vestdanmark'!J$3:J$1000,'Resultater - Østdanmark'!J$3:J$1000))),'Resultater - Vestdanmark'!$F$3:$F$1000,C286))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Vestdanmark'!H$3:H$1000,'Resultater - Østdanmark'!H$3:H$1000),IF(D287=År2,IF(B287="Vestdanmark",'Resultater - Vestdanmark'!I$3:I$1000,'Resultater - Østdanmark'!I$3:I$1000),IF(B287="Vestdanmark",'Resultater - Vestdanmark'!J$3:J$1000,'Resultater - Østdanmark'!J$3:J$1000))),'Resultater - Vestdanmark'!$F$3:$F$1000,C287))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Vestdanmark'!H$3:H$1000,'Resultater - Østdanmark'!H$3:H$1000),IF(D288=År2,IF(B288="Vestdanmark",'Resultater - Vestdanmark'!I$3:I$1000,'Resultater - Østdanmark'!I$3:I$1000),IF(B288="Vestdanmark",'Resultater - Vestdanmark'!J$3:J$1000,'Resultater - Østdanmark'!J$3:J$1000))),'Resultater - Vestdanmark'!$F$3:$F$1000,C288))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Vestdanmark'!H$3:H$1000,'Resultater - Østdanmark'!H$3:H$1000),IF(D289=År2,IF(B289="Vestdanmark",'Resultater - Vestdanmark'!I$3:I$1000,'Resultater - Østdanmark'!I$3:I$1000),IF(B289="Vestdanmark",'Resultater - Vestdanmark'!J$3:J$1000,'Resultater - Østdanmark'!J$3:J$1000))),'Resultater - Vestdanmark'!$F$3:$F$1000,C289))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Vestdanmark'!H$3:H$1000,'Resultater - Østdanmark'!H$3:H$1000),IF(D290=År2,IF(B290="Vestdanmark",'Resultater - Vestdanmark'!I$3:I$1000,'Resultater - Østdanmark'!I$3:I$1000),IF(B290="Vestdanmark",'Resultater - Vestdanmark'!J$3:J$1000,'Resultater - Østdanmark'!J$3:J$1000))),'Resultater - Vestdanmark'!$F$3:$F$1000,C290))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Vestdanmark'!H$3:H$1000,'Resultater - Østdanmark'!H$3:H$1000),IF(D291=År2,IF(B291="Vestdanmark",'Resultater - Vestdanmark'!I$3:I$1000,'Resultater - Østdanmark'!I$3:I$1000),IF(B291="Vestdanmark",'Resultater - Vestdanmark'!J$3:J$1000,'Resultater - Østdanmark'!J$3:J$1000))),'Resultater - Vestdanmark'!$F$3:$F$1000,C291))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Vestdanmark'!H$3:H$1000,'Resultater - Østdanmark'!H$3:H$1000),IF(D292=År2,IF(B292="Vestdanmark",'Resultater - Vestdanmark'!I$3:I$1000,'Resultater - Østdanmark'!I$3:I$1000),IF(B292="Vestdanmark",'Resultater - Vestdanmark'!J$3:J$1000,'Resultater - Østdanmark'!J$3:J$1000))),'Resultater - Vestdanmark'!$F$3:$F$1000,C292))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Vestdanmark'!H$3:H$1000,'Resultater - Østdanmark'!H$3:H$1000),IF(D293=År2,IF(B293="Vestdanmark",'Resultater - Vestdanmark'!I$3:I$1000,'Resultater - Østdanmark'!I$3:I$1000),IF(B293="Vestdanmark",'Resultater - Vestdanmark'!J$3:J$1000,'Resultater - Østdanmark'!J$3:J$1000))),'Resultater - Vestdanmark'!$F$3:$F$1000,C293))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Vestdanmark'!H$3:H$1000,'Resultater - Østdanmark'!H$3:H$1000),IF(D294=År2,IF(B294="Vestdanmark",'Resultater - Vestdanmark'!I$3:I$1000,'Resultater - Østdanmark'!I$3:I$1000),IF(B294="Vestdanmark",'Resultater - Vestdanmark'!J$3:J$1000,'Resultater - Østdanmark'!J$3:J$1000))),'Resultater - Vestdanmark'!$F$3:$F$1000,C294))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Vestdanmark'!H$3:H$1000,'Resultater - Østdanmark'!H$3:H$1000),IF(D295=År2,IF(B295="Vestdanmark",'Resultater - Vestdanmark'!I$3:I$1000,'Resultater - Østdanmark'!I$3:I$1000),IF(B295="Vestdanmark",'Resultater - Vestdanmark'!J$3:J$1000,'Resultater - Østdanmark'!J$3:J$1000))),'Resultater - Vestdanmark'!$F$3:$F$1000,C295))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Vestdanmark'!H$3:H$1000,'Resultater - Østdanmark'!H$3:H$1000),IF(D296=År2,IF(B296="Vestdanmark",'Resultater - Vestdanmark'!I$3:I$1000,'Resultater - Østdanmark'!I$3:I$1000),IF(B296="Vestdanmark",'Resultater - Vestdanmark'!J$3:J$1000,'Resultater - Østdanmark'!J$3:J$1000))),'Resultater - Vestdanmark'!$F$3:$F$1000,C296))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Vestdanmark'!H$3:H$1000,'Resultater - Østdanmark'!H$3:H$1000),IF(D297=År2,IF(B297="Vestdanmark",'Resultater - Vestdanmark'!I$3:I$1000,'Resultater - Østdanmark'!I$3:I$1000),IF(B297="Vestdanmark",'Resultater - Vestdanmark'!J$3:J$1000,'Resultater - Østdanmark'!J$3:J$1000))),'Resultater - Vestdanmark'!$F$3:$F$1000,C297))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Vestdanmark'!H$3:H$1000,'Resultater - Østdanmark'!H$3:H$1000),IF(D298=År2,IF(B298="Vestdanmark",'Resultater - Vestdanmark'!I$3:I$1000,'Resultater - Østdanmark'!I$3:I$1000),IF(B298="Vestdanmark",'Resultater - Vestdanmark'!J$3:J$1000,'Resultater - Østdanmark'!J$3:J$1000))),'Resultater - Vestdanmark'!$F$3:$F$1000,C298))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Vestdanmark'!H$3:H$1000,'Resultater - Østdanmark'!H$3:H$1000),IF(D299=År2,IF(B299="Vestdanmark",'Resultater - Vestdanmark'!I$3:I$1000,'Resultater - Østdanmark'!I$3:I$1000),IF(B299="Vestdanmark",'Resultater - Vestdanmark'!J$3:J$1000,'Resultater - Østdanmark'!J$3:J$1000))),'Resultater - Vestdanmark'!$F$3:$F$1000,C299))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Vestdanmark'!H$3:H$1000,'Resultater - Østdanmark'!H$3:H$1000),IF(D300=År2,IF(B300="Vestdanmark",'Resultater - Vestdanmark'!I$3:I$1000,'Resultater - Østdanmark'!I$3:I$1000),IF(B300="Vestdanmark",'Resultater - Vestdanmark'!J$3:J$1000,'Resultater - Østdanmark'!J$3:J$1000))),'Resultater - Vestdanmark'!$F$3:$F$1000,C300))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Vestdanmark'!H$3:H$1000,'Resultater - Østdanmark'!H$3:H$1000),IF(D301=År2,IF(B301="Vestdanmark",'Resultater - Vestdanmark'!I$3:I$1000,'Resultater - Østdanmark'!I$3:I$1000),IF(B301="Vestdanmark",'Resultater - Vestdanmark'!J$3:J$1000,'Resultater - Østdanmark'!J$3:J$1000))),'Resultater - Vestdanmark'!$F$3:$F$1000,C301))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Vestdanmark'!H$3:H$1000,'Resultater - Østdanmark'!H$3:H$1000),IF(D302=År2,IF(B302="Vestdanmark",'Resultater - Vestdanmark'!I$3:I$1000,'Resultater - Østdanmark'!I$3:I$1000),IF(B302="Vestdanmark",'Resultater - Vestdanmark'!J$3:J$1000,'Resultater - Østdanmark'!J$3:J$1000))),'Resultater - Vestdanmark'!$F$3:$F$1000,C302))</f>
        <v>1109121.9875318299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Vestdanmark'!H$3:H$1000,'Resultater - Østdanmark'!H$3:H$1000),IF(D303=År2,IF(B303="Vestdanmark",'Resultater - Vestdanmark'!I$3:I$1000,'Resultater - Østdanmark'!I$3:I$1000),IF(B303="Vestdanmark",'Resultater - Vestdanmark'!J$3:J$1000,'Resultater - Østdanmark'!J$3:J$1000))),'Resultater - Vestdanmark'!$F$3:$F$1000,C303))</f>
        <v>223253.42430816326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Vestdanmark'!H$3:H$1000,'Resultater - Østdanmark'!H$3:H$1000),IF(D304=År2,IF(B304="Vestdanmark",'Resultater - Vestdanmark'!I$3:I$1000,'Resultater - Østdanmark'!I$3:I$1000),IF(B304="Vestdanmark",'Resultater - Vestdanmark'!J$3:J$1000,'Resultater - Østdanmark'!J$3:J$1000))),'Resultater - Vestdanmark'!$F$3:$F$1000,C304))</f>
        <v>151017.99543542339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Vestdanmark'!H$3:H$1000,'Resultater - Østdanmark'!H$3:H$1000),IF(D305=År2,IF(B305="Vestdanmark",'Resultater - Vestdanmark'!I$3:I$1000,'Resultater - Østdanmark'!I$3:I$1000),IF(B305="Vestdanmark",'Resultater - Vestdanmark'!J$3:J$1000,'Resultater - Østdanmark'!J$3:J$1000))),'Resultater - Vestdanmark'!$F$3:$F$1000,C305))</f>
        <v>2205884.0906945551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Vestdanmark'!H$3:H$1000,'Resultater - Østdanmark'!H$3:H$1000),IF(D306=År2,IF(B306="Vestdanmark",'Resultater - Vestdanmark'!I$3:I$1000,'Resultater - Østdanmark'!I$3:I$1000),IF(B306="Vestdanmark",'Resultater - Vestdanmark'!J$3:J$1000,'Resultater - Østdanmark'!J$3:J$1000))),'Resultater - Vestdanmark'!$F$3:$F$1000,C306))</f>
        <v>258760.31746905867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Vestdanmark'!H$3:H$1000,'Resultater - Østdanmark'!H$3:H$1000),IF(D307=År2,IF(B307="Vestdanmark",'Resultater - Vestdanmark'!I$3:I$1000,'Resultater - Østdanmark'!I$3:I$1000),IF(B307="Vestdanmark",'Resultater - Vestdanmark'!J$3:J$1000,'Resultater - Østdanmark'!J$3:J$1000))),'Resultater - Vestdanmark'!$F$3:$F$1000,C307))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Vestdanmark'!H$3:H$1000,'Resultater - Østdanmark'!H$3:H$1000),IF(D308=År2,IF(B308="Vestdanmark",'Resultater - Vestdanmark'!I$3:I$1000,'Resultater - Østdanmark'!I$3:I$1000),IF(B308="Vestdanmark",'Resultater - Vestdanmark'!J$3:J$1000,'Resultater - Østdanmark'!J$3:J$1000))),'Resultater - Vestdanmark'!$F$3:$F$1000,C308))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Vestdanmark'!H$3:H$1000,'Resultater - Østdanmark'!H$3:H$1000),IF(D309=År2,IF(B309="Vestdanmark",'Resultater - Vestdanmark'!I$3:I$1000,'Resultater - Østdanmark'!I$3:I$1000),IF(B309="Vestdanmark",'Resultater - Vestdanmark'!J$3:J$1000,'Resultater - Østdanmark'!J$3:J$1000))),'Resultater - Vestdanmark'!$F$3:$F$1000,C309))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Vestdanmark'!H$3:H$1000,'Resultater - Østdanmark'!H$3:H$1000),IF(D310=År2,IF(B310="Vestdanmark",'Resultater - Vestdanmark'!I$3:I$1000,'Resultater - Østdanmark'!I$3:I$1000),IF(B310="Vestdanmark",'Resultater - Vestdanmark'!J$3:J$1000,'Resultater - Østdanmark'!J$3:J$1000))),'Resultater - Vestdanmark'!$F$3:$F$1000,C310))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Vestdanmark'!H$3:H$1000,'Resultater - Østdanmark'!H$3:H$1000),IF(D311=År2,IF(B311="Vestdanmark",'Resultater - Vestdanmark'!I$3:I$1000,'Resultater - Østdanmark'!I$3:I$1000),IF(B311="Vestdanmark",'Resultater - Vestdanmark'!J$3:J$1000,'Resultater - Østdanmark'!J$3:J$1000))),'Resultater - Vestdanmark'!$F$3:$F$1000,C311))</f>
        <v>606661.04726979067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Vestdanmark'!H$3:H$1000,'Resultater - Østdanmark'!H$3:H$1000),IF(D312=År2,IF(B312="Vestdanmark",'Resultater - Vestdanmark'!I$3:I$1000,'Resultater - Østdanmark'!I$3:I$1000),IF(B312="Vestdanmark",'Resultater - Vestdanmark'!J$3:J$1000,'Resultater - Østdanmark'!J$3:J$1000))),'Resultater - Vestdanmark'!$F$3:$F$1000,C312))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Vestdanmark'!H$3:H$1000,'Resultater - Østdanmark'!H$3:H$1000),IF(D313=År2,IF(B313="Vestdanmark",'Resultater - Vestdanmark'!I$3:I$1000,'Resultater - Østdanmark'!I$3:I$1000),IF(B313="Vestdanmark",'Resultater - Vestdanmark'!J$3:J$1000,'Resultater - Østdanmark'!J$3:J$1000))),'Resultater - Vestdanmark'!$F$3:$F$1000,C313))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Vestdanmark'!H$3:H$1000,'Resultater - Østdanmark'!H$3:H$1000),IF(D314=År2,IF(B314="Vestdanmark",'Resultater - Vestdanmark'!I$3:I$1000,'Resultater - Østdanmark'!I$3:I$1000),IF(B314="Vestdanmark",'Resultater - Vestdanmark'!J$3:J$1000,'Resultater - Østdanmark'!J$3:J$1000))),'Resultater - Vestdanmark'!$F$3:$F$1000,C314))</f>
        <v>567443.12264488416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Vestdanmark'!H$3:H$1000,'Resultater - Østdanmark'!H$3:H$1000),IF(D315=År2,IF(B315="Vestdanmark",'Resultater - Vestdanmark'!I$3:I$1000,'Resultater - Østdanmark'!I$3:I$1000),IF(B315="Vestdanmark",'Resultater - Vestdanmark'!J$3:J$1000,'Resultater - Østdanmark'!J$3:J$1000))),'Resultater - Vestdanmark'!$F$3:$F$1000,C315))</f>
        <v>66301.743647124924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Vestdanmark'!H$3:H$1000,'Resultater - Østdanmark'!H$3:H$1000),IF(D316=År2,IF(B316="Vestdanmark",'Resultater - Vestdanmark'!I$3:I$1000,'Resultater - Østdanmark'!I$3:I$1000),IF(B316="Vestdanmark",'Resultater - Vestdanmark'!J$3:J$1000,'Resultater - Østdanmark'!J$3:J$1000))),'Resultater - Vestdanmark'!$F$3:$F$1000,C316))</f>
        <v>41596.139144494533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Vestdanmark'!H$3:H$1000,'Resultater - Østdanmark'!H$3:H$1000),IF(D317=År2,IF(B317="Vestdanmark",'Resultater - Vestdanmark'!I$3:I$1000,'Resultater - Østdanmark'!I$3:I$1000),IF(B317="Vestdanmark",'Resultater - Vestdanmark'!J$3:J$1000,'Resultater - Østdanmark'!J$3:J$1000))),'Resultater - Vestdanmark'!$F$3:$F$1000,C317))</f>
        <v>645672.88485303381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Vestdanmark'!H$3:H$1000,'Resultater - Østdanmark'!H$3:H$1000),IF(D318=År2,IF(B318="Vestdanmark",'Resultater - Vestdanmark'!I$3:I$1000,'Resultater - Østdanmark'!I$3:I$1000),IF(B318="Vestdanmark",'Resultater - Vestdanmark'!J$3:J$1000,'Resultater - Østdanmark'!J$3:J$1000))),'Resultater - Vestdanmark'!$F$3:$F$1000,C318))</f>
        <v>224048.68253094138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Vestdanmark'!H$3:H$1000,'Resultater - Østdanmark'!H$3:H$1000),IF(D319=År2,IF(B319="Vestdanmark",'Resultater - Vestdanmark'!I$3:I$1000,'Resultater - Østdanmark'!I$3:I$1000),IF(B319="Vestdanmark",'Resultater - Vestdanmark'!J$3:J$1000,'Resultater - Østdanmark'!J$3:J$1000))),'Resultater - Vestdanmark'!$F$3:$F$1000,C319))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Vestdanmark'!H$3:H$1000,'Resultater - Østdanmark'!H$3:H$1000),IF(D320=År2,IF(B320="Vestdanmark",'Resultater - Vestdanmark'!I$3:I$1000,'Resultater - Østdanmark'!I$3:I$1000),IF(B320="Vestdanmark",'Resultater - Vestdanmark'!J$3:J$1000,'Resultater - Østdanmark'!J$3:J$1000))),'Resultater - Vestdanmark'!$F$3:$F$1000,C320))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Vestdanmark'!H$3:H$1000,'Resultater - Østdanmark'!H$3:H$1000),IF(D321=År2,IF(B321="Vestdanmark",'Resultater - Vestdanmark'!I$3:I$1000,'Resultater - Østdanmark'!I$3:I$1000),IF(B321="Vestdanmark",'Resultater - Vestdanmark'!J$3:J$1000,'Resultater - Østdanmark'!J$3:J$1000))),'Resultater - Vestdanmark'!$F$3:$F$1000,C321))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Vestdanmark'!H$3:H$1000,'Resultater - Østdanmark'!H$3:H$1000),IF(D322=År2,IF(B322="Vestdanmark",'Resultater - Vestdanmark'!I$3:I$1000,'Resultater - Østdanmark'!I$3:I$1000),IF(B322="Vestdanmark",'Resultater - Vestdanmark'!J$3:J$1000,'Resultater - Østdanmark'!J$3:J$1000))),'Resultater - Vestdanmark'!$F$3:$F$1000,C322))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Vestdanmark'!H$3:H$1000,'Resultater - Østdanmark'!H$3:H$1000),IF(D323=År2,IF(B323="Vestdanmark",'Resultater - Vestdanmark'!I$3:I$1000,'Resultater - Østdanmark'!I$3:I$1000),IF(B323="Vestdanmark",'Resultater - Vestdanmark'!J$3:J$1000,'Resultater - Østdanmark'!J$3:J$1000))),'Resultater - Vestdanmark'!$F$3:$F$1000,C323))</f>
        <v>177572.60690670041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Vestdanmark'!H$3:H$1000,'Resultater - Østdanmark'!H$3:H$1000),IF(D324=År2,IF(B324="Vestdanmark",'Resultater - Vestdanmark'!I$3:I$1000,'Resultater - Østdanmark'!I$3:I$1000),IF(B324="Vestdanmark",'Resultater - Vestdanmark'!J$3:J$1000,'Resultater - Østdanmark'!J$3:J$1000))),'Resultater - Vestdanmark'!$F$3:$F$1000,C324))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Vestdanmark'!H$3:H$1000,'Resultater - Østdanmark'!H$3:H$1000),IF(D325=År2,IF(B325="Vestdanmark",'Resultater - Vestdanmark'!I$3:I$1000,'Resultater - Østdanmark'!I$3:I$1000),IF(B325="Vestdanmark",'Resultater - Vestdanmark'!J$3:J$1000,'Resultater - Østdanmark'!J$3:J$1000))),'Resultater - Vestdanmark'!$F$3:$F$1000,C325))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Vestdanmark'!H$3:H$1000,'Resultater - Østdanmark'!H$3:H$1000),IF(D326=År2,IF(B326="Vestdanmark",'Resultater - Vestdanmark'!I$3:I$1000,'Resultater - Østdanmark'!I$3:I$1000),IF(B326="Vestdanmark",'Resultater - Vestdanmark'!J$3:J$1000,'Resultater - Østdanmark'!J$3:J$1000))),'Resultater - Vestdanmark'!$F$3:$F$1000,C326))</f>
        <v>408304.80676701013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Vestdanmark'!H$3:H$1000,'Resultater - Østdanmark'!H$3:H$1000),IF(D327=År2,IF(B327="Vestdanmark",'Resultater - Vestdanmark'!I$3:I$1000,'Resultater - Østdanmark'!I$3:I$1000),IF(B327="Vestdanmark",'Resultater - Vestdanmark'!J$3:J$1000,'Resultater - Østdanmark'!J$3:J$1000))),'Resultater - Vestdanmark'!$F$3:$F$1000,C327))</f>
        <v>198261.55404726695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Vestdanmark'!H$3:H$1000,'Resultater - Østdanmark'!H$3:H$1000),IF(D328=År2,IF(B328="Vestdanmark",'Resultater - Vestdanmark'!I$3:I$1000,'Resultater - Østdanmark'!I$3:I$1000),IF(B328="Vestdanmark",'Resultater - Vestdanmark'!J$3:J$1000,'Resultater - Østdanmark'!J$3:J$1000))),'Resultater - Vestdanmark'!$F$3:$F$1000,C328))</f>
        <v>97651.319921337825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Vestdanmark'!H$3:H$1000,'Resultater - Østdanmark'!H$3:H$1000),IF(D329=År2,IF(B329="Vestdanmark",'Resultater - Vestdanmark'!I$3:I$1000,'Resultater - Østdanmark'!I$3:I$1000),IF(B329="Vestdanmark",'Resultater - Vestdanmark'!J$3:J$1000,'Resultater - Østdanmark'!J$3:J$1000))),'Resultater - Vestdanmark'!$F$3:$F$1000,C329))</f>
        <v>2270482.6440612082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Vestdanmark'!H$3:H$1000,'Resultater - Østdanmark'!H$3:H$1000),IF(D330=År2,IF(B330="Vestdanmark",'Resultater - Vestdanmark'!I$3:I$1000,'Resultater - Østdanmark'!I$3:I$1000),IF(B330="Vestdanmark",'Resultater - Vestdanmark'!J$3:J$1000,'Resultater - Østdanmark'!J$3:J$1000))),'Resultater - Vestdanmark'!$F$3:$F$1000,C330))</f>
        <v>97631.532652811788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Vestdanmark'!H$3:H$1000,'Resultater - Østdanmark'!H$3:H$1000),IF(D331=År2,IF(B331="Vestdanmark",'Resultater - Vestdanmark'!I$3:I$1000,'Resultater - Østdanmark'!I$3:I$1000),IF(B331="Vestdanmark",'Resultater - Vestdanmark'!J$3:J$1000,'Resultater - Østdanmark'!J$3:J$1000))),'Resultater - Vestdanmark'!$F$3:$F$1000,C331))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Vestdanmark'!H$3:H$1000,'Resultater - Østdanmark'!H$3:H$1000),IF(D332=År2,IF(B332="Vestdanmark",'Resultater - Vestdanmark'!I$3:I$1000,'Resultater - Østdanmark'!I$3:I$1000),IF(B332="Vestdanmark",'Resultater - Vestdanmark'!J$3:J$1000,'Resultater - Østdanmark'!J$3:J$1000))),'Resultater - Vestdanmark'!$F$3:$F$1000,C332))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Vestdanmark'!H$3:H$1000,'Resultater - Østdanmark'!H$3:H$1000),IF(D333=År2,IF(B333="Vestdanmark",'Resultater - Vestdanmark'!I$3:I$1000,'Resultater - Østdanmark'!I$3:I$1000),IF(B333="Vestdanmark",'Resultater - Vestdanmark'!J$3:J$1000,'Resultater - Østdanmark'!J$3:J$1000))),'Resultater - Vestdanmark'!$F$3:$F$1000,C333))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Vestdanmark'!H$3:H$1000,'Resultater - Østdanmark'!H$3:H$1000),IF(D334=År2,IF(B334="Vestdanmark",'Resultater - Vestdanmark'!I$3:I$1000,'Resultater - Østdanmark'!I$3:I$1000),IF(B334="Vestdanmark",'Resultater - Vestdanmark'!J$3:J$1000,'Resultater - Østdanmark'!J$3:J$1000))),'Resultater - Vestdanmark'!$F$3:$F$1000,C334))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Vestdanmark'!H$3:H$1000,'Resultater - Østdanmark'!H$3:H$1000),IF(D335=År2,IF(B335="Vestdanmark",'Resultater - Vestdanmark'!I$3:I$1000,'Resultater - Østdanmark'!I$3:I$1000),IF(B335="Vestdanmark",'Resultater - Vestdanmark'!J$3:J$1000,'Resultater - Østdanmark'!J$3:J$1000))),'Resultater - Vestdanmark'!$F$3:$F$1000,C335))</f>
        <v>643517.01117705333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Vestdanmark'!H$3:H$1000,'Resultater - Østdanmark'!H$3:H$1000),IF(D336=År2,IF(B336="Vestdanmark",'Resultater - Vestdanmark'!I$3:I$1000,'Resultater - Østdanmark'!I$3:I$1000),IF(B336="Vestdanmark",'Resultater - Vestdanmark'!J$3:J$1000,'Resultater - Østdanmark'!J$3:J$1000))),'Resultater - Vestdanmark'!$F$3:$F$1000,C336))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Vestdanmark'!H$3:H$1000,'Resultater - Østdanmark'!H$3:H$1000),IF(D337=År2,IF(B337="Vestdanmark",'Resultater - Vestdanmark'!I$3:I$1000,'Resultater - Østdanmark'!I$3:I$1000),IF(B337="Vestdanmark",'Resultater - Vestdanmark'!J$3:J$1000,'Resultater - Østdanmark'!J$3:J$1000))),'Resultater - Vestdanmark'!$F$3:$F$1000,C337))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Vestdanmark'!H$3:H$1000,'Resultater - Østdanmark'!H$3:H$1000),IF(D338=År2,IF(B338="Vestdanmark",'Resultater - Vestdanmark'!I$3:I$1000,'Resultater - Østdanmark'!I$3:I$1000),IF(B338="Vestdanmark",'Resultater - Vestdanmark'!J$3:J$1000,'Resultater - Østdanmark'!J$3:J$1000))),'Resultater - Vestdanmark'!$F$3:$F$1000,C338))</f>
        <v>268382.25141989789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Vestdanmark'!H$3:H$1000,'Resultater - Østdanmark'!H$3:H$1000),IF(D339=År2,IF(B339="Vestdanmark",'Resultater - Vestdanmark'!I$3:I$1000,'Resultater - Østdanmark'!I$3:I$1000),IF(B339="Vestdanmark",'Resultater - Vestdanmark'!J$3:J$1000,'Resultater - Østdanmark'!J$3:J$1000))),'Resultater - Vestdanmark'!$F$3:$F$1000,C339))</f>
        <v>71933.571255369054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Vestdanmark'!H$3:H$1000,'Resultater - Østdanmark'!H$3:H$1000),IF(D340=År2,IF(B340="Vestdanmark",'Resultater - Vestdanmark'!I$3:I$1000,'Resultater - Østdanmark'!I$3:I$1000),IF(B340="Vestdanmark",'Resultater - Vestdanmark'!J$3:J$1000,'Resultater - Østdanmark'!J$3:J$1000))),'Resultater - Vestdanmark'!$F$3:$F$1000,C340))</f>
        <v>35429.762263631419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Vestdanmark'!H$3:H$1000,'Resultater - Østdanmark'!H$3:H$1000),IF(D341=År2,IF(B341="Vestdanmark",'Resultater - Vestdanmark'!I$3:I$1000,'Resultater - Østdanmark'!I$3:I$1000),IF(B341="Vestdanmark",'Resultater - Vestdanmark'!J$3:J$1000,'Resultater - Østdanmark'!J$3:J$1000))),'Resultater - Vestdanmark'!$F$3:$F$1000,C341))</f>
        <v>620759.09234547918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Vestdanmark'!H$3:H$1000,'Resultater - Østdanmark'!H$3:H$1000),IF(D342=År2,IF(B342="Vestdanmark",'Resultater - Vestdanmark'!I$3:I$1000,'Resultater - Østdanmark'!I$3:I$1000),IF(B342="Vestdanmark",'Resultater - Vestdanmark'!J$3:J$1000,'Resultater - Østdanmark'!J$3:J$1000))),'Resultater - Vestdanmark'!$F$3:$F$1000,C342))</f>
        <v>85177.467347188154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Vestdanmark'!H$3:H$1000,'Resultater - Østdanmark'!H$3:H$1000),IF(D343=År2,IF(B343="Vestdanmark",'Resultater - Vestdanmark'!I$3:I$1000,'Resultater - Østdanmark'!I$3:I$1000),IF(B343="Vestdanmark",'Resultater - Vestdanmark'!J$3:J$1000,'Resultater - Østdanmark'!J$3:J$1000))),'Resultater - Vestdanmark'!$F$3:$F$1000,C343))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Vestdanmark'!H$3:H$1000,'Resultater - Østdanmark'!H$3:H$1000),IF(D344=År2,IF(B344="Vestdanmark",'Resultater - Vestdanmark'!I$3:I$1000,'Resultater - Østdanmark'!I$3:I$1000),IF(B344="Vestdanmark",'Resultater - Vestdanmark'!J$3:J$1000,'Resultater - Østdanmark'!J$3:J$1000))),'Resultater - Vestdanmark'!$F$3:$F$1000,C344))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Vestdanmark'!H$3:H$1000,'Resultater - Østdanmark'!H$3:H$1000),IF(D345=År2,IF(B345="Vestdanmark",'Resultater - Vestdanmark'!I$3:I$1000,'Resultater - Østdanmark'!I$3:I$1000),IF(B345="Vestdanmark",'Resultater - Vestdanmark'!J$3:J$1000,'Resultater - Østdanmark'!J$3:J$1000))),'Resultater - Vestdanmark'!$F$3:$F$1000,C345))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Vestdanmark'!H$3:H$1000,'Resultater - Østdanmark'!H$3:H$1000),IF(D346=År2,IF(B346="Vestdanmark",'Resultater - Vestdanmark'!I$3:I$1000,'Resultater - Østdanmark'!I$3:I$1000),IF(B346="Vestdanmark",'Resultater - Vestdanmark'!J$3:J$1000,'Resultater - Østdanmark'!J$3:J$1000))),'Resultater - Vestdanmark'!$F$3:$F$1000,C346))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Vestdanmark'!H$3:H$1000,'Resultater - Østdanmark'!H$3:H$1000),IF(D347=År2,IF(B347="Vestdanmark",'Resultater - Vestdanmark'!I$3:I$1000,'Resultater - Østdanmark'!I$3:I$1000),IF(B347="Vestdanmark",'Resultater - Vestdanmark'!J$3:J$1000,'Resultater - Østdanmark'!J$3:J$1000))),'Resultater - Vestdanmark'!$F$3:$F$1000,C347))</f>
        <v>173632.27177601412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Vestdanmark'!H$3:H$1000,'Resultater - Østdanmark'!H$3:H$1000),IF(D348=År2,IF(B348="Vestdanmark",'Resultater - Vestdanmark'!I$3:I$1000,'Resultater - Østdanmark'!I$3:I$1000),IF(B348="Vestdanmark",'Resultater - Vestdanmark'!J$3:J$1000,'Resultater - Østdanmark'!J$3:J$1000))),'Resultater - Vestdanmark'!$F$3:$F$1000,C348))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Vestdanmark'!H$3:H$1000,'Resultater - Østdanmark'!H$3:H$1000),IF(D349=År2,IF(B349="Vestdanmark",'Resultater - Vestdanmark'!I$3:I$1000,'Resultater - Østdanmark'!I$3:I$1000),IF(B349="Vestdanmark",'Resultater - Vestdanmark'!J$3:J$1000,'Resultater - Østdanmark'!J$3:J$1000))),'Resultater - Vestdanmark'!$F$3:$F$1000,C349))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3116039.2107205875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4171.3630677727415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17682350.705808945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870082.97483693098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1082421.8825684672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955155.48769123689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1292.3297583723634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82801.368874906548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11772329.827718841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1155727.8519823398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221469.40143989015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350.10096257642732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3189268.06030375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421833.87879780139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156839.80812279525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67886.73050493683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108.46475960528299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11035.318757555919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3380194.5630334695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481732.42010316846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2935044.8877656907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3259315.5328257415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360250.77120469615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396401.08182176121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697666.9509630102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619567.35639770923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207192.94889726539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224792.41017302827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55440.902645954935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1793194.9501868032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19559.097354045036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706805.04981319618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1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1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31046.905481734768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7761.726370433692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1004189.1721046099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251047.29302615247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1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1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10953.094518265221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2738.2736295663053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395810.82789538987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98952.706973847467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821158.91050834698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1930280.8980401768</v>
      </c>
      <c r="F14">
        <f>E14-D14</f>
        <v>1109121.9875318299</v>
      </c>
      <c r="G14">
        <f t="shared" si="3"/>
        <v>1109121.9875318299</v>
      </c>
      <c r="H14">
        <f t="shared" si="1"/>
        <v>567443.12264488416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223253.42430816326</v>
      </c>
      <c r="F15">
        <f t="shared" si="2"/>
        <v>223253.42430816326</v>
      </c>
      <c r="G15">
        <f t="shared" si="3"/>
        <v>223253.42430816326</v>
      </c>
      <c r="H15">
        <f t="shared" si="1"/>
        <v>66301.743647124924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151017.99543542339</v>
      </c>
      <c r="F16">
        <f t="shared" si="2"/>
        <v>151017.99543542339</v>
      </c>
      <c r="G16">
        <f t="shared" si="3"/>
        <v>151017.99543542339</v>
      </c>
      <c r="H16">
        <f t="shared" si="1"/>
        <v>41596.139144494533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2205884.0906945551</v>
      </c>
      <c r="F17">
        <f t="shared" si="2"/>
        <v>2205884.0906945551</v>
      </c>
      <c r="G17">
        <f t="shared" si="3"/>
        <v>2205884.0906945551</v>
      </c>
      <c r="H17">
        <f t="shared" si="1"/>
        <v>645672.88485303381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267973.79239933251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258760.31746905867</v>
      </c>
      <c r="G18">
        <f t="shared" si="3"/>
        <v>258760.31746905867</v>
      </c>
      <c r="H18">
        <f t="shared" si="1"/>
        <v>224048.68253094138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113544.20266115401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680987.32530603814</v>
      </c>
      <c r="F20">
        <f t="shared" si="2"/>
        <v>567443.12264488416</v>
      </c>
      <c r="G20">
        <f t="shared" si="3"/>
        <v>567443.12264488416</v>
      </c>
      <c r="H20">
        <f t="shared" si="1"/>
        <v>1109121.9875318299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66301.743647124924</v>
      </c>
      <c r="F21">
        <f t="shared" si="2"/>
        <v>66301.743647124924</v>
      </c>
      <c r="G21">
        <f t="shared" si="3"/>
        <v>66301.743647124924</v>
      </c>
      <c r="H21">
        <f t="shared" si="1"/>
        <v>223253.42430816326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41596.139144494533</v>
      </c>
      <c r="F22">
        <f t="shared" si="2"/>
        <v>41596.139144494533</v>
      </c>
      <c r="G22">
        <f t="shared" si="3"/>
        <v>41596.139144494533</v>
      </c>
      <c r="H22">
        <f t="shared" si="1"/>
        <v>151017.99543542339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645672.88485303381</v>
      </c>
      <c r="F23">
        <f t="shared" si="2"/>
        <v>645672.88485303381</v>
      </c>
      <c r="G23">
        <f t="shared" si="3"/>
        <v>645672.88485303381</v>
      </c>
      <c r="H23">
        <f t="shared" si="1"/>
        <v>2205884.0906945551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232026.20760066749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224048.68253094138</v>
      </c>
      <c r="G24">
        <f t="shared" si="3"/>
        <v>224048.68253094138</v>
      </c>
      <c r="H24">
        <f t="shared" si="1"/>
        <v>258760.31746905867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2187432.5212801751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2595737.3280471852</v>
      </c>
      <c r="F26">
        <f t="shared" si="2"/>
        <v>408304.80676701013</v>
      </c>
      <c r="G26">
        <f t="shared" si="3"/>
        <v>408304.80676701013</v>
      </c>
      <c r="H26">
        <f t="shared" si="1"/>
        <v>268382.25141989789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198261.55404726695</v>
      </c>
      <c r="F27">
        <f t="shared" si="2"/>
        <v>198261.55404726695</v>
      </c>
      <c r="G27">
        <f t="shared" si="3"/>
        <v>198261.55404726695</v>
      </c>
      <c r="H27">
        <f t="shared" si="1"/>
        <v>71933.571255369054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97651.319921337825</v>
      </c>
      <c r="F28">
        <f t="shared" si="2"/>
        <v>97651.319921337825</v>
      </c>
      <c r="G28">
        <f t="shared" si="3"/>
        <v>97651.319921337825</v>
      </c>
      <c r="H28">
        <f t="shared" si="1"/>
        <v>35429.762263631419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2270482.6440612082</v>
      </c>
      <c r="F29">
        <f t="shared" si="2"/>
        <v>2270482.6440612082</v>
      </c>
      <c r="G29">
        <f t="shared" si="3"/>
        <v>2270482.6440612082</v>
      </c>
      <c r="H29">
        <f t="shared" si="1"/>
        <v>620759.09234547918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427250.44238658639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97631.532652811788</v>
      </c>
      <c r="G30">
        <f t="shared" si="3"/>
        <v>97631.532652811788</v>
      </c>
      <c r="H30">
        <f t="shared" si="1"/>
        <v>85177.467347188154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754752.60140870209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1023134.8528286</v>
      </c>
      <c r="F32">
        <f t="shared" si="2"/>
        <v>268382.25141989789</v>
      </c>
      <c r="G32">
        <f t="shared" si="3"/>
        <v>268382.25141989789</v>
      </c>
      <c r="H32">
        <f t="shared" si="1"/>
        <v>408304.80676701013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71933.571255369054</v>
      </c>
      <c r="F33">
        <f t="shared" si="2"/>
        <v>71933.571255369054</v>
      </c>
      <c r="G33">
        <f t="shared" si="3"/>
        <v>71933.571255369054</v>
      </c>
      <c r="H33">
        <f t="shared" si="1"/>
        <v>198261.55404726695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35429.762263631419</v>
      </c>
      <c r="F34">
        <f t="shared" si="2"/>
        <v>35429.762263631419</v>
      </c>
      <c r="G34">
        <f t="shared" si="3"/>
        <v>35429.762263631419</v>
      </c>
      <c r="H34">
        <f t="shared" si="1"/>
        <v>97651.319921337825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620759.09234547918</v>
      </c>
      <c r="F35">
        <f t="shared" si="2"/>
        <v>620759.09234547918</v>
      </c>
      <c r="G35">
        <f t="shared" si="3"/>
        <v>620759.09234547918</v>
      </c>
      <c r="H35">
        <f t="shared" si="1"/>
        <v>2270482.6440612082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372749.55761341366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85177.467347188154</v>
      </c>
      <c r="G36">
        <f t="shared" si="3"/>
        <v>85177.467347188154</v>
      </c>
      <c r="H36">
        <f t="shared" si="1"/>
        <v>97631.532652811788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9" zoomScale="80" zoomScaleNormal="80" workbookViewId="0">
      <selection activeCell="J32" sqref="J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SUMIF($F$3:$F$472,"Roer",H3:H472)</f>
        <v>376449.39511597221</v>
      </c>
      <c r="N3" s="171">
        <f>SUMIF($F$3:$F$472,"Roer",I3:I472)</f>
        <v>1519161.3760726012</v>
      </c>
      <c r="O3" s="171">
        <f>SUMIF($F$3:$F$472,"Roer",J3:J472)</f>
        <v>557517.61958207632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input'!$A$3:$A$230,$A$1)),IF(VLOOKUP($A5,[1]!Table1[#All],2,FALSE)="Resultat",SUMIF($F$1:$F4,$D5,H$1:H4)+SUMIF($F6:$F$490,$D5,H6:H$490),0))*'[1]Processer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input'!$A$3:$A$230,$A$1)),IF(VLOOKUP($A5,[1]!Table1[#All],2,FALSE)="Resultat",SUMIF($F$1:$F4,$D5,I$1:I4)+SUMIF($F6:$F$490,$D5,I6:I$490),0))*'[1]Processer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input'!$A$3:$A$230,$A$1)),IF(VLOOKUP($A5,[1]!Table1[#All],2,FALSE)="Resultat",SUMIF($F$1:$F4,$D5,J$1:J4)+SUMIF($F6:$F$490,$D5,J6:J$490),0))*'[1]Processer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input'!$A$3:$A$230,$A$1)),IF(VLOOKUP($A6,[1]!Table1[#All],2,FALSE)="Resultat",SUMIF($F$1:$F5,$D6,H$1:H5)+SUMIF($F7:$F$490,$D6,H7:H$490),0))*'[1]Processer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input'!$A$3:$A$230,$A$1)),IF(VLOOKUP($A6,[1]!Table1[#All],2,FALSE)="Resultat",SUMIF($F$1:$F5,$D6,I$1:I5)+SUMIF($F7:$F$490,$D6,I7:I$490),0))*'[1]Processer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input'!$A$3:$A$230,$A$1)),IF(VLOOKUP($A6,[1]!Table1[#All],2,FALSE)="Resultat",SUMIF($F$1:$F5,$D6,J$1:J5)+SUMIF($F7:$F$490,$D6,J7:J$490),0))*'[1]Processer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input'!$A$3:$A$230,$A$1)),IF(VLOOKUP($A7,[1]!Table1[#All],2,FALSE)="Resultat",SUMIF($F$1:$F6,$D7,H$1:H6)+SUMIF($F8:$F$490,$D7,H8:H$490),0))*'[1]Processer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input'!$A$3:$A$230,$A$1)),IF(VLOOKUP($A7,[1]!Table1[#All],2,FALSE)="Resultat",SUMIF($F$1:$F6,$D7,I$1:I6)+SUMIF($F8:$F$490,$D7,I8:I$490),0))*'[1]Processer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21640.199818552966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input'!$A$3:$A$230,$A$1)),IF(VLOOKUP($A7,[1]!Table1[#All],2,FALSE)="Resultat",SUMIF($F$1:$F6,$D7,J$1:J6)+SUMIF($F8:$F$490,$D7,J8:J$490),0))*'[1]Processer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162301.49863914726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-3505.7123706055804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-26292.842779541854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1350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10125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-55.980000000000004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-419.85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-13248.894768460643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-157005.4805824667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-2914.7568490613412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-345412.05728142674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-74193.810703379597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1011.7765743750138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528.54000153918628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-7684.3589657071725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-66244.47384230321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-785027.40291233349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1211.199179595299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143532.65883441243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302.79979489882476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35883.164708603108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-8479.2926518148106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-1004835.0757277869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12808.911958815368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4433.8541395899356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-2649.7789536921287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588.77737896993699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294.38868948496855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-6624.4473842303205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-13248.894768460643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-157005.4805824667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-2252.3121106383092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-266909.31699019339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-72868.921226533537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741.80710999435269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404.62205999691975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-7021.91422728414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-50345.800120150445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-596620.82621337345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307.57855780253669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36449.470033989986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1076.5249523088778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127573.14511896488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-4239.6463259074053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-502417.53786389343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3310.741420791192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4378.7225242722216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-23848.010583229159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273.65445216255085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149.26606481593683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-6889.4252795995335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14231744.940235101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13974313.152148861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6689339.852397711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15352538.506892066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15074833.175881069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7216145.8837897805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1968084.6638925183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1932484.8441755001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925057.83587008948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160864.90802355704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157955.09330394692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75611.251087844197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-8783081404.0200005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-8624208099.2889977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-4128307295.3802996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-674539.66619999998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-662338.21422526462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-317053.53701063234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1150151.6436268529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1129347.0553326856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540605.19341254723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224727.20289902308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312502.4938554684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257796.39706926318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243586.51339107481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338727.98629756022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279430.90429999697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7449.8701829066958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10359.684902516792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8546.1380153876689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-406756309.19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-565629613.92100143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-466611561.22470069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-27458.796750000001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-38183.817321399743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-31499.430325699868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58591.57596922417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81476.623092807975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67213.479225579227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411928.1258385395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400887.81238927291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190759.94461987106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11953488.544958346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11633116.489566609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5535545.3289545197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234254.90515230247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227976.50992341404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108481.18866081457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4474552.90572685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4354627.9393896051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2072122.3217219769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50974.141893857719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49607.955734148476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23605.633786048213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-3101358722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-3018237492.1985717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-1436209331.0592856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-12971.687549999999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-12624.026180127716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-6007.063474063857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3354535.1850575823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3264628.4328924101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1553452.9108066163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21677.657032824009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24989.242538077233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15399.363687067749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1171427.2358122203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1350380.2217691736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832157.92232039175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9671.5700607984036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11149.046670834457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6870.4853373071492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447449.07465188007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515803.5959782608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317858.66072024452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8943.0621574433171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10309.248317152564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6352.9682396023018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-544112030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-627233259.8014282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-386526044.94071406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-2743.422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-3162.5206376542596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-1948.8708148271296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492157.47803573997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567341.87495175749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349618.59504034655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97185929.8774468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94936837.525924489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6185.7778797696892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6042.625617552826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137099.40658193204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133926.6301612042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202533.97911315371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197846.90533692716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8553.8229892246891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8355.8690478918143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-336558388.31999999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-328769700.20469648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-7976.870891999999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-7792.2688684879358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12995.753733500585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12695.003919601169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1144367.3520506443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1301867.175600535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2021.8344763254286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2300.1005179926569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7613.0179455684893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8660.8012303332616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14016.013855362682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15945.044515960162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1438.3001997417073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1636.2541410745828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-56591304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-64379992.115303531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-2526.3975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-2874.1067908617647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2403.7175816775175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2734.5423769668755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5979978.6547463266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5884388.6731846966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3432833.9542255346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1951850.0829625647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1781235.1907168226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1743636.2761901156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-136490240.33657807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-125287726.98244931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-73090339.051366583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1939606.81668759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1780412.4947190697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1038656.8263668426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197993.19645791754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162215.93605101015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3.9301585400745376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64624.484340873139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49103.611239321639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1.996241907715099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-3059809.2652792772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-2338529.3227416016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-56.657756400071008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376396.41994728032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287669.58614374197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6.9696424915182984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116765.5313169249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3.1219568255939545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2.9775888799017491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38111.977508016003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0.94503263983697594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1.5124040532709913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-1189785.3201235472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-29.674680641973879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-28.302441074714974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487237.24792620342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12.152284521028513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11.590329167454941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512288.11454099719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615309.77513243456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487878.52258538653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167209.55986589513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186257.48323738339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247807.70107065581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-11692738.705643302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-13100895.844580973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-10387687.580330584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248001.06469683221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277867.84599661786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220321.14498690597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16961.525644387857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16962.34845758829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0.55855889554392679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5536.1995665140876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5134.5914873949623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0.28370831961163073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-262125.33687237542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-244531.76559766231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-8.0522690156464574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48126.616225455735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44896.409398156262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1.4784090133523664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10002.977825723143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0.32645201719650091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0.42317854081027884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3264.9469548714701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9.881873095173932E-2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0.21494469726790755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-101925.59431142393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-3.1029767214642057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-4.0223772315276731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62298.892335309647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1.8965993183108087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2.4585546718843809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150765.11162055825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706340.22652007849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1009558.4565162469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-1462628.9238441708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-6392230.9684923114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-9136292.3814208228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16627.855729329058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72669.897743635491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103865.68263668426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2306.9008244740317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1890.045129396352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4.5791906684726116E-2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-18183.839849707405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-13897.416146524663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-0.3367058137620848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1491.2328682247362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1139.7088795537434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2.761280238686533E-2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686.36538368376091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1.835133254031052E-2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1.7502716006654543E-2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-4518.3955317975597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-0.11269423328091767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-0.10748293925636654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973.87343605045032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2.4289577885780251E-2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2.3166360411293298E-2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10987.921619592245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62835.699919907558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122064.79519696438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-106597.95095164997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-568649.9110121195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-1104660.8061172448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2126.0628128443682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11341.54473455583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22032.1144986906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168.1293846502677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168.13754070179107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5.5366578082441586E-3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-1325.2575802461581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-1236.3077138440149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-4.0710793845779338E-2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190.67129268097077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177.8736401615669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5.857261112365373E-3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50.023038866573799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1.6325260566206876E-3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2.1162374808045945E-3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-329.30547005237952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-1.002522687973019E-2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-1.2995664473724317E-2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124.52093225416603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3.7908589763934494E-3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4.9140764508803962E-3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18236.102309973223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78618.131930235992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112117.37683994151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-15603369.829116948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-67268090.896315068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-95931074.818950579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3378.7899137386457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14566.388512614436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20773.137569778497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1329.066523912735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6993.8326613082754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13556.01010882929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-1137190.1817400893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-5984138.2595045604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-11598939.046291297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432.01719481741156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2273.3669932982066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4406.4231208621059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1850258.7939976691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1593195.0844233269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1559866.7521776354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-6534799.6524023823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-5248968.5747404424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-5139164.4645492127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99054.247748754948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79563.668556636869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77899.26197751319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75029.927467991118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61472.06133240278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1.4893416313028394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-176661.96949607978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-135017.95702359162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-3.271207439772259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23542.701854494557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17993.049190363032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0.43593457991235474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74843.560387776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2.0010902324434707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1.9085542679374146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-113286.31602235936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-2.8254973331828976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-2.6948384969663475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51547.406552955894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1.2856544802739025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1.2262022499722192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134848.82799393893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141729.89797268788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188602.07094511407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-476263.14608548256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-466945.8171402046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-621371.70344095014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12665.226113397273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12417.451162018471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16524.08587401795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5468.2608813162569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5468.5261497438078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0.18007494269388874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-12875.312153591285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-12011.135020769218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-0.39551871771791858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3010.2055094474103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2808.1637464728433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9.2470971496560098E-2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5454.6782503755512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0.17801606171852613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0.23076156148697827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-8256.4271511228308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-0.25135493617158844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-0.32583047281502198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6590.9294592629785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0.20065127726818136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0.26010350756986467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9377249.6664450914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9350540.1193562299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5163574.8105338942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-29292093.879463714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-27246884.503198478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-15046331.51565242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429685.60558446439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399684.43758999527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220714.57560295408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1187184.2593990122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972660.7244525596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23.565569116466033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-2591931.239451021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-1980942.8237132172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-47.994170890631111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318841.32463721925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243681.78612527228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5.9039085561833859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1421322.1657873134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38.001851974654684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36.244540900682203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-2148310.4077800992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-53.581452210288894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-51.103697194784196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837875.72596093966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20.897630996969323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19.931266557803106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935211.68689167371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1138279.6237782787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854336.92319742613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-2921358.5543774571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-3316875.0730483239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-2489483.941680673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54940.252195975947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62378.496040057071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46818.243309717524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118400.23816969505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118405.98183220177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3.8990305265425622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-258498.4374926165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-241148.29981156276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-7.9408537291771486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40767.534584363588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38031.261418395094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1.2523442391904154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141751.2754340893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4.6261214022325303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5.9968240399310559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-214255.25307450022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-6.5226900783160939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-8.45533899040975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107132.05910299365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3.2614799821859632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4.2278444213521738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input'!$A$3:$A$230,$A$1)),IF(VLOOKUP($A204,[1]!Table1[#All],2,FALSE)="Resultat",SUMIF($F$1:$F203,$D204,H$1:H203)+SUMIF($F205:$F$490,$D204,H205:H$490),0))*'[1]Processer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227506.41036576603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input'!$A$3:$A$230,$A$1)),IF(VLOOKUP($A204,[1]!Table1[#All],2,FALSE)="Resultat",SUMIF($F$1:$F203,$D204,I$1:I203)+SUMIF($F205:$F$490,$D204,I205:I$490),0))*'[1]Processer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376920.20026029786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input'!$A$3:$A$230,$A$1)),IF(VLOOKUP($A204,[1]!Table1[#All],2,FALSE)="Resultat",SUMIF($F$1:$F203,$D204,J$1:J203)+SUMIF($F205:$F$490,$D204,J205:J$490),0))*'[1]Processer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486742.55475070904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input'!$A$3:$A$230,$A$1)),IF(VLOOKUP($A205,[1]!Table1[#All],2,FALSE)="Resultat",SUMIF($F$1:$F204,$D205,H$1:H204)+SUMIF($F206:$F$490,$D205,H206:H$490),0))*'[1]Processer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67541.817252888533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input'!$A$3:$A$230,$A$1)),IF(VLOOKUP($A205,[1]!Table1[#All],2,FALSE)="Resultat",SUMIF($F$1:$F204,$D205,I$1:I204)+SUMIF($F206:$F$490,$D205,I206:I$490),0))*'[1]Processer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103777.11868633387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input'!$A$3:$A$230,$A$1)),IF(VLOOKUP($A205,[1]!Table1[#All],2,FALSE)="Resultat",SUMIF($F$1:$F204,$D205,J$1:J204)+SUMIF($F206:$F$490,$D205,J206:J$490),0))*'[1]Processer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224871.64432646908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input'!$A$3:$A$230,$A$1)),IF(VLOOKUP($A206,[1]!Table1[#All],2,FALSE)="Resultat",SUMIF($F$1:$F205,$D206,H$1:H205)+SUMIF($F207:$F$490,$D206,H207:H$490),0))*'[1]Processer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input'!$A$3:$A$230,$A$1)),IF(VLOOKUP($A206,[1]!Table1[#All],2,FALSE)="Resultat",SUMIF($F$1:$F205,$D206,I$1:I205)+SUMIF($F207:$F$490,$D206,I207:I$490),0))*'[1]Processer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input'!$A$3:$A$230,$A$1)),IF(VLOOKUP($A206,[1]!Table1[#All],2,FALSE)="Resultat",SUMIF($F$1:$F205,$D206,J$1:J205)+SUMIF($F207:$F$490,$D206,J207:J$490),0))*'[1]Processer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input'!$A$3:$A$230,$A$1)),IF(VLOOKUP($A207,[1]!Table1[#All],2,FALSE)="Resultat",SUMIF($F$1:$F206,$D207,H$1:H206)+SUMIF($F208:$F$490,$D207,H208:H$490),0))*'[1]Processer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134010.3740454606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input'!$A$3:$A$230,$A$1)),IF(VLOOKUP($A207,[1]!Table1[#All],2,FALSE)="Resultat",SUMIF($F$1:$F206,$D207,I$1:I206)+SUMIF($F208:$F$490,$D207,I208:I$490),0))*'[1]Processer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207109.20856936119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input'!$A$3:$A$230,$A$1)),IF(VLOOKUP($A207,[1]!Table1[#All],2,FALSE)="Resultat",SUMIF($F$1:$F206,$D207,J$1:J206)+SUMIF($F208:$F$490,$D207,J208:J$490),0))*'[1]Processer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267454.13278946193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input'!$A$3:$A$230,$A$1)),IF(VLOOKUP($A208,[1]!Table1[#All],2,FALSE)="Resultat",SUMIF($F$1:$F207,$D208,H$1:H207)+SUMIF($F209:$F$490,$D208,H209:H$490),0))*'[1]Processer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9345.9404573331649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input'!$A$3:$A$230,$A$1)),IF(VLOOKUP($A208,[1]!Table1[#All],2,FALSE)="Resultat",SUMIF($F$1:$F207,$D208,I$1:I207)+SUMIF($F209:$F$490,$D208,I209:I$490),0))*'[1]Processer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7657.134218172675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input'!$A$3:$A$230,$A$1)),IF(VLOOKUP($A208,[1]!Table1[#All],2,FALSE)="Resultat",SUMIF($F$1:$F207,$D208,J$1:J207)+SUMIF($F209:$F$490,$D208,J209:J$490),0))*'[1]Processer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0.18551661552281196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input'!$A$3:$A$230,$A$1)),IF(VLOOKUP($A209,[1]!Table1[#All],2,FALSE)="Resultat",SUMIF($F$1:$F208,$D209,H$1:H208)+SUMIF($F210:$F$490,$D209,H210:H$490),0))*'[1]Processer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2774.6110600167954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input'!$A$3:$A$230,$A$1)),IF(VLOOKUP($A209,[1]!Table1[#All],2,FALSE)="Resultat",SUMIF($F$1:$F208,$D209,I$1:I208)+SUMIF($F210:$F$490,$D209,I210:I$490),0))*'[1]Processer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2108.2322624463363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input'!$A$3:$A$230,$A$1)),IF(VLOOKUP($A209,[1]!Table1[#All],2,FALSE)="Resultat",SUMIF($F$1:$F208,$D209,J$1:J208)+SUMIF($F210:$F$490,$D209,J210:J$490),0))*'[1]Processer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8.5707374412459486E-2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input'!$A$3:$A$230,$A$1)),IF(VLOOKUP($A210,[1]!Table1[#All],2,FALSE)="Resultat",SUMIF($F$1:$F209,$D210,H$1:H209)+SUMIF($F211:$F$490,$D210,H211:H$490),0))*'[1]Processer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input'!$A$3:$A$230,$A$1)),IF(VLOOKUP($A210,[1]!Table1[#All],2,FALSE)="Resultat",SUMIF($F$1:$F209,$D210,I$1:I209)+SUMIF($F211:$F$490,$D210,I211:I$490),0))*'[1]Processer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input'!$A$3:$A$230,$A$1)),IF(VLOOKUP($A210,[1]!Table1[#All],2,FALSE)="Resultat",SUMIF($F$1:$F209,$D210,J$1:J209)+SUMIF($F211:$F$490,$D210,J211:J$490),0))*'[1]Processer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input'!$A$3:$A$230,$A$1)),IF(VLOOKUP($A211,[1]!Table1[#All],2,FALSE)="Resultat",SUMIF($F$1:$F210,$D211,H$1:H210)+SUMIF($F212:$F$490,$D211,H212:H$490),0))*'[1]Processer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32266.283111051216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input'!$A$3:$A$230,$A$1)),IF(VLOOKUP($A211,[1]!Table1[#All],2,FALSE)="Resultat",SUMIF($F$1:$F210,$D211,I$1:I210)+SUMIF($F212:$F$490,$D211,I212:I$490),0))*'[1]Processer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24660.245998761078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input'!$A$3:$A$230,$A$1)),IF(VLOOKUP($A211,[1]!Table1[#All],2,FALSE)="Resultat",SUMIF($F$1:$F210,$D211,J$1:J210)+SUMIF($F212:$F$490,$D211,J212:J$490),0))*'[1]Processer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0.5974670477621441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input'!$A$3:$A$230,$A$1)),IF(VLOOKUP($A212,[1]!Table1[#All],2,FALSE)="Resultat",SUMIF($F$1:$F211,$D212,H$1:H211)+SUMIF($F213:$F$490,$D212,H213:H$490),0))*'[1]Processer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3702.1136020833915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input'!$A$3:$A$230,$A$1)),IF(VLOOKUP($A212,[1]!Table1[#All],2,FALSE)="Resultat",SUMIF($F$1:$F211,$D212,I$1:I211)+SUMIF($F213:$F$490,$D212,I213:I$490),0))*'[1]Processer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9.8983310389589116E-2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input'!$A$3:$A$230,$A$1)),IF(VLOOKUP($A212,[1]!Table1[#All],2,FALSE)="Resultat",SUMIF($F$1:$F211,$D212,J$1:J211)+SUMIF($F213:$F$490,$D212,J213:J$490),0))*'[1]Processer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9.440604748140001E-2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input'!$A$3:$A$230,$A$1)),IF(VLOOKUP($A213,[1]!Table1[#All],2,FALSE)="Resultat",SUMIF($F$1:$F212,$D213,H$1:H212)+SUMIF($F214:$F$490,$D213,H214:H$490),0))*'[1]Processer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1099.0788345670949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input'!$A$3:$A$230,$A$1)),IF(VLOOKUP($A213,[1]!Table1[#All],2,FALSE)="Resultat",SUMIF($F$1:$F212,$D213,I$1:I212)+SUMIF($F214:$F$490,$D213,I214:I$490),0))*'[1]Processer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2.7252990800632919E-2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input'!$A$3:$A$230,$A$1)),IF(VLOOKUP($A213,[1]!Table1[#All],2,FALSE)="Resultat",SUMIF($F$1:$F212,$D213,J$1:J212)+SUMIF($F214:$F$490,$D213,J214:J$490),0))*'[1]Processer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4.3614931392998796E-2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input'!$A$3:$A$230,$A$1)),IF(VLOOKUP($A214,[1]!Table1[#All],2,FALSE)="Resultat",SUMIF($F$1:$F213,$D214,H$1:H213)+SUMIF($F215:$F$490,$D214,H215:H$490),0))*'[1]Processer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input'!$A$3:$A$230,$A$1)),IF(VLOOKUP($A214,[1]!Table1[#All],2,FALSE)="Resultat",SUMIF($F$1:$F213,$D214,I$1:I213)+SUMIF($F215:$F$490,$D214,I215:I$490),0))*'[1]Processer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input'!$A$3:$A$230,$A$1)),IF(VLOOKUP($A214,[1]!Table1[#All],2,FALSE)="Resultat",SUMIF($F$1:$F213,$D214,J$1:J213)+SUMIF($F215:$F$490,$D214,J215:J$490),0))*'[1]Processer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input'!$A$3:$A$230,$A$1)),IF(VLOOKUP($A215,[1]!Table1[#All],2,FALSE)="Resultat",SUMIF($F$1:$F214,$D215,H$1:H214)+SUMIF($F216:$F$490,$D215,H216:H$490),0))*'[1]Processer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28054.741810923333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input'!$A$3:$A$230,$A$1)),IF(VLOOKUP($A215,[1]!Table1[#All],2,FALSE)="Resultat",SUMIF($F$1:$F214,$D215,I$1:I214)+SUMIF($F216:$F$490,$D215,I216:I$490),0))*'[1]Processer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0.69971909188267134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input'!$A$3:$A$230,$A$1)),IF(VLOOKUP($A215,[1]!Table1[#All],2,FALSE)="Resultat",SUMIF($F$1:$F214,$D215,J$1:J214)+SUMIF($F216:$F$490,$D215,J216:J$490),0))*'[1]Processer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0.66736213965688296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input'!$A$3:$A$230,$A$1)),IF(VLOOKUP($A216,[1]!Table1[#All],2,FALSE)="Resultat",SUMIF($F$1:$F215,$D216,H$1:H215)+SUMIF($F217:$F$490,$D216,H217:H$490),0))*'[1]Processer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16580.909059022317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input'!$A$3:$A$230,$A$1)),IF(VLOOKUP($A216,[1]!Table1[#All],2,FALSE)="Resultat",SUMIF($F$1:$F215,$D216,I$1:I215)+SUMIF($F217:$F$490,$D216,I217:I$490),0))*'[1]Processer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33530.646716797601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input'!$A$3:$A$230,$A$1)),IF(VLOOKUP($A216,[1]!Table1[#All],2,FALSE)="Resultat",SUMIF($F$1:$F215,$D216,J$1:J215)+SUMIF($F217:$F$490,$D216,J217:J$490),0))*'[1]Processer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58851.599801676639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input'!$A$3:$A$230,$A$1)),IF(VLOOKUP($A217,[1]!Table1[#All],2,FALSE)="Resultat",SUMIF($F$1:$F216,$D217,H$1:H216)+SUMIF($F218:$F$490,$D217,H218:H$490),0))*'[1]Processer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4922.5194479169131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input'!$A$3:$A$230,$A$1)),IF(VLOOKUP($A217,[1]!Table1[#All],2,FALSE)="Resultat",SUMIF($F$1:$F216,$D217,I$1:I216)+SUMIF($F218:$F$490,$D217,I218:I$490),0))*'[1]Processer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9231.9644889172141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input'!$A$3:$A$230,$A$1)),IF(VLOOKUP($A217,[1]!Table1[#All],2,FALSE)="Resultat",SUMIF($F$1:$F216,$D217,J$1:J216)+SUMIF($F218:$F$490,$D217,J218:J$490),0))*'[1]Processer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27189.026086745802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input'!$A$3:$A$230,$A$1)),IF(VLOOKUP($A218,[1]!Table1[#All],2,FALSE)="Resultat",SUMIF($F$1:$F217,$D218,H$1:H217)+SUMIF($F219:$F$490,$D218,H219:H$490),0))*'[1]Processer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input'!$A$3:$A$230,$A$1)),IF(VLOOKUP($A218,[1]!Table1[#All],2,FALSE)="Resultat",SUMIF($F$1:$F217,$D218,I$1:I217)+SUMIF($F219:$F$490,$D218,I219:I$490),0))*'[1]Processer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input'!$A$3:$A$230,$A$1)),IF(VLOOKUP($A218,[1]!Table1[#All],2,FALSE)="Resultat",SUMIF($F$1:$F217,$D218,J$1:J217)+SUMIF($F219:$F$490,$D218,J219:J$490),0))*'[1]Processer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input'!$A$3:$A$230,$A$1)),IF(VLOOKUP($A219,[1]!Table1[#All],2,FALSE)="Resultat",SUMIF($F$1:$F218,$D219,H$1:H218)+SUMIF($F220:$F$490,$D219,H220:H$490),0))*'[1]Processer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17134.769355189386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input'!$A$3:$A$230,$A$1)),IF(VLOOKUP($A219,[1]!Table1[#All],2,FALSE)="Resultat",SUMIF($F$1:$F218,$D219,I$1:I218)+SUMIF($F220:$F$490,$D219,I220:I$490),0))*'[1]Processer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32323.402493484115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input'!$A$3:$A$230,$A$1)),IF(VLOOKUP($A219,[1]!Table1[#All],2,FALSE)="Resultat",SUMIF($F$1:$F218,$D219,J$1:J218)+SUMIF($F220:$F$490,$D219,J220:J$490),0))*'[1]Processer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56732.694834128291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input'!$A$3:$A$230,$A$1)),IF(VLOOKUP($A220,[1]!Table1[#All],2,FALSE)="Resultat",SUMIF($F$1:$F219,$D220,H$1:H219)+SUMIF($F221:$F$490,$D220,H221:H$490),0))*'[1]Processer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681.14207659001795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input'!$A$3:$A$230,$A$1)),IF(VLOOKUP($A220,[1]!Table1[#All],2,FALSE)="Resultat",SUMIF($F$1:$F219,$D220,I$1:I219)+SUMIF($F221:$F$490,$D220,I221:I$490),0))*'[1]Processer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681.17511917732634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input'!$A$3:$A$230,$A$1)),IF(VLOOKUP($A220,[1]!Table1[#All],2,FALSE)="Resultat",SUMIF($F$1:$F219,$D220,J$1:J219)+SUMIF($F221:$F$490,$D220,J221:J$490),0))*'[1]Processer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2.2430645331394539E-2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input'!$A$3:$A$230,$A$1)),IF(VLOOKUP($A221,[1]!Table1[#All],2,FALSE)="Resultat",SUMIF($F$1:$F220,$D221,H$1:H220)+SUMIF($F222:$F$490,$D221,H222:H$490),0))*'[1]Processer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202.21660385890681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input'!$A$3:$A$230,$A$1)),IF(VLOOKUP($A221,[1]!Table1[#All],2,FALSE)="Resultat",SUMIF($F$1:$F220,$D221,I$1:I220)+SUMIF($F222:$F$490,$D221,I222:I$490),0))*'[1]Processer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187.54736716213358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input'!$A$3:$A$230,$A$1)),IF(VLOOKUP($A221,[1]!Table1[#All],2,FALSE)="Resultat",SUMIF($F$1:$F220,$D221,J$1:J220)+SUMIF($F222:$F$490,$D221,J222:J$490),0))*'[1]Processer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1.0362800724415555E-2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input'!$A$3:$A$230,$A$1)),IF(VLOOKUP($A222,[1]!Table1[#All],2,FALSE)="Resultat",SUMIF($F$1:$F221,$D222,H$1:H221)+SUMIF($F223:$F$490,$D222,H223:H$490),0))*'[1]Processer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input'!$A$3:$A$230,$A$1)),IF(VLOOKUP($A222,[1]!Table1[#All],2,FALSE)="Resultat",SUMIF($F$1:$F221,$D222,I$1:I221)+SUMIF($F223:$F$490,$D222,I223:I$490),0))*'[1]Processer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input'!$A$3:$A$230,$A$1)),IF(VLOOKUP($A222,[1]!Table1[#All],2,FALSE)="Resultat",SUMIF($F$1:$F221,$D222,J$1:J221)+SUMIF($F223:$F$490,$D222,J223:J$490),0))*'[1]Processer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input'!$A$3:$A$230,$A$1)),IF(VLOOKUP($A223,[1]!Table1[#All],2,FALSE)="Resultat",SUMIF($F$1:$F222,$D223,H$1:H222)+SUMIF($F224:$F$490,$D223,H224:H$490),0))*'[1]Processer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4125.6158188884119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input'!$A$3:$A$230,$A$1)),IF(VLOOKUP($A223,[1]!Table1[#All],2,FALSE)="Resultat",SUMIF($F$1:$F222,$D223,I$1:I222)+SUMIF($F224:$F$490,$D223,I224:I$490),0))*'[1]Processer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3848.7089131014404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input'!$A$3:$A$230,$A$1)),IF(VLOOKUP($A223,[1]!Table1[#All],2,FALSE)="Resultat",SUMIF($F$1:$F222,$D223,J$1:J222)+SUMIF($F224:$F$490,$D223,J224:J$490),0))*'[1]Processer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0.12673543437378815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input'!$A$3:$A$230,$A$1)),IF(VLOOKUP($A224,[1]!Table1[#All],2,FALSE)="Resultat",SUMIF($F$1:$F223,$D224,H$1:H223)+SUMIF($F225:$F$490,$D224,H225:H$490),0))*'[1]Processer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269.81397519140432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input'!$A$3:$A$230,$A$1)),IF(VLOOKUP($A224,[1]!Table1[#All],2,FALSE)="Resultat",SUMIF($F$1:$F223,$D224,I$1:I223)+SUMIF($F225:$F$490,$D224,I225:I$490),0))*'[1]Processer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8.8055095196287649E-3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input'!$A$3:$A$230,$A$1)),IF(VLOOKUP($A224,[1]!Table1[#All],2,FALSE)="Resultat",SUMIF($F$1:$F223,$D224,J$1:J223)+SUMIF($F225:$F$490,$D224,J225:J$490),0))*'[1]Processer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1.1414549377296546E-2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input'!$A$3:$A$230,$A$1)),IF(VLOOKUP($A225,[1]!Table1[#All],2,FALSE)="Resultat",SUMIF($F$1:$F224,$D225,H$1:H224)+SUMIF($F226:$F$490,$D225,H226:H$490),0))*'[1]Processer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80.102033939855289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input'!$A$3:$A$230,$A$1)),IF(VLOOKUP($A225,[1]!Table1[#All],2,FALSE)="Resultat",SUMIF($F$1:$F224,$D225,I$1:I224)+SUMIF($F226:$F$490,$D225,I226:I$490),0))*'[1]Processer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2.4244134590852054E-3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input'!$A$3:$A$230,$A$1)),IF(VLOOKUP($A225,[1]!Table1[#All],2,FALSE)="Resultat",SUMIF($F$1:$F224,$D225,J$1:J224)+SUMIF($F226:$F$490,$D225,J226:J$490),0))*'[1]Processer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5.2734417047898543E-3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3587.1217707853484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0.1092047137620354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0.14156166598782366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345562.72197585326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1391972.2156988857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497379.75724454958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-574139.38653041748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-2157377.951866155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-770874.66968238191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9669.7591800427253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36334.948871817745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12983.210329585532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3765.9342889773907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3085.4320588884757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7.4753673721964703E-2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-4055.43529925238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-3099.4593262392268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-7.509352556337151E-2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617.65030316910463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472.05339285400112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1.1436882950346606E-2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1548.442836537469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4.1400673880798877E-2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3.9486191851628986E-2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-1020.9044365488588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-2.546258775273496E-2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-2.4285127047406173E-2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557.43688618611748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1.390314815273707E-2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1.3260228006945761E-2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25184.97855976026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123829.20462199915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60137.734285022809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-41843.88888189412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-191919.34496659032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-93205.755516142526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1236.3900515198202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5670.7723672779148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2754.014312336325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274.46529470267637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274.47860916932729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9.0383987318375502E-3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-295.56443611213086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-275.72646838625258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-9.0794899090258282E-3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78.973703061042258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73.673072873167797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2.4260054743159469E-3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112.85216014109164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3.6829848036155767E-3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4.7742395602424137E-3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-74.404600701819234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-2.2651400318762483E-3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-2.9362926339136551E-3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71.274724385396382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2.1698554920456699E-3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2.8127756378369794E-3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22720.469700023845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29527.856503336665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103939.94390647215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-374660.27773890906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-454210.82644058118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-1598851.1667486441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5260.4828405136559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6377.4261656083327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22448.948092324048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865.32022470025004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708.95734169055743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1.7176578447369726E-2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-11890.933594231939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-9087.9183877320957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-0.22018157360207954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905.55356946975951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692.09005919036315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1.6767918879266978E-2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576.59340131419003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1.5416362042146159E-2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1.4703466687596051E-2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-6791.4417115923443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-0.1693867460636983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-0.16155383295092615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1382.6256855599813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3.4484351901502862E-2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3.2889699790450713E-2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1655.8919868178593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2626.7844600367125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12567.284126873448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-27305.639358598386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-40406.385080465581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-193315.64107051786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672.61330185195686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995.32084665563582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4761.8980801899488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63.065457934219985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63.068517275246698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2.076804485000157E-3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-866.62388209568098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-808.4570172670343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-2.6621953899160521E-2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115.78545065749256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108.0140554805769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3.5568312774202676E-3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42.022740088301042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1.3714324383157768E-3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1.7777827904093401E-3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-494.96749220613719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-1.5068566600695473E-2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-1.9533327074975612E-2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176.78461384335924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5.381950874801025E-3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6.9766029858531805E-3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1410243.012533868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1427631.8001873314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1020243.2925074692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-6724808.9652137514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-6350492.7262911629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-4538318.3586032903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107614.03120203332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101624.02024064941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72624.625617446291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53709.796346617048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44004.466038950108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1.0661377187381633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-187769.53484407938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-143507.16828434472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-3.4768835709043713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24022.02410201143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18359.382197972347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0.44481007533787331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35788.732627988727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0.956882367999908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0.91263347236985437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-92586.925666000592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-2.3092295763705035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-2.2024443936481677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35134.438446015294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0.87629526334408736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0.83577293902759764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102780.01004170519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127001.46476810999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123356.68900317581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-490111.22681001009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-564936.89628682646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-548723.94699476147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13759.692987674753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15860.396222529098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15405.223615821944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3914.4270588688114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3914.6169499389716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0.12890574235652336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-13684.84332507006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-12766.331328878992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-0.42038683175480124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3071.492377844826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2865.3371060419277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9.4353652344397368E-2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2608.3208824239759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8.5123812968315504E-2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0.11034568347744603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-6747.8335755651324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-0.20542799526209277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-0.26629554941382388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4492.342503218043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0.13676284456815238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0.17728516888464194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6482362.7921532476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4193798.2740079188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2724597.7051101746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-23302135.402033687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-14062908.130683087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-9136292.3814208228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331137.08758742217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199842.21879499764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129832.10329585533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266294.8115655054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218175.48732189485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5.2859433888383958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-648137.60023057926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-495354.00801273214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-12.001408938880065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79729.372392022284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60934.999229604276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1.4763297209982922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105484.6913011686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2.820341313820756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2.6899209062452294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-169279.28122278876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-4.2220294070089235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-4.0267910529275861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69322.733873832651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1.7289925788636529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1.6490391648121545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687941.11987552466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543254.44693940727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479694.32323303365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-2472940.4443964041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-1821674.9780844389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-1608541.1738198476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42339.689454451029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31189.248020028535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27540.143123363247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28260.552017725568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28261.922953084759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0.93064639664094173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-68783.639674685895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-64166.955604423863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-2.1129753313603992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10194.318286939981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9510.0865849671427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0.31316084990872861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11194.568861725998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0.36534016672094299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0.47358910500862972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-17964.77334423404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-0.5469114393703467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-0.70895927325785679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8863.7097274002645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0.26984277242380711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0.34979618647530547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436106.27464553615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633168.37567587534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554836.07277282898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232926.54181955408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313630.9771304942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461155.72839607327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-17345135.923402004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-23491448.809209246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-20585208.771888793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225357.35915605063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305213.57052326913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267454.13278946193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11407.483483912159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9346.1575671998344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0.22643817786226661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6092.7939661749042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4629.4866307678276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0.18820561238365627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-313273.69416046649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-239426.596994427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-5.8008140741655101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34550.187381981341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26405.772155737857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0.63975755694250325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5464.7424062050713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0.14611066864294522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0.13935410593113273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2918.7462428661593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7.2373847993846926E-2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0.11582510110507392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-102020.35336259467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-2.544510638862107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-2.4268454070072116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36329.620262329074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0.90610453910866218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0.86420375117300141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30668.664765661808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54350.002189518797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64730.87515683005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16380.287194663799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26921.502950218721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53801.501646208555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-1219776.4395433674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-2016462.5133916615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-2401607.690053693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28814.533196688037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47634.487885134491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56732.694834128291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802.21796183116862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802.25687787813627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2.641778741726444E-2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428.46862450383622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397.38656917284544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2.1957321444759897E-2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-22030.606906348377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-20551.936215995614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-0.6767616419859761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4417.6392774487476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4121.1320705486833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0.13570614844234916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384.3016315755155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1.2541869533801946E-2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1.6257979025298817E-2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205.25742293264071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6.2124372410903286E-3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1.3512928462258624E-2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-7174.4622777896566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-0.2184160866306491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-0.28313196415084135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4645.1602600963715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0.14141515928285478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0.18331594721851543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711399.98164280283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988816.65650579787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706648.28367323068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118184.45884859512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152347.51928157723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182686.35252346256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-7468054.9445148157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-9683105.0390832983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-6919937.595585702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113200.49642276853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146776.14258089184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104892.15422956061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63575.679900016126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52087.589925103726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1.2619751878858152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10561.790158560272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8025.1632678672413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0.32625232294002166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-500548.23188054201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-382555.45238773926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-9.2685319017051615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59293.43955865829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45316.369431110084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1.0979224400545016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54606.120392299716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1.4600023513380349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1.3924877917385883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9071.6825343208366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0.22494335517932812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0.35999311324133687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-327564.57521950954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-8.1698555149877059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-7.7920587281674631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111786.03641670461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2.7880785506357664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2.6591500627450948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51847.586981155284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87964.672506498435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85440.20157139971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8613.4090077190758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13552.764865569206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22088.440805109563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-544279.78395730944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-861404.54654041573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-836683.36382990761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14473.986890291675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22907.259246728783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22249.850897179527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4633.4631410733318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4633.687912990441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0.15258427271710306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769.75449543603963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713.91481325131122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3.9446871773657161E-2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-36480.487293181584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-34031.956140157839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-1.1206497662970782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7581.3489690642873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7072.4969632368347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0.23289263879943969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3979.7521082376875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0.1298811340294356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0.16836443300112025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661.15386758582895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2.0010856856704395E-2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4.3526440055543465E-2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-23873.254489576524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-0.726786568645438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-0.94213073713297524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14293.131892022484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0.43513364663101561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0.56406213452168696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671116.11556488532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649865.70536911243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464420.25657208794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-1476455.4542427477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-1333679.6192276562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-953101.27281585208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26384.183365892331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23832.786504963249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17031.870941975852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25559.786201072951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20941.147059828374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0.50736092864674365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-42599.643668454919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-32557.753513414758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-0.78880741394083276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4541.8438095685351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3471.2081725195412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8.4100235622437486E-2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17031.387504718623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0.45536774311739758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0.4343102752275757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-21897.498220352514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-0.54615001173461863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-0.52089451986249746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6934.6200187671584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0.17295778570287446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0.16495973780909989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48911.655993936409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57811.75263370313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56152.631021897891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-107605.64318666011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-118643.52219603253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-115238.60844046209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3373.5216383041152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3719.567836034727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3612.8211089039683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1862.824392010257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1862.9147586749057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6.1344548645469892E-2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-3104.7073200170953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-2896.322696944816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-9.5373987321937012E-2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580.72702713187982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541.74925235854118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1.7839443919910981E-2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1241.2656281231627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4.0509303853044784E-2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5.2512060550243253E-2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-1595.9129504440664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-4.8585252488992946E-2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-6.2980882856101969E-2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886.67101658223703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2.6993411641489076E-2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3.4991459535263621E-2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120418.55608782951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121903.35883653142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87117.059294127917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-592459.29595212115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-559481.83346617024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-399828.29452155723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9704.9491751457172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9164.7524062907451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6549.5018875195237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20477.362879112719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16777.114803525586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0.40647499023864508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-83957.187804362155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-64166.204006021362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-1.5546151678903404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7459.3823026973923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5701.0037986160087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0.13812359815919922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19611.217719488592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0.52434459319496152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0.50009744437669734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-68919.42227134564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-1.7189335011455296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-1.6394452467572969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16369.335913013036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0.4082709773973468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0.38939139462752725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8776.2323896765447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10844.466430602421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10533.244441926374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-43179.063357208601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-49771.245185227519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-48342.875610333729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1240.8894975813275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1430.3370807505789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1389.288279170808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1492.4119769693252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1492.4843747182588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4.9146521547036179E-2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-6118.8891055742333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-5708.1958361425941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-0.18796710666310479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953.76791684457555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889.75203793429046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2.9298945064072567E-2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1429.2863969008301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4.6645452539135587E-2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6.0466327365546121E-2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-5022.92076625149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-0.15291552937936242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-0.19822383438065497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2093.0080776578347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6.3718591848140826E-2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8.2598174617960318E-2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1641051.5457713443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1671930.1322970898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1603845.9777935671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-5950150.6373145189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-5654954.0153782265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-5424673.6014686143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233923.55186918346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222318.22512836536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213265.00687707844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327244.33575082856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268111.46640836471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6.4957894708038477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-988773.07152172015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-755692.46996177512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-18.308874496500476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210839.92574728845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161139.24301085269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3.9040724818867463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410092.10534101515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10.964621433671345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10.457586916507353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-1062084.5989356032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-26.489670661678876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-25.264714792930722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605424.21262551891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15.100009941890358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14.401743586196005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209827.33566007458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260937.07267064406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340209.75286530203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-760795.2707036786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-882565.0775445787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-1150688.3397054633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29909.819568635943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34697.064037374941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45238.031761804508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41841.956309893176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41843.986086854602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1.3778947362311191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-126426.02220779905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-117940.44328883197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-3.8837006507728278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26958.312177529657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25148.899198225565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0.82813658706688553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52434.997584728757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1.711241495428476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2.2182760125924688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-135799.74511739551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-4.1342260570250273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-5.359181925773183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77410.456610368681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2.3566489504684371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3.0549153061627887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640280.13059892249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606661.04726979067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643517.01117705333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693636.80814883276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657216.13454227336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697143.42877514113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3160794.2116654618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3127676.8816170068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1534789.7228421343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input'!$A$3:$A$230,$A$1)),IF(VLOOKUP($A405,[1]!Table1[#All],2,FALSE)="Resultat",SUMIF($F$1:$F404,$D405,H$1:H404)+SUMIF($F406:$F$490,$D405,H406:H$490),0))*'[1]Processer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123050.04950946826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input'!$A$3:$A$230,$A$1)),IF(VLOOKUP($A405,[1]!Table1[#All],2,FALSE)="Resultat",SUMIF($F$1:$F404,$D405,I$1:I404)+SUMIF($F406:$F$490,$D405,I406:I$490),0))*'[1]Processer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121760.78838419665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input'!$A$3:$A$230,$A$1)),IF(VLOOKUP($A405,[1]!Table1[#All],2,FALSE)="Resultat",SUMIF($F$1:$F404,$D405,J$1:J404)+SUMIF($F406:$F$490,$D405,J406:J$490),0))*'[1]Processer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59749.524561055543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input'!$A$3:$A$230,$A$1)),IF(VLOOKUP($A406,[1]!Table1[#All],2,FALSE)="Resultat",SUMIF($F$1:$F405,$D406,H$1:H405)+SUMIF($F407:$F$490,$D406,H407:H$490),0))*'[1]Processer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16168.776505544129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input'!$A$3:$A$230,$A$1)),IF(VLOOKUP($A406,[1]!Table1[#All],2,FALSE)="Resultat",SUMIF($F$1:$F405,$D406,I$1:I405)+SUMIF($F407:$F$490,$D406,I407:I$490),0))*'[1]Processer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15999.367593683441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input'!$A$3:$A$230,$A$1)),IF(VLOOKUP($A406,[1]!Table1[#All],2,FALSE)="Resultat",SUMIF($F$1:$F405,$D406,J$1:J405)+SUMIF($F407:$F$490,$D406,J407:J$490),0))*'[1]Processer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7851.0875273226984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1638157.7192038004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1620993.8653666629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795441.73503903183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1394376.9846055224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1378013.0257817972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670075.43744177814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19793.458911774498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26400.565848358405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12837.593243730647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124355.90277843094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122896.50198867312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59759.904869842845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122702.02440075704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121262.03299452356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58965.124627748664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108094.85577035608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106168.13854148486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51394.057868840908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46730.877781272859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51492.407550306889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24926.534549838969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6920.1731003712566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6796.8257251031646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3290.219263888519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71128.867816474158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69861.044161819853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33818.456231360462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185576.29959415729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181628.8895635134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507.16810392744208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669.935164472015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5291383263.0120001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2724321569.9699998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145513039.73282999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74918843.174174994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66142290.787649997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34054019.624624997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132284581.57529999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68108039.249249995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1494815771.80089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681080392.49249995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396853744.72589993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204324117.74774998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6810803.9249249995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2037182556.2596197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1048863804.4384499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145513039.73282999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74918843.174174994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264569163.15059999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340540196.24624997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1349302732.0680597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1498376863.4835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105827665.26023999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54486431.399399996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1799070309.4240799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0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278981.20763606759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0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0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0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73604688.014655754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-78067.585874808952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76316923.466529816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-159271.55056476686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95933.945729841755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74365002.989538714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55032917.750715137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0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0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33894591.762682393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12675160.380488427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20208945.924885534</v>
      </c>
      <c r="L448" s="127"/>
      <c r="M448" s="125"/>
    </row>
    <row r="449" spans="1:14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2269281.8675690093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21419978.343889121</v>
      </c>
      <c r="L449" s="128"/>
      <c r="M449" s="125"/>
    </row>
    <row r="450" spans="1:14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4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47993511.510126613</v>
      </c>
      <c r="L451" s="142"/>
      <c r="M451" s="125"/>
    </row>
    <row r="452" spans="1:14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5">
        <f ca="1">SUMIFS('Forbrug af biomasse'!$E$1:$E$425,'Forbrug af biomasse'!$A$1:$A$425,"Biogas",'Forbrug af biomasse'!$B$1:$B$425,$A$1,'Forbrug af biomasse'!$D$1:$D$425,I$2)*'[1]Processer - data'!I452</f>
        <v>20170827.589539841</v>
      </c>
      <c r="J452" s="286">
        <f ca="1">SUMIFS('Forbrug af biomasse'!$E$1:$E$425,'Forbrug af biomasse'!$A$1:$A$425,"Biogas",'Forbrug af biomasse'!$B$1:$B$425,$A$1,'Forbrug af biomasse'!$D$1:$D$425,J$2)*'[1]Processer - data'!J452</f>
        <v>17668195.373487305</v>
      </c>
    </row>
    <row r="453" spans="1:14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67935911.099748671</v>
      </c>
      <c r="I453" s="285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37551409.441119738</v>
      </c>
      <c r="J453" s="286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5736835.9776128754</v>
      </c>
    </row>
    <row r="454" spans="1:14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72464409.391633257</v>
      </c>
      <c r="I454" s="285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24928313.6857647</v>
      </c>
      <c r="J454" s="286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7641243.9015298951</v>
      </c>
      <c r="M454" s="171"/>
      <c r="N454" s="171"/>
    </row>
    <row r="455" spans="1:14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28726.643246332915</v>
      </c>
      <c r="I455" s="285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29199.54147440919</v>
      </c>
      <c r="J455" s="286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9046.3083086065435</v>
      </c>
    </row>
    <row r="456" spans="1:14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5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6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1159219.1642486916</v>
      </c>
    </row>
    <row r="457" spans="1:14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49012317.500056781</v>
      </c>
      <c r="I457" s="285">
        <f ca="1">I452*'[1]Processer - data'!I$457*Biogasanlæg!AB$3</f>
        <v>123776454.94066261</v>
      </c>
      <c r="J457" s="286">
        <f ca="1">J452*'[1]Processer - data'!J$457*Biogasanlæg!AC$3</f>
        <v>82406308.794031888</v>
      </c>
    </row>
    <row r="458" spans="1:14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Vestdanmark'!H$3:H$482,'Resultater - Vestdanmark'!$F$3:$F$482,"Gødning",'Resultater - Vestdanmark'!$A$3:$A$482,"&lt;&gt;Gødning")-SUM(H453:H457)</f>
        <v>90839230.234099507</v>
      </c>
      <c r="I458" s="285">
        <f ca="1">-SUMIFS('Resultater - Vestdanmark'!I$3:I$482,'Resultater - Vestdanmark'!$F$3:$F$482,"Gødning",'Resultater - Vestdanmark'!$A$3:$A$482,"&lt;&gt;Gødning")-SUM(I453:I457)</f>
        <v>139213275.97390896</v>
      </c>
      <c r="J458" s="286">
        <f ca="1">-SUMIFS('Resultater - Vestdanmark'!J$3:J$482,'Resultater - Vestdanmark'!$F$3:$F$482,"Gødning",'Resultater - Vestdanmark'!$A$3:$A$482,"&lt;&gt;Gødning")-SUM(J453:J457)</f>
        <v>184916456.31717435</v>
      </c>
    </row>
    <row r="459" spans="1:14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11.463670069604794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4.2201594100814956</v>
      </c>
    </row>
    <row r="460" spans="1:14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7.8138698507857134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6.939154391654343</v>
      </c>
    </row>
    <row r="461" spans="1:14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2.77873111601179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1.7967842865526156</v>
      </c>
    </row>
    <row r="462" spans="1:14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31.971133055605648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32.90739663971565</v>
      </c>
    </row>
    <row r="463" spans="1:14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4.6194462494572006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1.7429396506893622</v>
      </c>
    </row>
    <row r="464" spans="1:14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0.25822154816379966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8.3519847999900527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0.27822462583846019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8.9989695380174517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12.632072947607</v>
      </c>
      <c r="I467" s="285">
        <f ca="1">SUM(I433:I451)*'[1]Processer - data'!$H$467</f>
        <v>16.907138733496154</v>
      </c>
      <c r="J467" s="286">
        <f ca="1">SUM(J433:J451)*'[1]Processer - data'!$H$467</f>
        <v>16.865152648852366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490655.53893383988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544864.31399399997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1010173.1683931999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1121779.4699876471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1434216.1804386508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1592671.7488440941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0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1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348833.4754815051</v>
      </c>
      <c r="J471" s="302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309783.67819885461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223253.42430816326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198261.55404726695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-36184.429126926581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-1170358.5708219202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7761.726370433692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251047.29302615247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31046.905481734768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1004189.1721046099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38" zoomScale="80" zoomScaleNormal="80" workbookViewId="0">
      <selection activeCell="H461" sqref="H461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461406.88541979471</v>
      </c>
      <c r="O3" s="171">
        <f>SUMIF($F$3:$F$472,"Roer",J3:J472)</f>
        <v>202279.77798791436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5405.5586300748464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40541.689725561351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-875.70049807212513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-6567.7537355409386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450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3375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-18.66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-139.95000000000002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-3878.0152331452473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-19189.522651123949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-853.16335129195431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-42216.949832472688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-21716.885305613385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296.15187051724934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154.70620101647353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-2249.2488352242431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-19390.076165726237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-95947.613255619741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354.52382639682889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17542.847534117147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88.630956599207224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4385.7118835292868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-2481.9297492129581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-122812.94496719327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3749.2301482045605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1297.8104359169636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-775.60304662904946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172.33797116512517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86.168985582562598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-1939.0076165726234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-3878.0152331452473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-19189.522651123949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-659.26258963469195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-32622.188506910712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-21329.083782298861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217.13050959252152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118.43482341410268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-2055.3480735669809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-14736.457885951939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-72920.186074270998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90.029723489582153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4454.9268486925921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315.10403221353738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15592.243970424066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-1240.964874606479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-61406.472483596634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969.06994033925184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1281.6731469003009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-6980.4274196614451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80.099974575289949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43.69089522288543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-2016.5679212355285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969266.04664412036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1045598.7208186348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134038.21173319253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10955.852152953736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-598179817.41368413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-45940.142850221571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78332.132942302502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37353.954222681423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40488.73190737488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1238.3107438143875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-67610669.101315826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-4564.1765819970187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9739.0392367077111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13558.074175805912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393433.40302942914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7710.193067385223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147274.04222743327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1677.7470473474502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-102077156.08897279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-426.94608830185337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110410.12742642483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1094.4945258058528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59144.800336816275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488.31294228261123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22591.489571120805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451.53092700203422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-27471955.911027208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-138.51406341694391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24848.795454642288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1758725.7180930946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1245506.6830480653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532375.4622399339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632629.0941414847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-37445987.993550681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-26518761.748633407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532129.57491165225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376847.24512847915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22936.668399113973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0.55570830699390517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6943.0493428288109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0.28226042272218416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-330658.46009396855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-8.0111745025327714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40675.300260354867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0.98547887822381874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0.48136972077585966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0.45910984929489501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0.14571312909679707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0.23319525460920743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-4.5754933628917618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-4.3639098547811592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1.8737420577760162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1.7870950262025587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183903.74705378083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177012.91949986137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55668.624924395415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89910.013682532226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-3915594.9294990278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-3768878.5636694143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83049.12440817694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79937.294421192535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2398.4065395374096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7.8977938175800455E-2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726.01018850735954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4.0115193411122532E-2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-34575.789266473366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-1.1385578308145059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6348.168248725905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0.2090409741686888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5.0335134386331228E-2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6.5249248278577504E-2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1.5236708123474331E-2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3.3141992245975242E-2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-0.47844320771509807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-0.62020415814920116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0.29243373156041874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0.37908076313387606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211110.92266314215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366289.72484116361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-1910509.5915076877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-3314845.2185791759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21719.574486189886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37684.724512847912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410.29514859198309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9.940607695260192E-3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-3016.8816258393249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-7.3092837700917068E-2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247.41050719643644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5.9942477998219711E-3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4.3441705756537977E-3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4.1432840750455285E-3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-2.6677243801748664E-2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-2.5443614030569529E-2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5.7498859722952995E-3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5.4839952914955163E-3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18780.330056565072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44287.757639886142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-169958.04978788042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-400794.92188275483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3389.7601799255899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7993.7294421192537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36.499666686882193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1.2019098395178235E-3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-268.38039434489713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-8.8375885583836088E-3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38.613200545108576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1.2715071090531455E-3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3.8645540554515568E-4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5.0096071089186854E-4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-2.3731952723058491E-3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-3.0763642418779524E-3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8.9738104769926635E-4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1.1632717284990491E-3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23483.074430136498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40678.617515668651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-20092840.500116579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-34805875.863453873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4350.9503116094111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7536.9451339174502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2089.0434420797733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4918.4146632581178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-1787449.7994034351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-4208346.8089448772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679.05004863268277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1598.7459374976409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476174.04704817606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565953.52132026921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-1568811.3988674176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-1864600.4354507863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23779.984275012222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28263.543384635934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1437.0221110963284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3.4816090574906519E-2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-3156.2922315032624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-7.6470469983968878E-2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420.62050583890692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1.0190769867680008E-2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5.1011418828965656E-2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4.8652509287741813E-2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-7.2027050817754637E-2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-6.8696320144101236E-2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3.2773664125333675E-2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3.1258118963468536E-2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42360.22302931462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68428.925759632533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-139560.73658132693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-225447.14355904958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3711.327025579943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5995.2970815894405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127.83682248423408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4.2095818604205148E-3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-280.78229735742894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-9.2459750071525997E-3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65.645974899713806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2.1616784567806079E-3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4.5379522299293729E-3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5.8825306684269644E-3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-6.407493133440717E-3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-8.3060096174231504E-3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5.1149649212948525E-3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6.6305100831599928E-3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2794688.8452344257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1873457.0389057864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-8143547.133801518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-5459135.7193475803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119457.65967404438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80080.039589801818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52143.635648788171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1.2633330605247997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-106196.90735319872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-2.5729326755892035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13063.603732034793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0.31650425366260893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2.2215686991047594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2.1188371985681229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-3.1323441068699909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-2.9874958244713783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1.2216647477936575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1.1651715802656273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340208.9426626417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309971.98280077556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-991347.41409167636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-903238.81901932694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18643.680989590743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16986.675064503415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6347.6587674189541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0.2090241972868305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-12927.785369123498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-0.42570340632475917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2038.8283281210372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6.7137265928432194E-2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0.27044067516269493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0.35057124558127117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-0.38131310341434688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-0.49429476368526443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0.19066444040710265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0.247157607935133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112653.88584670375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176600.76570836297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31016.898733250302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81588.314369784915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61900.787285641178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97038.165620583371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341.53245714729019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8.2746290892063736E-3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94.03384142355003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3.8228205677115386E-3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1099.9251377656303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2.664892413718585E-2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4.8144064710030588E-3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4.5917749578930911E-3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1.3255464456415479E-3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2.1213678053840198E-3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3.4033334615555896E-2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3.2459538795183367E-2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10021.637590640295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21352.638035647527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2759.2489682353885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9864.7689192558119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9660.8165127879311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20583.853313457079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30.3825694537387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1.0004778807858614E-3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8.3652070491817039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4.6221375955057689E-4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171.66461687671688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5.6528020897060891E-3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4.2828737334530098E-4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5.5518733581798264E-4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1.1791999883481745E-4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2.5649265283279502E-4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5.3115608937572781E-3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6.8853567141298044E-3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416032.56864671403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180460.17369945033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-644796.98713384452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-279690.06531761796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10859.787243094943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4710.590564105989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7680.8450433257158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0.18609108005737846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-7715.7643884437011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-0.18693710397938804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1175.1251991573336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2.8470866978868796E-2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0.11238684588607067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0.10718976630752407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-6.9121095320005821E-2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-6.592474409133503E-2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3.7741679598542764E-2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3.5996399617107259E-2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37010.064921808837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21819.275547297173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-57360.841803409639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-33817.071533857437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1694.880089962795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999.21618026490671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683.28442321839748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2.2500103316028485E-2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-686.39083201241942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-2.2602395299326006E-2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183.40104264305208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6.0392748136994419E-3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9.9978818392290631E-3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1.2960217199000635E-2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-6.1489806761554303E-3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-7.9709008764977801E-3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5.8903199373448248E-3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7.6355999187803277E-3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8825.283902342022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37711.668113687854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-135754.50335863561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-580097.91325135576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1906.0847329489718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8144.9657190589951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184.58014456985373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4.471997321440371E-3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-2366.0792987158147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-5.7325235662973768E-2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180.18867380101679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4.3656010155907442E-3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4.3768517362668654E-3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4.1744539681157974E-3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-4.8090507448038805E-2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-4.5866668953331809E-2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9.7904353232948962E-3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9.3376984297321268E-3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785.09317489620639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4559.6835082913494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-12076.65784213527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-70139.111329482097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297.4814323099551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1727.7200010125141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16.420164305954042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5.4070513068324466E-4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-210.48532027304273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-6.9311421301595537E-3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28.12193174929164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9.2603657906470296E-4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3.8936270648061883E-4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5.04729434326728E-4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-4.2781093041925847E-3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-5.5456972461755717E-3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1.5279870157743479E-3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1.9807239093371175E-3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426690.50302520581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370166.41529919149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-1898034.8682927389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-1646600.4242594831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30373.380804656008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26349.790804490014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4625.5368549862578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0.11206724576973086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-15084.780150869181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-0.36547320182466403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1929.8495501872892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4.6756285944690848E-2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0.10968291883231901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0.10461087634296322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-0.26469610963743945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-0.25245582711085268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0.10044559859893289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9.5800715426727898E-2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37958.189835594902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44756.484758902239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-168848.3041793367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-199088.96038773746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4740.3542296283949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5589.3495645887906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411.48561964299711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1.3549948806703823E-2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-1341.9350666004434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-4.4189032584254835E-2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301.19039222576191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9.9180000488738179E-3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9.757341738898204E-3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1.2648405957831005E-2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-2.3547243510521346E-2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-3.052420455067582E-2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1.5676480706191841E-2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2.0321363878396826E-2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1253442.165471426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988543.1965490263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-4203121.101316913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-3314845.2185791759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59728.829837022189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47105.905641059893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4485.8356059695452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0.10868257179593749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-10184.813491099476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-0.24675708623865392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1252.8648041500417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3.0354337739536965E-2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6.3234505293070509E-2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6.0310366319980546E-2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-9.4661571483107609E-2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-9.0284157772906118E-2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3.8765517437220995E-2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3.6972892353418871E-2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162367.85507638531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174043.51430151035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-544462.1033555608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-583613.65818015172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9321.8404947953713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9992.1618026490669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581.08425392934976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1.9134719458618075E-2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-1319.316013500227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-4.3444202152926631E-2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195.53381336445742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6.4387989144472331E-3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8.1912442983682662E-3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1.0618279646032937E-2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-1.2262230155701976E-2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-1.5895483535169227E-2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6.050109657832179E-3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7.8427347416343048E-3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189241.32446569271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201306.57231005107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93738.006801569791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167317.30963456671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-7021122.7487907521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-7468760.6331112059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91222.212841997534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97038.165620583371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1572.4904051581343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3.8098208755040587E-2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778.91082568933678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3.1665582090243616E-2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-40283.50943222973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-0.97598659216009509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4442.7694544133492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0.10763916750750291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2.680722693241289E-2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2.556758638062501E-2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1.3278579758499292E-2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2.125067114285157E-2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-0.46684663591955233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-0.44525835217760767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0.1662448760927501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0.15855725176476165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16244.125250378829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23485.766769505961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8046.2971156260783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19520.352790699446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-602680.18970833928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-871355.40719630744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14236.992755687479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20583.853313457079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134.97966772600174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4.444791021421402E-3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66.8602645172639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3.6943179105284221E-3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-3457.8619368127843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-0.11386510241867775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693.3802038679795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2.2832550683409707E-2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2.3010827742562514E-3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2.982885077739585E-3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1.139808724934766E-3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2.479244966666017E-3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-4.0073251695984698E-2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-5.194680775405424E-2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2.5945732106961002E-2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3.3633356434949448E-2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295537.46036533907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256387.33816300097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45533.617021117454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66282.574690094785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-2894085.827613398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-2510703.5867460142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43868.444301760537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38057.15069073304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16104.09751040333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0.39016916526188677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2481.1670493580377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0.1008685414168202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-118275.97163253359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-2.8655835629778461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14010.616217517463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0.33944841869356845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0.49223301631824173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0.46947079591046187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7.5838608149631781E-2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0.12137000726209812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-2.754428867420041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-2.6270564342445479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0.93998774279637187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0.8965201015109906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26290.875809379006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30999.55997789012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4050.6495141907376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8014.1658488932781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-257456.5369189028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-303566.88821565441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6846.520208945286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8072.7289343979182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1432.6130675439724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4.7174999072573581E-2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220.72347335040578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1.2195923644033713E-2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-10521.775742339258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-0.34647510352368494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2186.6279645836503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7.2004210025908441E-2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4.378882150946671E-2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5.6763287141901292E-2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6.746567511114643E-3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1.4674737241690045E-2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-0.24503271832135506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-0.31763500523138621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0.1467032893381621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0.19017093062354345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194231.82131862789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168501.75132747763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-398610.08106434823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-345805.83294818166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7123.1417379192017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6179.532527907807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1703.3924391194751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4.1269695843266757E-2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-2648.3091404220695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-6.416308433343712E-2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282.35462645798242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6.840871948383012E-3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4.0391647606941902E-2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3.8523825752285634E-2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-4.8444140253528403E-2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-4.6203948796717839E-2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1.5341556437796293E-2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1.4632120301944442E-2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17278.773006321866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20373.393569595017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-35460.168483123234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-41811.068892825591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1111.704201871783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1310.8099301622619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151.53300368814288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4.9898814065040716E-3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-235.59235648032163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-7.7579001966792144E-3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44.0669070194539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1.4510940496570027E-3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3.5932222928950048E-3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4.6578807500490807E-3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-4.3095683150393181E-3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-5.5864774454213381E-3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2.3943469584999997E-3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3.1037830943518511E-3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36434.468254066946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31607.960363119328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-167217.89534515797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-145066.38524864466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2739.1606251895851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2376.3014699561395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1763.5292466758597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4.2726687021482843E-2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-6744.8413352341649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-0.16341363506350715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599.26197394541009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1.4518885271057656E-2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6.0103151002541863E-2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5.7323814539996569E-2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-0.19703325088786378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-0.1879218866849568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4.679817914198315E-2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4.4634101493798962E-2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3241.1934475727758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3821.6897529953367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-14875.626643710873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-17539.844761881581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427.49905711051338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504.06394817251447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156.88274627943051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5.166044885324743E-3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-600.01796618065771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-1.9758194057678587E-2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93.526435240035099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3.0797635423455635E-3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5.3467485198214985E-3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6.9309703034723122E-3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-1.7527986885342333E-2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-2.272146448099932E-2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7.3037620626216484E-3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9.46783971080584E-3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499706.3732253887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581910.13913235313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-1690152.3019377438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-1968189.3485313857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66446.457202232166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77377.174331060451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28896.884625625411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0.70011208922237467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-81448.057442193851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-1.9733189372390409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17367.485905481411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0.42077846796827756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1.1817599775865641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1.1271121173513474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-2.855039984443791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-2.7230150140648877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1.6274695408713478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1.5522108337790312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77988.855936910375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123435.48405837789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-263780.9951001103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-417494.71029453626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10370.256326359933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16413.340009618882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4509.9184097796888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0.14850862498656431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-12711.546537221007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-0.41858280486888738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2710.5324823583705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8.9256038659937656E-2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0.18443652829385687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0.23908438852907368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-0.44558427502879983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-0.57760924540770342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0.25399813643656877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0.3292568435288854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177572.60690670041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173632.27177601412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192370.32414892549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188101.62775734864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109083.65982189869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4246.6382949638519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558.00827195825013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56535.233681691527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97091.997795525866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1860.1302260515317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8659.0378152575722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8543.8764510267865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3652.7817732906901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1771.6287611948771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233.84907624794536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2403.6132900421717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649470442.23600006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331334602.83000004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17860437.161490001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9111701.5778250005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8118380.5279500009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4141682.5353750004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16236761.055900002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8283365.07075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183475399.93167001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82833650.707500011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48710283.1677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24850095.212250002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828336.50707500009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250046120.26086006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127563822.08955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17860437.161490001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9111701.5778250005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32473522.111800004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41416825.353749998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165614962.77018002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182234031.55649999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12989408.84472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6626692.0566000007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220819950.36024001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0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82203.192363932409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0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0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0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10665106.952350076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-11311.767977344445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5424149.7673444515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-11320.067747743458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8051.7006546988387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9910965.5256539956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19967082.249284871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0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0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17402908.237317622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10974839.619511571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17631054.075114466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278534.25556803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2605118.3147508749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41305651.794609778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5">
        <f ca="1">SUMIFS('Forbrug af biomasse'!$E$1:$E$425,'Forbrug af biomasse'!$A$1:$A$425,"Biogas",'Forbrug af biomasse'!$B$1:$B$425,$A$1,'Forbrug af biomasse'!$D$1:$D$425,I$2)*'[1]Processer - data'!I452</f>
        <v>3638100.9092914085</v>
      </c>
      <c r="J452" s="286">
        <f ca="1">SUMIFS('Forbrug af biomasse'!$E$1:$E$425,'Forbrug af biomasse'!$A$1:$A$425,"Biogas",'Forbrug af biomasse'!$B$1:$B$425,$A$1,'Forbrug af biomasse'!$D$1:$D$425,J$2)*'[1]Processer - data'!J452</f>
        <v>5073077.1915220283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10197381.433584651</v>
      </c>
      <c r="I453" s="285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5441090.8965647286</v>
      </c>
      <c r="J453" s="286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831250.98305081483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5107513.2750334088</v>
      </c>
      <c r="I454" s="285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1771755.2115191212</v>
      </c>
      <c r="J454" s="286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543093.84403949464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2363.8567536670871</v>
      </c>
      <c r="I455" s="285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2450.7067380349913</v>
      </c>
      <c r="J455" s="286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759.25331723698093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5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6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154494.46260578287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12612124.648502612</v>
      </c>
      <c r="I457" s="285">
        <f ca="1">I452*'[1]Processer - data'!I$457*Biogasanlæg!AB$3</f>
        <v>22324876.422126248</v>
      </c>
      <c r="J457" s="286">
        <f ca="1">J452*'[1]Processer - data'!J$457*Biogasanlæg!AC$3</f>
        <v>23661361.941234287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Østdanmark'!H$3:H$482,'Resultater - Østdanmark'!$F$3:$F$482,"Gødning",'Resultater - Østdanmark'!$A$3:$A$482,"&lt;&gt;Gødning")-SUM(H453:H457)</f>
        <v>60331183.954713687</v>
      </c>
      <c r="I458" s="285">
        <f ca="1">-SUMIFS('Resultater - Østdanmark'!I$3:I$482,'Resultater - Østdanmark'!$F$3:$F$482,"Gødning",'Resultater - Østdanmark'!$A$3:$A$482,"&lt;&gt;Gødning")-SUM(I453:I457)</f>
        <v>67493420.607648224</v>
      </c>
      <c r="J458" s="286">
        <f ca="1">-SUMIFS('Resultater - Østdanmark'!J$3:J$482,'Resultater - Østdanmark'!$F$3:$F$482,"Gødning",'Resultater - Østdanmark'!$A$3:$A$482,"&lt;&gt;Gødning")-SUM(J453:J457)</f>
        <v>77077187.216506958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5.8649822241311931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2.7739469755369335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2.3205610276493722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2.5176749939379168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0.76536896025869927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0.65190762565081795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9.3581044439798156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8.9970146756919522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3.9997664879088046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1.5206069304744962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9.1098451836200148E-2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3.2920152000099416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9.8155374161539591E-2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3.5470304619825428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3.9778547832368667</v>
      </c>
      <c r="I467" s="285">
        <f ca="1">SUM(I433:I451)*'[1]Processer - data'!$H$467</f>
        <v>4.0347755442317288</v>
      </c>
      <c r="J467" s="286">
        <f ca="1">SUM(J433:J451)*'[1]Processer - data'!$H$467</f>
        <v>5.5047010448223546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60223.622825520004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66266.920566000001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123989.81169960002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136431.8952829412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176037.33667957611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193702.26597281999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3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4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103596.4744486327</v>
      </c>
      <c r="J471" s="305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112396.20508651414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66301.743647124924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71933.571255369054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-12765.570873073393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-461308.09584474599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2738.2736295663053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98952.706973847467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10953.094518265221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395810.82789538987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489"/>
  <sheetViews>
    <sheetView topLeftCell="B1" zoomScale="80" zoomScaleNormal="80" workbookViewId="0">
      <selection activeCell="J121" sqref="J121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10850271.861906473</v>
      </c>
      <c r="O3" s="98">
        <f>SUMIF($F$3:$F$487,$L$3,J$3:J$487)</f>
        <v>58683.789532886352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695889.84481713665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2038330.4287280298</v>
      </c>
    </row>
    <row r="6" spans="1:21" s="171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27045.758448627814</v>
      </c>
      <c r="J7" s="280">
        <f>'Resultater - Vestdanmark'!J7+'Resultater - Østdanmark'!J7</f>
        <v>202843.18836470862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21869.755866154737</v>
      </c>
      <c r="O7" s="98">
        <f>SUMIFS(J$3:J$487,$F$3:$F$487,$L$3,$C$3:$C$487,$L7)+SUMIFS(J$3:J$487,$F$3:$F$487,$L$3,$C$3:$C$487,"",$A$3:$A$487,"Grøntsager I drivhus")</f>
        <v>34315.25176205569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-4381.4128686777058</v>
      </c>
      <c r="J8" s="280">
        <f>'Resultater - Vestdanmark'!J8+'Resultater - Østdanmark'!J8</f>
        <v>-32860.596515082791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1171446.4892007804</v>
      </c>
      <c r="O8" s="98">
        <f>SUMIFS(J$3:J$487,$F$3:$F$487,$L$3,$C$3:$C$487,$L8)</f>
        <v>29.202274382245825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1800</v>
      </c>
      <c r="J9" s="280">
        <f>'Resultater - Vestdanmark'!J9+'Resultater - Østdanmark'!J9</f>
        <v>13500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21942.86479635314</v>
      </c>
      <c r="O9" s="98">
        <f>SUMIFS(J$3:J$487,$F$3:$F$487,$L$3,$C$3:$C$487,$L9)</f>
        <v>73.108930198402646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-74.64</v>
      </c>
      <c r="J10" s="280">
        <f>'Resultater - Vestdanmark'!J10+'Resultater - Østdanmark'!J10</f>
        <v>-559.80000000000007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78">
        <f>'Resultater - Vestdanmark'!H14+'Resultater - Østdanmark'!H14</f>
        <v>0</v>
      </c>
      <c r="I14" s="279">
        <f>'Resultater - Vestdanmark'!I14+'Resultater - Østdanmark'!I14</f>
        <v>0</v>
      </c>
      <c r="J14" s="280">
        <f>'Resultater - Vestdanmark'!J14+'Resultater - Østdanmark'!J14</f>
        <v>0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78">
        <f>'Resultater - Vestdanmark'!H16+'Resultater - Østdanmark'!H16</f>
        <v>0</v>
      </c>
      <c r="I16" s="279">
        <f>'Resultater - Vestdanmark'!I16+'Resultater - Østdanmark'!I16</f>
        <v>-17126.910001605891</v>
      </c>
      <c r="J16" s="280">
        <f>'Resultater - Vestdanmark'!J16+'Resultater - Østdanmark'!J16</f>
        <v>-176195.00323359066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78">
        <f>'Resultater - Vestdanmark'!H17+'Resultater - Østdanmark'!H17</f>
        <v>0</v>
      </c>
      <c r="I17" s="279">
        <f>'Resultater - Vestdanmark'!I17+'Resultater - Østdanmark'!I17</f>
        <v>0</v>
      </c>
      <c r="J17" s="280">
        <f>'Resultater - Vestdanmark'!J17+'Resultater - Østdanmark'!J17</f>
        <v>0</v>
      </c>
    </row>
    <row r="18" spans="1:10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78">
        <f>'Resultater - Vestdanmark'!H19+'Resultater - Østdanmark'!H19</f>
        <v>0</v>
      </c>
      <c r="I19" s="279">
        <f>'Resultater - Vestdanmark'!I19+'Resultater - Østdanmark'!I19</f>
        <v>-3767.9202003532955</v>
      </c>
      <c r="J19" s="280">
        <f>'Resultater - Vestdanmark'!J19+'Resultater - Østdanmark'!J19</f>
        <v>-387629.00711389945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78">
        <f>'Resultater - Vestdanmark'!H21+'Resultater - Østdanmark'!H21</f>
        <v>0</v>
      </c>
      <c r="I21" s="279">
        <f>'Resultater - Vestdanmark'!I21+'Resultater - Østdanmark'!I21</f>
        <v>0</v>
      </c>
      <c r="J21" s="280">
        <f>'Resultater - Vestdanmark'!J21+'Resultater - Østdanmark'!J21</f>
        <v>0</v>
      </c>
    </row>
    <row r="22" spans="1:10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-95910.696008992978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1307.9284448922631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683.24620255565981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-9933.6078009314151</v>
      </c>
    </row>
    <row r="26" spans="1:10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0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78">
        <f>'Resultater - Vestdanmark'!H28+'Resultater - Østdanmark'!H28</f>
        <v>0</v>
      </c>
      <c r="I28" s="279">
        <f>'Resultater - Vestdanmark'!I28+'Resultater - Østdanmark'!I28</f>
        <v>-85634.550008029444</v>
      </c>
      <c r="J28" s="280">
        <f>'Resultater - Vestdanmark'!J28+'Resultater - Østdanmark'!J28</f>
        <v>-880975.01616795326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78">
        <f>'Resultater - Vestdanmark'!H29+'Resultater - Østdanmark'!H29</f>
        <v>0</v>
      </c>
      <c r="I29" s="279">
        <f>'Resultater - Vestdanmark'!I29+'Resultater - Østdanmark'!I29</f>
        <v>1565.723005992128</v>
      </c>
      <c r="J29" s="280">
        <f>'Resultater - Vestdanmark'!J29+'Resultater - Østdanmark'!J29</f>
        <v>161075.50636852958</v>
      </c>
    </row>
    <row r="30" spans="1:10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78">
        <f>'Resultater - Vestdanmark'!H30+'Resultater - Østdanmark'!H30</f>
        <v>0</v>
      </c>
      <c r="I30" s="279">
        <f>'Resultater - Vestdanmark'!I30+'Resultater - Østdanmark'!I30</f>
        <v>391.43075149803201</v>
      </c>
      <c r="J30" s="280">
        <f>'Resultater - Vestdanmark'!J30+'Resultater - Østdanmark'!J30</f>
        <v>40268.876592132394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78">
        <f>'Resultater - Vestdanmark'!H31+'Resultater - Østdanmark'!H31</f>
        <v>0</v>
      </c>
      <c r="I31" s="279">
        <f>'Resultater - Vestdanmark'!I31+'Resultater - Østdanmark'!I31</f>
        <v>-10961.222401027768</v>
      </c>
      <c r="J31" s="280">
        <f>'Resultater - Vestdanmark'!J31+'Resultater - Østdanmark'!J31</f>
        <v>-1127648.0206949802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16558.142107019929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5731.6645755068994</v>
      </c>
    </row>
    <row r="34" spans="1:10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-3425.3820003211781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761.11535013506216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380.55767506753114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-8563.4550008029437</v>
      </c>
    </row>
    <row r="38" spans="1:10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78">
        <f>'Resultater - Vestdanmark'!H40+'Resultater - Østdanmark'!H40</f>
        <v>0</v>
      </c>
      <c r="I40" s="279">
        <f>'Resultater - Vestdanmark'!I40+'Resultater - Østdanmark'!I40</f>
        <v>-17126.910001605891</v>
      </c>
      <c r="J40" s="280">
        <f>'Resultater - Vestdanmark'!J40+'Resultater - Østdanmark'!J40</f>
        <v>-176195.00323359066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78">
        <f>'Resultater - Vestdanmark'!H43+'Resultater - Østdanmark'!H43</f>
        <v>0</v>
      </c>
      <c r="I43" s="279">
        <f>'Resultater - Vestdanmark'!I43+'Resultater - Østdanmark'!I43</f>
        <v>-2911.5747002730013</v>
      </c>
      <c r="J43" s="280">
        <f>'Resultater - Vestdanmark'!J43+'Resultater - Østdanmark'!J43</f>
        <v>-299531.50549710408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-94198.005008832406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958.93761958687423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523.05688341102245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-9077.2623008511218</v>
      </c>
    </row>
    <row r="50" spans="1:10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78">
        <f>'Resultater - Vestdanmark'!H52+'Resultater - Østdanmark'!H52</f>
        <v>0</v>
      </c>
      <c r="I52" s="279">
        <f>'Resultater - Vestdanmark'!I52+'Resultater - Østdanmark'!I52</f>
        <v>-65082.258006102384</v>
      </c>
      <c r="J52" s="280">
        <f>'Resultater - Vestdanmark'!J52+'Resultater - Østdanmark'!J52</f>
        <v>-669541.01228764444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78">
        <f>'Resultater - Vestdanmark'!H53+'Resultater - Østdanmark'!H53</f>
        <v>0</v>
      </c>
      <c r="I53" s="279">
        <f>'Resultater - Vestdanmark'!I53+'Resultater - Østdanmark'!I53</f>
        <v>397.60828129211882</v>
      </c>
      <c r="J53" s="280">
        <f>'Resultater - Vestdanmark'!J53+'Resultater - Østdanmark'!J53</f>
        <v>40904.39688268258</v>
      </c>
    </row>
    <row r="54" spans="1:10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78">
        <f>'Resultater - Vestdanmark'!H54+'Resultater - Østdanmark'!H54</f>
        <v>0</v>
      </c>
      <c r="I54" s="279">
        <f>'Resultater - Vestdanmark'!I54+'Resultater - Østdanmark'!I54</f>
        <v>1391.6289845224151</v>
      </c>
      <c r="J54" s="280">
        <f>'Resultater - Vestdanmark'!J54+'Resultater - Østdanmark'!J54</f>
        <v>143165.38908938895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78">
        <f>'Resultater - Vestdanmark'!H55+'Resultater - Østdanmark'!H55</f>
        <v>0</v>
      </c>
      <c r="I55" s="279">
        <f>'Resultater - Vestdanmark'!I55+'Resultater - Østdanmark'!I55</f>
        <v>-5480.6112005138839</v>
      </c>
      <c r="J55" s="280">
        <f>'Resultater - Vestdanmark'!J55+'Resultater - Østdanmark'!J55</f>
        <v>-563824.01034749008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4279.8113611304434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5660.3956711725223</v>
      </c>
    </row>
    <row r="58" spans="1:10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-30828.438002890605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353.75442673784079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192.95696003882227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-8905.9932008350625</v>
      </c>
    </row>
    <row r="62" spans="1:10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hidden="1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78">
        <f>'Resultater - Vestdanmark'!H74+'Resultater - Østdanmark'!H74</f>
        <v>16367972</v>
      </c>
      <c r="I74" s="279">
        <f>'Resultater - Vestdanmark'!I74+'Resultater - Østdanmark'!I74</f>
        <v>15999150.813625321</v>
      </c>
      <c r="J74" s="280">
        <f>'Resultater - Vestdanmark'!J74+'Resultater - Østdanmark'!J74</f>
        <v>7658605.8990418315</v>
      </c>
    </row>
    <row r="75" spans="1:10" hidden="1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78">
        <f>'Resultater - Vestdanmark'!H75+'Resultater - Østdanmark'!H75</f>
        <v>17657000</v>
      </c>
      <c r="I75" s="279">
        <f>'Resultater - Vestdanmark'!I75+'Resultater - Østdanmark'!I75</f>
        <v>17259133.013923913</v>
      </c>
      <c r="J75" s="280">
        <f>'Resultater - Vestdanmark'!J75+'Resultater - Østdanmark'!J75</f>
        <v>8261744.6046084156</v>
      </c>
    </row>
    <row r="76" spans="1:10" hidden="1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78">
        <f>'Resultater - Vestdanmark'!H76+'Resultater - Østdanmark'!H76</f>
        <v>2263500</v>
      </c>
      <c r="I76" s="279">
        <f>'Resultater - Vestdanmark'!I76+'Resultater - Østdanmark'!I76</f>
        <v>2212496.3231022703</v>
      </c>
      <c r="J76" s="280">
        <f>'Resultater - Vestdanmark'!J76+'Resultater - Østdanmark'!J76</f>
        <v>1059096.0476032819</v>
      </c>
    </row>
    <row r="77" spans="1:10" hidden="1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78">
        <f>'Resultater - Vestdanmark'!H77+'Resultater - Østdanmark'!H77</f>
        <v>185011.20708453766</v>
      </c>
      <c r="I77" s="279">
        <f>'Resultater - Vestdanmark'!I77+'Resultater - Østdanmark'!I77</f>
        <v>180842.33064159585</v>
      </c>
      <c r="J77" s="280">
        <f>'Resultater - Vestdanmark'!J77+'Resultater - Østdanmark'!J77</f>
        <v>86567.103240797936</v>
      </c>
    </row>
    <row r="78" spans="1:10" hidden="1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78">
        <f>'Resultater - Vestdanmark'!H78+'Resultater - Østdanmark'!H78</f>
        <v>-10101447931.960001</v>
      </c>
      <c r="I78" s="279">
        <f>'Resultater - Vestdanmark'!I78+'Resultater - Østdanmark'!I78</f>
        <v>-9873830973.0375652</v>
      </c>
      <c r="J78" s="280">
        <f>'Resultater - Vestdanmark'!J78+'Resultater - Østdanmark'!J78</f>
        <v>-4726487112.7939835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78">
        <f>'Resultater - Vestdanmark'!H79+'Resultater - Østdanmark'!H79</f>
        <v>-775790.06759999995</v>
      </c>
      <c r="I79" s="279">
        <f>'Resultater - Vestdanmark'!I79+'Resultater - Østdanmark'!I79</f>
        <v>-758309.11069770774</v>
      </c>
      <c r="J79" s="280">
        <f>'Resultater - Vestdanmark'!J79+'Resultater - Østdanmark'!J79</f>
        <v>-362993.67986085394</v>
      </c>
    </row>
    <row r="80" spans="1:10" hidden="1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78">
        <f>'Resultater - Vestdanmark'!H80+'Resultater - Østdanmark'!H80</f>
        <v>1322792.8112606632</v>
      </c>
      <c r="I80" s="279">
        <f>'Resultater - Vestdanmark'!I80+'Resultater - Østdanmark'!I80</f>
        <v>1292986.1856153444</v>
      </c>
      <c r="J80" s="280">
        <f>'Resultater - Vestdanmark'!J80+'Resultater - Østdanmark'!J80</f>
        <v>618937.32635484973</v>
      </c>
    </row>
    <row r="81" spans="1:10" hidden="1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78">
        <f>'Resultater - Vestdanmark'!H81+'Resultater - Østdanmark'!H81</f>
        <v>232028</v>
      </c>
      <c r="I81" s="279">
        <f>'Resultater - Vestdanmark'!I81+'Resultater - Østdanmark'!I81</f>
        <v>357783.20368173748</v>
      </c>
      <c r="J81" s="280">
        <f>'Resultater - Vestdanmark'!J81+'Resultater - Østdanmark'!J81</f>
        <v>295150.35129194462</v>
      </c>
    </row>
    <row r="82" spans="1:10" hidden="1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hidden="1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78">
        <f>'Resultater - Vestdanmark'!H83+'Resultater - Østdanmark'!H83</f>
        <v>251500.00000000003</v>
      </c>
      <c r="I83" s="279">
        <f>'Resultater - Vestdanmark'!I83+'Resultater - Østdanmark'!I83</f>
        <v>387808.6943211896</v>
      </c>
      <c r="J83" s="280">
        <f>'Resultater - Vestdanmark'!J83+'Resultater - Østdanmark'!J83</f>
        <v>319919.63620737183</v>
      </c>
    </row>
    <row r="84" spans="1:10" hidden="1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78">
        <f>'Resultater - Vestdanmark'!H84+'Resultater - Østdanmark'!H84</f>
        <v>7691.8969154623392</v>
      </c>
      <c r="I84" s="279">
        <f>'Resultater - Vestdanmark'!I84+'Resultater - Østdanmark'!I84</f>
        <v>11860.773358404118</v>
      </c>
      <c r="J84" s="280">
        <f>'Resultater - Vestdanmark'!J84+'Resultater - Østdanmark'!J84</f>
        <v>9784.448759202056</v>
      </c>
    </row>
    <row r="85" spans="1:10" hidden="1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78">
        <f>'Resultater - Vestdanmark'!H85+'Resultater - Østdanmark'!H85</f>
        <v>-419970754.27999997</v>
      </c>
      <c r="I85" s="279">
        <f>'Resultater - Vestdanmark'!I85+'Resultater - Østdanmark'!I85</f>
        <v>-647587713.20243311</v>
      </c>
      <c r="J85" s="280">
        <f>'Resultater - Vestdanmark'!J85+'Resultater - Østdanmark'!J85</f>
        <v>-534222230.32601655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78">
        <f>'Resultater - Vestdanmark'!H86+'Resultater - Østdanmark'!H86</f>
        <v>-28350.861000000001</v>
      </c>
      <c r="I86" s="279">
        <f>'Resultater - Vestdanmark'!I86+'Resultater - Østdanmark'!I86</f>
        <v>-43716.542295393781</v>
      </c>
      <c r="J86" s="280">
        <f>'Resultater - Vestdanmark'!J86+'Resultater - Østdanmark'!J86</f>
        <v>-36063.606907696885</v>
      </c>
    </row>
    <row r="87" spans="1:10" hidden="1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78">
        <f>'Resultater - Vestdanmark'!H87+'Resultater - Østdanmark'!H87</f>
        <v>60495.062518513841</v>
      </c>
      <c r="I87" s="279">
        <f>'Resultater - Vestdanmark'!I87+'Resultater - Østdanmark'!I87</f>
        <v>93282.350728364167</v>
      </c>
      <c r="J87" s="280">
        <f>'Resultater - Vestdanmark'!J87+'Resultater - Østdanmark'!J87</f>
        <v>76952.518462286942</v>
      </c>
    </row>
    <row r="88" spans="1:10" hidden="1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78">
        <f>'Resultater - Vestdanmark'!H88+'Resultater - Østdanmark'!H88</f>
        <v>440600</v>
      </c>
      <c r="I88" s="279">
        <f>'Resultater - Vestdanmark'!I88+'Resultater - Østdanmark'!I88</f>
        <v>429380.51670086844</v>
      </c>
      <c r="J88" s="280">
        <f>'Resultater - Vestdanmark'!J88+'Resultater - Østdanmark'!J88</f>
        <v>204318.01879567697</v>
      </c>
    </row>
    <row r="89" spans="1:10" hidden="1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78">
        <f>'Resultater - Vestdanmark'!H89+'Resultater - Østdanmark'!H89</f>
        <v>12785500</v>
      </c>
      <c r="I89" s="279">
        <f>'Resultater - Vestdanmark'!I89+'Resultater - Østdanmark'!I89</f>
        <v>12459928.725099757</v>
      </c>
      <c r="J89" s="280">
        <f>'Resultater - Vestdanmark'!J89+'Resultater - Østdanmark'!J89</f>
        <v>5928978.7319839485</v>
      </c>
    </row>
    <row r="90" spans="1:10" hidden="1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78">
        <f>'Resultater - Vestdanmark'!H90+'Resultater - Østdanmark'!H90</f>
        <v>250560.00000000003</v>
      </c>
      <c r="I90" s="279">
        <f>'Resultater - Vestdanmark'!I90+'Resultater - Østdanmark'!I90</f>
        <v>244179.71462680344</v>
      </c>
      <c r="J90" s="280">
        <f>'Resultater - Vestdanmark'!J90+'Resultater - Østdanmark'!J90</f>
        <v>116191.38172819979</v>
      </c>
    </row>
    <row r="91" spans="1:10" hidden="1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78">
        <f>'Resultater - Vestdanmark'!H91+'Resultater - Østdanmark'!H91</f>
        <v>4786000</v>
      </c>
      <c r="I91" s="279">
        <f>'Resultater - Vestdanmark'!I91+'Resultater - Østdanmark'!I91</f>
        <v>4664128.8082849663</v>
      </c>
      <c r="J91" s="280">
        <f>'Resultater - Vestdanmark'!J91+'Resultater - Østdanmark'!J91</f>
        <v>2219396.3639494102</v>
      </c>
    </row>
    <row r="92" spans="1:10" hidden="1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78">
        <f>'Resultater - Vestdanmark'!H92+'Resultater - Østdanmark'!H92</f>
        <v>54522.149641311174</v>
      </c>
      <c r="I92" s="279">
        <f>'Resultater - Vestdanmark'!I92+'Resultater - Østdanmark'!I92</f>
        <v>53133.792066791335</v>
      </c>
      <c r="J92" s="280">
        <f>'Resultater - Vestdanmark'!J92+'Resultater - Østdanmark'!J92</f>
        <v>25283.380833395662</v>
      </c>
    </row>
    <row r="93" spans="1:10" hidden="1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78">
        <f>'Resultater - Vestdanmark'!H93+'Resultater - Østdanmark'!H93</f>
        <v>-3317225912</v>
      </c>
      <c r="I93" s="279">
        <f>'Resultater - Vestdanmark'!I93+'Resultater - Østdanmark'!I93</f>
        <v>-3232755733.3365173</v>
      </c>
      <c r="J93" s="280">
        <f>'Resultater - Vestdanmark'!J93+'Resultater - Østdanmark'!J93</f>
        <v>-1538286487.1482584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78">
        <f>'Resultater - Vestdanmark'!H94+'Resultater - Østdanmark'!H94</f>
        <v>-13874.569799999999</v>
      </c>
      <c r="I94" s="279">
        <f>'Resultater - Vestdanmark'!I94+'Resultater - Østdanmark'!I94</f>
        <v>-13521.266340731423</v>
      </c>
      <c r="J94" s="280">
        <f>'Resultater - Vestdanmark'!J94+'Resultater - Østdanmark'!J94</f>
        <v>-6434.0095623657107</v>
      </c>
    </row>
    <row r="95" spans="1:10" hidden="1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78">
        <f>'Resultater - Vestdanmark'!H95+'Resultater - Østdanmark'!H95</f>
        <v>3588024.4873487833</v>
      </c>
      <c r="I95" s="279">
        <f>'Resultater - Vestdanmark'!I95+'Resultater - Østdanmark'!I95</f>
        <v>3496658.6661670199</v>
      </c>
      <c r="J95" s="280">
        <f>'Resultater - Vestdanmark'!J95+'Resultater - Østdanmark'!J95</f>
        <v>1663863.0382330411</v>
      </c>
    </row>
    <row r="96" spans="1:10" hidden="1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78">
        <f>'Resultater - Vestdanmark'!H96+'Resultater - Østdanmark'!H96</f>
        <v>23400.000000000004</v>
      </c>
      <c r="I96" s="279">
        <f>'Resultater - Vestdanmark'!I96+'Resultater - Østdanmark'!I96</f>
        <v>26765.328207443497</v>
      </c>
      <c r="J96" s="280">
        <f>'Resultater - Vestdanmark'!J96+'Resultater - Østdanmark'!J96</f>
        <v>16493.858212873602</v>
      </c>
    </row>
    <row r="97" spans="1:10" hidden="1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78">
        <f>'Resultater - Vestdanmark'!H97+'Resultater - Østdanmark'!H97</f>
        <v>1264500</v>
      </c>
      <c r="I97" s="279">
        <f>'Resultater - Vestdanmark'!I97+'Resultater - Østdanmark'!I97</f>
        <v>1446357.1589022353</v>
      </c>
      <c r="J97" s="280">
        <f>'Resultater - Vestdanmark'!J97+'Resultater - Østdanmark'!J97</f>
        <v>891302.72265720798</v>
      </c>
    </row>
    <row r="98" spans="1:10" hidden="1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78">
        <f>'Resultater - Vestdanmark'!H98+'Resultater - Østdanmark'!H98</f>
        <v>10440.000000000002</v>
      </c>
      <c r="I98" s="279">
        <f>'Resultater - Vestdanmark'!I98+'Resultater - Østdanmark'!I98</f>
        <v>11941.454123320946</v>
      </c>
      <c r="J98" s="280">
        <f>'Resultater - Vestdanmark'!J98+'Resultater - Østdanmark'!J98</f>
        <v>7358.7982795897606</v>
      </c>
    </row>
    <row r="99" spans="1:10" hidden="1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78">
        <f>'Resultater - Vestdanmark'!H99+'Resultater - Østdanmark'!H99</f>
        <v>482999.99999999994</v>
      </c>
      <c r="I99" s="279">
        <f>'Resultater - Vestdanmark'!I99+'Resultater - Østdanmark'!I99</f>
        <v>552463.82582030806</v>
      </c>
      <c r="J99" s="280">
        <f>'Resultater - Vestdanmark'!J99+'Resultater - Østdanmark'!J99</f>
        <v>340450.15029136534</v>
      </c>
    </row>
    <row r="100" spans="1:10" hidden="1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78">
        <f>'Resultater - Vestdanmark'!H100+'Resultater - Østdanmark'!H100</f>
        <v>9653.6103586888312</v>
      </c>
      <c r="I100" s="279">
        <f>'Resultater - Vestdanmark'!I100+'Resultater - Østdanmark'!I100</f>
        <v>11041.967933208674</v>
      </c>
      <c r="J100" s="280">
        <f>'Resultater - Vestdanmark'!J100+'Resultater - Østdanmark'!J100</f>
        <v>6804.4991666043361</v>
      </c>
    </row>
    <row r="101" spans="1:10" hidden="1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78">
        <f>'Resultater - Vestdanmark'!H101+'Resultater - Østdanmark'!H101</f>
        <v>-587343064</v>
      </c>
      <c r="I101" s="279">
        <f>'Resultater - Vestdanmark'!I101+'Resultater - Østdanmark'!I101</f>
        <v>-671813242.66348267</v>
      </c>
      <c r="J101" s="280">
        <f>'Resultater - Vestdanmark'!J101+'Resultater - Østdanmark'!J101</f>
        <v>-413998000.85174125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78">
        <f>'Resultater - Vestdanmark'!H102+'Resultater - Østdanmark'!H102</f>
        <v>-2961.3935999999999</v>
      </c>
      <c r="I102" s="279">
        <f>'Resultater - Vestdanmark'!I102+'Resultater - Østdanmark'!I102</f>
        <v>-3387.2936604881475</v>
      </c>
      <c r="J102" s="280">
        <f>'Resultater - Vestdanmark'!J102+'Resultater - Østdanmark'!J102</f>
        <v>-2087.3848782440737</v>
      </c>
    </row>
    <row r="103" spans="1:10" hidden="1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78">
        <f>'Resultater - Vestdanmark'!H103+'Resultater - Østdanmark'!H103</f>
        <v>531260.59557996574</v>
      </c>
      <c r="I103" s="279">
        <f>'Resultater - Vestdanmark'!I103+'Resultater - Østdanmark'!I103</f>
        <v>607665.13693930302</v>
      </c>
      <c r="J103" s="280">
        <f>'Resultater - Vestdanmark'!J103+'Resultater - Østdanmark'!J103</f>
        <v>374467.39049498882</v>
      </c>
    </row>
    <row r="104" spans="1:10" hidden="1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78">
        <f>'Resultater - Vestdanmark'!H104+'Resultater - Østdanmark'!H104</f>
        <v>105566999.99999999</v>
      </c>
      <c r="I104" s="279">
        <f>'Resultater - Vestdanmark'!I104+'Resultater - Østdanmark'!I104</f>
        <v>102904851.25711353</v>
      </c>
      <c r="J104" s="280">
        <f>'Resultater - Vestdanmark'!J104+'Resultater - Østdanmark'!J104</f>
        <v>97982620.213951036</v>
      </c>
    </row>
    <row r="105" spans="1:10" hidden="1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78">
        <f>'Resultater - Vestdanmark'!H105+'Resultater - Østdanmark'!H105</f>
        <v>6719.2238038686164</v>
      </c>
      <c r="I105" s="279">
        <f>'Resultater - Vestdanmark'!I105+'Resultater - Østdanmark'!I105</f>
        <v>6549.7809552261278</v>
      </c>
      <c r="J105" s="280">
        <f>'Resultater - Vestdanmark'!J105+'Resultater - Østdanmark'!J105</f>
        <v>6236.4863461782397</v>
      </c>
    </row>
    <row r="106" spans="1:10" hidden="1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78">
        <f>'Resultater - Vestdanmark'!H106+'Resultater - Østdanmark'!H106</f>
        <v>148922.51453359297</v>
      </c>
      <c r="I106" s="279">
        <f>'Resultater - Vestdanmark'!I106+'Resultater - Østdanmark'!I106</f>
        <v>145167.04279665722</v>
      </c>
      <c r="J106" s="280">
        <f>'Resultater - Vestdanmark'!J106+'Resultater - Østdanmark'!J106</f>
        <v>138223.29120702157</v>
      </c>
    </row>
    <row r="107" spans="1:10" hidden="1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78">
        <f>'Resultater - Vestdanmark'!H107+'Resultater - Østdanmark'!H107</f>
        <v>220000</v>
      </c>
      <c r="I107" s="279">
        <f>'Resultater - Vestdanmark'!I107+'Resultater - Østdanmark'!I107</f>
        <v>214452.12307411386</v>
      </c>
      <c r="J107" s="280">
        <f>'Resultater - Vestdanmark'!J107+'Resultater - Østdanmark'!J107</f>
        <v>204194.26948827977</v>
      </c>
    </row>
    <row r="108" spans="1:10" hidden="1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78">
        <f>'Resultater - Vestdanmark'!H108+'Resultater - Østdanmark'!H108</f>
        <v>9291.4831667730468</v>
      </c>
      <c r="I108" s="279">
        <f>'Resultater - Vestdanmark'!I108+'Resultater - Østdanmark'!I108</f>
        <v>9057.1740528266855</v>
      </c>
      <c r="J108" s="280">
        <f>'Resultater - Vestdanmark'!J108+'Resultater - Østdanmark'!J108</f>
        <v>8623.943716826685</v>
      </c>
    </row>
    <row r="109" spans="1:10" hidden="1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78">
        <f>'Resultater - Vestdanmark'!H109+'Resultater - Østdanmark'!H109</f>
        <v>-365582337.12</v>
      </c>
      <c r="I109" s="279">
        <f>'Resultater - Vestdanmark'!I109+'Resultater - Østdanmark'!I109</f>
        <v>-356363219.78991097</v>
      </c>
      <c r="J109" s="280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78">
        <f>'Resultater - Vestdanmark'!H110+'Resultater - Østdanmark'!H110</f>
        <v>-8664.776171999998</v>
      </c>
      <c r="I110" s="279">
        <f>'Resultater - Vestdanmark'!I110+'Resultater - Østdanmark'!I110</f>
        <v>-8446.2711183972406</v>
      </c>
      <c r="J110" s="280">
        <f>'Resultater - Vestdanmark'!J110+'Resultater - Østdanmark'!J110</f>
        <v>-8042.2620032772411</v>
      </c>
    </row>
    <row r="111" spans="1:10" hidden="1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78">
        <f>'Resultater - Vestdanmark'!H111+'Resultater - Østdanmark'!H111</f>
        <v>14116.474844810102</v>
      </c>
      <c r="I111" s="279">
        <f>'Resultater - Vestdanmark'!I111+'Resultater - Østdanmark'!I111</f>
        <v>13760.490912690218</v>
      </c>
      <c r="J111" s="280">
        <f>'Resultater - Vestdanmark'!J111+'Resultater - Østdanmark'!J111</f>
        <v>13102.287584934891</v>
      </c>
    </row>
    <row r="112" spans="1:10" hidden="1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78">
        <f>'Resultater - Vestdanmark'!H112+'Resultater - Østdanmark'!H112</f>
        <v>1224707</v>
      </c>
      <c r="I112" s="279">
        <f>'Resultater - Vestdanmark'!I112+'Resultater - Østdanmark'!I112</f>
        <v>1411132.4071133996</v>
      </c>
      <c r="J112" s="280">
        <f>'Resultater - Vestdanmark'!J112+'Resultater - Østdanmark'!J112</f>
        <v>1755827.2437861352</v>
      </c>
    </row>
    <row r="113" spans="1:10" hidden="1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78">
        <f>'Resultater - Vestdanmark'!H113+'Resultater - Østdanmark'!H113</f>
        <v>2163.7761961313831</v>
      </c>
      <c r="I113" s="279">
        <f>'Resultater - Vestdanmark'!I113+'Resultater - Østdanmark'!I113</f>
        <v>2493.1471054722101</v>
      </c>
      <c r="J113" s="280">
        <f>'Resultater - Vestdanmark'!J113+'Resultater - Østdanmark'!J113</f>
        <v>3102.1437736727353</v>
      </c>
    </row>
    <row r="114" spans="1:10" hidden="1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78">
        <f>'Resultater - Vestdanmark'!H114+'Resultater - Østdanmark'!H114</f>
        <v>8147.4854664070526</v>
      </c>
      <c r="I114" s="279">
        <f>'Resultater - Vestdanmark'!I114+'Resultater - Østdanmark'!I114</f>
        <v>9387.6990807862003</v>
      </c>
      <c r="J114" s="280">
        <f>'Resultater - Vestdanmark'!J114+'Resultater - Østdanmark'!J114</f>
        <v>11680.815860666338</v>
      </c>
    </row>
    <row r="115" spans="1:10" hidden="1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78">
        <f>'Resultater - Vestdanmark'!H115+'Resultater - Østdanmark'!H115</f>
        <v>15000</v>
      </c>
      <c r="I115" s="279">
        <f>'Resultater - Vestdanmark'!I115+'Resultater - Østdanmark'!I115</f>
        <v>17283.306216671408</v>
      </c>
      <c r="J115" s="280">
        <f>'Resultater - Vestdanmark'!J115+'Resultater - Østdanmark'!J115</f>
        <v>21505.069095540424</v>
      </c>
    </row>
    <row r="116" spans="1:10" hidden="1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78">
        <f>'Resultater - Vestdanmark'!H116+'Resultater - Østdanmark'!H116</f>
        <v>1539.2752332269538</v>
      </c>
      <c r="I116" s="279">
        <f>'Resultater - Vestdanmark'!I116+'Resultater - Østdanmark'!I116</f>
        <v>1773.5843471733165</v>
      </c>
      <c r="J116" s="280">
        <f>'Resultater - Vestdanmark'!J116+'Resultater - Østdanmark'!J116</f>
        <v>2206.8146831733166</v>
      </c>
    </row>
    <row r="117" spans="1:10" hidden="1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78">
        <f>'Resultater - Vestdanmark'!H117+'Resultater - Østdanmark'!H117</f>
        <v>-60564263.759999998</v>
      </c>
      <c r="I117" s="279">
        <f>'Resultater - Vestdanmark'!I117+'Resultater - Østdanmark'!I117</f>
        <v>-69783381.090089008</v>
      </c>
      <c r="J117" s="280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78">
        <f>'Resultater - Vestdanmark'!H118+'Resultater - Østdanmark'!H118</f>
        <v>-2703.7617749999999</v>
      </c>
      <c r="I118" s="279">
        <f>'Resultater - Vestdanmark'!I118+'Resultater - Østdanmark'!I118</f>
        <v>-3115.3295129504022</v>
      </c>
      <c r="J118" s="280">
        <f>'Resultater - Vestdanmark'!J118+'Resultater - Østdanmark'!J118</f>
        <v>-3876.3055859504016</v>
      </c>
    </row>
    <row r="119" spans="1:10" hidden="1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78">
        <f>'Resultater - Vestdanmark'!H119+'Resultater - Østdanmark'!H119</f>
        <v>2572.4691839803959</v>
      </c>
      <c r="I119" s="279">
        <f>'Resultater - Vestdanmark'!I119+'Resultater - Østdanmark'!I119</f>
        <v>2964.0515093122676</v>
      </c>
      <c r="J119" s="280">
        <f>'Resultater - Vestdanmark'!J119+'Resultater - Østdanmark'!J119</f>
        <v>3688.0751698431277</v>
      </c>
    </row>
    <row r="120" spans="1:10" hidden="1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78">
        <f>'Resultater - Vestdanmark'!H120+'Resultater - Østdanmark'!H120</f>
        <v>8030838.3925888147</v>
      </c>
      <c r="I120" s="279">
        <f>'Resultater - Vestdanmark'!I120+'Resultater - Østdanmark'!I120</f>
        <v>7643114.391277791</v>
      </c>
      <c r="J120" s="280">
        <f>'Resultater - Vestdanmark'!J120+'Resultater - Østdanmark'!J120</f>
        <v>4678340.6372736003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78">
        <f>'Resultater - Vestdanmark'!H121+'Resultater - Østdanmark'!H121</f>
        <v>2621245.5742450082</v>
      </c>
      <c r="I121" s="279">
        <f>'Resultater - Vestdanmark'!I121+'Resultater - Østdanmark'!I121</f>
        <v>2313610.6529567568</v>
      </c>
      <c r="J121" s="280">
        <f>'Resultater - Vestdanmark'!J121+'Resultater - Østdanmark'!J121</f>
        <v>2376265.3703316003</v>
      </c>
    </row>
    <row r="122" spans="1:10" hidden="1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78">
        <f>'Resultater - Vestdanmark'!H122+'Resultater - Østdanmark'!H122</f>
        <v>-183300163.02627823</v>
      </c>
      <c r="I122" s="279">
        <f>'Resultater - Vestdanmark'!I122+'Resultater - Østdanmark'!I122</f>
        <v>-162733714.97599998</v>
      </c>
      <c r="J122" s="280">
        <f>'Resultater - Vestdanmark'!J122+'Resultater - Østdanmark'!J122</f>
        <v>-99609100.799999982</v>
      </c>
    </row>
    <row r="123" spans="1:10" hidden="1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78">
        <f>'Resultater - Vestdanmark'!H123+'Resultater - Østdanmark'!H123</f>
        <v>2604803.426450097</v>
      </c>
      <c r="I123" s="279">
        <f>'Resultater - Vestdanmark'!I123+'Resultater - Østdanmark'!I123</f>
        <v>2312542.069630722</v>
      </c>
      <c r="J123" s="280">
        <f>'Resultater - Vestdanmark'!J123+'Resultater - Østdanmark'!J123</f>
        <v>1415504.0714953218</v>
      </c>
    </row>
    <row r="124" spans="1:10" hidden="1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78">
        <f>'Resultater - Vestdanmark'!H124+'Resultater - Østdanmark'!H124</f>
        <v>225935.04552207049</v>
      </c>
      <c r="I124" s="279">
        <f>'Resultater - Vestdanmark'!I124+'Resultater - Østdanmark'!I124</f>
        <v>185152.60445012414</v>
      </c>
      <c r="J124" s="280">
        <f>'Resultater - Vestdanmark'!J124+'Resultater - Østdanmark'!J124</f>
        <v>4.4858668470684426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78">
        <f>'Resultater - Vestdanmark'!H125+'Resultater - Østdanmark'!H125</f>
        <v>73744.634020790007</v>
      </c>
      <c r="I125" s="279">
        <f>'Resultater - Vestdanmark'!I125+'Resultater - Østdanmark'!I125</f>
        <v>56046.660582150449</v>
      </c>
      <c r="J125" s="280">
        <f>'Resultater - Vestdanmark'!J125+'Resultater - Østdanmark'!J125</f>
        <v>2.2785023304372833</v>
      </c>
    </row>
    <row r="126" spans="1:10" hidden="1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78">
        <f>'Resultater - Vestdanmark'!H126+'Resultater - Østdanmark'!H126</f>
        <v>-3491625.762942126</v>
      </c>
      <c r="I126" s="279">
        <f>'Resultater - Vestdanmark'!I126+'Resultater - Østdanmark'!I126</f>
        <v>-2669187.7828355702</v>
      </c>
      <c r="J126" s="280">
        <f>'Resultater - Vestdanmark'!J126+'Resultater - Østdanmark'!J126</f>
        <v>-64.668930902603776</v>
      </c>
    </row>
    <row r="127" spans="1:10" hidden="1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78">
        <f>'Resultater - Vestdanmark'!H127+'Resultater - Østdanmark'!H127</f>
        <v>429515.47728160548</v>
      </c>
      <c r="I127" s="279">
        <f>'Resultater - Vestdanmark'!I127+'Resultater - Østdanmark'!I127</f>
        <v>328344.88640409685</v>
      </c>
      <c r="J127" s="280">
        <f>'Resultater - Vestdanmark'!J127+'Resultater - Østdanmark'!J127</f>
        <v>7.955121369742117</v>
      </c>
    </row>
    <row r="128" spans="1:10" hidden="1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78">
        <f>'Resultater - Vestdanmark'!H128+'Resultater - Østdanmark'!H128</f>
        <v>134184.5342649988</v>
      </c>
      <c r="I128" s="279">
        <f>'Resultater - Vestdanmark'!I128+'Resultater - Østdanmark'!I128</f>
        <v>3.6033265463698143</v>
      </c>
      <c r="J128" s="280">
        <f>'Resultater - Vestdanmark'!J128+'Resultater - Østdanmark'!J128</f>
        <v>3.4366987291966442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78">
        <f>'Resultater - Vestdanmark'!H129+'Resultater - Østdanmark'!H129</f>
        <v>43797.49652275996</v>
      </c>
      <c r="I129" s="279">
        <f>'Resultater - Vestdanmark'!I129+'Resultater - Østdanmark'!I129</f>
        <v>1.090745768933773</v>
      </c>
      <c r="J129" s="280">
        <f>'Resultater - Vestdanmark'!J129+'Resultater - Østdanmark'!J129</f>
        <v>1.7455993078801986</v>
      </c>
    </row>
    <row r="130" spans="1:10" hidden="1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78">
        <f>'Resultater - Vestdanmark'!H130+'Resultater - Østdanmark'!H130</f>
        <v>-1367276.6890666278</v>
      </c>
      <c r="I130" s="279">
        <f>'Resultater - Vestdanmark'!I130+'Resultater - Østdanmark'!I130</f>
        <v>-34.250174004865642</v>
      </c>
      <c r="J130" s="280">
        <f>'Resultater - Vestdanmark'!J130+'Resultater - Østdanmark'!J130</f>
        <v>-32.666350929496133</v>
      </c>
    </row>
    <row r="131" spans="1:10" hidden="1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78">
        <f>'Resultater - Vestdanmark'!H131+'Resultater - Østdanmark'!H131</f>
        <v>559922.97086443973</v>
      </c>
      <c r="I131" s="279">
        <f>'Resultater - Vestdanmark'!I131+'Resultater - Østdanmark'!I131</f>
        <v>14.02602657880453</v>
      </c>
      <c r="J131" s="280">
        <f>'Resultater - Vestdanmark'!J131+'Resultater - Østdanmark'!J131</f>
        <v>13.3774241936575</v>
      </c>
    </row>
    <row r="132" spans="1:10" hidden="1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78">
        <f>'Resultater - Vestdanmark'!H132+'Resultater - Østdanmark'!H132</f>
        <v>687979.55575600604</v>
      </c>
      <c r="I132" s="279">
        <f>'Resultater - Vestdanmark'!I132+'Resultater - Østdanmark'!I132</f>
        <v>799213.52218621538</v>
      </c>
      <c r="J132" s="280">
        <f>'Resultater - Vestdanmark'!J132+'Resultater - Østdanmark'!J132</f>
        <v>664891.44208524795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78">
        <f>'Resultater - Vestdanmark'!H133+'Resultater - Østdanmark'!H133</f>
        <v>224554.80704987101</v>
      </c>
      <c r="I133" s="279">
        <f>'Resultater - Vestdanmark'!I133+'Resultater - Østdanmark'!I133</f>
        <v>241926.1081617788</v>
      </c>
      <c r="J133" s="280">
        <f>'Resultater - Vestdanmark'!J133+'Resultater - Østdanmark'!J133</f>
        <v>337717.71475318802</v>
      </c>
    </row>
    <row r="134" spans="1:10" hidden="1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78">
        <f>'Resultater - Vestdanmark'!H134+'Resultater - Østdanmark'!H134</f>
        <v>-15702814.396713404</v>
      </c>
      <c r="I134" s="279">
        <f>'Resultater - Vestdanmark'!I134+'Resultater - Østdanmark'!I134</f>
        <v>-17016490.774080001</v>
      </c>
      <c r="J134" s="280">
        <f>'Resultater - Vestdanmark'!J134+'Resultater - Østdanmark'!J134</f>
        <v>-14156566.143999998</v>
      </c>
    </row>
    <row r="135" spans="1:10" hidden="1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78">
        <f>'Resultater - Vestdanmark'!H135+'Resultater - Østdanmark'!H135</f>
        <v>333054.11051750812</v>
      </c>
      <c r="I135" s="279">
        <f>'Resultater - Vestdanmark'!I135+'Resultater - Østdanmark'!I135</f>
        <v>360916.97040479479</v>
      </c>
      <c r="J135" s="280">
        <f>'Resultater - Vestdanmark'!J135+'Resultater - Østdanmark'!J135</f>
        <v>300258.43940809852</v>
      </c>
    </row>
    <row r="136" spans="1:10" hidden="1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78">
        <f>'Resultater - Vestdanmark'!H136+'Resultater - Østdanmark'!H136</f>
        <v>19355.226023653049</v>
      </c>
      <c r="I136" s="279">
        <f>'Resultater - Vestdanmark'!I136+'Resultater - Østdanmark'!I136</f>
        <v>19360.754997125699</v>
      </c>
      <c r="J136" s="280">
        <f>'Resultater - Vestdanmark'!J136+'Resultater - Østdanmark'!J136</f>
        <v>0.63753683371972725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78">
        <f>'Resultater - Vestdanmark'!H137+'Resultater - Østdanmark'!H137</f>
        <v>6317.4973860552982</v>
      </c>
      <c r="I137" s="279">
        <f>'Resultater - Vestdanmark'!I137+'Resultater - Østdanmark'!I137</f>
        <v>5860.6016759023223</v>
      </c>
      <c r="J137" s="280">
        <f>'Resultater - Vestdanmark'!J137+'Resultater - Østdanmark'!J137</f>
        <v>0.32382351302275325</v>
      </c>
    </row>
    <row r="138" spans="1:10" hidden="1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78">
        <f>'Resultater - Vestdanmark'!H138+'Resultater - Østdanmark'!H138</f>
        <v>-299117.85343258409</v>
      </c>
      <c r="I138" s="279">
        <f>'Resultater - Vestdanmark'!I138+'Resultater - Østdanmark'!I138</f>
        <v>-279107.55486413569</v>
      </c>
      <c r="J138" s="280">
        <f>'Resultater - Vestdanmark'!J138+'Resultater - Østdanmark'!J138</f>
        <v>-9.190826846460963</v>
      </c>
    </row>
    <row r="139" spans="1:10" hidden="1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78">
        <f>'Resultater - Vestdanmark'!H139+'Resultater - Østdanmark'!H139</f>
        <v>54918.499333549895</v>
      </c>
      <c r="I139" s="279">
        <f>'Resultater - Vestdanmark'!I139+'Resultater - Østdanmark'!I139</f>
        <v>51244.577646882164</v>
      </c>
      <c r="J139" s="280">
        <f>'Resultater - Vestdanmark'!J139+'Resultater - Østdanmark'!J139</f>
        <v>1.6874499875210551</v>
      </c>
    </row>
    <row r="140" spans="1:10" hidden="1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78">
        <f>'Resultater - Vestdanmark'!H140+'Resultater - Østdanmark'!H140</f>
        <v>11495.215288873653</v>
      </c>
      <c r="I140" s="279">
        <f>'Resultater - Vestdanmark'!I140+'Resultater - Østdanmark'!I140</f>
        <v>0.37678715158283216</v>
      </c>
      <c r="J140" s="280">
        <f>'Resultater - Vestdanmark'!J140+'Resultater - Østdanmark'!J140</f>
        <v>0.48842778908885631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78">
        <f>'Resultater - Vestdanmark'!H141+'Resultater - Østdanmark'!H141</f>
        <v>3752.0095322501388</v>
      </c>
      <c r="I141" s="279">
        <f>'Resultater - Vestdanmark'!I141+'Resultater - Østdanmark'!I141</f>
        <v>0.11405543907521365</v>
      </c>
      <c r="J141" s="280">
        <f>'Resultater - Vestdanmark'!J141+'Resultater - Østdanmark'!J141</f>
        <v>0.2480866895138828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78">
        <f>'Resultater - Vestdanmark'!H142+'Resultater - Østdanmark'!H142</f>
        <v>-117130.7854990183</v>
      </c>
      <c r="I142" s="279">
        <f>'Resultater - Vestdanmark'!I142+'Resultater - Østdanmark'!I142</f>
        <v>-3.5814199291793036</v>
      </c>
      <c r="J142" s="280">
        <f>'Resultater - Vestdanmark'!J142+'Resultater - Østdanmark'!J142</f>
        <v>-4.6425813896768746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78">
        <f>'Resultater - Vestdanmark'!H143+'Resultater - Østdanmark'!H143</f>
        <v>71592.598937004383</v>
      </c>
      <c r="I143" s="279">
        <f>'Resultater - Vestdanmark'!I143+'Resultater - Østdanmark'!I143</f>
        <v>2.1890330498712274</v>
      </c>
      <c r="J143" s="280">
        <f>'Resultater - Vestdanmark'!J143+'Resultater - Østdanmark'!J143</f>
        <v>2.8376354350182571</v>
      </c>
    </row>
    <row r="144" spans="1:10" hidden="1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78">
        <f>'Resultater - Vestdanmark'!H144+'Resultater - Østdanmark'!H144</f>
        <v>230147.57425814544</v>
      </c>
      <c r="I144" s="279">
        <f>'Resultater - Vestdanmark'!I144+'Resultater - Østdanmark'!I144</f>
        <v>917451.1491832207</v>
      </c>
      <c r="J144" s="280">
        <f>'Resultater - Vestdanmark'!J144+'Resultater - Østdanmark'!J144</f>
        <v>1375848.1813574105</v>
      </c>
    </row>
    <row r="145" spans="1:10" hidden="1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78">
        <f>'Resultater - Vestdanmark'!H145+'Resultater - Østdanmark'!H145</f>
        <v>-2232747.9829002842</v>
      </c>
      <c r="I145" s="279">
        <f>'Resultater - Vestdanmark'!I145+'Resultater - Østdanmark'!I145</f>
        <v>-8302740.5599999987</v>
      </c>
      <c r="J145" s="280">
        <f>'Resultater - Vestdanmark'!J145+'Resultater - Østdanmark'!J145</f>
        <v>-12451137.599999998</v>
      </c>
    </row>
    <row r="146" spans="1:10" hidden="1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78">
        <f>'Resultater - Vestdanmark'!H146+'Resultater - Østdanmark'!H146</f>
        <v>25382.932563674498</v>
      </c>
      <c r="I146" s="279">
        <f>'Resultater - Vestdanmark'!I146+'Resultater - Østdanmark'!I146</f>
        <v>94389.472229825376</v>
      </c>
      <c r="J146" s="280">
        <f>'Resultater - Vestdanmark'!J146+'Resultater - Østdanmark'!J146</f>
        <v>141550.40714953217</v>
      </c>
    </row>
    <row r="147" spans="1:10" hidden="1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78">
        <f>'Resultater - Vestdanmark'!H147+'Resultater - Østdanmark'!H147</f>
        <v>2806.7295229677611</v>
      </c>
      <c r="I147" s="279">
        <f>'Resultater - Vestdanmark'!I147+'Resultater - Østdanmark'!I147</f>
        <v>2300.3402779883349</v>
      </c>
      <c r="J147" s="280">
        <f>'Resultater - Vestdanmark'!J147+'Resultater - Østdanmark'!J147</f>
        <v>5.573251437998631E-2</v>
      </c>
    </row>
    <row r="148" spans="1:10" hidden="1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78">
        <f>'Resultater - Vestdanmark'!H148+'Resultater - Østdanmark'!H148</f>
        <v>-22123.673287397512</v>
      </c>
      <c r="I148" s="279">
        <f>'Resultater - Vestdanmark'!I148+'Resultater - Østdanmark'!I148</f>
        <v>-16914.297772363989</v>
      </c>
      <c r="J148" s="280">
        <f>'Resultater - Vestdanmark'!J148+'Resultater - Østdanmark'!J148</f>
        <v>-0.40979865146300187</v>
      </c>
    </row>
    <row r="149" spans="1:10" hidden="1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78">
        <f>'Resultater - Vestdanmark'!H149+'Resultater - Østdanmark'!H149</f>
        <v>1814.3334435803249</v>
      </c>
      <c r="I149" s="279">
        <f>'Resultater - Vestdanmark'!I149+'Resultater - Østdanmark'!I149</f>
        <v>1387.1193867501797</v>
      </c>
      <c r="J149" s="280">
        <f>'Resultater - Vestdanmark'!J149+'Resultater - Østdanmark'!J149</f>
        <v>3.3607050186687304E-2</v>
      </c>
    </row>
    <row r="150" spans="1:10" hidden="1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78">
        <f>'Resultater - Vestdanmark'!H150+'Resultater - Østdanmark'!H150</f>
        <v>843.56496811604438</v>
      </c>
      <c r="I150" s="279">
        <f>'Resultater - Vestdanmark'!I150+'Resultater - Østdanmark'!I150</f>
        <v>2.2695503115964317E-2</v>
      </c>
      <c r="J150" s="280">
        <f>'Resultater - Vestdanmark'!J150+'Resultater - Østdanmark'!J150</f>
        <v>2.1646000081700072E-2</v>
      </c>
    </row>
    <row r="151" spans="1:10" hidden="1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-5553.2523541027549</v>
      </c>
      <c r="I151" s="279">
        <f>'Resultater - Vestdanmark'!I151+'Resultater - Østdanmark'!I151</f>
        <v>-0.13937147708266634</v>
      </c>
      <c r="J151" s="280">
        <f>'Resultater - Vestdanmark'!J151+'Resultater - Østdanmark'!J151</f>
        <v>-0.13292655328693606</v>
      </c>
    </row>
    <row r="152" spans="1:10" hidden="1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1196.9215428986058</v>
      </c>
      <c r="I152" s="279">
        <f>'Resultater - Vestdanmark'!I152+'Resultater - Østdanmark'!I152</f>
        <v>3.003946385807555E-2</v>
      </c>
      <c r="J152" s="280">
        <f>'Resultater - Vestdanmark'!J152+'Resultater - Østdanmark'!J152</f>
        <v>2.8650355702788816E-2</v>
      </c>
    </row>
    <row r="153" spans="1:10" hidden="1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78">
        <f>'Resultater - Vestdanmark'!H153+'Resultater - Østdanmark'!H153</f>
        <v>16773.399891430559</v>
      </c>
      <c r="I153" s="279">
        <f>'Resultater - Vestdanmark'!I153+'Resultater - Østdanmark'!I153</f>
        <v>81616.029976472637</v>
      </c>
      <c r="J153" s="280">
        <f>'Resultater - Vestdanmark'!J153+'Resultater - Østdanmark'!J153</f>
        <v>166352.55283685052</v>
      </c>
    </row>
    <row r="154" spans="1:10" hidden="1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78">
        <f>'Resultater - Vestdanmark'!H154+'Resultater - Østdanmark'!H154</f>
        <v>-162725.04672139056</v>
      </c>
      <c r="I154" s="279">
        <f>'Resultater - Vestdanmark'!I154+'Resultater - Østdanmark'!I154</f>
        <v>-738607.96079999988</v>
      </c>
      <c r="J154" s="280">
        <f>'Resultater - Vestdanmark'!J154+'Resultater - Østdanmark'!J154</f>
        <v>-1505455.7279999997</v>
      </c>
    </row>
    <row r="155" spans="1:10" hidden="1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78">
        <f>'Resultater - Vestdanmark'!H155+'Resultater - Østdanmark'!H155</f>
        <v>3245.5001945546865</v>
      </c>
      <c r="I155" s="279">
        <f>'Resultater - Vestdanmark'!I155+'Resultater - Østdanmark'!I155</f>
        <v>14731.304914481419</v>
      </c>
      <c r="J155" s="280">
        <f>'Resultater - Vestdanmark'!J155+'Resultater - Østdanmark'!J155</f>
        <v>30025.843940809853</v>
      </c>
    </row>
    <row r="156" spans="1:10" hidden="1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78">
        <f>'Resultater - Vestdanmark'!H156+'Resultater - Østdanmark'!H156</f>
        <v>204.5574315852524</v>
      </c>
      <c r="I156" s="279">
        <f>'Resultater - Vestdanmark'!I156+'Resultater - Østdanmark'!I156</f>
        <v>204.63720738867326</v>
      </c>
      <c r="J156" s="280">
        <f>'Resultater - Vestdanmark'!J156+'Resultater - Østdanmark'!J156</f>
        <v>6.7385676477619821E-3</v>
      </c>
    </row>
    <row r="157" spans="1:10" hidden="1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78">
        <f>'Resultater - Vestdanmark'!H157+'Resultater - Østdanmark'!H157</f>
        <v>-1612.3968297864642</v>
      </c>
      <c r="I157" s="279">
        <f>'Resultater - Vestdanmark'!I157+'Resultater - Østdanmark'!I157</f>
        <v>-1504.6881081889119</v>
      </c>
      <c r="J157" s="280">
        <f>'Resultater - Vestdanmark'!J157+'Resultater - Østdanmark'!J157</f>
        <v>-4.9548382404162948E-2</v>
      </c>
    </row>
    <row r="158" spans="1:10" hidden="1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78">
        <f>'Resultater - Vestdanmark'!H158+'Resultater - Østdanmark'!H158</f>
        <v>231.98342151189939</v>
      </c>
      <c r="I158" s="279">
        <f>'Resultater - Vestdanmark'!I158+'Resultater - Østdanmark'!I158</f>
        <v>216.48684070667548</v>
      </c>
      <c r="J158" s="280">
        <f>'Resultater - Vestdanmark'!J158+'Resultater - Østdanmark'!J158</f>
        <v>7.1287682214185187E-3</v>
      </c>
    </row>
    <row r="159" spans="1:10" hidden="1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78">
        <f>'Resultater - Vestdanmark'!H159+'Resultater - Østdanmark'!H159</f>
        <v>61.479911705441317</v>
      </c>
      <c r="I159" s="279">
        <f>'Resultater - Vestdanmark'!I159+'Resultater - Østdanmark'!I159</f>
        <v>2.0189814621658433E-3</v>
      </c>
      <c r="J159" s="280">
        <f>'Resultater - Vestdanmark'!J159+'Resultater - Østdanmark'!J159</f>
        <v>2.6171981916964628E-3</v>
      </c>
    </row>
    <row r="160" spans="1:10" hidden="1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78">
        <f>'Resultater - Vestdanmark'!H160+'Resultater - Østdanmark'!H160</f>
        <v>-404.72693546148446</v>
      </c>
      <c r="I160" s="279">
        <f>'Resultater - Vestdanmark'!I160+'Resultater - Østdanmark'!I160</f>
        <v>-1.2398422152036039E-2</v>
      </c>
      <c r="J160" s="280">
        <f>'Resultater - Vestdanmark'!J160+'Resultater - Østdanmark'!J160</f>
        <v>-1.6072028715602271E-2</v>
      </c>
    </row>
    <row r="161" spans="1:10" hidden="1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78">
        <f>'Resultater - Vestdanmark'!H161+'Resultater - Østdanmark'!H161</f>
        <v>153.04020095390325</v>
      </c>
      <c r="I161" s="279">
        <f>'Resultater - Vestdanmark'!I161+'Resultater - Østdanmark'!I161</f>
        <v>4.6882400240927154E-3</v>
      </c>
      <c r="J161" s="280">
        <f>'Resultater - Vestdanmark'!J161+'Resultater - Østdanmark'!J161</f>
        <v>6.0773481793794451E-3</v>
      </c>
    </row>
    <row r="162" spans="1:10" hidden="1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78">
        <f>'Resultater - Vestdanmark'!H162+'Resultater - Østdanmark'!H162</f>
        <v>27749.688657763778</v>
      </c>
      <c r="I162" s="279">
        <f>'Resultater - Vestdanmark'!I162+'Resultater - Østdanmark'!I162</f>
        <v>102101.20636037248</v>
      </c>
      <c r="J162" s="280">
        <f>'Resultater - Vestdanmark'!J162+'Resultater - Østdanmark'!J162</f>
        <v>152795.99435561016</v>
      </c>
    </row>
    <row r="163" spans="1:10" hidden="1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-23743486.815882854</v>
      </c>
      <c r="I163" s="279">
        <f>'Resultater - Vestdanmark'!I163+'Resultater - Østdanmark'!I163</f>
        <v>-87360931.396431655</v>
      </c>
      <c r="J163" s="280">
        <f>'Resultater - Vestdanmark'!J163+'Resultater - Østdanmark'!J163</f>
        <v>-130736950.68240446</v>
      </c>
    </row>
    <row r="164" spans="1:10" hidden="1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5141.4697369274418</v>
      </c>
      <c r="I164" s="279">
        <f>'Resultater - Vestdanmark'!I164+'Resultater - Østdanmark'!I164</f>
        <v>18917.338824223847</v>
      </c>
      <c r="J164" s="280">
        <f>'Resultater - Vestdanmark'!J164+'Resultater - Østdanmark'!J164</f>
        <v>28310.082703695945</v>
      </c>
    </row>
    <row r="165" spans="1:10" hidden="1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2022.4268112306345</v>
      </c>
      <c r="I165" s="279">
        <f>'Resultater - Vestdanmark'!I165+'Resultater - Østdanmark'!I165</f>
        <v>9082.8761033880492</v>
      </c>
      <c r="J165" s="280">
        <f>'Resultater - Vestdanmark'!J165+'Resultater - Østdanmark'!J165</f>
        <v>18474.424772087408</v>
      </c>
    </row>
    <row r="166" spans="1:10" hidden="1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-1730450.5618338804</v>
      </c>
      <c r="I166" s="279">
        <f>'Resultater - Vestdanmark'!I166+'Resultater - Østdanmark'!I166</f>
        <v>-7771588.058907995</v>
      </c>
      <c r="J166" s="280">
        <f>'Resultater - Vestdanmark'!J166+'Resultater - Østdanmark'!J166</f>
        <v>-15807285.855236175</v>
      </c>
    </row>
    <row r="167" spans="1:10" hidden="1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657.39610620781025</v>
      </c>
      <c r="I167" s="279">
        <f>'Resultater - Vestdanmark'!I167+'Resultater - Østdanmark'!I167</f>
        <v>2952.4170419308894</v>
      </c>
      <c r="J167" s="280">
        <f>'Resultater - Vestdanmark'!J167+'Resultater - Østdanmark'!J167</f>
        <v>6005.1690583597465</v>
      </c>
    </row>
    <row r="168" spans="1:10" hidden="1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78">
        <f>'Resultater - Vestdanmark'!H168+'Resultater - Østdanmark'!H168</f>
        <v>1955168.9801122241</v>
      </c>
      <c r="I168" s="279">
        <f>'Resultater - Vestdanmark'!I168+'Resultater - Østdanmark'!I168</f>
        <v>2069369.1314715031</v>
      </c>
      <c r="J168" s="280">
        <f>'Resultater - Vestdanmark'!J168+'Resultater - Østdanmark'!J168</f>
        <v>2125820.2734979047</v>
      </c>
    </row>
    <row r="169" spans="1:10" hidden="1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-6905324.6027384531</v>
      </c>
      <c r="I169" s="279">
        <f>'Resultater - Vestdanmark'!I169+'Resultater - Østdanmark'!I169</f>
        <v>-6817779.9736078605</v>
      </c>
      <c r="J169" s="280">
        <f>'Resultater - Vestdanmark'!J169+'Resultater - Østdanmark'!J169</f>
        <v>-7003764.8999999985</v>
      </c>
    </row>
    <row r="170" spans="1:10" hidden="1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104670.65103270129</v>
      </c>
      <c r="I170" s="279">
        <f>'Resultater - Vestdanmark'!I170+'Resultater - Østdanmark'!I170</f>
        <v>103343.65283164909</v>
      </c>
      <c r="J170" s="280">
        <f>'Resultater - Vestdanmark'!J170+'Resultater - Østdanmark'!J170</f>
        <v>106162.80536214913</v>
      </c>
    </row>
    <row r="171" spans="1:10" hidden="1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78">
        <f>'Resultater - Vestdanmark'!H171+'Resultater - Østdanmark'!H171</f>
        <v>76780.532840637781</v>
      </c>
      <c r="I171" s="279">
        <f>'Resultater - Vestdanmark'!I171+'Resultater - Østdanmark'!I171</f>
        <v>62909.083443499112</v>
      </c>
      <c r="J171" s="280">
        <f>'Resultater - Vestdanmark'!J171+'Resultater - Østdanmark'!J171</f>
        <v>1.5241577218777458</v>
      </c>
    </row>
    <row r="172" spans="1:10" hidden="1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-180783.86329737815</v>
      </c>
      <c r="I172" s="279">
        <f>'Resultater - Vestdanmark'!I172+'Resultater - Østdanmark'!I172</f>
        <v>-138174.24925509488</v>
      </c>
      <c r="J172" s="280">
        <f>'Resultater - Vestdanmark'!J172+'Resultater - Østdanmark'!J172</f>
        <v>-3.3476779097562277</v>
      </c>
    </row>
    <row r="173" spans="1:10" hidden="1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24092.002403541195</v>
      </c>
      <c r="I173" s="279">
        <f>'Resultater - Vestdanmark'!I173+'Resultater - Østdanmark'!I173</f>
        <v>18413.669696201938</v>
      </c>
      <c r="J173" s="280">
        <f>'Resultater - Vestdanmark'!J173+'Resultater - Østdanmark'!J173</f>
        <v>0.44612534978003476</v>
      </c>
    </row>
    <row r="174" spans="1:10" hidden="1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78">
        <f>'Resultater - Vestdanmark'!H174+'Resultater - Østdanmark'!H174</f>
        <v>76689.476357594409</v>
      </c>
      <c r="I174" s="279">
        <f>'Resultater - Vestdanmark'!I174+'Resultater - Østdanmark'!I174</f>
        <v>2.0521016512724364</v>
      </c>
      <c r="J174" s="280">
        <f>'Resultater - Vestdanmark'!J174+'Resultater - Østdanmark'!J174</f>
        <v>1.9572067772251565</v>
      </c>
    </row>
    <row r="175" spans="1:10" hidden="1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-116080.37096608599</v>
      </c>
      <c r="I175" s="279">
        <f>'Resultater - Vestdanmark'!I175+'Resultater - Østdanmark'!I175</f>
        <v>-2.8975243840006524</v>
      </c>
      <c r="J175" s="280">
        <f>'Resultater - Vestdanmark'!J175+'Resultater - Østdanmark'!J175</f>
        <v>-2.7635348171104486</v>
      </c>
    </row>
    <row r="176" spans="1:10" hidden="1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52818.754154083166</v>
      </c>
      <c r="I176" s="279">
        <f>'Resultater - Vestdanmark'!I176+'Resultater - Østdanmark'!I176</f>
        <v>1.3184281443992363</v>
      </c>
      <c r="J176" s="280">
        <f>'Resultater - Vestdanmark'!J176+'Resultater - Østdanmark'!J176</f>
        <v>1.2574603689356878</v>
      </c>
    </row>
    <row r="177" spans="1:10" hidden="1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78">
        <f>'Resultater - Vestdanmark'!H177+'Resultater - Østdanmark'!H177</f>
        <v>142494.79389236751</v>
      </c>
      <c r="I177" s="279">
        <f>'Resultater - Vestdanmark'!I177+'Resultater - Østdanmark'!I177</f>
        <v>184090.1210020025</v>
      </c>
      <c r="J177" s="280">
        <f>'Resultater - Vestdanmark'!J177+'Resultater - Østdanmark'!J177</f>
        <v>257030.99670474662</v>
      </c>
    </row>
    <row r="178" spans="1:10" hidden="1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-503267.39838652278</v>
      </c>
      <c r="I178" s="279">
        <f>'Resultater - Vestdanmark'!I178+'Resultater - Østdanmark'!I178</f>
        <v>-606506.55372153153</v>
      </c>
      <c r="J178" s="280">
        <f>'Resultater - Vestdanmark'!J178+'Resultater - Østdanmark'!J178</f>
        <v>-846818.84699999972</v>
      </c>
    </row>
    <row r="179" spans="1:10" hidden="1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13383.347942111091</v>
      </c>
      <c r="I179" s="279">
        <f>'Resultater - Vestdanmark'!I179+'Resultater - Østdanmark'!I179</f>
        <v>16128.778187598415</v>
      </c>
      <c r="J179" s="280">
        <f>'Resultater - Vestdanmark'!J179+'Resultater - Østdanmark'!J179</f>
        <v>22519.382955607391</v>
      </c>
    </row>
    <row r="180" spans="1:10" hidden="1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78">
        <f>'Resultater - Vestdanmark'!H180+'Resultater - Østdanmark'!H180</f>
        <v>5595.8468620164213</v>
      </c>
      <c r="I180" s="279">
        <f>'Resultater - Vestdanmark'!I180+'Resultater - Østdanmark'!I180</f>
        <v>5596.3629722280421</v>
      </c>
      <c r="J180" s="280">
        <f>'Resultater - Vestdanmark'!J180+'Resultater - Østdanmark'!J180</f>
        <v>0.18428452455430924</v>
      </c>
    </row>
    <row r="181" spans="1:10" hidden="1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-13175.720155987337</v>
      </c>
      <c r="I181" s="279">
        <f>'Resultater - Vestdanmark'!I181+'Resultater - Østdanmark'!I181</f>
        <v>-12291.917318126647</v>
      </c>
      <c r="J181" s="280">
        <f>'Resultater - Vestdanmark'!J181+'Resultater - Østdanmark'!J181</f>
        <v>-0.40476469272507115</v>
      </c>
    </row>
    <row r="182" spans="1:10" hidden="1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3080.4399094454293</v>
      </c>
      <c r="I182" s="279">
        <f>'Resultater - Vestdanmark'!I182+'Resultater - Østdanmark'!I182</f>
        <v>2873.8097213725573</v>
      </c>
      <c r="J182" s="280">
        <f>'Resultater - Vestdanmark'!J182+'Resultater - Østdanmark'!J182</f>
        <v>9.4632649953340711E-2</v>
      </c>
    </row>
    <row r="183" spans="1:10" hidden="1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78">
        <f>'Resultater - Vestdanmark'!H183+'Resultater - Østdanmark'!H183</f>
        <v>5589.2105687262674</v>
      </c>
      <c r="I183" s="279">
        <f>'Resultater - Vestdanmark'!I183+'Resultater - Østdanmark'!I183</f>
        <v>0.1825540139484555</v>
      </c>
      <c r="J183" s="280">
        <f>'Resultater - Vestdanmark'!J183+'Resultater - Østdanmark'!J183</f>
        <v>0.23664409215540524</v>
      </c>
    </row>
    <row r="184" spans="1:10" hidden="1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-8460.0608458981151</v>
      </c>
      <c r="I184" s="279">
        <f>'Resultater - Vestdanmark'!I184+'Resultater - Østdanmark'!I184</f>
        <v>-0.25776242930502913</v>
      </c>
      <c r="J184" s="280">
        <f>'Resultater - Vestdanmark'!J184+'Resultater - Østdanmark'!J184</f>
        <v>-0.33413648243244515</v>
      </c>
    </row>
    <row r="185" spans="1:10" hidden="1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6753.4858887241726</v>
      </c>
      <c r="I185" s="279">
        <f>'Resultater - Vestdanmark'!I185+'Resultater - Østdanmark'!I185</f>
        <v>0.2057662421894762</v>
      </c>
      <c r="J185" s="280">
        <f>'Resultater - Vestdanmark'!J185+'Resultater - Østdanmark'!J185</f>
        <v>0.26673401765302468</v>
      </c>
    </row>
    <row r="186" spans="1:10" hidden="1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78">
        <f>'Resultater - Vestdanmark'!H186+'Resultater - Østdanmark'!H186</f>
        <v>10596561.852889422</v>
      </c>
      <c r="I186" s="279">
        <f>'Resultater - Vestdanmark'!I186+'Resultater - Østdanmark'!I186</f>
        <v>12145228.964590656</v>
      </c>
      <c r="J186" s="280">
        <f>'Resultater - Vestdanmark'!J186+'Resultater - Østdanmark'!J186</f>
        <v>7037031.8494396806</v>
      </c>
    </row>
    <row r="187" spans="1:10" hidden="1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-33100908.649694897</v>
      </c>
      <c r="I187" s="279">
        <f>'Resultater - Vestdanmark'!I187+'Resultater - Østdanmark'!I187</f>
        <v>-35390431.636999995</v>
      </c>
      <c r="J187" s="280">
        <f>'Resultater - Vestdanmark'!J187+'Resultater - Østdanmark'!J187</f>
        <v>-20505467.234999999</v>
      </c>
    </row>
    <row r="188" spans="1:10" hidden="1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485557.09390620678</v>
      </c>
      <c r="I188" s="279">
        <f>'Resultater - Vestdanmark'!I188+'Resultater - Østdanmark'!I188</f>
        <v>519142.09726403968</v>
      </c>
      <c r="J188" s="280">
        <f>'Resultater - Vestdanmark'!J188+'Resultater - Østdanmark'!J188</f>
        <v>300794.61519275588</v>
      </c>
    </row>
    <row r="189" spans="1:10" hidden="1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78">
        <f>'Resultater - Vestdanmark'!H189+'Resultater - Østdanmark'!H189</f>
        <v>1250706.5448330601</v>
      </c>
      <c r="I189" s="279">
        <f>'Resultater - Vestdanmark'!I189+'Resultater - Østdanmark'!I189</f>
        <v>1024804.3601013478</v>
      </c>
      <c r="J189" s="280">
        <f>'Resultater - Vestdanmark'!J189+'Resultater - Østdanmark'!J189</f>
        <v>24.828902176990834</v>
      </c>
    </row>
    <row r="190" spans="1:10" hidden="1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-2730616.868673549</v>
      </c>
      <c r="I190" s="279">
        <f>'Resultater - Vestdanmark'!I190+'Resultater - Østdanmark'!I190</f>
        <v>-2087139.7310664158</v>
      </c>
      <c r="J190" s="280">
        <f>'Resultater - Vestdanmark'!J190+'Resultater - Østdanmark'!J190</f>
        <v>-50.567103566220311</v>
      </c>
    </row>
    <row r="191" spans="1:10" hidden="1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335901.46460405836</v>
      </c>
      <c r="I191" s="279">
        <f>'Resultater - Vestdanmark'!I191+'Resultater - Østdanmark'!I191</f>
        <v>256745.38985730708</v>
      </c>
      <c r="J191" s="280">
        <f>'Resultater - Vestdanmark'!J191+'Resultater - Østdanmark'!J191</f>
        <v>6.2204128098459952</v>
      </c>
    </row>
    <row r="192" spans="1:10" hidden="1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78">
        <f>'Resultater - Vestdanmark'!H192+'Resultater - Østdanmark'!H192</f>
        <v>1501712.5809897545</v>
      </c>
      <c r="I192" s="279">
        <f>'Resultater - Vestdanmark'!I192+'Resultater - Østdanmark'!I192</f>
        <v>40.223420673759442</v>
      </c>
      <c r="J192" s="280">
        <f>'Resultater - Vestdanmark'!J192+'Resultater - Østdanmark'!J192</f>
        <v>38.363378099250326</v>
      </c>
    </row>
    <row r="193" spans="1:10" hidden="1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-2269819.4996822169</v>
      </c>
      <c r="I193" s="279">
        <f>'Resultater - Vestdanmark'!I193+'Resultater - Østdanmark'!I193</f>
        <v>-56.713796317158888</v>
      </c>
      <c r="J193" s="280">
        <f>'Resultater - Vestdanmark'!J193+'Resultater - Østdanmark'!J193</f>
        <v>-54.091193019255577</v>
      </c>
    </row>
    <row r="194" spans="1:10" hidden="1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885266.2325747133</v>
      </c>
      <c r="I194" s="279">
        <f>'Resultater - Vestdanmark'!I194+'Resultater - Østdanmark'!I194</f>
        <v>22.119295744762979</v>
      </c>
      <c r="J194" s="280">
        <f>'Resultater - Vestdanmark'!J194+'Resultater - Østdanmark'!J194</f>
        <v>21.096438138068734</v>
      </c>
    </row>
    <row r="195" spans="1:10" hidden="1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78">
        <f>'Resultater - Vestdanmark'!H195+'Resultater - Østdanmark'!H195</f>
        <v>1056816.1068755633</v>
      </c>
      <c r="I195" s="279">
        <f>'Resultater - Vestdanmark'!I195+'Resultater - Østdanmark'!I195</f>
        <v>1478488.5664409203</v>
      </c>
      <c r="J195" s="280">
        <f>'Resultater - Vestdanmark'!J195+'Resultater - Østdanmark'!J195</f>
        <v>1164308.9059982016</v>
      </c>
    </row>
    <row r="196" spans="1:10" hidden="1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-3301219.1972130653</v>
      </c>
      <c r="I196" s="279">
        <f>'Resultater - Vestdanmark'!I196+'Resultater - Østdanmark'!I196</f>
        <v>-4308222.4871399999</v>
      </c>
      <c r="J196" s="280">
        <f>'Resultater - Vestdanmark'!J196+'Resultater - Østdanmark'!J196</f>
        <v>-3392722.7607</v>
      </c>
    </row>
    <row r="197" spans="1:10" hidden="1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62084.065298082889</v>
      </c>
      <c r="I197" s="279">
        <f>'Resultater - Vestdanmark'!I197+'Resultater - Østdanmark'!I197</f>
        <v>81022.177029647806</v>
      </c>
      <c r="J197" s="280">
        <f>'Resultater - Vestdanmark'!J197+'Resultater - Østdanmark'!J197</f>
        <v>63804.918374220942</v>
      </c>
    </row>
    <row r="198" spans="1:10" hidden="1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78">
        <f>'Resultater - Vestdanmark'!H198+'Resultater - Østdanmark'!H198</f>
        <v>124735.44154265925</v>
      </c>
      <c r="I198" s="279">
        <f>'Resultater - Vestdanmark'!I198+'Resultater - Østdanmark'!I198</f>
        <v>124753.64059962072</v>
      </c>
      <c r="J198" s="280">
        <f>'Resultater - Vestdanmark'!J198+'Resultater - Østdanmark'!J198</f>
        <v>4.108054723829393</v>
      </c>
    </row>
    <row r="199" spans="1:10" hidden="1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-272329.83005081455</v>
      </c>
      <c r="I199" s="279">
        <f>'Resultater - Vestdanmark'!I199+'Resultater - Østdanmark'!I199</f>
        <v>-254076.08518068626</v>
      </c>
      <c r="J199" s="280">
        <f>'Resultater - Vestdanmark'!J199+'Resultater - Østdanmark'!J199</f>
        <v>-8.3665571355019086</v>
      </c>
    </row>
    <row r="200" spans="1:10" hidden="1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42948.869914417002</v>
      </c>
      <c r="I200" s="279">
        <f>'Resultater - Vestdanmark'!I200+'Resultater - Østdanmark'!I200</f>
        <v>40070.089746516132</v>
      </c>
      <c r="J200" s="280">
        <f>'Resultater - Vestdanmark'!J200+'Resultater - Østdanmark'!J200</f>
        <v>1.3194815051188475</v>
      </c>
    </row>
    <row r="201" spans="1:10" hidden="1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78">
        <f>'Resultater - Vestdanmark'!H201+'Resultater - Østdanmark'!H201</f>
        <v>149768.77080700482</v>
      </c>
      <c r="I201" s="279">
        <f>'Resultater - Vestdanmark'!I201+'Resultater - Østdanmark'!I201</f>
        <v>4.8965620773952256</v>
      </c>
      <c r="J201" s="280">
        <f>'Resultater - Vestdanmark'!J201+'Resultater - Østdanmark'!J201</f>
        <v>6.3473952855123272</v>
      </c>
    </row>
    <row r="202" spans="1:10" hidden="1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-226373.59553658532</v>
      </c>
      <c r="I202" s="279">
        <f>'Resultater - Vestdanmark'!I202+'Resultater - Østdanmark'!I202</f>
        <v>-6.9040031817304408</v>
      </c>
      <c r="J202" s="280">
        <f>'Resultater - Vestdanmark'!J202+'Resultater - Østdanmark'!J202</f>
        <v>-8.9496337540950144</v>
      </c>
    </row>
    <row r="203" spans="1:10" hidden="1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113191.4810413066</v>
      </c>
      <c r="I203" s="279">
        <f>'Resultater - Vestdanmark'!I203+'Resultater - Østdanmark'!I203</f>
        <v>3.452144422593066</v>
      </c>
      <c r="J203" s="280">
        <f>'Resultater - Vestdanmark'!J203+'Resultater - Østdanmark'!J203</f>
        <v>4.4750020292873067</v>
      </c>
    </row>
    <row r="204" spans="1:10" hidden="1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78">
        <f>'Resultater - Vestdanmark'!H204+'Resultater - Østdanmark'!H204</f>
        <v>252119.08822285215</v>
      </c>
      <c r="I204" s="279">
        <f>'Resultater - Vestdanmark'!I204+'Resultater - Østdanmark'!I204</f>
        <v>489574.08610700164</v>
      </c>
      <c r="J204" s="280">
        <f>'Resultater - Vestdanmark'!J204+'Resultater - Østdanmark'!J204</f>
        <v>663343.32045907201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78">
        <f>'Resultater - Vestdanmark'!H205+'Resultater - Østdanmark'!H205</f>
        <v>74848.798129844407</v>
      </c>
      <c r="I205" s="279">
        <f>'Resultater - Vestdanmark'!I205+'Resultater - Østdanmark'!I205</f>
        <v>134794.01741958415</v>
      </c>
      <c r="J205" s="280">
        <f>'Resultater - Vestdanmark'!J205+'Resultater - Østdanmark'!J205</f>
        <v>306459.95869625401</v>
      </c>
    </row>
    <row r="206" spans="1:10" hidden="1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78">
        <f>'Resultater - Vestdanmark'!H206+'Resultater - Østdanmark'!H206</f>
        <v>0</v>
      </c>
      <c r="I206" s="279">
        <f>'Resultater - Vestdanmark'!I206+'Resultater - Østdanmark'!I206</f>
        <v>0</v>
      </c>
      <c r="J206" s="280">
        <f>'Resultater - Vestdanmark'!J206+'Resultater - Østdanmark'!J206</f>
        <v>0</v>
      </c>
    </row>
    <row r="207" spans="1:10" hidden="1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78">
        <f>'Resultater - Vestdanmark'!H207+'Resultater - Østdanmark'!H207</f>
        <v>148508.2256030748</v>
      </c>
      <c r="I207" s="279">
        <f>'Resultater - Vestdanmark'!I207+'Resultater - Østdanmark'!I207</f>
        <v>269009.99585500237</v>
      </c>
      <c r="J207" s="280">
        <f>'Resultater - Vestdanmark'!J207+'Resultater - Østdanmark'!J207</f>
        <v>364492.29841004533</v>
      </c>
    </row>
    <row r="208" spans="1:10" hidden="1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78">
        <f>'Resultater - Vestdanmark'!H208+'Resultater - Østdanmark'!H208</f>
        <v>9762.0012470722486</v>
      </c>
      <c r="I208" s="279">
        <f>'Resultater - Vestdanmark'!I208+'Resultater - Østdanmark'!I208</f>
        <v>7998.6666753199652</v>
      </c>
      <c r="J208" s="280">
        <f>'Resultater - Vestdanmark'!J208+'Resultater - Østdanmark'!J208</f>
        <v>0.19379124461201833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78">
        <f>'Resultater - Vestdanmark'!H209+'Resultater - Østdanmark'!H209</f>
        <v>2898.1306645038535</v>
      </c>
      <c r="I209" s="279">
        <f>'Resultater - Vestdanmark'!I209+'Resultater - Østdanmark'!I209</f>
        <v>2202.2661038698861</v>
      </c>
      <c r="J209" s="280">
        <f>'Resultater - Vestdanmark'!J209+'Resultater - Østdanmark'!J209</f>
        <v>8.9530194980171021E-2</v>
      </c>
    </row>
    <row r="210" spans="1:10" hidden="1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78">
        <f>'Resultater - Vestdanmark'!H210+'Resultater - Østdanmark'!H210</f>
        <v>0</v>
      </c>
      <c r="I210" s="279">
        <f>'Resultater - Vestdanmark'!I210+'Resultater - Østdanmark'!I210</f>
        <v>0</v>
      </c>
      <c r="J210" s="280">
        <f>'Resultater - Vestdanmark'!J210+'Resultater - Østdanmark'!J210</f>
        <v>0</v>
      </c>
    </row>
    <row r="211" spans="1:10" hidden="1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78">
        <f>'Resultater - Vestdanmark'!H211+'Resultater - Østdanmark'!H211</f>
        <v>33702.707331215737</v>
      </c>
      <c r="I211" s="279">
        <f>'Resultater - Vestdanmark'!I211+'Resultater - Østdanmark'!I211</f>
        <v>25760.171136526707</v>
      </c>
      <c r="J211" s="280">
        <f>'Resultater - Vestdanmark'!J211+'Resultater - Østdanmark'!J211</f>
        <v>0.62411597189932999</v>
      </c>
    </row>
    <row r="212" spans="1:10" hidden="1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78">
        <f>'Resultater - Vestdanmark'!H212+'Resultater - Østdanmark'!H212</f>
        <v>3876.3292971970382</v>
      </c>
      <c r="I212" s="279">
        <f>'Resultater - Vestdanmark'!I212+'Resultater - Østdanmark'!I212</f>
        <v>0.10379771686059218</v>
      </c>
      <c r="J212" s="280">
        <f>'Resultater - Vestdanmark'!J212+'Resultater - Østdanmark'!J212</f>
        <v>9.8997822439293101E-2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78">
        <f>'Resultater - Vestdanmark'!H213+'Resultater - Østdanmark'!H213</f>
        <v>1150.7997712344754</v>
      </c>
      <c r="I213" s="279">
        <f>'Resultater - Vestdanmark'!I213+'Resultater - Østdanmark'!I213</f>
        <v>2.8578537246274467E-2</v>
      </c>
      <c r="J213" s="280">
        <f>'Resultater - Vestdanmark'!J213+'Resultater - Østdanmark'!J213</f>
        <v>4.5736299198382818E-2</v>
      </c>
    </row>
    <row r="214" spans="1:10" hidden="1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0</v>
      </c>
      <c r="I214" s="279">
        <f>'Resultater - Vestdanmark'!I214+'Resultater - Østdanmark'!I214</f>
        <v>0</v>
      </c>
      <c r="J214" s="280">
        <f>'Resultater - Vestdanmark'!J214+'Resultater - Østdanmark'!J214</f>
        <v>0</v>
      </c>
    </row>
    <row r="215" spans="1:10" hidden="1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29374.954227709619</v>
      </c>
      <c r="I215" s="279">
        <f>'Resultater - Vestdanmark'!I215+'Resultater - Østdanmark'!I215</f>
        <v>0.73375242649822725</v>
      </c>
      <c r="J215" s="280">
        <f>'Resultater - Vestdanmark'!J215+'Resultater - Østdanmark'!J215</f>
        <v>0.69982167845206633</v>
      </c>
    </row>
    <row r="216" spans="1:10" hidden="1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78">
        <f>'Resultater - Vestdanmark'!H216+'Resultater - Østdanmark'!H216</f>
        <v>18374.707188012384</v>
      </c>
      <c r="I216" s="279">
        <f>'Resultater - Vestdanmark'!I216+'Resultater - Østdanmark'!I216</f>
        <v>43552.284307437898</v>
      </c>
      <c r="J216" s="280">
        <f>'Resultater - Vestdanmark'!J216+'Resultater - Østdanmark'!J216</f>
        <v>80204.237837324166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78">
        <f>'Resultater - Vestdanmark'!H217+'Resultater - Østdanmark'!H217</f>
        <v>5455.059982585959</v>
      </c>
      <c r="I217" s="279">
        <f>'Resultater - Vestdanmark'!I217+'Resultater - Østdanmark'!I217</f>
        <v>11991.213457152602</v>
      </c>
      <c r="J217" s="280">
        <f>'Resultater - Vestdanmark'!J217+'Resultater - Østdanmark'!J217</f>
        <v>37053.795006001616</v>
      </c>
    </row>
    <row r="218" spans="1:10" hidden="1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78">
        <f>'Resultater - Vestdanmark'!H218+'Resultater - Østdanmark'!H218</f>
        <v>0</v>
      </c>
      <c r="I218" s="279">
        <f>'Resultater - Vestdanmark'!I218+'Resultater - Østdanmark'!I218</f>
        <v>0</v>
      </c>
      <c r="J218" s="280">
        <f>'Resultater - Vestdanmark'!J218+'Resultater - Østdanmark'!J218</f>
        <v>0</v>
      </c>
    </row>
    <row r="219" spans="1:10" hidden="1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78">
        <f>'Resultater - Vestdanmark'!H219+'Resultater - Østdanmark'!H219</f>
        <v>18988.48660920751</v>
      </c>
      <c r="I219" s="279">
        <f>'Resultater - Vestdanmark'!I219+'Resultater - Østdanmark'!I219</f>
        <v>41984.219006272047</v>
      </c>
      <c r="J219" s="280">
        <f>'Resultater - Vestdanmark'!J219+'Resultater - Østdanmark'!J219</f>
        <v>77316.548147585374</v>
      </c>
    </row>
    <row r="220" spans="1:10" hidden="1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78">
        <f>'Resultater - Vestdanmark'!H220+'Resultater - Østdanmark'!H220</f>
        <v>711.46502927780227</v>
      </c>
      <c r="I220" s="279">
        <f>'Resultater - Vestdanmark'!I220+'Resultater - Østdanmark'!I220</f>
        <v>711.55768863106505</v>
      </c>
      <c r="J220" s="280">
        <f>'Resultater - Vestdanmark'!J220+'Resultater - Østdanmark'!J220</f>
        <v>2.34311232121804E-2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78">
        <f>'Resultater - Vestdanmark'!H221+'Resultater - Østdanmark'!H221</f>
        <v>211.21884395277317</v>
      </c>
      <c r="I221" s="279">
        <f>'Resultater - Vestdanmark'!I221+'Resultater - Østdanmark'!I221</f>
        <v>195.91257421131527</v>
      </c>
      <c r="J221" s="280">
        <f>'Resultater - Vestdanmark'!J221+'Resultater - Østdanmark'!J221</f>
        <v>1.0825014483966132E-2</v>
      </c>
    </row>
    <row r="222" spans="1:10" hidden="1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78">
        <f>'Resultater - Vestdanmark'!H222+'Resultater - Østdanmark'!H222</f>
        <v>0</v>
      </c>
      <c r="I222" s="279">
        <f>'Resultater - Vestdanmark'!I222+'Resultater - Østdanmark'!I222</f>
        <v>0</v>
      </c>
      <c r="J222" s="280">
        <f>'Resultater - Vestdanmark'!J222+'Resultater - Østdanmark'!J222</f>
        <v>0</v>
      </c>
    </row>
    <row r="223" spans="1:10" hidden="1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78">
        <f>'Resultater - Vestdanmark'!H223+'Resultater - Østdanmark'!H223</f>
        <v>4309.2791948325566</v>
      </c>
      <c r="I223" s="279">
        <f>'Resultater - Vestdanmark'!I223+'Resultater - Østdanmark'!I223</f>
        <v>4020.3735299781574</v>
      </c>
      <c r="J223" s="280">
        <f>'Resultater - Vestdanmark'!J223+'Resultater - Østdanmark'!J223</f>
        <v>0.13238823646349424</v>
      </c>
    </row>
    <row r="224" spans="1:10" hidden="1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78">
        <f>'Resultater - Vestdanmark'!H224+'Resultater - Østdanmark'!H224</f>
        <v>282.51100026726743</v>
      </c>
      <c r="I224" s="279">
        <f>'Resultater - Vestdanmark'!I224+'Resultater - Østdanmark'!I224</f>
        <v>9.2337968929740652E-3</v>
      </c>
      <c r="J224" s="280">
        <f>'Resultater - Vestdanmark'!J224+'Resultater - Østdanmark'!J224</f>
        <v>1.1969736713114529E-2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78">
        <f>'Resultater - Vestdanmark'!H225+'Resultater - Østdanmark'!H225</f>
        <v>83.871510790861564</v>
      </c>
      <c r="I225" s="279">
        <f>'Resultater - Vestdanmark'!I225+'Resultater - Østdanmark'!I225</f>
        <v>2.542333457920023E-3</v>
      </c>
      <c r="J225" s="280">
        <f>'Resultater - Vestdanmark'!J225+'Resultater - Østdanmark'!J225</f>
        <v>5.5299343576226496E-3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78">
        <f>'Resultater - Vestdanmark'!H226+'Resultater - Østdanmark'!H226</f>
        <v>0</v>
      </c>
      <c r="I226" s="279">
        <f>'Resultater - Vestdanmark'!I226+'Resultater - Østdanmark'!I226</f>
        <v>0</v>
      </c>
      <c r="J226" s="280">
        <f>'Resultater - Vestdanmark'!J226+'Resultater - Østdanmark'!J226</f>
        <v>0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78">
        <f>'Resultater - Vestdanmark'!H227+'Resultater - Østdanmark'!H227</f>
        <v>3755.926129571902</v>
      </c>
      <c r="I227" s="279">
        <f>'Resultater - Vestdanmark'!I227+'Resultater - Østdanmark'!I227</f>
        <v>0.11451627465579269</v>
      </c>
      <c r="J227" s="280">
        <f>'Resultater - Vestdanmark'!J227+'Resultater - Østdanmark'!J227</f>
        <v>0.14844702270195345</v>
      </c>
    </row>
    <row r="228" spans="1:10" hidden="1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78">
        <f>'Resultater - Vestdanmark'!H228+'Resultater - Østdanmark'!H228</f>
        <v>2432067.6197482329</v>
      </c>
      <c r="I228" s="279">
        <f>'Resultater - Vestdanmark'!I228+'Resultater - Østdanmark'!I228</f>
        <v>1808004.7843455998</v>
      </c>
      <c r="J228" s="280">
        <f>'Resultater - Vestdanmark'!J228+'Resultater - Østdanmark'!J228</f>
        <v>677839.93094399991</v>
      </c>
    </row>
    <row r="229" spans="1:10" hidden="1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78">
        <f>'Resultater - Vestdanmark'!H229+'Resultater - Østdanmark'!H229</f>
        <v>-4040788.3212018311</v>
      </c>
      <c r="I229" s="279">
        <f>'Resultater - Vestdanmark'!I229+'Resultater - Østdanmark'!I229</f>
        <v>-2802174.9389999993</v>
      </c>
      <c r="J229" s="280">
        <f>'Resultater - Vestdanmark'!J229+'Resultater - Østdanmark'!J229</f>
        <v>-1050564.7349999999</v>
      </c>
    </row>
    <row r="230" spans="1:10" hidden="1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78">
        <f>'Resultater - Vestdanmark'!H230+'Resultater - Østdanmark'!H230</f>
        <v>68055.686267538025</v>
      </c>
      <c r="I230" s="279">
        <f>'Resultater - Vestdanmark'!I230+'Resultater - Østdanmark'!I230</f>
        <v>47194.736114912688</v>
      </c>
      <c r="J230" s="280">
        <f>'Resultater - Vestdanmark'!J230+'Resultater - Østdanmark'!J230</f>
        <v>17693.800893691521</v>
      </c>
    </row>
    <row r="231" spans="1:10" hidden="1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78">
        <f>'Resultater - Vestdanmark'!H231+'Resultater - Østdanmark'!H231</f>
        <v>13122.873542371528</v>
      </c>
      <c r="I231" s="279">
        <f>'Resultater - Vestdanmark'!I231+'Resultater - Østdanmark'!I231</f>
        <v>10766.277102214191</v>
      </c>
      <c r="J231" s="280">
        <f>'Resultater - Vestdanmark'!J231+'Resultater - Østdanmark'!J231</f>
        <v>0.26084475377934313</v>
      </c>
    </row>
    <row r="232" spans="1:10" hidden="1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78">
        <f>'Resultater - Vestdanmark'!H232+'Resultater - Østdanmark'!H232</f>
        <v>-14131.676367037673</v>
      </c>
      <c r="I232" s="279">
        <f>'Resultater - Vestdanmark'!I232+'Resultater - Østdanmark'!I232</f>
        <v>-10815.223714682928</v>
      </c>
      <c r="J232" s="280">
        <f>'Resultater - Vestdanmark'!J232+'Resultater - Østdanmark'!J232</f>
        <v>-0.26203062954275957</v>
      </c>
    </row>
    <row r="233" spans="1:10" hidden="1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78">
        <f>'Resultater - Vestdanmark'!H233+'Resultater - Østdanmark'!H233</f>
        <v>2152.2804701131786</v>
      </c>
      <c r="I233" s="279">
        <f>'Resultater - Vestdanmark'!I233+'Resultater - Østdanmark'!I233</f>
        <v>1647.1785920113348</v>
      </c>
      <c r="J233" s="280">
        <f>'Resultater - Vestdanmark'!J233+'Resultater - Østdanmark'!J233</f>
        <v>3.9907749929215405E-2</v>
      </c>
    </row>
    <row r="234" spans="1:10" hidden="1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78">
        <f>'Resultater - Vestdanmark'!H234+'Resultater - Østdanmark'!H234</f>
        <v>5615.3101846932177</v>
      </c>
      <c r="I234" s="279">
        <f>'Resultater - Vestdanmark'!I234+'Resultater - Østdanmark'!I234</f>
        <v>0.15378751976686955</v>
      </c>
      <c r="J234" s="280">
        <f>'Resultater - Vestdanmark'!J234+'Resultater - Østdanmark'!J234</f>
        <v>0.14667595815915305</v>
      </c>
    </row>
    <row r="235" spans="1:10" hidden="1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-3702.2322974288109</v>
      </c>
      <c r="I235" s="279">
        <f>'Resultater - Vestdanmark'!I235+'Resultater - Østdanmark'!I235</f>
        <v>-9.4583683072740787E-2</v>
      </c>
      <c r="J235" s="280">
        <f>'Resultater - Vestdanmark'!J235+'Resultater - Østdanmark'!J235</f>
        <v>-9.020987113874121E-2</v>
      </c>
    </row>
    <row r="236" spans="1:10" hidden="1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2021.5024736231753</v>
      </c>
      <c r="I236" s="279">
        <f>'Resultater - Vestdanmark'!I236+'Resultater - Østdanmark'!I236</f>
        <v>5.1644827751279834E-2</v>
      </c>
      <c r="J236" s="280">
        <f>'Resultater - Vestdanmark'!J236+'Resultater - Østdanmark'!J236</f>
        <v>4.9256627624053022E-2</v>
      </c>
    </row>
    <row r="237" spans="1:10" hidden="1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78">
        <f>'Resultater - Vestdanmark'!H237+'Resultater - Østdanmark'!H237</f>
        <v>177251.6737598984</v>
      </c>
      <c r="I237" s="279">
        <f>'Resultater - Vestdanmark'!I237+'Resultater - Østdanmark'!I237</f>
        <v>160839.26954380798</v>
      </c>
      <c r="J237" s="280">
        <f>'Resultater - Vestdanmark'!J237+'Resultater - Østdanmark'!J237</f>
        <v>81957.009832319978</v>
      </c>
    </row>
    <row r="238" spans="1:10" hidden="1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78">
        <f>'Resultater - Vestdanmark'!H238+'Resultater - Østdanmark'!H238</f>
        <v>-294496.94877999288</v>
      </c>
      <c r="I238" s="279">
        <f>'Resultater - Vestdanmark'!I238+'Resultater - Østdanmark'!I238</f>
        <v>-249280.18676999997</v>
      </c>
      <c r="J238" s="280">
        <f>'Resultater - Vestdanmark'!J238+'Resultater - Østdanmark'!J238</f>
        <v>-127022.82704999996</v>
      </c>
    </row>
    <row r="239" spans="1:10" hidden="1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78">
        <f>'Resultater - Vestdanmark'!H239+'Resultater - Østdanmark'!H239</f>
        <v>8701.7031017897862</v>
      </c>
      <c r="I239" s="279">
        <f>'Resultater - Vestdanmark'!I239+'Resultater - Østdanmark'!I239</f>
        <v>7365.6524572407097</v>
      </c>
      <c r="J239" s="280">
        <f>'Resultater - Vestdanmark'!J239+'Resultater - Østdanmark'!J239</f>
        <v>3753.2304926012316</v>
      </c>
    </row>
    <row r="240" spans="1:10" hidden="1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78">
        <f>'Resultater - Vestdanmark'!H240+'Resultater - Østdanmark'!H240</f>
        <v>956.40897524289744</v>
      </c>
      <c r="I240" s="279">
        <f>'Resultater - Vestdanmark'!I240+'Resultater - Østdanmark'!I240</f>
        <v>957.76303238772471</v>
      </c>
      <c r="J240" s="280">
        <f>'Resultater - Vestdanmark'!J240+'Resultater - Østdanmark'!J240</f>
        <v>3.1538502047866034E-2</v>
      </c>
    </row>
    <row r="241" spans="1:10" hidden="1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78">
        <f>'Resultater - Vestdanmark'!H241+'Resultater - Østdanmark'!H241</f>
        <v>-1029.9315976049757</v>
      </c>
      <c r="I241" s="279">
        <f>'Resultater - Vestdanmark'!I241+'Resultater - Østdanmark'!I241</f>
        <v>-962.117300398672</v>
      </c>
      <c r="J241" s="280">
        <f>'Resultater - Vestdanmark'!J241+'Resultater - Østdanmark'!J241</f>
        <v>-3.1681885208351836E-2</v>
      </c>
    </row>
    <row r="242" spans="1:10" hidden="1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78">
        <f>'Resultater - Vestdanmark'!H242+'Resultater - Østdanmark'!H242</f>
        <v>275.19384007209339</v>
      </c>
      <c r="I242" s="279">
        <f>'Resultater - Vestdanmark'!I242+'Resultater - Østdanmark'!I242</f>
        <v>257.07411551621988</v>
      </c>
      <c r="J242" s="280">
        <f>'Resultater - Vestdanmark'!J242+'Resultater - Østdanmark'!J242</f>
        <v>8.465280288015388E-3</v>
      </c>
    </row>
    <row r="243" spans="1:10" hidden="1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78">
        <f>'Resultater - Vestdanmark'!H243+'Resultater - Østdanmark'!H243</f>
        <v>409.24977613118875</v>
      </c>
      <c r="I243" s="279">
        <f>'Resultater - Vestdanmark'!I243+'Resultater - Østdanmark'!I243</f>
        <v>1.368086664284464E-2</v>
      </c>
      <c r="J243" s="280">
        <f>'Resultater - Vestdanmark'!J243+'Resultater - Østdanmark'!J243</f>
        <v>1.773445675924305E-2</v>
      </c>
    </row>
    <row r="244" spans="1:10" hidden="1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78">
        <f>'Resultater - Vestdanmark'!H244+'Resultater - Østdanmark'!H244</f>
        <v>-269.82262583436852</v>
      </c>
      <c r="I244" s="279">
        <f>'Resultater - Vestdanmark'!I244+'Resultater - Østdanmark'!I244</f>
        <v>-8.4141207080316791E-3</v>
      </c>
      <c r="J244" s="280">
        <f>'Resultater - Vestdanmark'!J244+'Resultater - Østdanmark'!J244</f>
        <v>-1.0907193510411434E-2</v>
      </c>
    </row>
    <row r="245" spans="1:10" hidden="1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78">
        <f>'Resultater - Vestdanmark'!H245+'Resultater - Østdanmark'!H245</f>
        <v>258.47236740588181</v>
      </c>
      <c r="I245" s="279">
        <f>'Resultater - Vestdanmark'!I245+'Resultater - Østdanmark'!I245</f>
        <v>8.0601754293904947E-3</v>
      </c>
      <c r="J245" s="280">
        <f>'Resultater - Vestdanmark'!J245+'Resultater - Østdanmark'!J245</f>
        <v>1.0448375556617307E-2</v>
      </c>
    </row>
    <row r="246" spans="1:10" hidden="1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78">
        <f>'Resultater - Vestdanmark'!H246+'Resultater - Østdanmark'!H246</f>
        <v>37068.149941239346</v>
      </c>
      <c r="I246" s="279">
        <f>'Resultater - Vestdanmark'!I246+'Resultater - Østdanmark'!I246</f>
        <v>38353.140405678685</v>
      </c>
      <c r="J246" s="280">
        <f>'Resultater - Vestdanmark'!J246+'Resultater - Østdanmark'!J246</f>
        <v>141651.61202016001</v>
      </c>
    </row>
    <row r="247" spans="1:10" hidden="1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-611253.35592149675</v>
      </c>
      <c r="I247" s="279">
        <f>'Resultater - Vestdanmark'!I247+'Resultater - Østdanmark'!I247</f>
        <v>-589965.32979921682</v>
      </c>
      <c r="J247" s="280">
        <f>'Resultater - Vestdanmark'!J247+'Resultater - Østdanmark'!J247</f>
        <v>-2178949.08</v>
      </c>
    </row>
    <row r="248" spans="1:10" hidden="1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8582.4091345819397</v>
      </c>
      <c r="I248" s="279">
        <f>'Resultater - Vestdanmark'!I248+'Resultater - Østdanmark'!I248</f>
        <v>8283.5108985573042</v>
      </c>
      <c r="J248" s="280">
        <f>'Resultater - Vestdanmark'!J248+'Resultater - Østdanmark'!J248</f>
        <v>30593.913811383041</v>
      </c>
    </row>
    <row r="249" spans="1:10" hidden="1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78">
        <f>'Resultater - Vestdanmark'!H249+'Resultater - Østdanmark'!H249</f>
        <v>1090.1789727130877</v>
      </c>
      <c r="I249" s="279">
        <f>'Resultater - Vestdanmark'!I249+'Resultater - Østdanmark'!I249</f>
        <v>893.53748626041113</v>
      </c>
      <c r="J249" s="280">
        <f>'Resultater - Vestdanmark'!J249+'Resultater - Østdanmark'!J249</f>
        <v>2.1648575768810095E-2</v>
      </c>
    </row>
    <row r="250" spans="1:10" hidden="1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-14980.865349414238</v>
      </c>
      <c r="I250" s="279">
        <f>'Resultater - Vestdanmark'!I250+'Resultater - Østdanmark'!I250</f>
        <v>-11453.99768644791</v>
      </c>
      <c r="J250" s="280">
        <f>'Resultater - Vestdanmark'!J250+'Resultater - Østdanmark'!J250</f>
        <v>-0.27750680926505333</v>
      </c>
    </row>
    <row r="251" spans="1:10" hidden="1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1140.8671979707708</v>
      </c>
      <c r="I251" s="279">
        <f>'Resultater - Vestdanmark'!I251+'Resultater - Østdanmark'!I251</f>
        <v>872.27873299137991</v>
      </c>
      <c r="J251" s="280">
        <f>'Resultater - Vestdanmark'!J251+'Resultater - Østdanmark'!J251</f>
        <v>2.1133519894857723E-2</v>
      </c>
    </row>
    <row r="252" spans="1:10" hidden="1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78">
        <f>'Resultater - Vestdanmark'!H252+'Resultater - Østdanmark'!H252</f>
        <v>734.97559696711278</v>
      </c>
      <c r="I252" s="279">
        <f>'Resultater - Vestdanmark'!I252+'Resultater - Østdanmark'!I252</f>
        <v>1.9793213778413025E-2</v>
      </c>
      <c r="J252" s="280">
        <f>'Resultater - Vestdanmark'!J252+'Resultater - Østdanmark'!J252</f>
        <v>1.8877920655711849E-2</v>
      </c>
    </row>
    <row r="253" spans="1:10" hidden="1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-8656.9563835937897</v>
      </c>
      <c r="I253" s="279">
        <f>'Resultater - Vestdanmark'!I253+'Resultater - Østdanmark'!I253</f>
        <v>-0.21747725351173711</v>
      </c>
      <c r="J253" s="280">
        <f>'Resultater - Vestdanmark'!J253+'Resultater - Østdanmark'!J253</f>
        <v>-0.20742050190425795</v>
      </c>
    </row>
    <row r="254" spans="1:10" hidden="1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1762.4137499845892</v>
      </c>
      <c r="I254" s="279">
        <f>'Resultater - Vestdanmark'!I254+'Resultater - Østdanmark'!I254</f>
        <v>4.427478722479776E-2</v>
      </c>
      <c r="J254" s="280">
        <f>'Resultater - Vestdanmark'!J254+'Resultater - Østdanmark'!J254</f>
        <v>4.2227398220182844E-2</v>
      </c>
    </row>
    <row r="255" spans="1:10" hidden="1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78">
        <f>'Resultater - Vestdanmark'!H255+'Resultater - Østdanmark'!H255</f>
        <v>2701.5661764156534</v>
      </c>
      <c r="I255" s="279">
        <f>'Resultater - Vestdanmark'!I255+'Resultater - Østdanmark'!I255</f>
        <v>3411.8776349329191</v>
      </c>
      <c r="J255" s="280">
        <f>'Resultater - Vestdanmark'!J255+'Resultater - Østdanmark'!J255</f>
        <v>17126.967635164798</v>
      </c>
    </row>
    <row r="256" spans="1:10" hidden="1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-44548.794428526671</v>
      </c>
      <c r="I256" s="279">
        <f>'Resultater - Vestdanmark'!I256+'Resultater - Østdanmark'!I256</f>
        <v>-52483.042922600849</v>
      </c>
      <c r="J256" s="280">
        <f>'Resultater - Vestdanmark'!J256+'Resultater - Østdanmark'!J256</f>
        <v>-263454.75239999994</v>
      </c>
    </row>
    <row r="257" spans="1:10" hidden="1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1097.3598281506586</v>
      </c>
      <c r="I257" s="279">
        <f>'Resultater - Vestdanmark'!I257+'Resultater - Østdanmark'!I257</f>
        <v>1292.8022789655909</v>
      </c>
      <c r="J257" s="280">
        <f>'Resultater - Vestdanmark'!J257+'Resultater - Østdanmark'!J257</f>
        <v>6489.6180812024631</v>
      </c>
    </row>
    <row r="258" spans="1:10" hidden="1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78">
        <f>'Resultater - Vestdanmark'!H258+'Resultater - Østdanmark'!H258</f>
        <v>79.453402546120458</v>
      </c>
      <c r="I258" s="279">
        <f>'Resultater - Vestdanmark'!I258+'Resultater - Østdanmark'!I258</f>
        <v>79.488681581200737</v>
      </c>
      <c r="J258" s="280">
        <f>'Resultater - Vestdanmark'!J258+'Resultater - Østdanmark'!J258</f>
        <v>2.6175096156834015E-3</v>
      </c>
    </row>
    <row r="259" spans="1:10" hidden="1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-1091.8213934488481</v>
      </c>
      <c r="I259" s="279">
        <f>'Resultater - Vestdanmark'!I259+'Resultater - Østdanmark'!I259</f>
        <v>-1018.942337540077</v>
      </c>
      <c r="J259" s="280">
        <f>'Resultater - Vestdanmark'!J259+'Resultater - Østdanmark'!J259</f>
        <v>-3.3553096029320072E-2</v>
      </c>
    </row>
    <row r="260" spans="1:10" hidden="1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145.87300752924452</v>
      </c>
      <c r="I260" s="279">
        <f>'Resultater - Vestdanmark'!I260+'Resultater - Østdanmark'!I260</f>
        <v>136.13598722986853</v>
      </c>
      <c r="J260" s="280">
        <f>'Resultater - Vestdanmark'!J260+'Resultater - Østdanmark'!J260</f>
        <v>4.4828678564849704E-3</v>
      </c>
    </row>
    <row r="261" spans="1:10" hidden="1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78">
        <f>'Resultater - Vestdanmark'!H261+'Resultater - Østdanmark'!H261</f>
        <v>53.565802890212126</v>
      </c>
      <c r="I261" s="279">
        <f>'Resultater - Vestdanmark'!I261+'Resultater - Østdanmark'!I261</f>
        <v>1.7607951447963957E-3</v>
      </c>
      <c r="J261" s="280">
        <f>'Resultater - Vestdanmark'!J261+'Resultater - Østdanmark'!J261</f>
        <v>2.2825122247360679E-3</v>
      </c>
    </row>
    <row r="262" spans="1:10" hidden="1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-630.92818480815231</v>
      </c>
      <c r="I262" s="279">
        <f>'Resultater - Vestdanmark'!I262+'Resultater - Østdanmark'!I262</f>
        <v>-1.9346675904888058E-2</v>
      </c>
      <c r="J262" s="280">
        <f>'Resultater - Vestdanmark'!J262+'Resultater - Østdanmark'!J262</f>
        <v>-2.5079024321151184E-2</v>
      </c>
    </row>
    <row r="263" spans="1:10" hidden="1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225.34489086759828</v>
      </c>
      <c r="I263" s="279">
        <f>'Resultater - Vestdanmark'!I263+'Resultater - Østdanmark'!I263</f>
        <v>6.9099378905753727E-3</v>
      </c>
      <c r="J263" s="280">
        <f>'Resultater - Vestdanmark'!J263+'Resultater - Østdanmark'!J263</f>
        <v>8.9573268951902985E-3</v>
      </c>
    </row>
    <row r="264" spans="1:10" hidden="1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78">
        <f>'Resultater - Vestdanmark'!H264+'Resultater - Østdanmark'!H264</f>
        <v>1769792.6482433821</v>
      </c>
      <c r="I264" s="279">
        <f>'Resultater - Vestdanmark'!I264+'Resultater - Østdanmark'!I264</f>
        <v>1854322.3032125372</v>
      </c>
      <c r="J264" s="280">
        <f>'Resultater - Vestdanmark'!J264+'Resultater - Østdanmark'!J264</f>
        <v>1390409.7078066608</v>
      </c>
    </row>
    <row r="265" spans="1:10" hidden="1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-8439338.016000744</v>
      </c>
      <c r="I265" s="279">
        <f>'Resultater - Vestdanmark'!I265+'Resultater - Østdanmark'!I265</f>
        <v>-8248527.5945839016</v>
      </c>
      <c r="J265" s="280">
        <f>'Resultater - Vestdanmark'!J265+'Resultater - Østdanmark'!J265</f>
        <v>-6184918.7828627732</v>
      </c>
    </row>
    <row r="266" spans="1:10" hidden="1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135050.85263779573</v>
      </c>
      <c r="I266" s="279">
        <f>'Resultater - Vestdanmark'!I266+'Resultater - Østdanmark'!I266</f>
        <v>131997.40104530542</v>
      </c>
      <c r="J266" s="280">
        <f>'Resultater - Vestdanmark'!J266+'Resultater - Østdanmark'!J266</f>
        <v>98974.416421936301</v>
      </c>
    </row>
    <row r="267" spans="1:10" hidden="1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78">
        <f>'Resultater - Vestdanmark'!H267+'Resultater - Østdanmark'!H267</f>
        <v>59344.705933036988</v>
      </c>
      <c r="I267" s="279">
        <f>'Resultater - Vestdanmark'!I267+'Resultater - Østdanmark'!I267</f>
        <v>48630.002893936369</v>
      </c>
      <c r="J267" s="280">
        <f>'Resultater - Vestdanmark'!J267+'Resultater - Østdanmark'!J267</f>
        <v>1.1782049645078942</v>
      </c>
    </row>
    <row r="268" spans="1:10" hidden="1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-207469.18786644947</v>
      </c>
      <c r="I268" s="279">
        <f>'Resultater - Vestdanmark'!I268+'Resultater - Østdanmark'!I268</f>
        <v>-158591.94843521391</v>
      </c>
      <c r="J268" s="280">
        <f>'Resultater - Vestdanmark'!J268+'Resultater - Østdanmark'!J268</f>
        <v>-3.8423567727290351</v>
      </c>
    </row>
    <row r="269" spans="1:10" hidden="1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26542.270744245459</v>
      </c>
      <c r="I269" s="279">
        <f>'Resultater - Vestdanmark'!I269+'Resultater - Østdanmark'!I269</f>
        <v>20289.231748159636</v>
      </c>
      <c r="J269" s="280">
        <f>'Resultater - Vestdanmark'!J269+'Resultater - Østdanmark'!J269</f>
        <v>0.49156636128256415</v>
      </c>
    </row>
    <row r="270" spans="1:10" hidden="1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78">
        <f>'Resultater - Vestdanmark'!H270+'Resultater - Østdanmark'!H270</f>
        <v>39757.754782963726</v>
      </c>
      <c r="I270" s="279">
        <f>'Resultater - Vestdanmark'!I270+'Resultater - Østdanmark'!I270</f>
        <v>1.0665652868322271</v>
      </c>
      <c r="J270" s="280">
        <f>'Resultater - Vestdanmark'!J270+'Resultater - Østdanmark'!J270</f>
        <v>1.0172443487128175</v>
      </c>
    </row>
    <row r="271" spans="1:10" hidden="1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-102854.94948928599</v>
      </c>
      <c r="I271" s="279">
        <f>'Resultater - Vestdanmark'!I271+'Resultater - Østdanmark'!I271</f>
        <v>-2.5739256860079429</v>
      </c>
      <c r="J271" s="280">
        <f>'Resultater - Vestdanmark'!J271+'Resultater - Østdanmark'!J271</f>
        <v>-2.4549002207590203</v>
      </c>
    </row>
    <row r="272" spans="1:10" hidden="1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39030.898430904032</v>
      </c>
      <c r="I272" s="279">
        <f>'Resultater - Vestdanmark'!I272+'Resultater - Østdanmark'!I272</f>
        <v>0.97674086194302023</v>
      </c>
      <c r="J272" s="280">
        <f>'Resultater - Vestdanmark'!J272+'Resultater - Østdanmark'!J272</f>
        <v>0.93157365445432549</v>
      </c>
    </row>
    <row r="273" spans="1:10" hidden="1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78">
        <f>'Resultater - Vestdanmark'!H273+'Resultater - Østdanmark'!H273</f>
        <v>128984.36974444673</v>
      </c>
      <c r="I273" s="279">
        <f>'Resultater - Vestdanmark'!I273+'Resultater - Østdanmark'!I273</f>
        <v>164959.6546037049</v>
      </c>
      <c r="J273" s="280">
        <f>'Resultater - Vestdanmark'!J273+'Resultater - Østdanmark'!J273</f>
        <v>168113.17376207805</v>
      </c>
    </row>
    <row r="274" spans="1:10" hidden="1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-615067.9268187969</v>
      </c>
      <c r="I274" s="279">
        <f>'Resultater - Vestdanmark'!I274+'Resultater - Østdanmark'!I274</f>
        <v>-733785.20046616322</v>
      </c>
      <c r="J274" s="280">
        <f>'Resultater - Vestdanmark'!J274+'Resultater - Østdanmark'!J274</f>
        <v>-747812.90738249896</v>
      </c>
    </row>
    <row r="275" spans="1:10" hidden="1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17267.806523585219</v>
      </c>
      <c r="I275" s="279">
        <f>'Resultater - Vestdanmark'!I275+'Resultater - Østdanmark'!I275</f>
        <v>20600.750452157492</v>
      </c>
      <c r="J275" s="280">
        <f>'Resultater - Vestdanmark'!J275+'Resultater - Østdanmark'!J275</f>
        <v>20994.573180410734</v>
      </c>
    </row>
    <row r="276" spans="1:10" hidden="1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78">
        <f>'Resultater - Vestdanmark'!H276+'Resultater - Østdanmark'!H276</f>
        <v>4325.1052602347863</v>
      </c>
      <c r="I276" s="279">
        <f>'Resultater - Vestdanmark'!I276+'Resultater - Østdanmark'!I276</f>
        <v>4326.102569581969</v>
      </c>
      <c r="J276" s="280">
        <f>'Resultater - Vestdanmark'!J276+'Resultater - Østdanmark'!J276</f>
        <v>0.14245569116322718</v>
      </c>
    </row>
    <row r="277" spans="1:10" hidden="1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-15120.574980864158</v>
      </c>
      <c r="I277" s="279">
        <f>'Resultater - Vestdanmark'!I277+'Resultater - Østdanmark'!I277</f>
        <v>-14108.266395479435</v>
      </c>
      <c r="J277" s="280">
        <f>'Resultater - Vestdanmark'!J277+'Resultater - Østdanmark'!J277</f>
        <v>-0.46457586433905607</v>
      </c>
    </row>
    <row r="278" spans="1:10" hidden="1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3393.7349298895001</v>
      </c>
      <c r="I278" s="279">
        <f>'Resultater - Vestdanmark'!I278+'Resultater - Østdanmark'!I278</f>
        <v>3166.5274982676897</v>
      </c>
      <c r="J278" s="280">
        <f>'Resultater - Vestdanmark'!J278+'Resultater - Østdanmark'!J278</f>
        <v>0.10427165239327119</v>
      </c>
    </row>
    <row r="279" spans="1:10" hidden="1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78">
        <f>'Resultater - Vestdanmark'!H279+'Resultater - Østdanmark'!H279</f>
        <v>2897.587436711749</v>
      </c>
      <c r="I279" s="279">
        <f>'Resultater - Vestdanmark'!I279+'Resultater - Østdanmark'!I279</f>
        <v>9.4881154707213713E-2</v>
      </c>
      <c r="J279" s="280">
        <f>'Resultater - Vestdanmark'!J279+'Resultater - Østdanmark'!J279</f>
        <v>0.12299408943527704</v>
      </c>
    </row>
    <row r="280" spans="1:10" hidden="1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-7496.1780681710807</v>
      </c>
      <c r="I280" s="279">
        <f>'Resultater - Vestdanmark'!I280+'Resultater - Østdanmark'!I280</f>
        <v>-0.22897523877261411</v>
      </c>
      <c r="J280" s="280">
        <f>'Resultater - Vestdanmark'!J280+'Resultater - Østdanmark'!J280</f>
        <v>-0.29681975396449972</v>
      </c>
    </row>
    <row r="281" spans="1:10" hidden="1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4990.5497772321014</v>
      </c>
      <c r="I281" s="279">
        <f>'Resultater - Vestdanmark'!I281+'Resultater - Østdanmark'!I281</f>
        <v>0.15243932527434423</v>
      </c>
      <c r="J281" s="280">
        <f>'Resultater - Vestdanmark'!J281+'Resultater - Østdanmark'!J281</f>
        <v>0.19760653276303877</v>
      </c>
    </row>
    <row r="282" spans="1:10" hidden="1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78">
        <f>'Resultater - Vestdanmark'!H282+'Resultater - Østdanmark'!H282</f>
        <v>6805636.3914233753</v>
      </c>
      <c r="I282" s="279">
        <f>'Resultater - Vestdanmark'!I282+'Resultater - Østdanmark'!I282</f>
        <v>5447240.4394793445</v>
      </c>
      <c r="J282" s="280">
        <f>'Resultater - Vestdanmark'!J282+'Resultater - Østdanmark'!J282</f>
        <v>3713140.9016592009</v>
      </c>
    </row>
    <row r="283" spans="1:10" hidden="1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-24464206.304824531</v>
      </c>
      <c r="I283" s="279">
        <f>'Resultater - Vestdanmark'!I283+'Resultater - Østdanmark'!I283</f>
        <v>-18266029.232000001</v>
      </c>
      <c r="J283" s="280">
        <f>'Resultater - Vestdanmark'!J283+'Resultater - Østdanmark'!J283</f>
        <v>-12451137.599999998</v>
      </c>
    </row>
    <row r="284" spans="1:10" hidden="1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347650.80050176143</v>
      </c>
      <c r="I284" s="279">
        <f>'Resultater - Vestdanmark'!I284+'Resultater - Østdanmark'!I284</f>
        <v>259571.04863201984</v>
      </c>
      <c r="J284" s="280">
        <f>'Resultater - Vestdanmark'!J284+'Resultater - Østdanmark'!J284</f>
        <v>176938.00893691523</v>
      </c>
    </row>
    <row r="285" spans="1:10" hidden="1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78">
        <f>'Resultater - Vestdanmark'!H285+'Resultater - Østdanmark'!H285</f>
        <v>271759.53465639014</v>
      </c>
      <c r="I285" s="279">
        <f>'Resultater - Vestdanmark'!I285+'Resultater - Østdanmark'!I285</f>
        <v>222661.32292786438</v>
      </c>
      <c r="J285" s="280">
        <f>'Resultater - Vestdanmark'!J285+'Resultater - Østdanmark'!J285</f>
        <v>5.3946259606343334</v>
      </c>
    </row>
    <row r="286" spans="1:10" hidden="1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-661438.24431458686</v>
      </c>
      <c r="I286" s="279">
        <f>'Resultater - Vestdanmark'!I286+'Resultater - Østdanmark'!I286</f>
        <v>-505538.8215038316</v>
      </c>
      <c r="J286" s="280">
        <f>'Resultater - Vestdanmark'!J286+'Resultater - Østdanmark'!J286</f>
        <v>-12.248166025118719</v>
      </c>
    </row>
    <row r="287" spans="1:10" hidden="1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81365.524969577309</v>
      </c>
      <c r="I287" s="279">
        <f>'Resultater - Vestdanmark'!I287+'Resultater - Østdanmark'!I287</f>
        <v>62187.864033754318</v>
      </c>
      <c r="J287" s="280">
        <f>'Resultater - Vestdanmark'!J287+'Resultater - Østdanmark'!J287</f>
        <v>1.5066840587378292</v>
      </c>
    </row>
    <row r="288" spans="1:10" hidden="1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78">
        <f>'Resultater - Vestdanmark'!H288+'Resultater - Østdanmark'!H288</f>
        <v>107772.91589565421</v>
      </c>
      <c r="I288" s="279">
        <f>'Resultater - Vestdanmark'!I288+'Resultater - Østdanmark'!I288</f>
        <v>2.8835758191138265</v>
      </c>
      <c r="J288" s="280">
        <f>'Resultater - Vestdanmark'!J288+'Resultater - Østdanmark'!J288</f>
        <v>2.7502312725652098</v>
      </c>
    </row>
    <row r="289" spans="1:10" hidden="1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-172951.36870631672</v>
      </c>
      <c r="I289" s="279">
        <f>'Resultater - Vestdanmark'!I289+'Resultater - Østdanmark'!I289</f>
        <v>-4.3166909784920309</v>
      </c>
      <c r="J289" s="280">
        <f>'Resultater - Vestdanmark'!J289+'Resultater - Østdanmark'!J289</f>
        <v>-4.1170752107004924</v>
      </c>
    </row>
    <row r="290" spans="1:10" hidden="1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70826.515916993711</v>
      </c>
      <c r="I290" s="279">
        <f>'Resultater - Vestdanmark'!I290+'Resultater - Østdanmark'!I290</f>
        <v>1.7677580963008739</v>
      </c>
      <c r="J290" s="280">
        <f>'Resultater - Vestdanmark'!J290+'Resultater - Østdanmark'!J290</f>
        <v>1.6860120571655735</v>
      </c>
    </row>
    <row r="291" spans="1:10" hidden="1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78">
        <f>'Resultater - Vestdanmark'!H291+'Resultater - Østdanmark'!H291</f>
        <v>722248.54897796328</v>
      </c>
      <c r="I291" s="279">
        <f>'Resultater - Vestdanmark'!I291+'Resultater - Østdanmark'!I291</f>
        <v>705622.30201579258</v>
      </c>
      <c r="J291" s="280">
        <f>'Resultater - Vestdanmark'!J291+'Resultater - Østdanmark'!J291</f>
        <v>653737.83753454406</v>
      </c>
    </row>
    <row r="292" spans="1:10" hidden="1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-2596265.2850252553</v>
      </c>
      <c r="I292" s="279">
        <f>'Resultater - Vestdanmark'!I292+'Resultater - Østdanmark'!I292</f>
        <v>-2366137.0814399999</v>
      </c>
      <c r="J292" s="280">
        <f>'Resultater - Vestdanmark'!J292+'Resultater - Østdanmark'!J292</f>
        <v>-2192154.8319999995</v>
      </c>
    </row>
    <row r="293" spans="1:10" hidden="1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44451.157794126186</v>
      </c>
      <c r="I293" s="279">
        <f>'Resultater - Vestdanmark'!I293+'Resultater - Østdanmark'!I293</f>
        <v>40511.088514823903</v>
      </c>
      <c r="J293" s="280">
        <f>'Resultater - Vestdanmark'!J293+'Resultater - Østdanmark'!J293</f>
        <v>37532.304926012315</v>
      </c>
    </row>
    <row r="294" spans="1:10" hidden="1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78">
        <f>'Resultater - Vestdanmark'!H294+'Resultater - Østdanmark'!H294</f>
        <v>28840.49606644551</v>
      </c>
      <c r="I294" s="279">
        <f>'Resultater - Vestdanmark'!I294+'Resultater - Østdanmark'!I294</f>
        <v>28843.007207014107</v>
      </c>
      <c r="J294" s="280">
        <f>'Resultater - Vestdanmark'!J294+'Resultater - Østdanmark'!J294</f>
        <v>0.94978111609955984</v>
      </c>
    </row>
    <row r="295" spans="1:10" hidden="1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-70195.171284316559</v>
      </c>
      <c r="I295" s="279">
        <f>'Resultater - Vestdanmark'!I295+'Resultater - Østdanmark'!I295</f>
        <v>-65486.271617924089</v>
      </c>
      <c r="J295" s="280">
        <f>'Resultater - Vestdanmark'!J295+'Resultater - Østdanmark'!J295</f>
        <v>-2.1564195335133256</v>
      </c>
    </row>
    <row r="296" spans="1:10" hidden="1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10403.519233105488</v>
      </c>
      <c r="I296" s="279">
        <f>'Resultater - Vestdanmark'!I296+'Resultater - Østdanmark'!I296</f>
        <v>9705.6203983316009</v>
      </c>
      <c r="J296" s="280">
        <f>'Resultater - Vestdanmark'!J296+'Resultater - Østdanmark'!J296</f>
        <v>0.31959964882317582</v>
      </c>
    </row>
    <row r="297" spans="1:10" hidden="1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78">
        <f>'Resultater - Vestdanmark'!H297+'Resultater - Østdanmark'!H297</f>
        <v>11437.406826914037</v>
      </c>
      <c r="I297" s="279">
        <f>'Resultater - Vestdanmark'!I297+'Resultater - Østdanmark'!I297</f>
        <v>0.37353141101931125</v>
      </c>
      <c r="J297" s="280">
        <f>'Resultater - Vestdanmark'!J297+'Resultater - Østdanmark'!J297</f>
        <v>0.48420738465466268</v>
      </c>
    </row>
    <row r="298" spans="1:10" hidden="1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-18354.473837201975</v>
      </c>
      <c r="I298" s="279">
        <f>'Resultater - Vestdanmark'!I298+'Resultater - Østdanmark'!I298</f>
        <v>-0.55917366952604863</v>
      </c>
      <c r="J298" s="280">
        <f>'Resultater - Vestdanmark'!J298+'Resultater - Østdanmark'!J298</f>
        <v>-0.72485475679302602</v>
      </c>
    </row>
    <row r="299" spans="1:10" hidden="1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9055.9855765916054</v>
      </c>
      <c r="I299" s="279">
        <f>'Resultater - Vestdanmark'!I299+'Resultater - Østdanmark'!I299</f>
        <v>0.27589288208163931</v>
      </c>
      <c r="J299" s="280">
        <f>'Resultater - Vestdanmark'!J299+'Resultater - Østdanmark'!J299</f>
        <v>0.3576389212169398</v>
      </c>
    </row>
    <row r="300" spans="1:10" hidden="1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78">
        <f>'Resultater - Vestdanmark'!H300+'Resultater - Østdanmark'!H300</f>
        <v>614076.2528869072</v>
      </c>
      <c r="I300" s="279">
        <f>'Resultater - Vestdanmark'!I300+'Resultater - Østdanmark'!I300</f>
        <v>822409.70014156809</v>
      </c>
      <c r="J300" s="280">
        <f>'Resultater - Vestdanmark'!J300+'Resultater - Østdanmark'!J300</f>
        <v>756142.64508288004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78">
        <f>'Resultater - Vestdanmark'!H301+'Resultater - Østdanmark'!H301</f>
        <v>327981.19704816159</v>
      </c>
      <c r="I301" s="279">
        <f>'Resultater - Vestdanmark'!I301+'Resultater - Østdanmark'!I301</f>
        <v>407368.98393206397</v>
      </c>
      <c r="J301" s="280">
        <f>'Resultater - Vestdanmark'!J301+'Resultater - Østdanmark'!J301</f>
        <v>628473.03803063999</v>
      </c>
    </row>
    <row r="302" spans="1:10" hidden="1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78">
        <f>'Resultater - Vestdanmark'!H302+'Resultater - Østdanmark'!H302</f>
        <v>-24423487.330729261</v>
      </c>
      <c r="I302" s="279">
        <f>'Resultater - Vestdanmark'!I302+'Resultater - Østdanmark'!I302</f>
        <v>-30512571.557999998</v>
      </c>
      <c r="J302" s="280">
        <f>'Resultater - Vestdanmark'!J302+'Resultater - Østdanmark'!J302</f>
        <v>-28053969.404999997</v>
      </c>
    </row>
    <row r="303" spans="1:10" hidden="1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78">
        <f>'Resultater - Vestdanmark'!H303+'Resultater - Østdanmark'!H303</f>
        <v>317323.11758989503</v>
      </c>
      <c r="I303" s="279">
        <f>'Resultater - Vestdanmark'!I303+'Resultater - Østdanmark'!I303</f>
        <v>396435.78336526663</v>
      </c>
      <c r="J303" s="280">
        <f>'Resultater - Vestdanmark'!J303+'Resultater - Østdanmark'!J303</f>
        <v>364492.29841004533</v>
      </c>
    </row>
    <row r="304" spans="1:10" hidden="1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78">
        <f>'Resultater - Vestdanmark'!H304+'Resultater - Østdanmark'!H304</f>
        <v>13323.118692618173</v>
      </c>
      <c r="I304" s="279">
        <f>'Resultater - Vestdanmark'!I304+'Resultater - Østdanmark'!I304</f>
        <v>10918.647972357969</v>
      </c>
      <c r="J304" s="280">
        <f>'Resultater - Vestdanmark'!J304+'Resultater - Østdanmark'!J304</f>
        <v>0.26453638661730722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78">
        <f>'Resultater - Vestdanmark'!H305+'Resultater - Østdanmark'!H305</f>
        <v>7115.9443093208292</v>
      </c>
      <c r="I305" s="279">
        <f>'Resultater - Vestdanmark'!I305+'Resultater - Østdanmark'!I305</f>
        <v>5408.3974564571645</v>
      </c>
      <c r="J305" s="280">
        <f>'Resultater - Vestdanmark'!J305+'Resultater - Østdanmark'!J305</f>
        <v>0.21987119447389988</v>
      </c>
    </row>
    <row r="306" spans="1:10" hidden="1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78">
        <f>'Resultater - Vestdanmark'!H306+'Resultater - Østdanmark'!H306</f>
        <v>-365881.10046015814</v>
      </c>
      <c r="I306" s="279">
        <f>'Resultater - Vestdanmark'!I306+'Resultater - Østdanmark'!I306</f>
        <v>-279710.10642665671</v>
      </c>
      <c r="J306" s="280">
        <f>'Resultater - Vestdanmark'!J306+'Resultater - Østdanmark'!J306</f>
        <v>-6.7768006663256051</v>
      </c>
    </row>
    <row r="307" spans="1:10" hidden="1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78">
        <f>'Resultater - Vestdanmark'!H307+'Resultater - Østdanmark'!H307</f>
        <v>40352.129195848909</v>
      </c>
      <c r="I307" s="279">
        <f>'Resultater - Vestdanmark'!I307+'Resultater - Østdanmark'!I307</f>
        <v>30848.541610151206</v>
      </c>
      <c r="J307" s="280">
        <f>'Resultater - Vestdanmark'!J307+'Resultater - Østdanmark'!J307</f>
        <v>0.74739672445000616</v>
      </c>
    </row>
    <row r="308" spans="1:10" hidden="1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78">
        <f>'Resultater - Vestdanmark'!H308+'Resultater - Østdanmark'!H308</f>
        <v>6434.7975318427207</v>
      </c>
      <c r="I308" s="279">
        <f>'Resultater - Vestdanmark'!I308+'Resultater - Østdanmark'!I308</f>
        <v>0.17291789557535811</v>
      </c>
      <c r="J308" s="280">
        <f>'Resultater - Vestdanmark'!J308+'Resultater - Østdanmark'!J308</f>
        <v>0.16492169231175774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78">
        <f>'Resultater - Vestdanmark'!H309+'Resultater - Østdanmark'!H309</f>
        <v>3436.8575357448558</v>
      </c>
      <c r="I309" s="279">
        <f>'Resultater - Vestdanmark'!I309+'Resultater - Østdanmark'!I309</f>
        <v>8.5652427752346216E-2</v>
      </c>
      <c r="J309" s="280">
        <f>'Resultater - Vestdanmark'!J309+'Resultater - Østdanmark'!J309</f>
        <v>0.1370757722479255</v>
      </c>
    </row>
    <row r="310" spans="1:10" hidden="1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-120130.14872758326</v>
      </c>
      <c r="I310" s="279">
        <f>'Resultater - Vestdanmark'!I310+'Resultater - Østdanmark'!I310</f>
        <v>-3.0113572747816595</v>
      </c>
      <c r="J310" s="280">
        <f>'Resultater - Vestdanmark'!J310+'Resultater - Østdanmark'!J310</f>
        <v>-2.8721037591848191</v>
      </c>
    </row>
    <row r="311" spans="1:10" hidden="1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42778.549000109218</v>
      </c>
      <c r="I311" s="279">
        <f>'Resultater - Vestdanmark'!I311+'Resultater - Østdanmark'!I311</f>
        <v>1.0723494152014124</v>
      </c>
      <c r="J311" s="280">
        <f>'Resultater - Vestdanmark'!J311+'Resultater - Østdanmark'!J311</f>
        <v>1.022761002937763</v>
      </c>
    </row>
    <row r="312" spans="1:10" hidden="1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78">
        <f>'Resultater - Vestdanmark'!H312+'Resultater - Østdanmark'!H312</f>
        <v>43184.19576890875</v>
      </c>
      <c r="I312" s="279">
        <f>'Resultater - Vestdanmark'!I312+'Resultater - Østdanmark'!I312</f>
        <v>70594.127439897624</v>
      </c>
      <c r="J312" s="280">
        <f>'Resultater - Vestdanmark'!J312+'Resultater - Østdanmark'!J312</f>
        <v>88216.641926336015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78">
        <f>'Resultater - Vestdanmark'!H313+'Resultater - Østdanmark'!H313</f>
        <v>23064.894881153006</v>
      </c>
      <c r="I313" s="279">
        <f>'Resultater - Vestdanmark'!I313+'Resultater - Østdanmark'!I313</f>
        <v>34967.8000658448</v>
      </c>
      <c r="J313" s="280">
        <f>'Resultater - Vestdanmark'!J313+'Resultater - Østdanmark'!J313</f>
        <v>73321.854436908005</v>
      </c>
    </row>
    <row r="314" spans="1:10" hidden="1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78">
        <f>'Resultater - Vestdanmark'!H314+'Resultater - Østdanmark'!H314</f>
        <v>-1717553.2408088709</v>
      </c>
      <c r="I314" s="279">
        <f>'Resultater - Vestdanmark'!I314+'Resultater - Østdanmark'!I314</f>
        <v>-2619142.7031000005</v>
      </c>
      <c r="J314" s="280">
        <f>'Resultater - Vestdanmark'!J314+'Resultater - Østdanmark'!J314</f>
        <v>-3272963.0972500006</v>
      </c>
    </row>
    <row r="315" spans="1:10" hidden="1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78">
        <f>'Resultater - Vestdanmark'!H315+'Resultater - Østdanmark'!H315</f>
        <v>40573.414332296394</v>
      </c>
      <c r="I315" s="279">
        <f>'Resultater - Vestdanmark'!I315+'Resultater - Østdanmark'!I315</f>
        <v>61871.480640821974</v>
      </c>
      <c r="J315" s="280">
        <f>'Resultater - Vestdanmark'!J315+'Resultater - Østdanmark'!J315</f>
        <v>77316.548147585374</v>
      </c>
    </row>
    <row r="316" spans="1:10" hidden="1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78">
        <f>'Resultater - Vestdanmark'!H316+'Resultater - Østdanmark'!H316</f>
        <v>936.9327720614383</v>
      </c>
      <c r="I316" s="279">
        <f>'Resultater - Vestdanmark'!I316+'Resultater - Østdanmark'!I316</f>
        <v>937.23654560413797</v>
      </c>
      <c r="J316" s="280">
        <f>'Resultater - Vestdanmark'!J316+'Resultater - Østdanmark'!J316</f>
        <v>3.0862578438685843E-2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78">
        <f>'Resultater - Vestdanmark'!H317+'Resultater - Østdanmark'!H317</f>
        <v>500.42047822187442</v>
      </c>
      <c r="I317" s="279">
        <f>'Resultater - Vestdanmark'!I317+'Resultater - Østdanmark'!I317</f>
        <v>464.24683369010933</v>
      </c>
      <c r="J317" s="280">
        <f>'Resultater - Vestdanmark'!J317+'Resultater - Østdanmark'!J317</f>
        <v>2.565163935528832E-2</v>
      </c>
    </row>
    <row r="318" spans="1:10" hidden="1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78">
        <f>'Resultater - Vestdanmark'!H318+'Resultater - Østdanmark'!H318</f>
        <v>-25730.161353959949</v>
      </c>
      <c r="I318" s="279">
        <f>'Resultater - Vestdanmark'!I318+'Resultater - Østdanmark'!I318</f>
        <v>-24009.798152808398</v>
      </c>
      <c r="J318" s="280">
        <f>'Resultater - Vestdanmark'!J318+'Resultater - Østdanmark'!J318</f>
        <v>-0.79062674440465386</v>
      </c>
    </row>
    <row r="319" spans="1:10" hidden="1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78">
        <f>'Resultater - Vestdanmark'!H319+'Resultater - Østdanmark'!H319</f>
        <v>5159.4843435562807</v>
      </c>
      <c r="I319" s="279">
        <f>'Resultater - Vestdanmark'!I319+'Resultater - Østdanmark'!I319</f>
        <v>4814.5122744166629</v>
      </c>
      <c r="J319" s="280">
        <f>'Resultater - Vestdanmark'!J319+'Resultater - Østdanmark'!J319</f>
        <v>0.15853869912575885</v>
      </c>
    </row>
    <row r="320" spans="1:10" hidden="1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78">
        <f>'Resultater - Vestdanmark'!H320+'Resultater - Østdanmark'!H320</f>
        <v>452.51962609204435</v>
      </c>
      <c r="I320" s="279">
        <f>'Resultater - Vestdanmark'!I320+'Resultater - Østdanmark'!I320</f>
        <v>1.4842952308058197E-2</v>
      </c>
      <c r="J320" s="280">
        <f>'Resultater - Vestdanmark'!J320+'Resultater - Østdanmark'!J320</f>
        <v>1.9240864103038401E-2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78">
        <f>'Resultater - Vestdanmark'!H321+'Resultater - Østdanmark'!H321</f>
        <v>241.69299489389135</v>
      </c>
      <c r="I321" s="279">
        <f>'Resultater - Vestdanmark'!I321+'Resultater - Østdanmark'!I321</f>
        <v>7.3522459660250944E-3</v>
      </c>
      <c r="J321" s="280">
        <f>'Resultater - Vestdanmark'!J321+'Resultater - Østdanmark'!J321</f>
        <v>1.5992173428924641E-2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78">
        <f>'Resultater - Vestdanmark'!H322+'Resultater - Østdanmark'!H322</f>
        <v>-8448.0125000949847</v>
      </c>
      <c r="I322" s="279">
        <f>'Resultater - Vestdanmark'!I322+'Resultater - Østdanmark'!I322</f>
        <v>-0.25848933832663379</v>
      </c>
      <c r="J322" s="280">
        <f>'Resultater - Vestdanmark'!J322+'Resultater - Østdanmark'!J322</f>
        <v>-0.3350787719048956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78">
        <f>'Resultater - Vestdanmark'!H323+'Resultater - Østdanmark'!H323</f>
        <v>5469.7300540171764</v>
      </c>
      <c r="I323" s="279">
        <f>'Resultater - Vestdanmark'!I323+'Resultater - Østdanmark'!I323</f>
        <v>0.16736089138981577</v>
      </c>
      <c r="J323" s="280">
        <f>'Resultater - Vestdanmark'!J323+'Resultater - Østdanmark'!J323</f>
        <v>0.21694930365346488</v>
      </c>
    </row>
    <row r="324" spans="1:10" hidden="1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78">
        <f>'Resultater - Vestdanmark'!H324+'Resultater - Østdanmark'!H324</f>
        <v>1244876.7164053498</v>
      </c>
      <c r="I324" s="279">
        <f>'Resultater - Vestdanmark'!I324+'Resultater - Østdanmark'!I324</f>
        <v>1284354.1168711369</v>
      </c>
      <c r="J324" s="280">
        <f>'Resultater - Vestdanmark'!J324+'Resultater - Østdanmark'!J324</f>
        <v>963035.62183623167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78">
        <f>'Resultater - Vestdanmark'!H325+'Resultater - Østdanmark'!H325</f>
        <v>206810.63376166133</v>
      </c>
      <c r="I325" s="279">
        <f>'Resultater - Vestdanmark'!I325+'Resultater - Østdanmark'!I325</f>
        <v>197881.13630269468</v>
      </c>
      <c r="J325" s="280">
        <f>'Resultater - Vestdanmark'!J325+'Resultater - Østdanmark'!J325</f>
        <v>248968.92721355736</v>
      </c>
    </row>
    <row r="326" spans="1:10" hidden="1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78">
        <f>'Resultater - Vestdanmark'!H326+'Resultater - Østdanmark'!H326</f>
        <v>-13068327.181838907</v>
      </c>
      <c r="I326" s="279">
        <f>'Resultater - Vestdanmark'!I326+'Resultater - Østdanmark'!I326</f>
        <v>-12577190.866696697</v>
      </c>
      <c r="J326" s="280">
        <f>'Resultater - Vestdanmark'!J326+'Resultater - Østdanmark'!J326</f>
        <v>-9430641.1823317166</v>
      </c>
    </row>
    <row r="327" spans="1:10" hidden="1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78">
        <f>'Resultater - Vestdanmark'!H327+'Resultater - Østdanmark'!H327</f>
        <v>198089.21270536177</v>
      </c>
      <c r="I327" s="279">
        <f>'Resultater - Vestdanmark'!I327+'Resultater - Østdanmark'!I327</f>
        <v>190644.58688265237</v>
      </c>
      <c r="J327" s="280">
        <f>'Resultater - Vestdanmark'!J327+'Resultater - Østdanmark'!J327</f>
        <v>142949.30492029365</v>
      </c>
    </row>
    <row r="328" spans="1:10" hidden="1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78">
        <f>'Resultater - Vestdanmark'!H328+'Resultater - Østdanmark'!H328</f>
        <v>83193.972065214504</v>
      </c>
      <c r="I328" s="279">
        <f>'Resultater - Vestdanmark'!I328+'Resultater - Østdanmark'!I328</f>
        <v>68191.687435507061</v>
      </c>
      <c r="J328" s="280">
        <f>'Resultater - Vestdanmark'!J328+'Resultater - Østdanmark'!J328</f>
        <v>1.652144353147702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78">
        <f>'Resultater - Vestdanmark'!H329+'Resultater - Østdanmark'!H329</f>
        <v>13820.965450810663</v>
      </c>
      <c r="I329" s="279">
        <f>'Resultater - Vestdanmark'!I329+'Resultater - Østdanmark'!I329</f>
        <v>10506.330317225278</v>
      </c>
      <c r="J329" s="280">
        <f>'Resultater - Vestdanmark'!J329+'Resultater - Østdanmark'!J329</f>
        <v>0.42712086435684182</v>
      </c>
    </row>
    <row r="330" spans="1:10" hidden="1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78">
        <f>'Resultater - Vestdanmark'!H330+'Resultater - Østdanmark'!H330</f>
        <v>-655008.26237096614</v>
      </c>
      <c r="I330" s="279">
        <f>'Resultater - Vestdanmark'!I330+'Resultater - Østdanmark'!I330</f>
        <v>-500831.42402027285</v>
      </c>
      <c r="J330" s="280">
        <f>'Resultater - Vestdanmark'!J330+'Resultater - Østdanmark'!J330</f>
        <v>-12.134115464683008</v>
      </c>
    </row>
    <row r="331" spans="1:10" hidden="1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78">
        <f>'Resultater - Vestdanmark'!H331+'Resultater - Østdanmark'!H331</f>
        <v>77590.310666771984</v>
      </c>
      <c r="I331" s="279">
        <f>'Resultater - Vestdanmark'!I331+'Resultater - Østdanmark'!I331</f>
        <v>59326.985648627546</v>
      </c>
      <c r="J331" s="280">
        <f>'Resultater - Vestdanmark'!J331+'Resultater - Østdanmark'!J331</f>
        <v>1.43737085874807</v>
      </c>
    </row>
    <row r="332" spans="1:10" hidden="1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78">
        <f>'Resultater - Vestdanmark'!H332+'Resultater - Østdanmark'!H332</f>
        <v>72418.22612376757</v>
      </c>
      <c r="I332" s="279">
        <f>'Resultater - Vestdanmark'!I332+'Resultater - Østdanmark'!I332</f>
        <v>1.9522353676562767</v>
      </c>
      <c r="J332" s="280">
        <f>'Resultater - Vestdanmark'!J332+'Resultater - Østdanmark'!J332</f>
        <v>1.8619585876490501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78">
        <f>'Resultater - Vestdanmark'!H333+'Resultater - Østdanmark'!H333</f>
        <v>12030.797140939529</v>
      </c>
      <c r="I333" s="279">
        <f>'Resultater - Vestdanmark'!I333+'Resultater - Østdanmark'!I333</f>
        <v>0.3007819633289599</v>
      </c>
      <c r="J333" s="280">
        <f>'Resultater - Vestdanmark'!J333+'Resultater - Østdanmark'!J333</f>
        <v>0.48136312050343499</v>
      </c>
    </row>
    <row r="334" spans="1:10" hidden="1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78">
        <f>'Resultater - Vestdanmark'!H334+'Resultater - Østdanmark'!H334</f>
        <v>-434413.67575579346</v>
      </c>
      <c r="I334" s="279">
        <f>'Resultater - Vestdanmark'!I334+'Resultater - Østdanmark'!I334</f>
        <v>-10.924284382407746</v>
      </c>
      <c r="J334" s="280">
        <f>'Resultater - Vestdanmark'!J334+'Resultater - Østdanmark'!J334</f>
        <v>-10.419115162412011</v>
      </c>
    </row>
    <row r="335" spans="1:10" hidden="1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78">
        <f>'Resultater - Vestdanmark'!H335+'Resultater - Østdanmark'!H335</f>
        <v>148249.80065505981</v>
      </c>
      <c r="I335" s="279">
        <f>'Resultater - Vestdanmark'!I335+'Resultater - Østdanmark'!I335</f>
        <v>3.7280662934321382</v>
      </c>
      <c r="J335" s="280">
        <f>'Resultater - Vestdanmark'!J335+'Resultater - Østdanmark'!J335</f>
        <v>3.5556701642560853</v>
      </c>
    </row>
    <row r="336" spans="1:10" hidden="1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78">
        <f>'Resultater - Vestdanmark'!H336+'Resultater - Østdanmark'!H336</f>
        <v>90727.938572043873</v>
      </c>
      <c r="I336" s="279">
        <f>'Resultater - Vestdanmark'!I336+'Resultater - Østdanmark'!I336</f>
        <v>114255.54831587744</v>
      </c>
      <c r="J336" s="280">
        <f>'Resultater - Vestdanmark'!J336+'Resultater - Østdanmark'!J336</f>
        <v>116439.76154928983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78">
        <f>'Resultater - Vestdanmark'!H337+'Resultater - Østdanmark'!H337</f>
        <v>15072.578857570828</v>
      </c>
      <c r="I337" s="279">
        <f>'Resultater - Vestdanmark'!I337+'Resultater - Østdanmark'!I337</f>
        <v>17603.414379759943</v>
      </c>
      <c r="J337" s="280">
        <f>'Resultater - Vestdanmark'!J337+'Resultater - Østdanmark'!J337</f>
        <v>30102.606654002841</v>
      </c>
    </row>
    <row r="338" spans="1:10" hidden="1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78">
        <f>'Resultater - Vestdanmark'!H338+'Resultater - Østdanmark'!H338</f>
        <v>-952433.57849676628</v>
      </c>
      <c r="I338" s="279">
        <f>'Resultater - Vestdanmark'!I338+'Resultater - Østdanmark'!I338</f>
        <v>-1118861.0834593186</v>
      </c>
      <c r="J338" s="280">
        <f>'Resultater - Vestdanmark'!J338+'Resultater - Østdanmark'!J338</f>
        <v>-1140250.252045562</v>
      </c>
    </row>
    <row r="339" spans="1:10" hidden="1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78">
        <f>'Resultater - Vestdanmark'!H339+'Resultater - Østdanmark'!H339</f>
        <v>25327.986699790868</v>
      </c>
      <c r="I339" s="279">
        <f>'Resultater - Vestdanmark'!I339+'Resultater - Østdanmark'!I339</f>
        <v>29753.77945567407</v>
      </c>
      <c r="J339" s="280">
        <f>'Resultater - Vestdanmark'!J339+'Resultater - Østdanmark'!J339</f>
        <v>30322.579831577445</v>
      </c>
    </row>
    <row r="340" spans="1:10" hidden="1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78">
        <f>'Resultater - Vestdanmark'!H340+'Resultater - Østdanmark'!H340</f>
        <v>6063.2651310986303</v>
      </c>
      <c r="I340" s="279">
        <f>'Resultater - Vestdanmark'!I340+'Resultater - Østdanmark'!I340</f>
        <v>6066.3009805344136</v>
      </c>
      <c r="J340" s="280">
        <f>'Resultater - Vestdanmark'!J340+'Resultater - Østdanmark'!J340</f>
        <v>0.19975927178967665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78">
        <f>'Resultater - Vestdanmark'!H341+'Resultater - Østdanmark'!H341</f>
        <v>1007.2866557006012</v>
      </c>
      <c r="I341" s="279">
        <f>'Resultater - Vestdanmark'!I341+'Resultater - Østdanmark'!I341</f>
        <v>934.63828660171703</v>
      </c>
      <c r="J341" s="280">
        <f>'Resultater - Vestdanmark'!J341+'Resultater - Østdanmark'!J341</f>
        <v>5.1642795417690873E-2</v>
      </c>
    </row>
    <row r="342" spans="1:10" hidden="1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78">
        <f>'Resultater - Vestdanmark'!H342+'Resultater - Østdanmark'!H342</f>
        <v>-47737.698528232206</v>
      </c>
      <c r="I342" s="279">
        <f>'Resultater - Vestdanmark'!I342+'Resultater - Østdanmark'!I342</f>
        <v>-44553.731882497101</v>
      </c>
      <c r="J342" s="280">
        <f>'Resultater - Vestdanmark'!J342+'Resultater - Østdanmark'!J342</f>
        <v>-1.4671248698207631</v>
      </c>
    </row>
    <row r="343" spans="1:10" hidden="1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78">
        <f>'Resultater - Vestdanmark'!H343+'Resultater - Østdanmark'!H343</f>
        <v>9920.8146156029889</v>
      </c>
      <c r="I343" s="279">
        <f>'Resultater - Vestdanmark'!I343+'Resultater - Østdanmark'!I343</f>
        <v>9259.124927820485</v>
      </c>
      <c r="J343" s="280">
        <f>'Resultater - Vestdanmark'!J343+'Resultater - Østdanmark'!J343</f>
        <v>0.30489684882534812</v>
      </c>
    </row>
    <row r="344" spans="1:10" hidden="1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78">
        <f>'Resultater - Vestdanmark'!H344+'Resultater - Østdanmark'!H344</f>
        <v>5277.9173107404822</v>
      </c>
      <c r="I344" s="279">
        <f>'Resultater - Vestdanmark'!I344+'Resultater - Østdanmark'!I344</f>
        <v>0.1736699555389023</v>
      </c>
      <c r="J344" s="280">
        <f>'Resultater - Vestdanmark'!J344+'Resultater - Østdanmark'!J344</f>
        <v>0.22512772014302154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78">
        <f>'Resultater - Vestdanmark'!H345+'Resultater - Østdanmark'!H345</f>
        <v>876.81728607450714</v>
      </c>
      <c r="I345" s="279">
        <f>'Resultater - Vestdanmark'!I345+'Resultater - Østdanmark'!I345</f>
        <v>2.6757424367819038E-2</v>
      </c>
      <c r="J345" s="280">
        <f>'Resultater - Vestdanmark'!J345+'Resultater - Østdanmark'!J345</f>
        <v>5.8201177297233508E-2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78">
        <f>'Resultater - Vestdanmark'!H346+'Resultater - Østdanmark'!H346</f>
        <v>-31660.530532401586</v>
      </c>
      <c r="I346" s="279">
        <f>'Resultater - Vestdanmark'!I346+'Resultater - Østdanmark'!I346</f>
        <v>-0.97181928696679309</v>
      </c>
      <c r="J346" s="280">
        <f>'Resultater - Vestdanmark'!J346+'Resultater - Østdanmark'!J346</f>
        <v>-1.2597657423643613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78">
        <f>'Resultater - Vestdanmark'!H347+'Resultater - Østdanmark'!H347</f>
        <v>18955.444004025605</v>
      </c>
      <c r="I347" s="279">
        <f>'Resultater - Vestdanmark'!I347+'Resultater - Østdanmark'!I347</f>
        <v>0.58183693596917774</v>
      </c>
      <c r="J347" s="280">
        <f>'Resultater - Vestdanmark'!J347+'Resultater - Østdanmark'!J347</f>
        <v>0.75423306514523047</v>
      </c>
    </row>
    <row r="348" spans="1:10" hidden="1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78">
        <f>'Resultater - Vestdanmark'!H348+'Resultater - Østdanmark'!H348</f>
        <v>803523.26097451104</v>
      </c>
      <c r="I348" s="279">
        <f>'Resultater - Vestdanmark'!I348+'Resultater - Østdanmark'!I348</f>
        <v>844097.52668774035</v>
      </c>
      <c r="J348" s="280">
        <f>'Resultater - Vestdanmark'!J348+'Resultater - Østdanmark'!J348</f>
        <v>632922.00789956562</v>
      </c>
    </row>
    <row r="349" spans="1:10" hidden="1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78">
        <f>'Resultater - Vestdanmark'!H349+'Resultater - Østdanmark'!H349</f>
        <v>-1767751.1741439244</v>
      </c>
      <c r="I349" s="279">
        <f>'Resultater - Vestdanmark'!I349+'Resultater - Østdanmark'!I349</f>
        <v>-1732289.7002920043</v>
      </c>
      <c r="J349" s="280">
        <f>'Resultater - Vestdanmark'!J349+'Resultater - Østdanmark'!J349</f>
        <v>-1298907.1057640337</v>
      </c>
    </row>
    <row r="350" spans="1:10" hidden="1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78">
        <f>'Resultater - Vestdanmark'!H350+'Resultater - Østdanmark'!H350</f>
        <v>31589.622964822924</v>
      </c>
      <c r="I350" s="279">
        <f>'Resultater - Vestdanmark'!I350+'Resultater - Østdanmark'!I350</f>
        <v>30955.928242882452</v>
      </c>
      <c r="J350" s="280">
        <f>'Resultater - Vestdanmark'!J350+'Resultater - Østdanmark'!J350</f>
        <v>23211.403469883659</v>
      </c>
    </row>
    <row r="351" spans="1:10" hidden="1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78">
        <f>'Resultater - Vestdanmark'!H351+'Resultater - Østdanmark'!H351</f>
        <v>27634.888548227009</v>
      </c>
      <c r="I351" s="279">
        <f>'Resultater - Vestdanmark'!I351+'Resultater - Østdanmark'!I351</f>
        <v>22644.539498947848</v>
      </c>
      <c r="J351" s="280">
        <f>'Resultater - Vestdanmark'!J351+'Resultater - Østdanmark'!J351</f>
        <v>0.54863062449001043</v>
      </c>
    </row>
    <row r="352" spans="1:10" hidden="1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78">
        <f>'Resultater - Vestdanmark'!H352+'Resultater - Østdanmark'!H352</f>
        <v>-46058.147580378347</v>
      </c>
      <c r="I352" s="279">
        <f>'Resultater - Vestdanmark'!I352+'Resultater - Østdanmark'!I352</f>
        <v>-35206.062653836831</v>
      </c>
      <c r="J352" s="280">
        <f>'Resultater - Vestdanmark'!J352+'Resultater - Østdanmark'!J352</f>
        <v>-0.85297049827426985</v>
      </c>
    </row>
    <row r="353" spans="1:10" hidden="1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78">
        <f>'Resultater - Vestdanmark'!H353+'Resultater - Østdanmark'!H353</f>
        <v>4910.5789263453398</v>
      </c>
      <c r="I353" s="279">
        <f>'Resultater - Vestdanmark'!I353+'Resultater - Østdanmark'!I353</f>
        <v>3753.5627989775235</v>
      </c>
      <c r="J353" s="280">
        <f>'Resultater - Vestdanmark'!J353+'Resultater - Østdanmark'!J353</f>
        <v>9.0941107570820495E-2</v>
      </c>
    </row>
    <row r="354" spans="1:10" hidden="1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78">
        <f>'Resultater - Vestdanmark'!H354+'Resultater - Østdanmark'!H354</f>
        <v>18493.012942248984</v>
      </c>
      <c r="I354" s="279">
        <f>'Resultater - Vestdanmark'!I354+'Resultater - Østdanmark'!I354</f>
        <v>0.4957593907243395</v>
      </c>
      <c r="J354" s="280">
        <f>'Resultater - Vestdanmark'!J354+'Resultater - Østdanmark'!J354</f>
        <v>0.47283410097986134</v>
      </c>
    </row>
    <row r="355" spans="1:10" hidden="1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-23776.730925748692</v>
      </c>
      <c r="I355" s="279">
        <f>'Resultater - Vestdanmark'!I355+'Resultater - Østdanmark'!I355</f>
        <v>-0.59459415198814702</v>
      </c>
      <c r="J355" s="280">
        <f>'Resultater - Vestdanmark'!J355+'Resultater - Østdanmark'!J355</f>
        <v>-0.56709846865921532</v>
      </c>
    </row>
    <row r="356" spans="1:10" hidden="1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7529.7457544847666</v>
      </c>
      <c r="I356" s="279">
        <f>'Resultater - Vestdanmark'!I356+'Resultater - Østdanmark'!I356</f>
        <v>0.18829934214067076</v>
      </c>
      <c r="J356" s="280">
        <f>'Resultater - Vestdanmark'!J356+'Resultater - Østdanmark'!J356</f>
        <v>0.17959185811104433</v>
      </c>
    </row>
    <row r="357" spans="1:10" hidden="1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78">
        <f>'Resultater - Vestdanmark'!H357+'Resultater - Østdanmark'!H357</f>
        <v>58561.6295189554</v>
      </c>
      <c r="I357" s="279">
        <f>'Resultater - Vestdanmark'!I357+'Resultater - Østdanmark'!I357</f>
        <v>75090.525640024993</v>
      </c>
      <c r="J357" s="280">
        <f>'Resultater - Vestdanmark'!J357+'Resultater - Østdanmark'!J357</f>
        <v>76526.024591492911</v>
      </c>
    </row>
    <row r="358" spans="1:10" hidden="1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78">
        <f>'Resultater - Vestdanmark'!H358+'Resultater - Østdanmark'!H358</f>
        <v>-128835.58494170189</v>
      </c>
      <c r="I358" s="279">
        <f>'Resultater - Vestdanmark'!I358+'Resultater - Østdanmark'!I358</f>
        <v>-154103.69067915576</v>
      </c>
      <c r="J358" s="280">
        <f>'Resultater - Vestdanmark'!J358+'Resultater - Østdanmark'!J358</f>
        <v>-157049.67733328769</v>
      </c>
    </row>
    <row r="359" spans="1:10" hidden="1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78">
        <f>'Resultater - Vestdanmark'!H359+'Resultater - Østdanmark'!H359</f>
        <v>4039.0970279361727</v>
      </c>
      <c r="I359" s="279">
        <f>'Resultater - Vestdanmark'!I359+'Resultater - Østdanmark'!I359</f>
        <v>4831.2720379065104</v>
      </c>
      <c r="J359" s="280">
        <f>'Resultater - Vestdanmark'!J359+'Resultater - Østdanmark'!J359</f>
        <v>4923.6310390662302</v>
      </c>
    </row>
    <row r="360" spans="1:10" hidden="1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78">
        <f>'Resultater - Vestdanmark'!H360+'Resultater - Østdanmark'!H360</f>
        <v>2014.0600571988041</v>
      </c>
      <c r="I360" s="279">
        <f>'Resultater - Vestdanmark'!I360+'Resultater - Østdanmark'!I360</f>
        <v>2014.4477623630485</v>
      </c>
      <c r="J360" s="280">
        <f>'Resultater - Vestdanmark'!J360+'Resultater - Østdanmark'!J360</f>
        <v>6.6334430051973967E-2</v>
      </c>
    </row>
    <row r="361" spans="1:10" hidden="1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78">
        <f>'Resultater - Vestdanmark'!H361+'Resultater - Østdanmark'!H361</f>
        <v>-3356.766761998007</v>
      </c>
      <c r="I361" s="279">
        <f>'Resultater - Vestdanmark'!I361+'Resultater - Østdanmark'!I361</f>
        <v>-3131.9150534251376</v>
      </c>
      <c r="J361" s="280">
        <f>'Resultater - Vestdanmark'!J361+'Resultater - Østdanmark'!J361</f>
        <v>-0.10313188751861622</v>
      </c>
    </row>
    <row r="362" spans="1:10" hidden="1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78">
        <f>'Resultater - Vestdanmark'!H362+'Resultater - Østdanmark'!H362</f>
        <v>627.87405753257133</v>
      </c>
      <c r="I362" s="279">
        <f>'Resultater - Vestdanmark'!I362+'Resultater - Østdanmark'!I362</f>
        <v>585.81615937799506</v>
      </c>
      <c r="J362" s="280">
        <f>'Resultater - Vestdanmark'!J362+'Resultater - Østdanmark'!J362</f>
        <v>1.9290537969567985E-2</v>
      </c>
    </row>
    <row r="363" spans="1:10" hidden="1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78">
        <f>'Resultater - Vestdanmark'!H363+'Resultater - Østdanmark'!H363</f>
        <v>1347.7904439254141</v>
      </c>
      <c r="I363" s="279">
        <f>'Resultater - Vestdanmark'!I363+'Resultater - Østdanmark'!I363</f>
        <v>4.4102526145939791E-2</v>
      </c>
      <c r="J363" s="280">
        <f>'Resultater - Vestdanmark'!J363+'Resultater - Østdanmark'!J363</f>
        <v>5.7169941300292335E-2</v>
      </c>
    </row>
    <row r="364" spans="1:10" hidden="1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78">
        <f>'Resultater - Vestdanmark'!H364+'Resultater - Østdanmark'!H364</f>
        <v>-1732.8734279041039</v>
      </c>
      <c r="I364" s="279">
        <f>'Resultater - Vestdanmark'!I364+'Resultater - Østdanmark'!I364</f>
        <v>-5.2894820804032266E-2</v>
      </c>
      <c r="J364" s="280">
        <f>'Resultater - Vestdanmark'!J364+'Resultater - Østdanmark'!J364</f>
        <v>-6.85673603015233E-2</v>
      </c>
    </row>
    <row r="365" spans="1:10" hidden="1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78">
        <f>'Resultater - Vestdanmark'!H365+'Resultater - Østdanmark'!H365</f>
        <v>962.76469434034368</v>
      </c>
      <c r="I365" s="279">
        <f>'Resultater - Vestdanmark'!I365+'Resultater - Østdanmark'!I365</f>
        <v>2.9387758599989076E-2</v>
      </c>
      <c r="J365" s="280">
        <f>'Resultater - Vestdanmark'!J365+'Resultater - Østdanmark'!J365</f>
        <v>3.8095242629615472E-2</v>
      </c>
    </row>
    <row r="366" spans="1:10" hidden="1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78">
        <f>'Resultater - Vestdanmark'!H366+'Resultater - Østdanmark'!H366</f>
        <v>151119.96541178104</v>
      </c>
      <c r="I366" s="279">
        <f>'Resultater - Vestdanmark'!I366+'Resultater - Østdanmark'!I366</f>
        <v>158337.82709059835</v>
      </c>
      <c r="J366" s="280">
        <f>'Resultater - Vestdanmark'!J366+'Resultater - Østdanmark'!J366</f>
        <v>118725.01965724725</v>
      </c>
    </row>
    <row r="367" spans="1:10" hidden="1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-743510.2298259628</v>
      </c>
      <c r="I367" s="279">
        <f>'Resultater - Vestdanmark'!I367+'Resultater - Østdanmark'!I367</f>
        <v>-726699.72881132818</v>
      </c>
      <c r="J367" s="280">
        <f>'Resultater - Vestdanmark'!J367+'Resultater - Østdanmark'!J367</f>
        <v>-544894.67977020191</v>
      </c>
    </row>
    <row r="368" spans="1:10" hidden="1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12179.28225780596</v>
      </c>
      <c r="I368" s="279">
        <f>'Resultater - Vestdanmark'!I368+'Resultater - Østdanmark'!I368</f>
        <v>11903.91303148033</v>
      </c>
      <c r="J368" s="280">
        <f>'Resultater - Vestdanmark'!J368+'Resultater - Østdanmark'!J368</f>
        <v>8925.8033574756628</v>
      </c>
    </row>
    <row r="369" spans="1:10" hidden="1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78">
        <f>'Resultater - Vestdanmark'!H369+'Resultater - Østdanmark'!H369</f>
        <v>22625.724932981873</v>
      </c>
      <c r="I369" s="279">
        <f>'Resultater - Vestdanmark'!I369+'Resultater - Østdanmark'!I369</f>
        <v>18540.644050201445</v>
      </c>
      <c r="J369" s="280">
        <f>'Resultater - Vestdanmark'!J369+'Resultater - Østdanmark'!J369</f>
        <v>0.44920167726012794</v>
      </c>
    </row>
    <row r="370" spans="1:10" hidden="1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-92765.472225225691</v>
      </c>
      <c r="I370" s="279">
        <f>'Resultater - Vestdanmark'!I370+'Resultater - Østdanmark'!I370</f>
        <v>-70911.045341255522</v>
      </c>
      <c r="J370" s="280">
        <f>'Resultater - Vestdanmark'!J370+'Resultater - Østdanmark'!J370</f>
        <v>-1.7180288029538475</v>
      </c>
    </row>
    <row r="371" spans="1:10" hidden="1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8241.9759393401473</v>
      </c>
      <c r="I371" s="279">
        <f>'Resultater - Vestdanmark'!I371+'Resultater - Østdanmark'!I371</f>
        <v>6300.265772561419</v>
      </c>
      <c r="J371" s="280">
        <f>'Resultater - Vestdanmark'!J371+'Resultater - Østdanmark'!J371</f>
        <v>0.15264248343025688</v>
      </c>
    </row>
    <row r="372" spans="1:10" hidden="1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78">
        <f>'Resultater - Vestdanmark'!H372+'Resultater - Østdanmark'!H372</f>
        <v>21786.130098302907</v>
      </c>
      <c r="I372" s="279">
        <f>'Resultater - Vestdanmark'!I372+'Resultater - Østdanmark'!I372</f>
        <v>0.58444774419750334</v>
      </c>
      <c r="J372" s="280">
        <f>'Resultater - Vestdanmark'!J372+'Resultater - Østdanmark'!J372</f>
        <v>0.55742125891669392</v>
      </c>
    </row>
    <row r="373" spans="1:10" hidden="1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-76562.685774035956</v>
      </c>
      <c r="I373" s="279">
        <f>'Resultater - Vestdanmark'!I373+'Resultater - Østdanmark'!I373</f>
        <v>-1.9159667520333934</v>
      </c>
      <c r="J373" s="280">
        <f>'Resultater - Vestdanmark'!J373+'Resultater - Østdanmark'!J373</f>
        <v>-1.8273671334422537</v>
      </c>
    </row>
    <row r="374" spans="1:10" hidden="1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18184.718915711666</v>
      </c>
      <c r="I374" s="279">
        <f>'Resultater - Vestdanmark'!I374+'Resultater - Østdanmark'!I374</f>
        <v>0.45506915653932994</v>
      </c>
      <c r="J374" s="280">
        <f>'Resultater - Vestdanmark'!J374+'Resultater - Østdanmark'!J374</f>
        <v>0.43402549612132624</v>
      </c>
    </row>
    <row r="375" spans="1:10" hidden="1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78">
        <f>'Resultater - Vestdanmark'!H375+'Resultater - Østdanmark'!H375</f>
        <v>11013.783741156445</v>
      </c>
      <c r="I375" s="279">
        <f>'Resultater - Vestdanmark'!I375+'Resultater - Østdanmark'!I375</f>
        <v>14085.659878175196</v>
      </c>
      <c r="J375" s="280">
        <f>'Resultater - Vestdanmark'!J375+'Resultater - Østdanmark'!J375</f>
        <v>14354.934194921711</v>
      </c>
    </row>
    <row r="376" spans="1:10" hidden="1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-54187.816006489709</v>
      </c>
      <c r="I376" s="279">
        <f>'Resultater - Vestdanmark'!I376+'Resultater - Østdanmark'!I376</f>
        <v>-64646.871828938391</v>
      </c>
      <c r="J376" s="280">
        <f>'Resultater - Vestdanmark'!J376+'Resultater - Østdanmark'!J376</f>
        <v>-65882.720372215306</v>
      </c>
    </row>
    <row r="377" spans="1:10" hidden="1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1557.2614723727386</v>
      </c>
      <c r="I377" s="279">
        <f>'Resultater - Vestdanmark'!I377+'Resultater - Østdanmark'!I377</f>
        <v>1857.8361378610923</v>
      </c>
      <c r="J377" s="280">
        <f>'Resultater - Vestdanmark'!J377+'Resultater - Østdanmark'!J377</f>
        <v>1893.3522273433225</v>
      </c>
    </row>
    <row r="378" spans="1:10" hidden="1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78">
        <f>'Resultater - Vestdanmark'!H378+'Resultater - Østdanmark'!H378</f>
        <v>1648.986887468722</v>
      </c>
      <c r="I378" s="279">
        <f>'Resultater - Vestdanmark'!I378+'Resultater - Østdanmark'!I378</f>
        <v>1649.3671209976892</v>
      </c>
      <c r="J378" s="280">
        <f>'Resultater - Vestdanmark'!J378+'Resultater - Østdanmark'!J378</f>
        <v>5.4312566432360924E-2</v>
      </c>
    </row>
    <row r="379" spans="1:10" hidden="1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-6760.8462386217598</v>
      </c>
      <c r="I379" s="279">
        <f>'Resultater - Vestdanmark'!I379+'Resultater - Østdanmark'!I379</f>
        <v>-6308.2138023232519</v>
      </c>
      <c r="J379" s="280">
        <f>'Resultater - Vestdanmark'!J379+'Resultater - Østdanmark'!J379</f>
        <v>-0.20772530072078338</v>
      </c>
    </row>
    <row r="380" spans="1:10" hidden="1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1053.8315242945746</v>
      </c>
      <c r="I380" s="279">
        <f>'Resultater - Vestdanmark'!I380+'Resultater - Østdanmark'!I380</f>
        <v>983.27847317432554</v>
      </c>
      <c r="J380" s="280">
        <f>'Resultater - Vestdanmark'!J380+'Resultater - Østdanmark'!J380</f>
        <v>3.237870860641813E-2</v>
      </c>
    </row>
    <row r="381" spans="1:10" hidden="1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78">
        <f>'Resultater - Vestdanmark'!H381+'Resultater - Østdanmark'!H381</f>
        <v>1587.7963233089895</v>
      </c>
      <c r="I381" s="279">
        <f>'Resultater - Vestdanmark'!I381+'Resultater - Østdanmark'!I381</f>
        <v>5.1992201058957084E-2</v>
      </c>
      <c r="J381" s="280">
        <f>'Resultater - Vestdanmark'!J381+'Resultater - Østdanmark'!J381</f>
        <v>6.7397297669018433E-2</v>
      </c>
    </row>
    <row r="382" spans="1:10" hidden="1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-5579.9699362001647</v>
      </c>
      <c r="I382" s="279">
        <f>'Resultater - Vestdanmark'!I382+'Resultater - Østdanmark'!I382</f>
        <v>-0.17044351626470475</v>
      </c>
      <c r="J382" s="280">
        <f>'Resultater - Vestdanmark'!J382+'Resultater - Østdanmark'!J382</f>
        <v>-0.22094529886165429</v>
      </c>
    </row>
    <row r="383" spans="1:10" hidden="1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2325.1256973879313</v>
      </c>
      <c r="I383" s="279">
        <f>'Resultater - Vestdanmark'!I383+'Resultater - Østdanmark'!I383</f>
        <v>7.1022353910762476E-2</v>
      </c>
      <c r="J383" s="280">
        <f>'Resultater - Vestdanmark'!J383+'Resultater - Østdanmark'!J383</f>
        <v>9.2066014328766155E-2</v>
      </c>
    </row>
    <row r="384" spans="1:10" hidden="1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78">
        <f>'Resultater - Vestdanmark'!H384+'Resultater - Østdanmark'!H384</f>
        <v>2073397.5877193159</v>
      </c>
      <c r="I384" s="279">
        <f>'Resultater - Vestdanmark'!I384+'Resultater - Østdanmark'!I384</f>
        <v>2171636.5055224784</v>
      </c>
      <c r="J384" s="280">
        <f>'Resultater - Vestdanmark'!J384+'Resultater - Østdanmark'!J384</f>
        <v>2185756.1169259204</v>
      </c>
    </row>
    <row r="385" spans="1:10" hidden="1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-7517757.7509764899</v>
      </c>
      <c r="I385" s="279">
        <f>'Resultater - Vestdanmark'!I385+'Resultater - Østdanmark'!I385</f>
        <v>-7345106.3173159705</v>
      </c>
      <c r="J385" s="280">
        <f>'Resultater - Vestdanmark'!J385+'Resultater - Østdanmark'!J385</f>
        <v>-7392862.9500000002</v>
      </c>
    </row>
    <row r="386" spans="1:10" hidden="1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295552.28134429298</v>
      </c>
      <c r="I386" s="279">
        <f>'Resultater - Vestdanmark'!I386+'Resultater - Østdanmark'!I386</f>
        <v>288764.68233059754</v>
      </c>
      <c r="J386" s="280">
        <f>'Resultater - Vestdanmark'!J386+'Resultater - Østdanmark'!J386</f>
        <v>290642.18120813888</v>
      </c>
    </row>
    <row r="387" spans="1:10" hidden="1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78">
        <f>'Resultater - Vestdanmark'!H387+'Resultater - Østdanmark'!H387</f>
        <v>362721.58612359717</v>
      </c>
      <c r="I387" s="279">
        <f>'Resultater - Vestdanmark'!I387+'Resultater - Østdanmark'!I387</f>
        <v>297008.3510339901</v>
      </c>
      <c r="J387" s="280">
        <f>'Resultater - Vestdanmark'!J387+'Resultater - Østdanmark'!J387</f>
        <v>7.1959015600262219</v>
      </c>
    </row>
    <row r="388" spans="1:10" hidden="1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-1095968.0508931505</v>
      </c>
      <c r="I388" s="279">
        <f>'Resultater - Vestdanmark'!I388+'Resultater - Østdanmark'!I388</f>
        <v>-837140.52740396897</v>
      </c>
      <c r="J388" s="280">
        <f>'Resultater - Vestdanmark'!J388+'Resultater - Østdanmark'!J388</f>
        <v>-20.282193433739515</v>
      </c>
    </row>
    <row r="389" spans="1:10" hidden="1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233697.52790303045</v>
      </c>
      <c r="I389" s="279">
        <f>'Resultater - Vestdanmark'!I389+'Resultater - Østdanmark'!I389</f>
        <v>178506.7289163341</v>
      </c>
      <c r="J389" s="280">
        <f>'Resultater - Vestdanmark'!J389+'Resultater - Østdanmark'!J389</f>
        <v>4.3248509498550236</v>
      </c>
    </row>
    <row r="390" spans="1:10" hidden="1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78">
        <f>'Resultater - Vestdanmark'!H390+'Resultater - Østdanmark'!H390</f>
        <v>457088.33107391914</v>
      </c>
      <c r="I390" s="279">
        <f>'Resultater - Vestdanmark'!I390+'Resultater - Østdanmark'!I390</f>
        <v>12.146381411257909</v>
      </c>
      <c r="J390" s="280">
        <f>'Resultater - Vestdanmark'!J390+'Resultater - Østdanmark'!J390</f>
        <v>11.584699033858699</v>
      </c>
    </row>
    <row r="391" spans="1:10" hidden="1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-1183798.6405105125</v>
      </c>
      <c r="I391" s="279">
        <f>'Resultater - Vestdanmark'!I391+'Resultater - Østdanmark'!I391</f>
        <v>-29.344710646122667</v>
      </c>
      <c r="J391" s="280">
        <f>'Resultater - Vestdanmark'!J391+'Resultater - Østdanmark'!J391</f>
        <v>-27.98772980699561</v>
      </c>
    </row>
    <row r="392" spans="1:10" hidden="1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674805.3408895086</v>
      </c>
      <c r="I392" s="279">
        <f>'Resultater - Vestdanmark'!I392+'Resultater - Østdanmark'!I392</f>
        <v>16.727479482761705</v>
      </c>
      <c r="J392" s="280">
        <f>'Resultater - Vestdanmark'!J392+'Resultater - Østdanmark'!J392</f>
        <v>15.953954419975037</v>
      </c>
    </row>
    <row r="393" spans="1:10" hidden="1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78">
        <f>'Resultater - Vestdanmark'!H393+'Resultater - Østdanmark'!H393</f>
        <v>265107.75527814421</v>
      </c>
      <c r="I393" s="279">
        <f>'Resultater - Vestdanmark'!I393+'Resultater - Østdanmark'!I393</f>
        <v>338925.92860755441</v>
      </c>
      <c r="J393" s="280">
        <f>'Resultater - Vestdanmark'!J393+'Resultater - Østdanmark'!J393</f>
        <v>463645.23692367994</v>
      </c>
    </row>
    <row r="394" spans="1:10" hidden="1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-961231.89005853585</v>
      </c>
      <c r="I394" s="279">
        <f>'Resultater - Vestdanmark'!I394+'Resultater - Østdanmark'!I394</f>
        <v>-1146346.0726446891</v>
      </c>
      <c r="J394" s="280">
        <f>'Resultater - Vestdanmark'!J394+'Resultater - Østdanmark'!J394</f>
        <v>-1568183.0499999996</v>
      </c>
    </row>
    <row r="395" spans="1:10" hidden="1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37789.762242709345</v>
      </c>
      <c r="I395" s="279">
        <f>'Resultater - Vestdanmark'!I395+'Resultater - Østdanmark'!I395</f>
        <v>45067.320363734878</v>
      </c>
      <c r="J395" s="280">
        <f>'Resultater - Vestdanmark'!J395+'Resultater - Østdanmark'!J395</f>
        <v>61651.371771423394</v>
      </c>
    </row>
    <row r="396" spans="1:10" hidden="1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78">
        <f>'Resultater - Vestdanmark'!H396+'Resultater - Østdanmark'!H396</f>
        <v>46378.13126518044</v>
      </c>
      <c r="I396" s="279">
        <f>'Resultater - Vestdanmark'!I396+'Resultater - Østdanmark'!I396</f>
        <v>46353.904496634292</v>
      </c>
      <c r="J396" s="280">
        <f>'Resultater - Vestdanmark'!J396+'Resultater - Østdanmark'!J396</f>
        <v>1.5264033612176835</v>
      </c>
    </row>
    <row r="397" spans="1:10" hidden="1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-140132.13459384954</v>
      </c>
      <c r="I397" s="279">
        <f>'Resultater - Vestdanmark'!I397+'Resultater - Østdanmark'!I397</f>
        <v>-130651.98982605297</v>
      </c>
      <c r="J397" s="280">
        <f>'Resultater - Vestdanmark'!J397+'Resultater - Østdanmark'!J397</f>
        <v>-4.3022834556417155</v>
      </c>
    </row>
    <row r="398" spans="1:10" hidden="1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29880.919802059198</v>
      </c>
      <c r="I398" s="279">
        <f>'Resultater - Vestdanmark'!I398+'Resultater - Østdanmark'!I398</f>
        <v>27859.431680583933</v>
      </c>
      <c r="J398" s="280">
        <f>'Resultater - Vestdanmark'!J398+'Resultater - Østdanmark'!J398</f>
        <v>0.91739262572682323</v>
      </c>
    </row>
    <row r="399" spans="1:10" hidden="1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78">
        <f>'Resultater - Vestdanmark'!H399+'Resultater - Østdanmark'!H399</f>
        <v>58444.006172560563</v>
      </c>
      <c r="I399" s="279">
        <f>'Resultater - Vestdanmark'!I399+'Resultater - Østdanmark'!I399</f>
        <v>1.895678023722333</v>
      </c>
      <c r="J399" s="280">
        <f>'Resultater - Vestdanmark'!J399+'Resultater - Østdanmark'!J399</f>
        <v>2.4573604011215426</v>
      </c>
    </row>
    <row r="400" spans="1:10" hidden="1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-151362.28678276329</v>
      </c>
      <c r="I400" s="279">
        <f>'Resultater - Vestdanmark'!I400+'Resultater - Østdanmark'!I400</f>
        <v>-4.5798103320538273</v>
      </c>
      <c r="J400" s="280">
        <f>'Resultater - Vestdanmark'!J400+'Resultater - Østdanmark'!J400</f>
        <v>-5.9367911711808867</v>
      </c>
    </row>
    <row r="401" spans="1:10" hidden="1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86281.632732920101</v>
      </c>
      <c r="I401" s="279">
        <f>'Resultater - Vestdanmark'!I401+'Resultater - Østdanmark'!I401</f>
        <v>2.610647086905006</v>
      </c>
      <c r="J401" s="280">
        <f>'Resultater - Vestdanmark'!J401+'Resultater - Østdanmark'!J401</f>
        <v>3.3841721496916741</v>
      </c>
    </row>
    <row r="402" spans="1:10" hidden="1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78">
        <f>'Resultater - Vestdanmark'!H402+'Resultater - Østdanmark'!H402</f>
        <v>827693.20492220437</v>
      </c>
      <c r="I402" s="279">
        <f>'Resultater - Vestdanmark'!I402+'Resultater - Østdanmark'!I402</f>
        <v>784233.65417649108</v>
      </c>
      <c r="J402" s="280">
        <f>'Resultater - Vestdanmark'!J402+'Resultater - Østdanmark'!J402</f>
        <v>817149.28295306745</v>
      </c>
    </row>
    <row r="403" spans="1:10" hidden="1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78">
        <f>'Resultater - Vestdanmark'!H403+'Resultater - Østdanmark'!H403</f>
        <v>896667.6386657214</v>
      </c>
      <c r="I403" s="279">
        <f>'Resultater - Vestdanmark'!I403+'Resultater - Østdanmark'!I403</f>
        <v>849586.45869119884</v>
      </c>
      <c r="J403" s="280">
        <f>'Resultater - Vestdanmark'!J403+'Resultater - Østdanmark'!J403</f>
        <v>885245.05653248983</v>
      </c>
    </row>
    <row r="404" spans="1:10" hidden="1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78">
        <f>'Resultater - Vestdanmark'!H404+'Resultater - Østdanmark'!H404</f>
        <v>3383628.2</v>
      </c>
      <c r="I404" s="279">
        <f>'Resultater - Vestdanmark'!I404+'Resultater - Østdanmark'!I404</f>
        <v>3349973.4189923876</v>
      </c>
      <c r="J404" s="280">
        <f>'Resultater - Vestdanmark'!J404+'Resultater - Østdanmark'!J404</f>
        <v>1643873.382664033</v>
      </c>
    </row>
    <row r="405" spans="1:10" hidden="1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78">
        <f>'Resultater - Vestdanmark'!H405+'Resultater - Østdanmark'!H405</f>
        <v>131725</v>
      </c>
      <c r="I405" s="279">
        <f>'Resultater - Vestdanmark'!I405+'Resultater - Østdanmark'!I405</f>
        <v>130414.81585263187</v>
      </c>
      <c r="J405" s="280">
        <f>'Resultater - Vestdanmark'!J405+'Resultater - Østdanmark'!J405</f>
        <v>63996.162856019393</v>
      </c>
    </row>
    <row r="406" spans="1:10" s="171" customFormat="1" hidden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78">
        <f>'Resultater - Vestdanmark'!H406+'Resultater - Østdanmark'!H406</f>
        <v>17308.665000000001</v>
      </c>
      <c r="I406" s="279">
        <f>'Resultater - Vestdanmark'!I406+'Resultater - Østdanmark'!I406</f>
        <v>17136.506803035827</v>
      </c>
      <c r="J406" s="280">
        <f>'Resultater - Vestdanmark'!J406+'Resultater - Østdanmark'!J406</f>
        <v>8409.095799280949</v>
      </c>
    </row>
    <row r="407" spans="1:10" hidden="1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78">
        <f>'Resultater - Vestdanmark'!H407+'Resultater - Østdanmark'!H407</f>
        <v>1753646.8000000003</v>
      </c>
      <c r="I407" s="279">
        <f>'Resultater - Vestdanmark'!I407+'Resultater - Østdanmark'!I407</f>
        <v>1736204.3992602557</v>
      </c>
      <c r="J407" s="280">
        <f>'Resultater - Vestdanmark'!J407+'Resultater - Østdanmark'!J407</f>
        <v>851976.96872072341</v>
      </c>
    </row>
    <row r="408" spans="1:10" hidden="1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78">
        <f>'Resultater - Vestdanmark'!H408+'Resultater - Østdanmark'!H408</f>
        <v>1601127.6966659406</v>
      </c>
      <c r="I408" s="279">
        <f>'Resultater - Vestdanmark'!I408+'Resultater - Østdanmark'!I408</f>
        <v>1577683.1378100975</v>
      </c>
      <c r="J408" s="280">
        <f>'Resultater - Vestdanmark'!J408+'Resultater - Østdanmark'!J408</f>
        <v>767167.43523730396</v>
      </c>
    </row>
    <row r="409" spans="1:10" hidden="1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78">
        <f>'Resultater - Vestdanmark'!H409+'Resultater - Østdanmark'!H409</f>
        <v>22728.326432774025</v>
      </c>
      <c r="I409" s="279">
        <f>'Resultater - Vestdanmark'!I409+'Resultater - Østdanmark'!I409</f>
        <v>30225.931677220276</v>
      </c>
      <c r="J409" s="280">
        <f>'Resultater - Vestdanmark'!J409+'Resultater - Østdanmark'!J409</f>
        <v>14697.723469782179</v>
      </c>
    </row>
    <row r="410" spans="1:10" hidden="1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78">
        <f>'Resultater - Vestdanmark'!H410+'Resultater - Østdanmark'!H410</f>
        <v>142794.72651993899</v>
      </c>
      <c r="I410" s="279">
        <f>'Resultater - Vestdanmark'!I410+'Resultater - Østdanmark'!I410</f>
        <v>140703.85058470169</v>
      </c>
      <c r="J410" s="280">
        <f>'Resultater - Vestdanmark'!J410+'Resultater - Østdanmark'!J410</f>
        <v>68418.942685100425</v>
      </c>
    </row>
    <row r="411" spans="1:10" hidden="1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78">
        <f>'Resultater - Vestdanmark'!H411+'Resultater - Østdanmark'!H411</f>
        <v>140895.61996077577</v>
      </c>
      <c r="I411" s="279">
        <f>'Resultater - Vestdanmark'!I411+'Resultater - Østdanmark'!I411</f>
        <v>138832.55174855303</v>
      </c>
      <c r="J411" s="280">
        <f>'Resultater - Vestdanmark'!J411+'Resultater - Østdanmark'!J411</f>
        <v>67509.001078775444</v>
      </c>
    </row>
    <row r="412" spans="1:10" hidden="1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78">
        <f>'Resultater - Vestdanmark'!H412+'Resultater - Østdanmark'!H412</f>
        <v>115671.91919191919</v>
      </c>
      <c r="I412" s="279">
        <f>'Resultater - Vestdanmark'!I412+'Resultater - Østdanmark'!I412</f>
        <v>113713.9338619913</v>
      </c>
      <c r="J412" s="280">
        <f>'Resultater - Vestdanmark'!J412+'Resultater - Østdanmark'!J412</f>
        <v>55046.839642131599</v>
      </c>
    </row>
    <row r="413" spans="1:10" hidden="1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78">
        <f>'Resultater - Vestdanmark'!H413+'Resultater - Østdanmark'!H413</f>
        <v>50006.545454545456</v>
      </c>
      <c r="I413" s="279">
        <f>'Resultater - Vestdanmark'!I413+'Resultater - Østdanmark'!I413</f>
        <v>55152.179429823183</v>
      </c>
      <c r="J413" s="280">
        <f>'Resultater - Vestdanmark'!J413+'Resultater - Østdanmark'!J413</f>
        <v>26698.163311033844</v>
      </c>
    </row>
    <row r="414" spans="1:10" hidden="1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78">
        <f>'Resultater - Vestdanmark'!H414+'Resultater - Østdanmark'!H414</f>
        <v>7405.2525252525256</v>
      </c>
      <c r="I414" s="279">
        <f>'Resultater - Vestdanmark'!I414+'Resultater - Østdanmark'!I414</f>
        <v>7279.9033833851809</v>
      </c>
      <c r="J414" s="280">
        <f>'Resultater - Vestdanmark'!J414+'Resultater - Østdanmark'!J414</f>
        <v>3524.0683401364645</v>
      </c>
    </row>
    <row r="415" spans="1:10" hidden="1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78">
        <f>'Resultater - Vestdanmark'!H415+'Resultater - Østdanmark'!H415</f>
        <v>76114.747474747448</v>
      </c>
      <c r="I415" s="279">
        <f>'Resultater - Vestdanmark'!I415+'Resultater - Østdanmark'!I415</f>
        <v>74826.348700110961</v>
      </c>
      <c r="J415" s="280">
        <f>'Resultater - Vestdanmark'!J415+'Resultater - Østdanmark'!J415</f>
        <v>36222.069521402635</v>
      </c>
    </row>
    <row r="416" spans="1:10" hidden="1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78">
        <f>'Resultater - Vestdanmark'!H416+'Resultater - Østdanmark'!H416</f>
        <v>201545.30567673693</v>
      </c>
      <c r="I416" s="279">
        <f>'Resultater - Vestdanmark'!I416+'Resultater - Østdanmark'!I416</f>
        <v>196872.93522310784</v>
      </c>
      <c r="J416" s="280">
        <f>'Resultater - Vestdanmark'!J416+'Resultater - Østdanmark'!J416</f>
        <v>188233.86614274088</v>
      </c>
    </row>
    <row r="417" spans="1:10" ht="15.75" hidden="1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1">
        <f>'Resultater - Vestdanmark'!H417+'Resultater - Østdanmark'!H417</f>
        <v>550.81037157810442</v>
      </c>
      <c r="I417" s="282">
        <f>'Resultater - Vestdanmark'!I417+'Resultater - Østdanmark'!I417</f>
        <v>726.16257554479</v>
      </c>
      <c r="J417" s="283">
        <f>'Resultater - Vestdanmark'!J417+'Resultater - Østdanmark'!J417</f>
        <v>694.29751168215546</v>
      </c>
    </row>
    <row r="418" spans="1:10" hidden="1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5">
        <f>'Resultater - Vestdanmark'!H418+'Resultater - Østdanmark'!H418</f>
        <v>5940049093.1121235</v>
      </c>
      <c r="I418" s="276">
        <f>'Resultater - Vestdanmark'!I418+'Resultater - Østdanmark'!I418</f>
        <v>5940853705.2480001</v>
      </c>
      <c r="J418" s="277">
        <f>'Resultater - Vestdanmark'!J418+'Resultater - Østdanmark'!J418</f>
        <v>3055656172.7999997</v>
      </c>
    </row>
    <row r="419" spans="1:10" hidden="1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78">
        <f>'Resultater - Vestdanmark'!H419+'Resultater - Østdanmark'!H419</f>
        <v>164945487.85478973</v>
      </c>
      <c r="I419" s="279">
        <f>'Resultater - Vestdanmark'!I419+'Resultater - Østdanmark'!I419</f>
        <v>163373476.89431998</v>
      </c>
      <c r="J419" s="280">
        <f>'Resultater - Vestdanmark'!J419+'Resultater - Østdanmark'!J419</f>
        <v>84030544.751999989</v>
      </c>
    </row>
    <row r="420" spans="1:10" hidden="1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78">
        <f>'Resultater - Vestdanmark'!H420+'Resultater - Østdanmark'!H420</f>
        <v>0</v>
      </c>
      <c r="I420" s="279">
        <f>'Resultater - Vestdanmark'!I420+'Resultater - Østdanmark'!I420</f>
        <v>0</v>
      </c>
      <c r="J420" s="280">
        <f>'Resultater - Vestdanmark'!J420+'Resultater - Østdanmark'!J420</f>
        <v>0</v>
      </c>
    </row>
    <row r="421" spans="1:10" hidden="1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78">
        <f>'Resultater - Vestdanmark'!H421+'Resultater - Østdanmark'!H421</f>
        <v>78449683.248009756</v>
      </c>
      <c r="I421" s="279">
        <f>'Resultater - Vestdanmark'!I421+'Resultater - Østdanmark'!I421</f>
        <v>74260671.315599993</v>
      </c>
      <c r="J421" s="280">
        <f>'Resultater - Vestdanmark'!J421+'Resultater - Østdanmark'!J421</f>
        <v>38195702.159999996</v>
      </c>
    </row>
    <row r="422" spans="1:10" hidden="1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78">
        <f>'Resultater - Vestdanmark'!H422+'Resultater - Østdanmark'!H422</f>
        <v>143824419.28801787</v>
      </c>
      <c r="I422" s="279">
        <f>'Resultater - Vestdanmark'!I422+'Resultater - Østdanmark'!I422</f>
        <v>148521342.63119999</v>
      </c>
      <c r="J422" s="280">
        <f>'Resultater - Vestdanmark'!J422+'Resultater - Østdanmark'!J422</f>
        <v>76391404.319999993</v>
      </c>
    </row>
    <row r="423" spans="1:10" hidden="1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78">
        <f>'Resultater - Vestdanmark'!H423+'Resultater - Østdanmark'!H423</f>
        <v>1682645129.1528244</v>
      </c>
      <c r="I423" s="279">
        <f>'Resultater - Vestdanmark'!I423+'Resultater - Østdanmark'!I423</f>
        <v>1678291171.7325599</v>
      </c>
      <c r="J423" s="280">
        <f>'Resultater - Vestdanmark'!J423+'Resultater - Østdanmark'!J423</f>
        <v>763914043.19999993</v>
      </c>
    </row>
    <row r="424" spans="1:10" hidden="1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78">
        <f>'Resultater - Vestdanmark'!H424+'Resultater - Østdanmark'!H424</f>
        <v>242389405.93295321</v>
      </c>
      <c r="I424" s="279">
        <f>'Resultater - Vestdanmark'!I424+'Resultater - Østdanmark'!I424</f>
        <v>445564027.89359993</v>
      </c>
      <c r="J424" s="280">
        <f>'Resultater - Vestdanmark'!J424+'Resultater - Østdanmark'!J424</f>
        <v>229174212.95999998</v>
      </c>
    </row>
    <row r="425" spans="1:10" hidden="1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78">
        <f>'Resultater - Vestdanmark'!H425+'Resultater - Østdanmark'!H425</f>
        <v>0</v>
      </c>
      <c r="I425" s="279">
        <f>'Resultater - Vestdanmark'!I425+'Resultater - Østdanmark'!I425</f>
        <v>0</v>
      </c>
      <c r="J425" s="280">
        <f>'Resultater - Vestdanmark'!J425+'Resultater - Østdanmark'!J425</f>
        <v>7639140.432</v>
      </c>
    </row>
    <row r="426" spans="1:10" hidden="1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78">
        <f>'Resultater - Vestdanmark'!H426+'Resultater - Østdanmark'!H426</f>
        <v>0</v>
      </c>
      <c r="I426" s="279">
        <f>'Resultater - Vestdanmark'!I426+'Resultater - Østdanmark'!I426</f>
        <v>0</v>
      </c>
      <c r="J426" s="280">
        <f>'Resultater - Vestdanmark'!J426+'Resultater - Østdanmark'!J426</f>
        <v>0</v>
      </c>
    </row>
    <row r="427" spans="1:10" hidden="1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78">
        <f>'Resultater - Vestdanmark'!H427+'Resultater - Østdanmark'!H427</f>
        <v>2285098465.8907456</v>
      </c>
      <c r="I427" s="279">
        <f>'Resultater - Vestdanmark'!I427+'Resultater - Østdanmark'!I427</f>
        <v>2287228676.5204797</v>
      </c>
      <c r="J427" s="280">
        <f>'Resultater - Vestdanmark'!J427+'Resultater - Østdanmark'!J427</f>
        <v>1176427626.5279999</v>
      </c>
    </row>
    <row r="428" spans="1:10" hidden="1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78">
        <f>'Resultater - Vestdanmark'!H428+'Resultater - Østdanmark'!H428</f>
        <v>163939722.68494347</v>
      </c>
      <c r="I428" s="279">
        <f>'Resultater - Vestdanmark'!I428+'Resultater - Østdanmark'!I428</f>
        <v>163373476.89431998</v>
      </c>
      <c r="J428" s="280">
        <f>'Resultater - Vestdanmark'!J428+'Resultater - Østdanmark'!J428</f>
        <v>84030544.751999989</v>
      </c>
    </row>
    <row r="429" spans="1:10" hidden="1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78">
        <f>'Resultater - Vestdanmark'!H429+'Resultater - Østdanmark'!H429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'Resultater - Vestdanmark'!J429+'Resultater - Østdanmark'!J429</f>
        <v>381957021.59999996</v>
      </c>
    </row>
    <row r="430" spans="1:10" hidden="1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78">
        <f>'Resultater - Vestdanmark'!H430+'Resultater - Østdanmark'!H430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'Resultater - Vestdanmark'!J430+'Resultater - Østdanmark'!J430</f>
        <v>1680610895.04</v>
      </c>
    </row>
    <row r="431" spans="1:10" hidden="1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78">
        <f>'Resultater - Vestdanmark'!H431+'Resultater - Østdanmark'!H431</f>
        <v>121697585.55139975</v>
      </c>
      <c r="I431" s="279">
        <f>'Resultater - Vestdanmark'!I431+'Resultater - Østdanmark'!I431</f>
        <v>118817074.10495999</v>
      </c>
      <c r="J431" s="280">
        <f>'Resultater - Vestdanmark'!J431+'Resultater - Østdanmark'!J431</f>
        <v>61113123.456</v>
      </c>
    </row>
    <row r="432" spans="1:10" hidden="1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78">
        <f>'Resultater - Vestdanmark'!H432+'Resultater - Østdanmark'!H432</f>
        <v>4029095270.4041944</v>
      </c>
      <c r="I432" s="279">
        <f>'Resultater - Vestdanmark'!I432+'Resultater - Østdanmark'!I432</f>
        <v>2019890259.7843199</v>
      </c>
      <c r="J432" s="280">
        <f>'Resultater - Vestdanmark'!J432+'Resultater - Østdanmark'!J432</f>
        <v>0</v>
      </c>
    </row>
    <row r="433" spans="1:10" hidden="1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78">
        <f>'Resultater - Vestdanmark'!H433+'Resultater - Østdanmark'!H433</f>
        <v>12195000.399999999</v>
      </c>
      <c r="I433" s="279">
        <f>'Resultater - Vestdanmark'!I433+'Resultater - Østdanmark'!I433</f>
        <v>0</v>
      </c>
      <c r="J433" s="280">
        <f>'Resultater - Vestdanmark'!J433+'Resultater - Østdanmark'!J433</f>
        <v>0</v>
      </c>
    </row>
    <row r="434" spans="1:10" hidden="1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78">
        <f>'Resultater - Vestdanmark'!H434+'Resultater - Østdanmark'!H434</f>
        <v>361184.39999999997</v>
      </c>
      <c r="I434" s="279">
        <f>'Resultater - Vestdanmark'!I434+'Resultater - Østdanmark'!I434</f>
        <v>361184.4</v>
      </c>
      <c r="J434" s="280">
        <f>'Resultater - Vestdanmark'!J434+'Resultater - Østdanmark'!J434</f>
        <v>0</v>
      </c>
    </row>
    <row r="435" spans="1:10" hidden="1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78">
        <f>'Resultater - Vestdanmark'!H435+'Resultater - Østdanmark'!H435</f>
        <v>4390946.2499999991</v>
      </c>
      <c r="I435" s="279">
        <f>'Resultater - Vestdanmark'!I435+'Resultater - Østdanmark'!I435</f>
        <v>0</v>
      </c>
      <c r="J435" s="280">
        <f>'Resultater - Vestdanmark'!J435+'Resultater - Østdanmark'!J435</f>
        <v>0</v>
      </c>
    </row>
    <row r="436" spans="1:10" hidden="1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78">
        <f>'Resultater - Vestdanmark'!H436+'Resultater - Østdanmark'!H436</f>
        <v>34978432</v>
      </c>
      <c r="I436" s="279">
        <f>'Resultater - Vestdanmark'!I436+'Resultater - Østdanmark'!I436</f>
        <v>109768085.96855611</v>
      </c>
      <c r="J436" s="280">
        <f>'Resultater - Vestdanmark'!J436+'Resultater - Østdanmark'!J436</f>
        <v>84269794.967005834</v>
      </c>
    </row>
    <row r="437" spans="1:10" s="171" customFormat="1" hidden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4">
        <f>'Resultater - Vestdanmark'!H437+'Resultater - Østdanmark'!H437</f>
        <v>-37099.291058504961</v>
      </c>
      <c r="I437" s="285">
        <f>'Resultater - Vestdanmark'!I437+'Resultater - Østdanmark'!I437</f>
        <v>-116423.69132734301</v>
      </c>
      <c r="J437" s="286">
        <f>'Resultater - Vestdanmark'!J437+'Resultater - Østdanmark'!J437</f>
        <v>-89379.353852153392</v>
      </c>
    </row>
    <row r="438" spans="1:10" hidden="1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78">
        <f>'Resultater - Vestdanmark'!H438+'Resultater - Østdanmark'!H438</f>
        <v>61384486.300000004</v>
      </c>
      <c r="I438" s="279">
        <f>'Resultater - Vestdanmark'!I438+'Resultater - Østdanmark'!I438</f>
        <v>149019759.53296533</v>
      </c>
      <c r="J438" s="280">
        <f>'Resultater - Vestdanmark'!J438+'Resultater - Østdanmark'!J438</f>
        <v>81741073.233874261</v>
      </c>
    </row>
    <row r="439" spans="1:10" s="171" customFormat="1" hidden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4">
        <f>'Resultater - Vestdanmark'!H439+'Resultater - Østdanmark'!H439</f>
        <v>-128107.91983655478</v>
      </c>
      <c r="I439" s="285">
        <f>'Resultater - Vestdanmark'!I439+'Resultater - Østdanmark'!I439</f>
        <v>-311000.58922072942</v>
      </c>
      <c r="J439" s="286">
        <f>'Resultater - Vestdanmark'!J439+'Resultater - Østdanmark'!J439</f>
        <v>-170591.61831251031</v>
      </c>
    </row>
    <row r="440" spans="1:10" hidden="1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78">
        <f>'Resultater - Vestdanmark'!H440+'Resultater - Østdanmark'!H440</f>
        <v>58183.649999999994</v>
      </c>
      <c r="I440" s="279">
        <f>'Resultater - Vestdanmark'!I440+'Resultater - Østdanmark'!I440</f>
        <v>59231.178797574103</v>
      </c>
      <c r="J440" s="280">
        <f>'Resultater - Vestdanmark'!J440+'Resultater - Østdanmark'!J440</f>
        <v>103985.6463845406</v>
      </c>
    </row>
    <row r="441" spans="1:10" hidden="1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78">
        <f>'Resultater - Vestdanmark'!H441+'Resultater - Østdanmark'!H441</f>
        <v>45425220.000000007</v>
      </c>
      <c r="I441" s="279">
        <f>'Resultater - Vestdanmark'!I441+'Resultater - Østdanmark'!I441</f>
        <v>90329427.84153083</v>
      </c>
      <c r="J441" s="280">
        <f>'Resultater - Vestdanmark'!J441+'Resultater - Østdanmark'!J441</f>
        <v>84275968.515192717</v>
      </c>
    </row>
    <row r="442" spans="1:10" hidden="1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78">
        <f>'Resultater - Vestdanmark'!H442+'Resultater - Østdanmark'!H442</f>
        <v>33002599.999999996</v>
      </c>
      <c r="I442" s="279">
        <f>'Resultater - Vestdanmark'!I442+'Resultater - Østdanmark'!I442</f>
        <v>0</v>
      </c>
      <c r="J442" s="280">
        <f>'Resultater - Vestdanmark'!J442+'Resultater - Østdanmark'!J442</f>
        <v>75000000</v>
      </c>
    </row>
    <row r="443" spans="1:10" hidden="1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78">
        <f>'Resultater - Vestdanmark'!H443+'Resultater - Østdanmark'!H443</f>
        <v>2165562</v>
      </c>
      <c r="I443" s="279">
        <f>'Resultater - Vestdanmark'!I443+'Resultater - Østdanmark'!I443</f>
        <v>0</v>
      </c>
      <c r="J443" s="280">
        <f>'Resultater - Vestdanmark'!J443+'Resultater - Østdanmark'!J443</f>
        <v>0</v>
      </c>
    </row>
    <row r="444" spans="1:10" hidden="1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78">
        <f ca="1">'Resultater - Vestdanmark'!H444+'Resultater - Østdanmark'!H444</f>
        <v>69194816.600000009</v>
      </c>
      <c r="I444" s="279">
        <f ca="1">'Resultater - Vestdanmark'!I444+'Resultater - Østdanmark'!I444</f>
        <v>34543125.5</v>
      </c>
      <c r="J444" s="280">
        <f ca="1">'Resultater - Vestdanmark'!J444+'Resultater - Østdanmark'!J444</f>
        <v>35091837.300000004</v>
      </c>
    </row>
    <row r="445" spans="1:10" hidden="1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78">
        <f>'Resultater - Vestdanmark'!H445+'Resultater - Østdanmark'!H445</f>
        <v>102149122.13</v>
      </c>
      <c r="I445" s="279">
        <f>'Resultater - Vestdanmark'!I445+'Resultater - Østdanmark'!I445</f>
        <v>74480686.959999979</v>
      </c>
      <c r="J445" s="280">
        <f>'Resultater - Vestdanmark'!J445+'Resultater - Østdanmark'!J445</f>
        <v>51297500.000000015</v>
      </c>
    </row>
    <row r="446" spans="1:10" hidden="1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78">
        <f>'Resultater - Vestdanmark'!H446+'Resultater - Østdanmark'!H446</f>
        <v>0</v>
      </c>
      <c r="I446" s="279">
        <f>'Resultater - Vestdanmark'!I446+'Resultater - Østdanmark'!I446</f>
        <v>0</v>
      </c>
      <c r="J446" s="280">
        <f>'Resultater - Vestdanmark'!J446+'Resultater - Østdanmark'!J446</f>
        <v>0</v>
      </c>
    </row>
    <row r="447" spans="1:10" hidden="1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hidden="1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78">
        <f>'Resultater - Vestdanmark'!H448+'Resultater - Østdanmark'!H448</f>
        <v>3689.3999999999996</v>
      </c>
      <c r="I448" s="279">
        <f>'Resultater - Vestdanmark'!I448+'Resultater - Østdanmark'!I448</f>
        <v>23650000</v>
      </c>
      <c r="J448" s="280">
        <f>'Resultater - Vestdanmark'!J448+'Resultater - Østdanmark'!J448</f>
        <v>37840000</v>
      </c>
    </row>
    <row r="449" spans="1:13" hidden="1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78">
        <f>'Resultater - Vestdanmark'!H449+'Resultater - Østdanmark'!H449</f>
        <v>0</v>
      </c>
      <c r="I449" s="279">
        <f>'Resultater - Vestdanmark'!I449+'Resultater - Østdanmark'!I449</f>
        <v>2547816.1231370391</v>
      </c>
      <c r="J449" s="280">
        <f>'Resultater - Vestdanmark'!J449+'Resultater - Østdanmark'!J449</f>
        <v>24025096.658639997</v>
      </c>
    </row>
    <row r="450" spans="1:13" hidden="1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78">
        <f>'Resultater - Vestdanmark'!H450+'Resultater - Østdanmark'!H450</f>
        <v>60431253.120000005</v>
      </c>
      <c r="I450" s="279">
        <f>'Resultater - Vestdanmark'!I450+'Resultater - Østdanmark'!I450</f>
        <v>60431253.120000005</v>
      </c>
      <c r="J450" s="280">
        <f>'Resultater - Vestdanmark'!J450+'Resultater - Østdanmark'!J450</f>
        <v>60431253.120000005</v>
      </c>
    </row>
    <row r="451" spans="1:13" hidden="1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78">
        <f>'Resultater - Vestdanmark'!H451+'Resultater - Østdanmark'!H451</f>
        <v>37096792.599999994</v>
      </c>
      <c r="I451" s="279">
        <f>'Resultater - Vestdanmark'!I451+'Resultater - Østdanmark'!I451</f>
        <v>38577084.232939482</v>
      </c>
      <c r="J451" s="280">
        <f>'Resultater - Vestdanmark'!J451+'Resultater - Østdanmark'!J451</f>
        <v>89299163.304736391</v>
      </c>
      <c r="L451" s="98"/>
    </row>
    <row r="452" spans="1:13" hidden="1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4">
        <f ca="1">'Resultater - Vestdanmark'!H452+'Resultater - Østdanmark'!H452</f>
        <v>12034020.807749998</v>
      </c>
      <c r="I452" s="285">
        <f ca="1">'Resultater - Vestdanmark'!I452+'Resultater - Østdanmark'!I452</f>
        <v>23808928.49883125</v>
      </c>
      <c r="J452" s="286">
        <f ca="1">'Resultater - Vestdanmark'!J452+'Resultater - Østdanmark'!J452</f>
        <v>22741272.565009333</v>
      </c>
    </row>
    <row r="453" spans="1:13" hidden="1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4">
        <f>'Resultater - Vestdanmark'!H453+'Resultater - Østdanmark'!H453</f>
        <v>78133292.533333316</v>
      </c>
      <c r="I453" s="285">
        <f>'Resultater - Vestdanmark'!I453+'Resultater - Østdanmark'!I453</f>
        <v>42992500.337684467</v>
      </c>
      <c r="J453" s="286">
        <f>'Resultater - Vestdanmark'!J453+'Resultater - Østdanmark'!J453</f>
        <v>6568086.9606636902</v>
      </c>
    </row>
    <row r="454" spans="1:13" hidden="1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4">
        <f>'Resultater - Vestdanmark'!H454+'Resultater - Østdanmark'!H454</f>
        <v>77571922.666666672</v>
      </c>
      <c r="I454" s="285">
        <f>'Resultater - Vestdanmark'!I454+'Resultater - Østdanmark'!I454</f>
        <v>26700068.897283822</v>
      </c>
      <c r="J454" s="286">
        <f>'Resultater - Vestdanmark'!J454+'Resultater - Østdanmark'!J454</f>
        <v>8184337.7455693893</v>
      </c>
    </row>
    <row r="455" spans="1:13" hidden="1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4">
        <f>'Resultater - Vestdanmark'!H455+'Resultater - Østdanmark'!H455</f>
        <v>31090.5</v>
      </c>
      <c r="I455" s="285">
        <f>'Resultater - Vestdanmark'!I455+'Resultater - Østdanmark'!I455</f>
        <v>31650.248212444181</v>
      </c>
      <c r="J455" s="286">
        <f>'Resultater - Vestdanmark'!J455+'Resultater - Østdanmark'!J455</f>
        <v>9805.5616258435239</v>
      </c>
    </row>
    <row r="456" spans="1:13" hidden="1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4">
        <f>'Resultater - Vestdanmark'!H456+'Resultater - Østdanmark'!H456</f>
        <v>11532709.900000002</v>
      </c>
      <c r="I456" s="285">
        <f>'Resultater - Vestdanmark'!I456+'Resultater - Østdanmark'!I456</f>
        <v>7979099.4593352228</v>
      </c>
      <c r="J456" s="286">
        <f>'Resultater - Vestdanmark'!J456+'Resultater - Østdanmark'!J456</f>
        <v>1313713.6268544744</v>
      </c>
    </row>
    <row r="457" spans="1:13" hidden="1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4">
        <f ca="1">'Resultater - Vestdanmark'!H457+'Resultater - Østdanmark'!H457</f>
        <v>61624442.148559391</v>
      </c>
      <c r="I457" s="285">
        <f ca="1">'Resultater - Vestdanmark'!I457+'Resultater - Østdanmark'!I457</f>
        <v>146101331.36278886</v>
      </c>
      <c r="J457" s="286">
        <f ca="1">'Resultater - Vestdanmark'!J457+'Resultater - Østdanmark'!J457</f>
        <v>106067670.73526618</v>
      </c>
    </row>
    <row r="458" spans="1:13" hidden="1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4">
        <f ca="1">'Resultater - Vestdanmark'!H458+'Resultater - Østdanmark'!H458</f>
        <v>151170414.18881321</v>
      </c>
      <c r="I458" s="285">
        <f ca="1">'Resultater - Vestdanmark'!I458+'Resultater - Østdanmark'!I458</f>
        <v>206706696.58155718</v>
      </c>
      <c r="J458" s="286">
        <f ca="1">'Resultater - Vestdanmark'!J458+'Resultater - Østdanmark'!J458</f>
        <v>261993643.5336813</v>
      </c>
    </row>
    <row r="459" spans="1:13" hidden="1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88">
        <f>'Resultater - Vestdanmark'!H459+'Resultater - Østdanmark'!H459</f>
        <v>19.573590488557194</v>
      </c>
      <c r="I459" s="289">
        <f>'Resultater - Vestdanmark'!I459+'Resultater - Østdanmark'!I459</f>
        <v>17.328652293735985</v>
      </c>
      <c r="J459" s="290">
        <f>'Resultater - Vestdanmark'!J459+'Resultater - Østdanmark'!J459</f>
        <v>6.9941063856184291</v>
      </c>
      <c r="L459" s="170" t="s">
        <v>216</v>
      </c>
      <c r="M459" s="168">
        <v>17963.28</v>
      </c>
    </row>
    <row r="460" spans="1:13" hidden="1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88">
        <f>'Resultater - Vestdanmark'!H460+'Resultater - Østdanmark'!H460</f>
        <v>3.951047127829578</v>
      </c>
      <c r="I460" s="289">
        <f>'Resultater - Vestdanmark'!I460+'Resultater - Østdanmark'!I460</f>
        <v>10.134430878435086</v>
      </c>
      <c r="J460" s="290">
        <f>'Resultater - Vestdanmark'!J460+'Resultater - Østdanmark'!J460</f>
        <v>9.4568293855922594</v>
      </c>
      <c r="L460" s="170" t="s">
        <v>220</v>
      </c>
      <c r="M460" s="168">
        <v>14758.1</v>
      </c>
    </row>
    <row r="461" spans="1:13" hidden="1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7">
        <f>'Resultater - Vestdanmark'!H461+'Resultater - Østdanmark'!H461</f>
        <v>3.8599959280679998</v>
      </c>
      <c r="I461" s="289">
        <f>'Resultater - Vestdanmark'!I461+'Resultater - Østdanmark'!I461</f>
        <v>3.5441000762704893</v>
      </c>
      <c r="J461" s="290">
        <f>'Resultater - Vestdanmark'!J461+'Resultater - Østdanmark'!J461</f>
        <v>2.4486919122034334</v>
      </c>
      <c r="L461" s="170" t="s">
        <v>217</v>
      </c>
      <c r="M461" s="168">
        <v>1988.19</v>
      </c>
    </row>
    <row r="462" spans="1:13" hidden="1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7">
        <f>'Resultater - Vestdanmark'!H462+'Resultater - Østdanmark'!H462</f>
        <v>43.629098996273854</v>
      </c>
      <c r="I462" s="289">
        <f>'Resultater - Vestdanmark'!I462+'Resultater - Østdanmark'!I462</f>
        <v>41.32923749958546</v>
      </c>
      <c r="J462" s="290">
        <f>'Resultater - Vestdanmark'!J462+'Resultater - Østdanmark'!J462</f>
        <v>41.9044113154076</v>
      </c>
      <c r="L462" s="170" t="s">
        <v>218</v>
      </c>
      <c r="M462" s="168">
        <v>8944.93</v>
      </c>
    </row>
    <row r="463" spans="1:13" hidden="1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7">
        <f>'Resultater - Vestdanmark'!H463+'Resultater - Østdanmark'!H463</f>
        <v>17.543930524502301</v>
      </c>
      <c r="I463" s="289">
        <f>'Resultater - Vestdanmark'!I463+'Resultater - Østdanmark'!I463</f>
        <v>8.6192127373660057</v>
      </c>
      <c r="J463" s="290">
        <f>'Resultater - Vestdanmark'!J463+'Resultater - Østdanmark'!J463</f>
        <v>3.2635465811638582</v>
      </c>
      <c r="L463" s="170" t="s">
        <v>219</v>
      </c>
      <c r="M463" s="168">
        <v>18651.71</v>
      </c>
    </row>
    <row r="464" spans="1:13" hidden="1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7">
        <f ca="1">'Resultater - Vestdanmark'!H464+'Resultater - Østdanmark'!H464</f>
        <v>0</v>
      </c>
      <c r="I464" s="289">
        <f ca="1">'Resultater - Vestdanmark'!I464+'Resultater - Østdanmark'!I464</f>
        <v>0</v>
      </c>
      <c r="J464" s="290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hidden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7">
        <f>'Resultater - Vestdanmark'!H465+'Resultater - Østdanmark'!H465</f>
        <v>0</v>
      </c>
      <c r="I465" s="289">
        <f>'Resultater - Vestdanmark'!I465+'Resultater - Østdanmark'!I465</f>
        <v>0.3493199999999998</v>
      </c>
      <c r="J465" s="290">
        <f>'Resultater - Vestdanmark'!J465+'Resultater - Østdanmark'!J465</f>
        <v>11.643999999999995</v>
      </c>
      <c r="L465" s="169"/>
      <c r="M465" s="168"/>
    </row>
    <row r="466" spans="1:13" s="171" customFormat="1" hidden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7">
        <f>'Resultater - Vestdanmark'!H466+'Resultater - Østdanmark'!H466</f>
        <v>0</v>
      </c>
      <c r="I466" s="289">
        <f>'Resultater - Vestdanmark'!I466+'Resultater - Østdanmark'!I466</f>
        <v>0.37637999999999977</v>
      </c>
      <c r="J466" s="290">
        <f>'Resultater - Vestdanmark'!J466+'Resultater - Østdanmark'!J466</f>
        <v>12.545999999999994</v>
      </c>
      <c r="L466" s="169"/>
      <c r="M466" s="168"/>
    </row>
    <row r="467" spans="1:13" hidden="1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1">
        <f ca="1">'Resultater - Vestdanmark'!H467+'Resultater - Østdanmark'!H467</f>
        <v>16.609927730843868</v>
      </c>
      <c r="I467" s="292">
        <f ca="1">'Resultater - Vestdanmark'!I467+'Resultater - Østdanmark'!I467</f>
        <v>20.941914277727882</v>
      </c>
      <c r="J467" s="293">
        <f ca="1">'Resultater - Vestdanmark'!J467+'Resultater - Østdanmark'!J467</f>
        <v>22.36985369367472</v>
      </c>
    </row>
    <row r="468" spans="1:13" hidden="1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4">
        <f>'Resultater - Vestdanmark'!H468+'Resultater - Østdanmark'!H468</f>
        <v>0</v>
      </c>
      <c r="I468" s="295">
        <f>'Resultater - Vestdanmark'!I468+'Resultater - Østdanmark'!I468</f>
        <v>550879.16175935988</v>
      </c>
      <c r="J468" s="296">
        <f>'Resultater - Vestdanmark'!J468+'Resultater - Østdanmark'!J468</f>
        <v>611131.23456000001</v>
      </c>
    </row>
    <row r="469" spans="1:13" hidden="1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4">
        <f>'Resultater - Vestdanmark'!H469+'Resultater - Østdanmark'!H469</f>
        <v>0</v>
      </c>
      <c r="I469" s="295">
        <f>'Resultater - Vestdanmark'!I469+'Resultater - Østdanmark'!I469</f>
        <v>1134162.9800928</v>
      </c>
      <c r="J469" s="296">
        <f>'Resultater - Vestdanmark'!J469+'Resultater - Østdanmark'!J469</f>
        <v>1258211.3652705883</v>
      </c>
    </row>
    <row r="470" spans="1:13" hidden="1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4">
        <f>'Resultater - Vestdanmark'!H470+'Resultater - Østdanmark'!H470</f>
        <v>0</v>
      </c>
      <c r="I470" s="295">
        <f>'Resultater - Vestdanmark'!I470+'Resultater - Østdanmark'!I470</f>
        <v>1610253.517118227</v>
      </c>
      <c r="J470" s="296">
        <f>'Resultater - Vestdanmark'!J470+'Resultater - Østdanmark'!J470</f>
        <v>1786374.0148169142</v>
      </c>
    </row>
    <row r="471" spans="1:13" hidden="1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4">
        <f>'Resultater - Vestdanmark'!H471+'Resultater - Østdanmark'!H471</f>
        <v>339203.90863921517</v>
      </c>
      <c r="I471" s="295">
        <f>'Resultater - Vestdanmark'!I471+'Resultater - Østdanmark'!I471</f>
        <v>452429.94993013778</v>
      </c>
      <c r="J471" s="296">
        <f>'Resultater - Vestdanmark'!J471+'Resultater - Østdanmark'!J471</f>
        <v>422179.88328536873</v>
      </c>
    </row>
    <row r="472" spans="1:13" hidden="1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4">
        <f>'Resultater - Vestdanmark'!H472+'Resultater - Østdanmark'!H472</f>
        <v>217090.50152909773</v>
      </c>
      <c r="I472" s="295">
        <f>'Resultater - Vestdanmark'!I472+'Resultater - Østdanmark'!I472</f>
        <v>289555.1679552882</v>
      </c>
      <c r="J472" s="296">
        <f>'Resultater - Vestdanmark'!J472+'Resultater - Østdanmark'!J472</f>
        <v>270195.12530263601</v>
      </c>
    </row>
    <row r="473" spans="1:13" hidden="1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4">
        <f>'Resultater - Vestdanmark'!H473+'Resultater - Østdanmark'!H473</f>
        <v>0</v>
      </c>
      <c r="I473" s="295">
        <f>'Resultater - Vestdanmark'!I473+'Resultater - Østdanmark'!I473</f>
        <v>-48949.999999999971</v>
      </c>
      <c r="J473" s="296">
        <f>'Resultater - Vestdanmark'!J473+'Resultater - Østdanmark'!J473</f>
        <v>-1631666.666666666</v>
      </c>
    </row>
    <row r="474" spans="1:13" hidden="1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4">
        <f>'Resultater - Vestdanmark'!H474+'Resultater - Østdanmark'!H474</f>
        <v>0</v>
      </c>
      <c r="I474" s="295">
        <f>'Resultater - Vestdanmark'!I474+'Resultater - Østdanmark'!I474</f>
        <v>10499.999999999996</v>
      </c>
      <c r="J474" s="296">
        <f>'Resultater - Vestdanmark'!J474+'Resultater - Østdanmark'!J474</f>
        <v>349999.99999999994</v>
      </c>
    </row>
    <row r="475" spans="1:13" ht="15.75" hidden="1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7">
        <f>'Resultater - Vestdanmark'!H475+'Resultater - Østdanmark'!H475</f>
        <v>0</v>
      </c>
      <c r="I475" s="298">
        <f>'Resultater - Vestdanmark'!I475+'Resultater - Østdanmark'!I475</f>
        <v>41999.999999999985</v>
      </c>
      <c r="J475" s="299">
        <f>'Resultater - Vestdanmark'!J475+'Resultater - Østdanmark'!J475</f>
        <v>1399999.9999999998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>
    <filterColumn colId="5">
      <filters>
        <filter val="Halm"/>
      </filters>
    </filterColumn>
  </autoFilter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259" activeCellId="1" sqref="F115 F259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1" t="s">
        <v>253</v>
      </c>
      <c r="B1" s="361"/>
      <c r="C1" s="361"/>
      <c r="F1" s="362" t="s">
        <v>255</v>
      </c>
      <c r="G1" s="362"/>
      <c r="H1" s="362"/>
      <c r="I1" s="362"/>
      <c r="J1" s="362"/>
      <c r="K1" s="362"/>
      <c r="L1" s="362"/>
      <c r="M1" s="363"/>
      <c r="N1" s="364" t="s">
        <v>256</v>
      </c>
      <c r="O1" s="365"/>
      <c r="P1" s="366"/>
      <c r="Q1" s="358" t="s">
        <v>123</v>
      </c>
      <c r="R1" s="358"/>
      <c r="S1" s="358"/>
      <c r="T1" s="359"/>
      <c r="U1" s="360" t="s">
        <v>230</v>
      </c>
      <c r="V1" s="358"/>
      <c r="W1" s="358"/>
      <c r="X1" s="359"/>
    </row>
    <row r="2" spans="1:26" x14ac:dyDescent="0.2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hidden="1" x14ac:dyDescent="0.25">
      <c r="A3" s="192" t="s">
        <v>15</v>
      </c>
      <c r="B3" s="192"/>
      <c r="C3" s="192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2" t="s">
        <v>49</v>
      </c>
      <c r="B4" s="192"/>
      <c r="C4" s="192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2" t="s">
        <v>103</v>
      </c>
      <c r="B5" s="192" t="s">
        <v>231</v>
      </c>
      <c r="C5" s="192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2" t="s">
        <v>110</v>
      </c>
      <c r="B6" s="192"/>
      <c r="C6" s="192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2" t="s">
        <v>111</v>
      </c>
      <c r="B7" s="192"/>
      <c r="C7" s="192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2" t="s">
        <v>209</v>
      </c>
      <c r="B8" s="192" t="s">
        <v>231</v>
      </c>
      <c r="C8" s="192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0" t="s">
        <v>102</v>
      </c>
      <c r="B9" s="192" t="s">
        <v>223</v>
      </c>
      <c r="C9" s="192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0" t="s">
        <v>205</v>
      </c>
      <c r="B10" s="192"/>
      <c r="C10" s="192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0" t="s">
        <v>138</v>
      </c>
      <c r="B11" s="192" t="s">
        <v>223</v>
      </c>
      <c r="C11" s="192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hidden="1" x14ac:dyDescent="0.25">
      <c r="A12" s="190" t="s">
        <v>97</v>
      </c>
      <c r="B12" s="192"/>
      <c r="C12" s="192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0" t="s">
        <v>114</v>
      </c>
      <c r="B13" s="192"/>
      <c r="C13" s="192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0" t="s">
        <v>54</v>
      </c>
      <c r="B14" s="192"/>
      <c r="C14" s="192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2" t="s">
        <v>159</v>
      </c>
      <c r="B15" s="192" t="s">
        <v>159</v>
      </c>
      <c r="C15" s="192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2" t="s">
        <v>51</v>
      </c>
      <c r="B16" s="192" t="s">
        <v>225</v>
      </c>
      <c r="C16" s="192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2" t="s">
        <v>204</v>
      </c>
      <c r="B17" s="192"/>
      <c r="C17" s="192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2" t="s">
        <v>6</v>
      </c>
      <c r="B18" s="192"/>
      <c r="C18" s="192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2" t="s">
        <v>163</v>
      </c>
      <c r="B20" s="192" t="s">
        <v>231</v>
      </c>
      <c r="C20" s="192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0" t="s">
        <v>160</v>
      </c>
      <c r="B21" s="192"/>
      <c r="C21" s="192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2" t="s">
        <v>104</v>
      </c>
      <c r="B22" s="192" t="s">
        <v>231</v>
      </c>
      <c r="C22" s="192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2" t="s">
        <v>56</v>
      </c>
      <c r="B23" s="192"/>
      <c r="C23" s="192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2" t="s">
        <v>12</v>
      </c>
      <c r="B24" s="192"/>
      <c r="C24" s="192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2" t="s">
        <v>48</v>
      </c>
      <c r="B25" s="192" t="s">
        <v>228</v>
      </c>
      <c r="C25" s="192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2" t="s">
        <v>116</v>
      </c>
      <c r="B26" s="192"/>
      <c r="C26" s="192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2" t="s">
        <v>137</v>
      </c>
      <c r="B27" s="192" t="s">
        <v>223</v>
      </c>
      <c r="C27" s="192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hidden="1" x14ac:dyDescent="0.25">
      <c r="A28" s="192" t="s">
        <v>109</v>
      </c>
      <c r="B28" s="192"/>
      <c r="C28" s="192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0" t="s">
        <v>53</v>
      </c>
      <c r="B29" s="192" t="s">
        <v>225</v>
      </c>
      <c r="C29" s="192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2" t="s">
        <v>117</v>
      </c>
      <c r="B30" s="192"/>
      <c r="C30" s="192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2" t="s">
        <v>107</v>
      </c>
      <c r="B31" s="192" t="s">
        <v>227</v>
      </c>
      <c r="C31" s="192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2" t="s">
        <v>14</v>
      </c>
      <c r="B32" s="192"/>
      <c r="C32" s="192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2" t="s">
        <v>55</v>
      </c>
      <c r="B33" s="192"/>
      <c r="C33" s="192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2" t="s">
        <v>96</v>
      </c>
      <c r="B34" s="192" t="s">
        <v>226</v>
      </c>
      <c r="C34" s="192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2" t="s">
        <v>316</v>
      </c>
      <c r="B35" s="192" t="s">
        <v>322</v>
      </c>
      <c r="C35" s="192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2" t="s">
        <v>317</v>
      </c>
      <c r="B36" s="192" t="s">
        <v>322</v>
      </c>
      <c r="C36" s="192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2" t="s">
        <v>118</v>
      </c>
      <c r="B37" s="192"/>
      <c r="C37" s="192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hidden="1" x14ac:dyDescent="0.25">
      <c r="A38" s="190" t="s">
        <v>50</v>
      </c>
      <c r="B38" s="192"/>
      <c r="C38" s="192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hidden="1" x14ac:dyDescent="0.25">
      <c r="A39" s="190" t="s">
        <v>239</v>
      </c>
      <c r="B39" s="192"/>
      <c r="C39" s="192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hidden="1" x14ac:dyDescent="0.25">
      <c r="A40" s="190" t="s">
        <v>232</v>
      </c>
      <c r="B40" s="192" t="s">
        <v>232</v>
      </c>
      <c r="C40" s="192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0" t="s">
        <v>52</v>
      </c>
      <c r="B41" s="192" t="s">
        <v>225</v>
      </c>
      <c r="C41" s="192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0" t="s">
        <v>122</v>
      </c>
      <c r="B42" s="192"/>
      <c r="C42" s="192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0" t="s">
        <v>108</v>
      </c>
      <c r="B43" s="192"/>
      <c r="C43" s="192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2" t="s">
        <v>141</v>
      </c>
      <c r="B44" s="192" t="s">
        <v>231</v>
      </c>
      <c r="C44" s="192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2" t="s">
        <v>136</v>
      </c>
      <c r="B45" s="192" t="s">
        <v>223</v>
      </c>
      <c r="C45" s="192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2" t="s">
        <v>13</v>
      </c>
      <c r="B46" s="192"/>
      <c r="C46" s="192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2" t="s">
        <v>100</v>
      </c>
      <c r="B47" s="192" t="s">
        <v>227</v>
      </c>
      <c r="C47" s="192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2" t="s">
        <v>105</v>
      </c>
      <c r="B48" s="192"/>
      <c r="C48" s="192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2" t="s">
        <v>120</v>
      </c>
      <c r="B49" s="192" t="s">
        <v>226</v>
      </c>
      <c r="C49" s="192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2" t="s">
        <v>119</v>
      </c>
      <c r="B50" s="192"/>
      <c r="C50" s="192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hidden="1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418789.26410326542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61054.422265523077</v>
      </c>
      <c r="H52" s="190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357734.84183774237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471342992.17367357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471342992.17367357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471342992.17367357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20170827.589539841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17682350.705808945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2488476.8837308958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1434216.1804386508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143421.61804386508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1290794.5623947857</v>
      </c>
      <c r="O56" s="193">
        <f t="shared" si="1"/>
        <v>1290794.5623947857</v>
      </c>
      <c r="P56" s="203">
        <f t="shared" si="10"/>
        <v>143421.61804386508</v>
      </c>
      <c r="Q56" s="190">
        <f>IFERROR(VLOOKUP(A56,[1]Energiindhold!$A$2:$C$11,3,FALSE),IFERROR(VLOOKUP(A56,[1]Biogasudbytte!$A$2:$B$18,2,FALSE)*[1]Energiindhold!$C$10,0))*O56</f>
        <v>0.73320497141154706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0.81467219045727446</v>
      </c>
      <c r="S56" s="190">
        <f>IFERROR(VLOOKUP(A56,[1]Biogasudbytte!$A$2:$B$18,2,FALSE)*[1]Energiindhold!$C$10,0)*J56*IFERROR(VLOOKUP(A56,Biogasanlæg!$F$3:$G$8,2,FALSE),1)</f>
        <v>8.1467219045727457E-2</v>
      </c>
      <c r="T56" s="191">
        <f t="shared" si="11"/>
        <v>0.73320497141154695</v>
      </c>
      <c r="U56" s="189">
        <f>O56*IFERROR(VLOOKUP(A56,[1]Tørstofindhold!A$2:B$24,2,FALSE),0)</f>
        <v>55198.748130056985</v>
      </c>
      <c r="V56" s="190">
        <f>IF(D56=År1,P56,SUM(O56,P56))*IFERROR(VLOOKUP(A56,[1]Tørstofindhold!A$2:B$24,2,FALSE),0)</f>
        <v>61331.942366729985</v>
      </c>
      <c r="W56" s="190">
        <f>J56*IFERROR(VLOOKUP(A56,[1]Tørstofindhold!A$2:B$24,2,FALSE),0)</f>
        <v>6133.1942366729982</v>
      </c>
      <c r="X56" s="191">
        <f t="shared" si="12"/>
        <v>55198.748130056985</v>
      </c>
      <c r="Y56" s="171">
        <f t="shared" si="2"/>
        <v>0</v>
      </c>
      <c r="Z56" s="103">
        <f t="shared" si="3"/>
        <v>1</v>
      </c>
    </row>
    <row r="57" spans="1:26" hidden="1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824301.95073542721</v>
      </c>
      <c r="O57" s="193">
        <f t="shared" si="1"/>
        <v>824301.95073542721</v>
      </c>
      <c r="P57" s="203">
        <f t="shared" si="10"/>
        <v>1326462.9092294232</v>
      </c>
      <c r="Q57" s="190">
        <f>IFERROR(VLOOKUP(A57,[1]Energiindhold!$A$2:$C$11,3,FALSE),IFERROR(VLOOKUP(A57,[1]Biogasudbytte!$A$2:$B$18,2,FALSE)*[1]Energiindhold!$C$10,0))*O57</f>
        <v>1.7755464018841103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0">
        <f>IFERROR(VLOOKUP(A57,[1]Biogasudbytte!$A$2:$B$18,2,FALSE)*[1]Energiindhold!$C$10,0)*J57*IFERROR(VLOOKUP(A57,Biogasanlæg!$F$3:$G$8,2,FALSE),1)</f>
        <v>2.8572011064801774</v>
      </c>
      <c r="T57" s="191">
        <f t="shared" si="11"/>
        <v>1.7755464018841103</v>
      </c>
      <c r="U57" s="189">
        <f>O57*IFERROR(VLOOKUP(A57,[1]Tørstofindhold!A$2:B$24,2,FALSE),0)</f>
        <v>247290.58522062816</v>
      </c>
      <c r="V57" s="190">
        <f>IF(D57=År1,P57,SUM(O57,P57))*IFERROR(VLOOKUP(A57,[1]Tørstofindhold!A$2:B$24,2,FALSE),0)</f>
        <v>645229.45798945508</v>
      </c>
      <c r="W57" s="190">
        <f>J57*IFERROR(VLOOKUP(A57,[1]Tørstofindhold!A$2:B$24,2,FALSE),0)</f>
        <v>397938.87276882696</v>
      </c>
      <c r="X57" s="191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1010173.1683931999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855103.95329864242</v>
      </c>
      <c r="H58" s="190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155069.2150945575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1</v>
      </c>
    </row>
    <row r="59" spans="1:26" hidden="1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4171.3630677727415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90">
        <f>IFERROR(VLOOKUP(A59,[1]Biogasudbytte!$A$2:$B$18,2,FALSE)*[1]Energiindhold!$C$10,0)*J59*IFERROR(VLOOKUP(A59,Biogasanlæg!$F$3:$G$8,2,FALSE),1)</f>
        <v>1.9617503371428427E-3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262.79587326968272</v>
      </c>
      <c r="W59" s="190">
        <f>J59*IFERROR(VLOOKUP(A59,[1]Tørstofindhold!A$2:B$24,2,FALSE),0)</f>
        <v>262.79587326968272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hidden="1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146334.12296443019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1133504.1967338757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1133504.1967338757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32926.683610133667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-224996.61076778197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13822764.410718527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12249098.107862087</v>
      </c>
      <c r="H64" s="190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2935044.8877656907</v>
      </c>
      <c r="N64" s="202">
        <f t="shared" si="9"/>
        <v>-1361378.584909251</v>
      </c>
      <c r="O64" s="193">
        <f t="shared" si="1"/>
        <v>0</v>
      </c>
      <c r="P64" s="203">
        <f t="shared" si="10"/>
        <v>0</v>
      </c>
      <c r="Q64" s="190">
        <f>IFERROR(VLOOKUP(A64,[1]Energiindhold!$A$2:$C$11,3,FALSE),IFERROR(VLOOKUP(A64,[1]Biogasudbytte!$A$2:$B$18,2,FALSE)*[1]Energiindhold!$C$10,0))*O64</f>
        <v>0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</v>
      </c>
      <c r="S64" s="190">
        <f>IFERROR(VLOOKUP(A64,[1]Biogasudbytte!$A$2:$B$18,2,FALSE)*[1]Energiindhold!$C$10,0)*J64*IFERROR(VLOOKUP(A64,Biogasanlæg!$F$3:$G$8,2,FALSE),1)</f>
        <v>0</v>
      </c>
      <c r="T64" s="191">
        <f t="shared" si="11"/>
        <v>0</v>
      </c>
      <c r="U64" s="189">
        <f>O64*IFERROR(VLOOKUP(A64,[1]Tørstofindhold!A$2:B$24,2,FALSE),0)</f>
        <v>0</v>
      </c>
      <c r="V64" s="190">
        <f>IF(D64=År1,P64,SUM(O64,P64))*IFERROR(VLOOKUP(A64,[1]Tørstofindhold!A$2:B$24,2,FALSE),0)</f>
        <v>0</v>
      </c>
      <c r="W64" s="190">
        <f>J64*IFERROR(VLOOKUP(A64,[1]Tørstofindhold!A$2:B$24,2,FALSE),0)</f>
        <v>0</v>
      </c>
      <c r="X64" s="191">
        <f t="shared" si="12"/>
        <v>0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490655.53893383988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490655.53893383988</v>
      </c>
      <c r="H65" s="190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856846.09368548705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586705.38010019646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0</v>
      </c>
      <c r="Z66" s="103">
        <f t="shared" si="3"/>
        <v>1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2657255.852063973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765718.007862392</v>
      </c>
      <c r="H67" s="190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1109121.9875318299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55440.902645954935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1109121.9875318299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11.463670069604794</v>
      </c>
      <c r="S67" s="190">
        <f>IFERROR(VLOOKUP(A67,[1]Biogasudbytte!$A$2:$B$18,2,FALSE)*[1]Energiindhold!$C$10,0)*J67*IFERROR(VLOOKUP(A67,Biogasanlæg!$F$3:$G$8,2,FALSE),1)</f>
        <v>0</v>
      </c>
      <c r="T67" s="191">
        <f t="shared" si="11"/>
        <v>11.463670069604794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942753.68940205534</v>
      </c>
      <c r="W67" s="190">
        <f>J67*IFERROR(VLOOKUP(A67,[1]Tørstofindhold!A$2:B$24,2,FALSE),0)</f>
        <v>0</v>
      </c>
      <c r="X67" s="191">
        <f t="shared" si="12"/>
        <v>942753.68940205534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267973.79239933251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258760.31746905867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5.0744845071167353</v>
      </c>
      <c r="S68" s="190">
        <f>IFERROR(VLOOKUP(A68,[1]Biogasudbytte!$A$2:$B$18,2,FALSE)*[1]Energiindhold!$C$10,0)*J68*IFERROR(VLOOKUP(A68,Biogasanlæg!$F$3:$G$8,2,FALSE),1)</f>
        <v>0.4550382576595346</v>
      </c>
      <c r="T68" s="191">
        <f t="shared" si="11"/>
        <v>4.6194462494572006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80392.13771979975</v>
      </c>
      <c r="X68" s="191">
        <f t="shared" si="12"/>
        <v>77628.095240717594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2420616.3174727387</v>
      </c>
      <c r="H69" s="190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-2420616.3174727387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0.29027753113768995</v>
      </c>
      <c r="O70" s="193">
        <f t="shared" si="20"/>
        <v>0.29027753113768995</v>
      </c>
      <c r="P70" s="203">
        <f t="shared" si="10"/>
        <v>523057.13098607323</v>
      </c>
      <c r="Q70" s="190">
        <f>IFERROR(VLOOKUP(A70,[1]Energiindhold!$A$2:$C$11,3,FALSE),IFERROR(VLOOKUP(A70,[1]Biogasudbytte!$A$2:$B$18,2,FALSE)*[1]Energiindhold!$C$10,0))*O70</f>
        <v>1.2578102784986585E-6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0">
        <f>IFERROR(VLOOKUP(A70,[1]Biogasudbytte!$A$2:$B$18,2,FALSE)*[1]Energiindhold!$C$10,0)*J70*IFERROR(VLOOKUP(A70,Biogasanlæg!$F$3:$G$8,2,FALSE),1)</f>
        <v>1.9265033640912312</v>
      </c>
      <c r="T70" s="191">
        <f t="shared" si="11"/>
        <v>1.2578102785987255E-6</v>
      </c>
      <c r="U70" s="189">
        <f>O70*IFERROR(VLOOKUP(A70,[1]Tørstofindhold!A$2:B$24,2,FALSE),0)</f>
        <v>0.12191656307782978</v>
      </c>
      <c r="V70" s="190">
        <f>IF(D70=År1,P70,SUM(O70,P70))*IFERROR(VLOOKUP(A70,[1]Tørstofindhold!A$2:B$24,2,FALSE),0)</f>
        <v>219684.11693071382</v>
      </c>
      <c r="W70" s="190">
        <f>J70*IFERROR(VLOOKUP(A70,[1]Tørstofindhold!A$2:B$24,2,FALSE),0)</f>
        <v>219683.99501415074</v>
      </c>
      <c r="X70" s="191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730482.01569836587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730482.01569836587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1801867.7489844554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1678336.0658876642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6678880.1812345712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5880011.5738482485</v>
      </c>
      <c r="H73" s="190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2924.3313169399116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500011.23304630071</v>
      </c>
      <c r="O73" s="193">
        <f t="shared" si="20"/>
        <v>500011.23304630071</v>
      </c>
      <c r="P73" s="203">
        <f t="shared" si="10"/>
        <v>2924.3313169399116</v>
      </c>
      <c r="Q73" s="190">
        <f>IFERROR(VLOOKUP(A73,[1]Energiindhold!$A$2:$C$11,3,FALSE),IFERROR(VLOOKUP(A73,[1]Biogasudbytte!$A$2:$B$18,2,FALSE)*[1]Energiindhold!$C$10,0))*O73</f>
        <v>1.7124684716109537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1.7224838969650886</v>
      </c>
      <c r="S73" s="190">
        <f>IFERROR(VLOOKUP(A73,[1]Biogasudbytte!$A$2:$B$18,2,FALSE)*[1]Energiindhold!$C$10,0)*J73*IFERROR(VLOOKUP(A73,Biogasanlæg!$F$3:$G$8,2,FALSE),1)</f>
        <v>1.0015425354134827E-2</v>
      </c>
      <c r="T73" s="191">
        <f t="shared" si="11"/>
        <v>1.7124684716109537</v>
      </c>
      <c r="U73" s="189">
        <f>O73*IFERROR(VLOOKUP(A73,[1]Tørstofindhold!A$2:B$24,2,FALSE),0)</f>
        <v>155003.48224435322</v>
      </c>
      <c r="V73" s="190">
        <f>IF(D73=År1,P73,SUM(O73,P73))*IFERROR(VLOOKUP(A73,[1]Tørstofindhold!A$2:B$24,2,FALSE),0)</f>
        <v>155910.02495260458</v>
      </c>
      <c r="W73" s="190">
        <f>J73*IFERROR(VLOOKUP(A73,[1]Tørstofindhold!A$2:B$24,2,FALSE),0)</f>
        <v>906.54270825137257</v>
      </c>
      <c r="X73" s="191">
        <f t="shared" si="12"/>
        <v>155003.48224435322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870082.97483693098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-870082.97483693098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9867457.5006151944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90">
        <f>IFERROR(VLOOKUP(A75,[1]Biogasudbytte!$A$2:$B$18,2,FALSE)*[1]Energiindhold!$C$10,0)*J75*IFERROR(VLOOKUP(A75,Biogasanlæg!$F$3:$G$8,2,FALSE),1)</f>
        <v>4.9948083122364055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749926.77004675474</v>
      </c>
      <c r="W75" s="190">
        <f>J75*IFERROR(VLOOKUP(A75,[1]Tørstofindhold!A$2:B$24,2,FALSE),0)</f>
        <v>749926.77004675474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hidden="1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1510478.9155088854</v>
      </c>
      <c r="H76" s="190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110514.94985777745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4983493.3169037867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5642415.7793918829</v>
      </c>
      <c r="H77" s="190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-658922.46248809621</v>
      </c>
      <c r="O77" s="193">
        <f t="shared" si="20"/>
        <v>0</v>
      </c>
      <c r="P77" s="203">
        <f t="shared" si="10"/>
        <v>0</v>
      </c>
      <c r="Q77" s="190">
        <f>IFERROR(VLOOKUP(A77,[1]Energiindhold!$A$2:$C$11,3,FALSE),IFERROR(VLOOKUP(A77,[1]Biogasudbytte!$A$2:$B$18,2,FALSE)*[1]Energiindhold!$C$10,0))*O77</f>
        <v>0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90">
        <f>IFERROR(VLOOKUP(A77,[1]Biogasudbytte!$A$2:$B$18,2,FALSE)*[1]Energiindhold!$C$10,0)*J77*IFERROR(VLOOKUP(A77,Biogasanlæg!$F$3:$G$8,2,FALSE),1)</f>
        <v>0</v>
      </c>
      <c r="T77" s="191">
        <f t="shared" si="11"/>
        <v>0</v>
      </c>
      <c r="U77" s="189">
        <f>O77*IFERROR(VLOOKUP(A77,[1]Tørstofindhold!A$2:B$24,2,FALSE),0)</f>
        <v>0</v>
      </c>
      <c r="V77" s="190">
        <f>IF(D77=År1,P77,SUM(O77,P77))*IFERROR(VLOOKUP(A77,[1]Tørstofindhold!A$2:B$24,2,FALSE),0)</f>
        <v>0</v>
      </c>
      <c r="W77" s="190">
        <f>J77*IFERROR(VLOOKUP(A77,[1]Tørstofindhold!A$2:B$24,2,FALSE),0)</f>
        <v>0</v>
      </c>
      <c r="X77" s="191">
        <f t="shared" si="12"/>
        <v>0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2655270.0055985088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21640.199818552966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21640.199818552966</v>
      </c>
      <c r="O79" s="193">
        <f t="shared" si="20"/>
        <v>21640.199818552966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1.9422079337151288E-2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1.9422079337151288E-2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1.9422079337151288E-2</v>
      </c>
      <c r="U79" s="189">
        <f>O79*IFERROR(VLOOKUP(A79,[1]Tørstofindhold!A$2:B$24,2,FALSE),0)</f>
        <v>3246.0299727829447</v>
      </c>
      <c r="V79" s="190">
        <f>IF(D79=År1,P79,SUM(O79,P79))*IFERROR(VLOOKUP(A79,[1]Tørstofindhold!A$2:B$24,2,FALSE),0)</f>
        <v>3246.0299727829447</v>
      </c>
      <c r="W79" s="190">
        <f>J79*IFERROR(VLOOKUP(A79,[1]Tørstofindhold!A$2:B$24,2,FALSE),0)</f>
        <v>0</v>
      </c>
      <c r="X79" s="191">
        <f t="shared" si="12"/>
        <v>3246.0299727829447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46139.885502582598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1602553.3899505115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1602553.3899505115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151017.99543542339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151017.99543542339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151017.99543542339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2.77873111601179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2.77873111601179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62672.468105700711</v>
      </c>
      <c r="W82" s="190">
        <f>J82*IFERROR(VLOOKUP(A82,[1]Tørstofindhold!A$2:B$24,2,FALSE),0)</f>
        <v>0</v>
      </c>
      <c r="X82" s="191">
        <f t="shared" ref="X82:X149" si="26">V82-W82</f>
        <v>62672.468105700711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31046.905481734768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31046.905481734768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31046.905481734768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0.27822462583846019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0.27822462583846019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7761.726370433692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7761.726370433692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7761.726370433692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0.25822154816379966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0.25822154816379966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4870431.535367866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hidden="1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697666.9509630102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697666.9509630102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hidden="1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348833.4754815051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393560.35265348584</v>
      </c>
      <c r="H87" s="190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-44726.877171980741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hidden="1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223253.42430816326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223253.42430816326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223253.42430816326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7.8138698507857134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7.8138698507857134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1519161.3760726012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868637.91677766922</v>
      </c>
      <c r="H89" s="190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650523.45929493196</v>
      </c>
      <c r="O89" s="193">
        <f t="shared" si="20"/>
        <v>650523.45929493196</v>
      </c>
      <c r="P89" s="203">
        <f t="shared" si="24"/>
        <v>0</v>
      </c>
      <c r="Q89" s="190">
        <f>IFERROR(VLOOKUP(A89,[1]Energiindhold!$A$2:$C$11,3,FALSE),IFERROR(VLOOKUP(A89,[1]Biogasudbytte!$A$2:$B$18,2,FALSE)*[1]Energiindhold!$C$10,0))*O89</f>
        <v>1.7655466894648171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1.7655466894648171</v>
      </c>
      <c r="S89" s="190">
        <f>IFERROR(VLOOKUP(A89,[1]Biogasudbytte!$A$2:$B$18,2,FALSE)*[1]Energiindhold!$C$10,0)*J89*IFERROR(VLOOKUP(A89,Biogasanlæg!$F$3:$G$8,2,FALSE),1)</f>
        <v>0</v>
      </c>
      <c r="T89" s="191">
        <f t="shared" si="25"/>
        <v>1.7655466894648171</v>
      </c>
      <c r="U89" s="189">
        <f>O89*IFERROR(VLOOKUP(A89,[1]Tørstofindhold!A$2:B$24,2,FALSE),0)</f>
        <v>130104.69185898639</v>
      </c>
      <c r="V89" s="190">
        <f>IF(D89=År1,P89,SUM(O89,P89))*IFERROR(VLOOKUP(A89,[1]Tørstofindhold!A$2:B$24,2,FALSE),0)</f>
        <v>130104.69185898639</v>
      </c>
      <c r="W89" s="190">
        <f>J89*IFERROR(VLOOKUP(A89,[1]Tørstofindhold!A$2:B$24,2,FALSE),0)</f>
        <v>0</v>
      </c>
      <c r="X89" s="191">
        <f t="shared" si="26"/>
        <v>130104.69185898639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191123.07715634341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38482.787367359997</v>
      </c>
      <c r="H91" s="190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91210.540346416281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2466809.8451226354</v>
      </c>
      <c r="O92" s="193">
        <f t="shared" si="20"/>
        <v>2466809.8451226354</v>
      </c>
      <c r="P92" s="203">
        <f t="shared" si="24"/>
        <v>1507101.1523820646</v>
      </c>
      <c r="Q92" s="190">
        <f>IFERROR(VLOOKUP(A92,[1]Energiindhold!$A$2:$C$11,3,FALSE),IFERROR(VLOOKUP(A92,[1]Biogasudbytte!$A$2:$B$18,2,FALSE)*[1]Energiindhold!$C$10,0))*O92</f>
        <v>1.2309627808146464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0">
        <f>IFERROR(VLOOKUP(A92,[1]Biogasudbytte!$A$2:$B$18,2,FALSE)*[1]Energiindhold!$C$10,0)*J92*IFERROR(VLOOKUP(A92,Biogasanlæg!$F$3:$G$8,2,FALSE),1)</f>
        <v>0.75205854605017419</v>
      </c>
      <c r="T92" s="191">
        <f t="shared" si="25"/>
        <v>1.2309627808146462</v>
      </c>
      <c r="U92" s="189">
        <f>O92*IFERROR(VLOOKUP(A92,[1]Tørstofindhold!A$2:B$24,2,FALSE),0)</f>
        <v>148008.59070735812</v>
      </c>
      <c r="V92" s="190">
        <f>IF(D92=År1,P92,SUM(O92,P92))*IFERROR(VLOOKUP(A92,[1]Tørstofindhold!A$2:B$24,2,FALSE),0)</f>
        <v>238434.65985028198</v>
      </c>
      <c r="W92" s="190">
        <f>J92*IFERROR(VLOOKUP(A92,[1]Tørstofindhold!A$2:B$24,2,FALSE),0)</f>
        <v>90426.06914292388</v>
      </c>
      <c r="X92" s="191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7989661.5832169671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0">
        <f>IFERROR(VLOOKUP(A93,[1]Biogasudbytte!$A$2:$B$18,2,FALSE)*[1]Energiindhold!$C$10,0)*J93*IFERROR(VLOOKUP(A93,Biogasanlæg!$F$3:$G$8,2,FALSE),1)</f>
        <v>3.4419462100498701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399483.0791608484</v>
      </c>
      <c r="W93" s="190">
        <f>J93*IFERROR(VLOOKUP(A93,[1]Tørstofindhold!A$2:B$24,2,FALSE),0)</f>
        <v>399483.0791608484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1256137.4817331168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1350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1350</v>
      </c>
      <c r="O95" s="193">
        <f t="shared" si="20"/>
        <v>1350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1.211625E-3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1.211625E-3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1.211625E-3</v>
      </c>
      <c r="U95" s="189">
        <f>O95*IFERROR(VLOOKUP(A95,[1]Tørstofindhold!A$2:B$24,2,FALSE),0)</f>
        <v>202.5</v>
      </c>
      <c r="V95" s="190">
        <f>IF(D95=År1,P95,SUM(O95,P95))*IFERROR(VLOOKUP(A95,[1]Tørstofindhold!A$2:B$24,2,FALSE),0)</f>
        <v>202.5</v>
      </c>
      <c r="W95" s="190">
        <f>J95*IFERROR(VLOOKUP(A95,[1]Tørstofindhold!A$2:B$24,2,FALSE),0)</f>
        <v>0</v>
      </c>
      <c r="X95" s="191">
        <f t="shared" si="26"/>
        <v>202.5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2205884.0906945551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2205884.0906945551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2205884.0906945551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31.971133055605648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31.971133055605648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1090993.506522682</v>
      </c>
      <c r="W97" s="190">
        <f>J97*IFERROR(VLOOKUP(A97,[1]Tørstofindhold!A$2:B$24,2,FALSE),0)</f>
        <v>0</v>
      </c>
      <c r="X97" s="191">
        <f t="shared" si="26"/>
        <v>1090993.506522682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606661.04726979067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606661.04726979067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hidden="1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545594.46832024341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31434.479653499999</v>
      </c>
      <c r="H100" s="190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112833.22962148272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401326.75904526073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470018749.96798176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470018749.96798176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470018749.96798176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17668195.373487305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11772329.827718841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5895865.545768464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1592671.7488440941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1353770.9865174799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238900.76232661423</v>
      </c>
      <c r="O104" s="193">
        <f t="shared" si="20"/>
        <v>238900.76232661423</v>
      </c>
      <c r="P104" s="203">
        <f t="shared" si="24"/>
        <v>1353770.9865174799</v>
      </c>
      <c r="Q104" s="190">
        <f>IFERROR(VLOOKUP(A104,[1]Energiindhold!$A$2:$C$11,3,FALSE),IFERROR(VLOOKUP(A104,[1]Biogasudbytte!$A$2:$B$18,2,FALSE)*[1]Energiindhold!$C$10,0))*O104</f>
        <v>0.13570186280216823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0.90467908534778774</v>
      </c>
      <c r="S104" s="190">
        <f>IFERROR(VLOOKUP(A104,[1]Biogasudbytte!$A$2:$B$18,2,FALSE)*[1]Energiindhold!$C$10,0)*J104*IFERROR(VLOOKUP(A104,Biogasanlæg!$F$3:$G$8,2,FALSE),1)</f>
        <v>0.76897722254561951</v>
      </c>
      <c r="T104" s="191">
        <f t="shared" si="25"/>
        <v>0.13570186280216823</v>
      </c>
      <c r="U104" s="189">
        <f>O104*IFERROR(VLOOKUP(A104,[1]Tørstofindhold!A$2:B$24,2,FALSE),0)</f>
        <v>10216.205887387503</v>
      </c>
      <c r="V104" s="190">
        <f>IF(D104=År1,P104,SUM(O104,P104))*IFERROR(VLOOKUP(A104,[1]Tørstofindhold!A$2:B$24,2,FALSE),0)</f>
        <v>68108.039249249996</v>
      </c>
      <c r="W104" s="190">
        <f>J104*IFERROR(VLOOKUP(A104,[1]Tørstofindhold!A$2:B$24,2,FALSE),0)</f>
        <v>57891.833361862489</v>
      </c>
      <c r="X104" s="191">
        <f t="shared" si="26"/>
        <v>10216.205887387507</v>
      </c>
      <c r="Y104" s="171">
        <f t="shared" si="21"/>
        <v>0</v>
      </c>
      <c r="Z104" s="103">
        <f t="shared" si="22"/>
        <v>1</v>
      </c>
    </row>
    <row r="105" spans="1:26" hidden="1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1458137.3135203668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1239416.7164923118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82801.368874906548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135919.22815314843</v>
      </c>
      <c r="O105" s="193">
        <f t="shared" si="20"/>
        <v>135919.22815314843</v>
      </c>
      <c r="P105" s="203">
        <f t="shared" si="24"/>
        <v>1239416.7164923118</v>
      </c>
      <c r="Q105" s="190">
        <f>IFERROR(VLOOKUP(A105,[1]Energiindhold!$A$2:$C$11,3,FALSE),IFERROR(VLOOKUP(A105,[1]Biogasudbytte!$A$2:$B$18,2,FALSE)*[1]Energiindhold!$C$10,0))*O105</f>
        <v>0.29277001744188175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2.9624736247663215</v>
      </c>
      <c r="S105" s="190">
        <f>IFERROR(VLOOKUP(A105,[1]Biogasudbytte!$A$2:$B$18,2,FALSE)*[1]Energiindhold!$C$10,0)*J105*IFERROR(VLOOKUP(A105,Biogasanlæg!$F$3:$G$8,2,FALSE),1)</f>
        <v>2.6697036073244398</v>
      </c>
      <c r="T105" s="191">
        <f t="shared" si="25"/>
        <v>0.29277001744188169</v>
      </c>
      <c r="U105" s="189">
        <f>O105*IFERROR(VLOOKUP(A105,[1]Tørstofindhold!A$2:B$24,2,FALSE),0)</f>
        <v>40775.76844594453</v>
      </c>
      <c r="V105" s="190">
        <f>IF(D105=År1,P105,SUM(O105,P105))*IFERROR(VLOOKUP(A105,[1]Tørstofindhold!A$2:B$24,2,FALSE),0)</f>
        <v>412600.78339363803</v>
      </c>
      <c r="W105" s="190">
        <f>J105*IFERROR(VLOOKUP(A105,[1]Tørstofindhold!A$2:B$24,2,FALSE),0)</f>
        <v>371825.0149476935</v>
      </c>
      <c r="X105" s="191">
        <f t="shared" si="26"/>
        <v>40775.76844594453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1121779.4699876471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1100647.0466911762</v>
      </c>
      <c r="H106" s="190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21132.423296470894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1</v>
      </c>
    </row>
    <row r="107" spans="1:26" hidden="1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7323.2019641100578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1292.3297583723634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7323.2019641100578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3.4440286517013192E-3</v>
      </c>
      <c r="S107" s="190">
        <f>IFERROR(VLOOKUP(A107,[1]Biogasudbytte!$A$2:$B$18,2,FALSE)*[1]Energiindhold!$C$10,0)*J107*IFERROR(VLOOKUP(A107,Biogasanlæg!$F$3:$G$8,2,FALSE),1)</f>
        <v>3.4440286517013192E-3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461.36172373893362</v>
      </c>
      <c r="W107" s="190">
        <f>J107*IFERROR(VLOOKUP(A107,[1]Tørstofindhold!A$2:B$24,2,FALSE),0)</f>
        <v>461.36172373893362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hidden="1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18335.399813490942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155323.35143643792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792091.46065631567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792091.46065631567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116507.263767978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-151471.65658304346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7962057.7199019091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6306570.6128669288</v>
      </c>
      <c r="H112" s="190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3259315.5328257415</v>
      </c>
      <c r="N112" s="202">
        <f t="shared" si="23"/>
        <v>-1603828.4257907616</v>
      </c>
      <c r="O112" s="193">
        <f t="shared" si="20"/>
        <v>0</v>
      </c>
      <c r="P112" s="203">
        <f t="shared" si="24"/>
        <v>0</v>
      </c>
      <c r="Q112" s="190">
        <f>IFERROR(VLOOKUP(A112,[1]Energiindhold!$A$2:$C$11,3,FALSE),IFERROR(VLOOKUP(A112,[1]Biogasudbytte!$A$2:$B$18,2,FALSE)*[1]Energiindhold!$C$10,0))*O112</f>
        <v>0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90">
        <f>IFERROR(VLOOKUP(A112,[1]Biogasudbytte!$A$2:$B$18,2,FALSE)*[1]Energiindhold!$C$10,0)*J112*IFERROR(VLOOKUP(A112,Biogasanlæg!$F$3:$G$8,2,FALSE),1)</f>
        <v>0</v>
      </c>
      <c r="T112" s="191">
        <f t="shared" si="25"/>
        <v>0</v>
      </c>
      <c r="U112" s="189">
        <f>O112*IFERROR(VLOOKUP(A112,[1]Tørstofindhold!A$2:B$24,2,FALSE),0)</f>
        <v>0</v>
      </c>
      <c r="V112" s="190">
        <f>IF(D112=År1,P112,SUM(O112,P112))*IFERROR(VLOOKUP(A112,[1]Tørstofindhold!A$2:B$24,2,FALSE),0)</f>
        <v>0</v>
      </c>
      <c r="W112" s="190">
        <f>J112*IFERROR(VLOOKUP(A112,[1]Tørstofindhold!A$2:B$24,2,FALSE),0)</f>
        <v>0</v>
      </c>
      <c r="X112" s="191">
        <f t="shared" si="26"/>
        <v>0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544864.31399399997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544864.31399399997</v>
      </c>
      <c r="H113" s="190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1257296.7096095001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976624.05092606181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0</v>
      </c>
      <c r="Z114" s="103">
        <f t="shared" si="22"/>
        <v>1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2963241.932022078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394237.57109337207</v>
      </c>
      <c r="H115" s="190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367504.60397489293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408304.80676701013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1793194.9501868032</v>
      </c>
      <c r="N115" s="202">
        <f t="shared" si="23"/>
        <v>0</v>
      </c>
      <c r="O115" s="193">
        <f t="shared" si="20"/>
        <v>0</v>
      </c>
      <c r="P115" s="203">
        <f t="shared" si="24"/>
        <v>408304.80676701013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4.2201594100814956</v>
      </c>
      <c r="S115" s="190">
        <f>IFERROR(VLOOKUP(A115,[1]Biogasudbytte!$A$2:$B$18,2,FALSE)*[1]Energiindhold!$C$10,0)*J115*IFERROR(VLOOKUP(A115,Biogasanlæg!$F$3:$G$8,2,FALSE),1)</f>
        <v>0</v>
      </c>
      <c r="T115" s="191">
        <f t="shared" si="25"/>
        <v>4.2201594100814956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347059.0857519586</v>
      </c>
      <c r="W115" s="190">
        <f>J115*IFERROR(VLOOKUP(A115,[1]Tørstofindhold!A$2:B$24,2,FALSE),0)</f>
        <v>0</v>
      </c>
      <c r="X115" s="191">
        <f t="shared" si="26"/>
        <v>347059.0857519586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427250.44238658639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97631.532652811788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2.468440809392753</v>
      </c>
      <c r="S116" s="190">
        <f>IFERROR(VLOOKUP(A116,[1]Biogasudbytte!$A$2:$B$18,2,FALSE)*[1]Energiindhold!$C$10,0)*J116*IFERROR(VLOOKUP(A116,Biogasanlæg!$F$3:$G$8,2,FALSE),1)</f>
        <v>0.72550115870339082</v>
      </c>
      <c r="T116" s="191">
        <f t="shared" si="25"/>
        <v>1.7429396506893622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128175.13271597591</v>
      </c>
      <c r="X116" s="191">
        <f t="shared" si="26"/>
        <v>29289.459795843533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90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0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0</v>
      </c>
      <c r="Z117" s="103">
        <f t="shared" si="22"/>
        <v>0</v>
      </c>
    </row>
    <row r="118" spans="1:26" hidden="1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359965.86402345594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330372.74489675317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29593.119126702775</v>
      </c>
      <c r="O118" s="193">
        <f t="shared" si="20"/>
        <v>29593.119126702775</v>
      </c>
      <c r="P118" s="203">
        <f t="shared" si="24"/>
        <v>330372.74489675317</v>
      </c>
      <c r="Q118" s="190">
        <f>IFERROR(VLOOKUP(A118,[1]Energiindhold!$A$2:$C$11,3,FALSE),IFERROR(VLOOKUP(A118,[1]Biogasudbytte!$A$2:$B$18,2,FALSE)*[1]Energiindhold!$C$10,0))*O118</f>
        <v>0.1282308322814896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1.3450466765617874</v>
      </c>
      <c r="S118" s="190">
        <f>IFERROR(VLOOKUP(A118,[1]Biogasudbytte!$A$2:$B$18,2,FALSE)*[1]Energiindhold!$C$10,0)*J118*IFERROR(VLOOKUP(A118,Biogasanlæg!$F$3:$G$8,2,FALSE),1)</f>
        <v>1.2168158442802979</v>
      </c>
      <c r="T118" s="191">
        <f t="shared" si="25"/>
        <v>0.12823083228148957</v>
      </c>
      <c r="U118" s="189">
        <f>O118*IFERROR(VLOOKUP(A118,[1]Tørstofindhold!A$2:B$24,2,FALSE),0)</f>
        <v>12429.110033215165</v>
      </c>
      <c r="V118" s="190">
        <f>IF(D118=År1,P118,SUM(O118,P118))*IFERROR(VLOOKUP(A118,[1]Tørstofindhold!A$2:B$24,2,FALSE),0)</f>
        <v>151185.66288985149</v>
      </c>
      <c r="W118" s="190">
        <f>J118*IFERROR(VLOOKUP(A118,[1]Tørstofindhold!A$2:B$24,2,FALSE),0)</f>
        <v>138756.55285663632</v>
      </c>
      <c r="X118" s="191">
        <f t="shared" si="26"/>
        <v>12429.110033215169</v>
      </c>
      <c r="Y118" s="171">
        <f t="shared" si="21"/>
        <v>0</v>
      </c>
      <c r="Z118" s="103">
        <f t="shared" si="22"/>
        <v>1</v>
      </c>
    </row>
    <row r="119" spans="1:26" hidden="1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520573.94312179892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520573.94312179892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1748472.631855153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1620124.8331607163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3920720.3662957777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3027382.7402155618</v>
      </c>
      <c r="H121" s="190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585867.07536167558</v>
      </c>
      <c r="O121" s="193">
        <f t="shared" si="20"/>
        <v>585867.07536167558</v>
      </c>
      <c r="P121" s="203">
        <f t="shared" si="24"/>
        <v>0</v>
      </c>
      <c r="Q121" s="190">
        <f>IFERROR(VLOOKUP(A121,[1]Energiindhold!$A$2:$C$11,3,FALSE),IFERROR(VLOOKUP(A121,[1]Biogasudbytte!$A$2:$B$18,2,FALSE)*[1]Energiindhold!$C$10,0))*O121</f>
        <v>2.0065127117231887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2.0065127117231887</v>
      </c>
      <c r="S121" s="190">
        <f>IFERROR(VLOOKUP(A121,[1]Biogasudbytte!$A$2:$B$18,2,FALSE)*[1]Energiindhold!$C$10,0)*J121*IFERROR(VLOOKUP(A121,Biogasanlæg!$F$3:$G$8,2,FALSE),1)</f>
        <v>0</v>
      </c>
      <c r="T121" s="191">
        <f t="shared" si="25"/>
        <v>2.0065127117231887</v>
      </c>
      <c r="U121" s="189">
        <f>O121*IFERROR(VLOOKUP(A121,[1]Tørstofindhold!A$2:B$24,2,FALSE),0)</f>
        <v>181618.79336211944</v>
      </c>
      <c r="V121" s="190">
        <f>IF(D121=År1,P121,SUM(O121,P121))*IFERROR(VLOOKUP(A121,[1]Tørstofindhold!A$2:B$24,2,FALSE),0)</f>
        <v>181618.79336211944</v>
      </c>
      <c r="W121" s="190">
        <f>J121*IFERROR(VLOOKUP(A121,[1]Tørstofindhold!A$2:B$24,2,FALSE),0)</f>
        <v>0</v>
      </c>
      <c r="X121" s="191">
        <f t="shared" si="26"/>
        <v>181618.79336211944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1155727.8519823398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-1155727.8519823398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6367703.2512749117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5412547.763583675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955155.48769123689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5412547.763583675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2.7397775524484209</v>
      </c>
      <c r="S123" s="190">
        <f>IFERROR(VLOOKUP(A123,[1]Biogasudbytte!$A$2:$B$18,2,FALSE)*[1]Energiindhold!$C$10,0)*J123*IFERROR(VLOOKUP(A123,Biogasanlæg!$F$3:$G$8,2,FALSE),1)</f>
        <v>2.7397775524484209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411353.63003235927</v>
      </c>
      <c r="W123" s="190">
        <f>J123*IFERROR(VLOOKUP(A123,[1]Tørstofindhold!A$2:B$24,2,FALSE),0)</f>
        <v>411353.63003235927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hidden="1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795441.73503903183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777685.16963622137</v>
      </c>
      <c r="H124" s="190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17756.565402810462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1</v>
      </c>
      <c r="Z124" s="103">
        <f t="shared" si="22"/>
        <v>0</v>
      </c>
    </row>
    <row r="125" spans="1:26" hidden="1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3204301.4084430053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2570844.3984400104</v>
      </c>
      <c r="H125" s="190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550329.17750715138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83127.832495843526</v>
      </c>
      <c r="O125" s="193">
        <f t="shared" si="20"/>
        <v>83127.832495843526</v>
      </c>
      <c r="P125" s="203">
        <f t="shared" si="24"/>
        <v>550329.17750715138</v>
      </c>
      <c r="Q125" s="190">
        <f>IFERROR(VLOOKUP(A125,[1]Energiindhold!$A$2:$C$11,3,FALSE),IFERROR(VLOOKUP(A125,[1]Biogasudbytte!$A$2:$B$18,2,FALSE)*[1]Energiindhold!$C$10,0))*O125</f>
        <v>0.29842891866007831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2.2741106659107517</v>
      </c>
      <c r="S125" s="190">
        <f>IFERROR(VLOOKUP(A125,[1]Biogasudbytte!$A$2:$B$18,2,FALSE)*[1]Energiindhold!$C$10,0)*J125*IFERROR(VLOOKUP(A125,Biogasanlæg!$F$3:$G$8,2,FALSE),1)</f>
        <v>1.9756817472506736</v>
      </c>
      <c r="T125" s="191">
        <f t="shared" si="25"/>
        <v>0.29842891866007815</v>
      </c>
      <c r="U125" s="189">
        <f>O125*IFERROR(VLOOKUP(A125,[1]Tørstofindhold!A$2:B$24,2,FALSE),0)</f>
        <v>24938.349748753059</v>
      </c>
      <c r="V125" s="190">
        <f>IF(D125=År1,P125,SUM(O125,P125))*IFERROR(VLOOKUP(A125,[1]Tørstofindhold!A$2:B$24,2,FALSE),0)</f>
        <v>190037.10300089847</v>
      </c>
      <c r="W125" s="190">
        <f>J125*IFERROR(VLOOKUP(A125,[1]Tørstofindhold!A$2:B$24,2,FALSE),0)</f>
        <v>165098.7532521454</v>
      </c>
      <c r="X125" s="191">
        <f t="shared" si="26"/>
        <v>24938.349748753069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1534789.7228421343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1043965.1739886844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162301.49863914726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162301.49863914726</v>
      </c>
      <c r="O127" s="193">
        <f t="shared" si="20"/>
        <v>162301.49863914726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0.14566559502863469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0.14566559502863469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0.14566559502863469</v>
      </c>
      <c r="U127" s="189">
        <f>O127*IFERROR(VLOOKUP(A127,[1]Tørstofindhold!A$2:B$24,2,FALSE),0)</f>
        <v>24345.224795872087</v>
      </c>
      <c r="V127" s="190">
        <f>IF(D127=År1,P127,SUM(O127,P127))*IFERROR(VLOOKUP(A127,[1]Tørstofindhold!A$2:B$24,2,FALSE),0)</f>
        <v>24345.224795872087</v>
      </c>
      <c r="W127" s="190">
        <f>J127*IFERROR(VLOOKUP(A127,[1]Tørstofindhold!A$2:B$24,2,FALSE),0)</f>
        <v>0</v>
      </c>
      <c r="X127" s="191">
        <f t="shared" si="26"/>
        <v>24345.224795872087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51394.057868840908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31184.283836637289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20209.774032203619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1143602.1995332621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1143602.1995332621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97651.319921337825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97651.319921337825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97651.319921337825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1.7967842865526156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1.7967842865526156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40525.297767355201</v>
      </c>
      <c r="W130" s="190">
        <f>J130*IFERROR(VLOOKUP(A130,[1]Tørstofindhold!A$2:B$24,2,FALSE),0)</f>
        <v>0</v>
      </c>
      <c r="X130" s="191">
        <f t="shared" si="26"/>
        <v>40525.297767355201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1004189.1721046099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1004189.1721046099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1004189.1721046099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8.9989695380174517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8.9989695380174517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251047.29302615247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251047.29302615247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251047.29302615247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8.3519847999900527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8.3519847999900527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2389980.9824422216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2389980.9824422216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hidden="1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619567.35639770923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619567.35639770923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hidden="1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309783.67819885461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202628.48191581847</v>
      </c>
      <c r="H135" s="190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107155.19628303614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hidden="1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198261.55404726695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198261.55404726695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198261.55404726695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6.939154391654343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6.939154391654343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557517.61958207632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447226.91507024999</v>
      </c>
      <c r="H137" s="190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110290.70451182633</v>
      </c>
      <c r="O137" s="193">
        <f t="shared" si="39"/>
        <v>110290.70451182633</v>
      </c>
      <c r="P137" s="203">
        <f t="shared" si="24"/>
        <v>0</v>
      </c>
      <c r="Q137" s="190">
        <f>IFERROR(VLOOKUP(A137,[1]Energiindhold!$A$2:$C$11,3,FALSE),IFERROR(VLOOKUP(A137,[1]Biogasudbytte!$A$2:$B$18,2,FALSE)*[1]Energiindhold!$C$10,0))*O137</f>
        <v>0.29933338367327716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0.29933338367327716</v>
      </c>
      <c r="S137" s="190">
        <f>IFERROR(VLOOKUP(A137,[1]Biogasudbytte!$A$2:$B$18,2,FALSE)*[1]Energiindhold!$C$10,0)*J137*IFERROR(VLOOKUP(A137,Biogasanlæg!$F$3:$G$8,2,FALSE),1)</f>
        <v>0</v>
      </c>
      <c r="T137" s="191">
        <f t="shared" si="25"/>
        <v>0.29933338367327716</v>
      </c>
      <c r="U137" s="189">
        <f>O137*IFERROR(VLOOKUP(A137,[1]Tørstofindhold!A$2:B$24,2,FALSE),0)</f>
        <v>22058.140902365267</v>
      </c>
      <c r="V137" s="190">
        <f>IF(D137=År1,P137,SUM(O137,P137))*IFERROR(VLOOKUP(A137,[1]Tørstofindhold!A$2:B$24,2,FALSE),0)</f>
        <v>22058.140902365267</v>
      </c>
      <c r="W137" s="190">
        <f>J137*IFERROR(VLOOKUP(A137,[1]Tørstofindhold!A$2:B$24,2,FALSE),0)</f>
        <v>0</v>
      </c>
      <c r="X137" s="191">
        <f t="shared" si="26"/>
        <v>22058.140902365267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92783.580859109119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92783.580859109119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63050.124133731362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19813.247781599999</v>
      </c>
      <c r="H139" s="190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43236.876352131367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4062083.073222735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3452770.6122393245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609312.46098341048</v>
      </c>
      <c r="O140" s="193">
        <f t="shared" si="39"/>
        <v>609312.46098341048</v>
      </c>
      <c r="P140" s="203">
        <f t="shared" si="24"/>
        <v>3452770.6122393245</v>
      </c>
      <c r="Q140" s="190">
        <f>IFERROR(VLOOKUP(A140,[1]Energiindhold!$A$2:$C$11,3,FALSE),IFERROR(VLOOKUP(A140,[1]Biogasudbytte!$A$2:$B$18,2,FALSE)*[1]Energiindhold!$C$10,0))*O140</f>
        <v>0.30405301115533173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2.0270200743688775</v>
      </c>
      <c r="S140" s="190">
        <f>IFERROR(VLOOKUP(A140,[1]Biogasudbytte!$A$2:$B$18,2,FALSE)*[1]Energiindhold!$C$10,0)*J140*IFERROR(VLOOKUP(A140,Biogasanlæg!$F$3:$G$8,2,FALSE),1)</f>
        <v>1.7229670632135456</v>
      </c>
      <c r="T140" s="191">
        <f t="shared" si="25"/>
        <v>0.3040530111553319</v>
      </c>
      <c r="U140" s="189">
        <f>O140*IFERROR(VLOOKUP(A140,[1]Tørstofindhold!A$2:B$24,2,FALSE),0)</f>
        <v>36558.747659004628</v>
      </c>
      <c r="V140" s="190">
        <f>IF(D140=År1,P140,SUM(O140,P140))*IFERROR(VLOOKUP(A140,[1]Tørstofindhold!A$2:B$24,2,FALSE),0)</f>
        <v>243724.98439336408</v>
      </c>
      <c r="W140" s="190">
        <f>J140*IFERROR(VLOOKUP(A140,[1]Tørstofindhold!A$2:B$24,2,FALSE),0)</f>
        <v>207166.23673435947</v>
      </c>
      <c r="X140" s="191">
        <f t="shared" si="26"/>
        <v>36558.747659004614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7216145.8837897805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6133724.0012213131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1082421.8825684672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6133724.0012213131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2.6424082997261422</v>
      </c>
      <c r="S141" s="190">
        <f>IFERROR(VLOOKUP(A141,[1]Biogasudbytte!$A$2:$B$18,2,FALSE)*[1]Energiindhold!$C$10,0)*J141*IFERROR(VLOOKUP(A141,Biogasanlæg!$F$3:$G$8,2,FALSE),1)</f>
        <v>2.6424082997261422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306686.20006106567</v>
      </c>
      <c r="W141" s="190">
        <f>J141*IFERROR(VLOOKUP(A141,[1]Tørstofindhold!A$2:B$24,2,FALSE),0)</f>
        <v>306686.20006106567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670075.43744177814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63313.545971354491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606761.89147042367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10125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5007.9440624448525</v>
      </c>
      <c r="H143" s="190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5117.0559375551475</v>
      </c>
      <c r="O143" s="193">
        <f t="shared" si="39"/>
        <v>5117.0559375551475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4.592557703955745E-3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4.592557703955745E-3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4.592557703955745E-3</v>
      </c>
      <c r="U143" s="189">
        <f>O143*IFERROR(VLOOKUP(A143,[1]Tørstofindhold!A$2:B$24,2,FALSE),0)</f>
        <v>767.5583906332721</v>
      </c>
      <c r="V143" s="190">
        <f>IF(D143=År1,P143,SUM(O143,P143))*IFERROR(VLOOKUP(A143,[1]Tørstofindhold!A$2:B$24,2,FALSE),0)</f>
        <v>767.5583906332721</v>
      </c>
      <c r="W143" s="190">
        <f>J143*IFERROR(VLOOKUP(A143,[1]Tørstofindhold!A$2:B$24,2,FALSE),0)</f>
        <v>0</v>
      </c>
      <c r="X143" s="191">
        <f t="shared" si="26"/>
        <v>767.5583906332721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2270482.6440612082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2270482.6440612082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2270482.6440612082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32.90739663971565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32.90739663971565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1122942.8743752725</v>
      </c>
      <c r="W145" s="190">
        <f>J145*IFERROR(VLOOKUP(A145,[1]Tørstofindhold!A$2:B$24,2,FALSE),0)</f>
        <v>0</v>
      </c>
      <c r="X145" s="191">
        <f t="shared" si="26"/>
        <v>1122942.8743752725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643517.01117705333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643517.01117705333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hidden="1" x14ac:dyDescent="0.25">
      <c r="A147" s="192" t="s">
        <v>15</v>
      </c>
      <c r="B147" s="192"/>
      <c r="C147" s="192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2" t="s">
        <v>49</v>
      </c>
      <c r="B148" s="192"/>
      <c r="C148" s="192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2" t="s">
        <v>103</v>
      </c>
      <c r="B149" s="192" t="s">
        <v>231</v>
      </c>
      <c r="C149" s="192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2" t="s">
        <v>110</v>
      </c>
      <c r="B150" s="192"/>
      <c r="C150" s="192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2" t="s">
        <v>111</v>
      </c>
      <c r="B151" s="192"/>
      <c r="C151" s="192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2" t="s">
        <v>209</v>
      </c>
      <c r="B152" s="192" t="s">
        <v>231</v>
      </c>
      <c r="C152" s="192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0" t="s">
        <v>102</v>
      </c>
      <c r="B153" s="192" t="s">
        <v>223</v>
      </c>
      <c r="C153" s="192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0" t="s">
        <v>205</v>
      </c>
      <c r="B154" s="192"/>
      <c r="C154" s="192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0" t="s">
        <v>138</v>
      </c>
      <c r="B155" s="192" t="s">
        <v>223</v>
      </c>
      <c r="C155" s="192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hidden="1" x14ac:dyDescent="0.25">
      <c r="A156" s="190" t="s">
        <v>97</v>
      </c>
      <c r="B156" s="192"/>
      <c r="C156" s="192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0" t="s">
        <v>114</v>
      </c>
      <c r="B157" s="192"/>
      <c r="C157" s="192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0" t="s">
        <v>54</v>
      </c>
      <c r="B158" s="192"/>
      <c r="C158" s="192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2" t="s">
        <v>159</v>
      </c>
      <c r="B159" s="192" t="s">
        <v>159</v>
      </c>
      <c r="C159" s="192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2" t="s">
        <v>51</v>
      </c>
      <c r="B160" s="192" t="s">
        <v>225</v>
      </c>
      <c r="C160" s="192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2" t="s">
        <v>204</v>
      </c>
      <c r="B161" s="192"/>
      <c r="C161" s="192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2" t="s">
        <v>6</v>
      </c>
      <c r="B162" s="192"/>
      <c r="C162" s="192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2" t="s">
        <v>163</v>
      </c>
      <c r="B164" s="192" t="s">
        <v>231</v>
      </c>
      <c r="C164" s="192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0" t="s">
        <v>160</v>
      </c>
      <c r="B165" s="192"/>
      <c r="C165" s="192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2" t="s">
        <v>104</v>
      </c>
      <c r="B166" s="192" t="s">
        <v>231</v>
      </c>
      <c r="C166" s="192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2" t="s">
        <v>56</v>
      </c>
      <c r="B167" s="192"/>
      <c r="C167" s="192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2" t="s">
        <v>12</v>
      </c>
      <c r="B168" s="192"/>
      <c r="C168" s="192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2" t="s">
        <v>48</v>
      </c>
      <c r="B169" s="192" t="s">
        <v>228</v>
      </c>
      <c r="C169" s="192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2" t="s">
        <v>116</v>
      </c>
      <c r="B170" s="192"/>
      <c r="C170" s="192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2" t="s">
        <v>137</v>
      </c>
      <c r="B171" s="192" t="s">
        <v>223</v>
      </c>
      <c r="C171" s="192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hidden="1" x14ac:dyDescent="0.25">
      <c r="A172" s="192" t="s">
        <v>109</v>
      </c>
      <c r="B172" s="192"/>
      <c r="C172" s="192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0" t="s">
        <v>53</v>
      </c>
      <c r="B173" s="192" t="s">
        <v>225</v>
      </c>
      <c r="C173" s="192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2" t="s">
        <v>117</v>
      </c>
      <c r="B174" s="192"/>
      <c r="C174" s="192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2" t="s">
        <v>107</v>
      </c>
      <c r="B175" s="192" t="s">
        <v>227</v>
      </c>
      <c r="C175" s="192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2" t="s">
        <v>14</v>
      </c>
      <c r="B176" s="192"/>
      <c r="C176" s="192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2" t="s">
        <v>55</v>
      </c>
      <c r="B177" s="192"/>
      <c r="C177" s="192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2" t="s">
        <v>96</v>
      </c>
      <c r="B178" s="192" t="s">
        <v>226</v>
      </c>
      <c r="C178" s="192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2" t="s">
        <v>316</v>
      </c>
      <c r="B179" s="192" t="s">
        <v>322</v>
      </c>
      <c r="C179" s="192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2" t="s">
        <v>317</v>
      </c>
      <c r="B180" s="192" t="s">
        <v>322</v>
      </c>
      <c r="C180" s="192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2" t="s">
        <v>118</v>
      </c>
      <c r="B181" s="192"/>
      <c r="C181" s="192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hidden="1" x14ac:dyDescent="0.25">
      <c r="A182" s="190" t="s">
        <v>50</v>
      </c>
      <c r="B182" s="192"/>
      <c r="C182" s="192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hidden="1" x14ac:dyDescent="0.25">
      <c r="A183" s="190" t="s">
        <v>239</v>
      </c>
      <c r="B183" s="192"/>
      <c r="C183" s="192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hidden="1" x14ac:dyDescent="0.25">
      <c r="A184" s="190" t="s">
        <v>232</v>
      </c>
      <c r="B184" s="192" t="s">
        <v>232</v>
      </c>
      <c r="C184" s="192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0" t="s">
        <v>52</v>
      </c>
      <c r="B185" s="192" t="s">
        <v>225</v>
      </c>
      <c r="C185" s="192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0" t="s">
        <v>122</v>
      </c>
      <c r="B186" s="192"/>
      <c r="C186" s="192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0" t="s">
        <v>108</v>
      </c>
      <c r="B187" s="192"/>
      <c r="C187" s="192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2" t="s">
        <v>141</v>
      </c>
      <c r="B188" s="192" t="s">
        <v>231</v>
      </c>
      <c r="C188" s="192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2" t="s">
        <v>136</v>
      </c>
      <c r="B189" s="192" t="s">
        <v>223</v>
      </c>
      <c r="C189" s="192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2" t="s">
        <v>13</v>
      </c>
      <c r="B190" s="192"/>
      <c r="C190" s="192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2" t="s">
        <v>100</v>
      </c>
      <c r="B191" s="192" t="s">
        <v>227</v>
      </c>
      <c r="C191" s="192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2" t="s">
        <v>105</v>
      </c>
      <c r="B192" s="192"/>
      <c r="C192" s="192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2" t="s">
        <v>120</v>
      </c>
      <c r="B193" s="192" t="s">
        <v>226</v>
      </c>
      <c r="C193" s="192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2" t="s">
        <v>119</v>
      </c>
      <c r="B194" s="192"/>
      <c r="C194" s="192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hidden="1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123047.44370663891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7493.8897181076936</v>
      </c>
      <c r="H196" s="190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115553.55398853122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112424662.68425274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112424662.68425274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112424662.68425274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3638100.9092914085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3189268.06030375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448832.84898765851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176037.33667957611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17603.733667957611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158433.60301161848</v>
      </c>
      <c r="O200" s="193">
        <f t="shared" si="59"/>
        <v>158433.60301161848</v>
      </c>
      <c r="P200" s="203">
        <f t="shared" si="49"/>
        <v>17603.733667957611</v>
      </c>
      <c r="Q200" s="190">
        <f>IFERROR(VLOOKUP(A200,[1]Energiindhold!$A$2:$C$11,3,FALSE),IFERROR(VLOOKUP(A200,[1]Biogasudbytte!$A$2:$B$18,2,FALSE)*[1]Energiindhold!$C$10,0))*O200</f>
        <v>8.9994417974030502E-2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9.999379774892278E-2</v>
      </c>
      <c r="S200" s="190">
        <f>IFERROR(VLOOKUP(A200,[1]Biogasudbytte!$A$2:$B$18,2,FALSE)*[1]Energiindhold!$C$10,0)*J200*IFERROR(VLOOKUP(A200,Biogasanlæg!$F$3:$G$8,2,FALSE),1)</f>
        <v>9.999379774892278E-3</v>
      </c>
      <c r="T200" s="191">
        <f t="shared" si="50"/>
        <v>8.9994417974030502E-2</v>
      </c>
      <c r="U200" s="189">
        <f>O200*IFERROR(VLOOKUP(A200,[1]Tørstofindhold!A$2:B$24,2,FALSE),0)</f>
        <v>6775.1575678709987</v>
      </c>
      <c r="V200" s="190">
        <f>IF(D200=År1,P200,SUM(O200,P200))*IFERROR(VLOOKUP(A200,[1]Tørstofindhold!A$2:B$24,2,FALSE),0)</f>
        <v>7527.9528531899987</v>
      </c>
      <c r="W200" s="190">
        <f>J200*IFERROR(VLOOKUP(A200,[1]Tørstofindhold!A$2:B$24,2,FALSE),0)</f>
        <v>752.79528531899996</v>
      </c>
      <c r="X200" s="191">
        <f t="shared" si="51"/>
        <v>6775.1575678709987</v>
      </c>
      <c r="Y200" s="171">
        <f t="shared" si="60"/>
        <v>0</v>
      </c>
      <c r="Z200" s="103">
        <f t="shared" si="61"/>
        <v>1</v>
      </c>
    </row>
    <row r="201" spans="1:26" hidden="1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111252.83762328496</v>
      </c>
      <c r="O201" s="193">
        <f t="shared" si="59"/>
        <v>111252.83762328496</v>
      </c>
      <c r="P201" s="203">
        <f t="shared" si="49"/>
        <v>179027.55479609076</v>
      </c>
      <c r="Q201" s="190">
        <f>IFERROR(VLOOKUP(A201,[1]Energiindhold!$A$2:$C$11,3,FALSE),IFERROR(VLOOKUP(A201,[1]Biogasudbytte!$A$2:$B$18,2,FALSE)*[1]Energiindhold!$C$10,0))*O201</f>
        <v>0.2396386122405558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0">
        <f>IFERROR(VLOOKUP(A201,[1]Biogasudbytte!$A$2:$B$18,2,FALSE)*[1]Energiindhold!$C$10,0)*J201*IFERROR(VLOOKUP(A201,Biogasanlæg!$F$3:$G$8,2,FALSE),1)</f>
        <v>0.38562535303077949</v>
      </c>
      <c r="T201" s="191">
        <f t="shared" si="50"/>
        <v>0.23963861224055583</v>
      </c>
      <c r="U201" s="189">
        <f>O201*IFERROR(VLOOKUP(A201,[1]Tørstofindhold!A$2:B$24,2,FALSE),0)</f>
        <v>33375.851286985482</v>
      </c>
      <c r="V201" s="190">
        <f>IF(D201=År1,P201,SUM(O201,P201))*IFERROR(VLOOKUP(A201,[1]Tørstofindhold!A$2:B$24,2,FALSE),0)</f>
        <v>87084.117725812714</v>
      </c>
      <c r="W201" s="190">
        <f>J201*IFERROR(VLOOKUP(A201,[1]Tørstofindhold!A$2:B$24,2,FALSE),0)</f>
        <v>53708.266438827224</v>
      </c>
      <c r="X201" s="191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123989.81169960002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104956.43862895928</v>
      </c>
      <c r="H202" s="190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19033.373070640737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1</v>
      </c>
    </row>
    <row r="203" spans="1:26" hidden="1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350.10096257642732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90">
        <f>IFERROR(VLOOKUP(A203,[1]Biogasudbytte!$A$2:$B$18,2,FALSE)*[1]Energiindhold!$C$10,0)*J203*IFERROR(VLOOKUP(A203,Biogasanlæg!$F$3:$G$8,2,FALSE),1)</f>
        <v>1.6464898169006801E-4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22.056360642314921</v>
      </c>
      <c r="W203" s="190">
        <f>J203*IFERROR(VLOOKUP(A203,[1]Tørstofindhold!A$2:B$24,2,FALSE),0)</f>
        <v>22.056360642314921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hidden="1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-15316.072808753132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339365.5827745031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339365.5827745031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9811.3821523284805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-213512.56050098082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3804494.9727168591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1503468.3313748278</v>
      </c>
      <c r="H208" s="190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360250.77120469615</v>
      </c>
      <c r="N208" s="202">
        <f t="shared" si="48"/>
        <v>1940775.8701373353</v>
      </c>
      <c r="O208" s="193">
        <f t="shared" si="59"/>
        <v>579397.28522808431</v>
      </c>
      <c r="P208" s="203">
        <f t="shared" si="49"/>
        <v>0</v>
      </c>
      <c r="Q208" s="190">
        <f>IFERROR(VLOOKUP(A208,[1]Energiindhold!$A$2:$C$11,3,FALSE),IFERROR(VLOOKUP(A208,[1]Biogasudbytte!$A$2:$B$18,2,FALSE)*[1]Energiindhold!$C$10,0))*O208</f>
        <v>1.0660185801590216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1.0660185801590216</v>
      </c>
      <c r="S208" s="190">
        <f>IFERROR(VLOOKUP(A208,[1]Biogasudbytte!$A$2:$B$18,2,FALSE)*[1]Energiindhold!$C$10,0)*J208*IFERROR(VLOOKUP(A208,Biogasanlæg!$F$3:$G$8,2,FALSE),1)</f>
        <v>0</v>
      </c>
      <c r="T208" s="191">
        <f t="shared" si="50"/>
        <v>1.0660185801590216</v>
      </c>
      <c r="U208" s="189">
        <f>O208*IFERROR(VLOOKUP(A208,[1]Tørstofindhold!A$2:B$24,2,FALSE),0)</f>
        <v>162231.23986386362</v>
      </c>
      <c r="V208" s="190">
        <f>IF(D208=År1,P208,SUM(O208,P208))*IFERROR(VLOOKUP(A208,[1]Tørstofindhold!A$2:B$24,2,FALSE),0)</f>
        <v>162231.23986386362</v>
      </c>
      <c r="W208" s="190">
        <f>J208*IFERROR(VLOOKUP(A208,[1]Tørstofindhold!A$2:B$24,2,FALSE),0)</f>
        <v>0</v>
      </c>
      <c r="X208" s="191">
        <f t="shared" si="51"/>
        <v>162231.23986386362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60223.622825520004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60223.622825520004</v>
      </c>
      <c r="H209" s="190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255910.1701378283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22007.724937783321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0</v>
      </c>
      <c r="Z210" s="103">
        <f t="shared" si="61"/>
        <v>1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784508.18490791088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93985.10530710897</v>
      </c>
      <c r="H211" s="190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567443.12264488416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19559.097354045036</v>
      </c>
      <c r="N211" s="202">
        <f t="shared" si="48"/>
        <v>0</v>
      </c>
      <c r="O211" s="193">
        <f t="shared" si="59"/>
        <v>0</v>
      </c>
      <c r="P211" s="203">
        <f t="shared" si="49"/>
        <v>567443.12264488416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5.8649822241311931</v>
      </c>
      <c r="S211" s="190">
        <f>IFERROR(VLOOKUP(A211,[1]Biogasudbytte!$A$2:$B$18,2,FALSE)*[1]Energiindhold!$C$10,0)*J211*IFERROR(VLOOKUP(A211,Biogasanlæg!$F$3:$G$8,2,FALSE),1)</f>
        <v>0</v>
      </c>
      <c r="T211" s="191">
        <f t="shared" si="50"/>
        <v>5.8649822241311931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482326.65424815152</v>
      </c>
      <c r="W211" s="190">
        <f>J211*IFERROR(VLOOKUP(A211,[1]Tørstofindhold!A$2:B$24,2,FALSE),0)</f>
        <v>0</v>
      </c>
      <c r="X211" s="191">
        <f t="shared" si="51"/>
        <v>482326.65424815152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232026.20760066749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224048.68253094138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4.3937632302492702</v>
      </c>
      <c r="S212" s="190">
        <f>IFERROR(VLOOKUP(A212,[1]Biogasudbytte!$A$2:$B$18,2,FALSE)*[1]Energiindhold!$C$10,0)*J212*IFERROR(VLOOKUP(A212,Biogasanlæg!$F$3:$G$8,2,FALSE),1)</f>
        <v>0.3939967423404655</v>
      </c>
      <c r="T212" s="191">
        <f t="shared" si="50"/>
        <v>3.9997664879088046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69607.86228020025</v>
      </c>
      <c r="X212" s="191">
        <f t="shared" si="51"/>
        <v>67214.604759282418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297109.21928150119</v>
      </c>
      <c r="H213" s="190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-297109.21928150119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0.11260809309897013</v>
      </c>
      <c r="O214" s="193">
        <f t="shared" si="59"/>
        <v>0.11260809309897013</v>
      </c>
      <c r="P214" s="203">
        <f t="shared" si="49"/>
        <v>202910.8690139266</v>
      </c>
      <c r="Q214" s="190">
        <f>IFERROR(VLOOKUP(A214,[1]Energiindhold!$A$2:$C$11,3,FALSE),IFERROR(VLOOKUP(A214,[1]Biogasudbytte!$A$2:$B$18,2,FALSE)*[1]Energiindhold!$C$10,0))*O214</f>
        <v>4.8794550644994054E-7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0">
        <f>IFERROR(VLOOKUP(A214,[1]Biogasudbytte!$A$2:$B$18,2,FALSE)*[1]Energiindhold!$C$10,0)*J214*IFERROR(VLOOKUP(A214,Biogasanlæg!$F$3:$G$8,2,FALSE),1)</f>
        <v>0.74735329777276838</v>
      </c>
      <c r="T214" s="191">
        <f t="shared" si="50"/>
        <v>4.8794550644437606E-7</v>
      </c>
      <c r="U214" s="189">
        <f>O214*IFERROR(VLOOKUP(A214,[1]Tørstofindhold!A$2:B$24,2,FALSE),0)</f>
        <v>4.7295399101567451E-2</v>
      </c>
      <c r="V214" s="190">
        <f>IF(D214=År1,P214,SUM(O214,P214))*IFERROR(VLOOKUP(A214,[1]Tørstofindhold!A$2:B$24,2,FALSE),0)</f>
        <v>85222.612281248264</v>
      </c>
      <c r="W214" s="190">
        <f>J214*IFERROR(VLOOKUP(A214,[1]Tørstofindhold!A$2:B$24,2,FALSE),0)</f>
        <v>85222.564985849167</v>
      </c>
      <c r="X214" s="191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213365.56375262729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213365.56375262729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520099.18456044223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413138.76992122567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1967965.071790382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90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861.66868306008803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989149.20834311971</v>
      </c>
      <c r="O217" s="193">
        <f t="shared" si="59"/>
        <v>989149.20834311971</v>
      </c>
      <c r="P217" s="203">
        <f t="shared" si="63"/>
        <v>861.66868306008803</v>
      </c>
      <c r="Q217" s="190">
        <f>IFERROR(VLOOKUP(A217,[1]Energiindhold!$A$2:$C$11,3,FALSE),IFERROR(VLOOKUP(A217,[1]Biogasudbytte!$A$2:$B$18,2,FALSE)*[1]Energiindhold!$C$10,0))*O217</f>
        <v>3.3876975576860175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3.3906486522918828</v>
      </c>
      <c r="S217" s="190">
        <f>IFERROR(VLOOKUP(A217,[1]Biogasudbytte!$A$2:$B$18,2,FALSE)*[1]Energiindhold!$C$10,0)*J217*IFERROR(VLOOKUP(A217,Biogasanlæg!$F$3:$G$8,2,FALSE),1)</f>
        <v>2.9510946058651736E-3</v>
      </c>
      <c r="T217" s="191">
        <f t="shared" si="64"/>
        <v>3.3876975576860175</v>
      </c>
      <c r="U217" s="189">
        <f>O217*IFERROR(VLOOKUP(A217,[1]Tørstofindhold!A$2:B$24,2,FALSE),0)</f>
        <v>306636.25458636711</v>
      </c>
      <c r="V217" s="190">
        <f>IF(D217=År1,P217,SUM(O217,P217))*IFERROR(VLOOKUP(A217,[1]Tørstofindhold!A$2:B$24,2,FALSE),0)</f>
        <v>306903.37187811575</v>
      </c>
      <c r="W217" s="190">
        <f>J217*IFERROR(VLOOKUP(A217,[1]Tørstofindhold!A$2:B$24,2,FALSE),0)</f>
        <v>267.11729174862728</v>
      </c>
      <c r="X217" s="191">
        <f t="shared" si="65"/>
        <v>306636.25458636711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421833.87879780139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-421833.87879780139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701319.77122631879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90">
        <f>IFERROR(VLOOKUP(A219,[1]Biogasudbytte!$A$2:$B$18,2,FALSE)*[1]Energiindhold!$C$10,0)*J219*IFERROR(VLOOKUP(A219,Biogasanlæg!$F$3:$G$8,2,FALSE),1)</f>
        <v>0.35500105499705037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53300.302613200227</v>
      </c>
      <c r="W219" s="190">
        <f>J219*IFERROR(VLOOKUP(A219,[1]Tørstofindhold!A$2:B$24,2,FALSE),0)</f>
        <v>53300.302613200227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hidden="1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185397.91213031337</v>
      </c>
      <c r="H220" s="190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-70187.378236720499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1420877.0118334598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692556.57535474957</v>
      </c>
      <c r="H221" s="190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728320.43647871027</v>
      </c>
      <c r="O221" s="193">
        <f t="shared" si="59"/>
        <v>69397.97399061406</v>
      </c>
      <c r="P221" s="203">
        <f t="shared" si="63"/>
        <v>0</v>
      </c>
      <c r="Q221" s="190">
        <f>IFERROR(VLOOKUP(A221,[1]Energiindhold!$A$2:$C$11,3,FALSE),IFERROR(VLOOKUP(A221,[1]Biogasudbytte!$A$2:$B$18,2,FALSE)*[1]Energiindhold!$C$10,0))*O221</f>
        <v>0.24913872662630451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0.24913872662630451</v>
      </c>
      <c r="S221" s="190">
        <f>IFERROR(VLOOKUP(A221,[1]Biogasudbytte!$A$2:$B$18,2,FALSE)*[1]Energiindhold!$C$10,0)*J221*IFERROR(VLOOKUP(A221,Biogasanlæg!$F$3:$G$8,2,FALSE),1)</f>
        <v>0</v>
      </c>
      <c r="T221" s="191">
        <f t="shared" si="64"/>
        <v>0.24913872662630451</v>
      </c>
      <c r="U221" s="189">
        <f>O221*IFERROR(VLOOKUP(A221,[1]Tørstofindhold!A$2:B$24,2,FALSE),0)</f>
        <v>20819.392197184217</v>
      </c>
      <c r="V221" s="190">
        <f>IF(D221=År1,P221,SUM(O221,P221))*IFERROR(VLOOKUP(A221,[1]Tørstofindhold!A$2:B$24,2,FALSE),0)</f>
        <v>20819.392197184217</v>
      </c>
      <c r="W221" s="190">
        <f>J221*IFERROR(VLOOKUP(A221,[1]Tørstofindhold!A$2:B$24,2,FALSE),0)</f>
        <v>0</v>
      </c>
      <c r="X221" s="191">
        <f t="shared" si="65"/>
        <v>20819.392197184217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-186738.89443173329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5405.5586300748464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5405.5586300748464</v>
      </c>
      <c r="O223" s="193">
        <f t="shared" si="59"/>
        <v>5405.5586300748464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4.851488870492175E-3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4.851488870492175E-3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4.851488870492175E-3</v>
      </c>
      <c r="U223" s="189">
        <f>O223*IFERROR(VLOOKUP(A223,[1]Tørstofindhold!A$2:B$24,2,FALSE),0)</f>
        <v>810.83379451122698</v>
      </c>
      <c r="V223" s="190">
        <f>IF(D223=År1,P223,SUM(O223,P223))*IFERROR(VLOOKUP(A223,[1]Tørstofindhold!A$2:B$24,2,FALSE),0)</f>
        <v>810.83379451122698</v>
      </c>
      <c r="W223" s="190">
        <f>J223*IFERROR(VLOOKUP(A223,[1]Tørstofindhold!A$2:B$24,2,FALSE),0)</f>
        <v>0</v>
      </c>
      <c r="X223" s="191">
        <f t="shared" si="65"/>
        <v>810.83379451122698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-44429.913859121647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469685.83477569057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469685.83477569057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41596.139144494533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41596.139144494533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41596.139144494533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0.76536896025869927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0.76536896025869927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17262.397744965234</v>
      </c>
      <c r="W226" s="190">
        <f>J226*IFERROR(VLOOKUP(A226,[1]Tørstofindhold!A$2:B$24,2,FALSE),0)</f>
        <v>0</v>
      </c>
      <c r="X226" s="191">
        <f t="shared" si="65"/>
        <v>17262.397744965234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10953.094518265221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10953.094518265221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10953.094518265221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9.8155374161539591E-2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9.8155374161539591E-2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2738.2736295663053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2738.2736295663053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2738.2736295663053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9.1098451836200148E-2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9.1098451836200148E-2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346161.09873740864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hidden="1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207192.94889726539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207192.94889726539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hidden="1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103596.4744486327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48306.048452615352</v>
      </c>
      <c r="H231" s="190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55290.425996017344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hidden="1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66301.743647124924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66301.743647124924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66301.743647124924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2.3205610276493722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2.3205610276493722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461406.88541979471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106617.6128076231</v>
      </c>
      <c r="H233" s="190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354789.2726121716</v>
      </c>
      <c r="O233" s="193">
        <f t="shared" si="59"/>
        <v>354789.2726121716</v>
      </c>
      <c r="P233" s="203">
        <f t="shared" si="63"/>
        <v>0</v>
      </c>
      <c r="Q233" s="190">
        <f>IFERROR(VLOOKUP(A233,[1]Energiindhold!$A$2:$C$11,3,FALSE),IFERROR(VLOOKUP(A233,[1]Biogasudbytte!$A$2:$B$18,2,FALSE)*[1]Energiindhold!$C$10,0))*O233</f>
        <v>0.96291227744033825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0.96291227744033825</v>
      </c>
      <c r="S233" s="190">
        <f>IFERROR(VLOOKUP(A233,[1]Biogasudbytte!$A$2:$B$18,2,FALSE)*[1]Energiindhold!$C$10,0)*J233*IFERROR(VLOOKUP(A233,Biogasanlæg!$F$3:$G$8,2,FALSE),1)</f>
        <v>0</v>
      </c>
      <c r="T233" s="191">
        <f t="shared" si="64"/>
        <v>0.96291227744033825</v>
      </c>
      <c r="U233" s="189">
        <f>O233*IFERROR(VLOOKUP(A233,[1]Tørstofindhold!A$2:B$24,2,FALSE),0)</f>
        <v>70957.854522434325</v>
      </c>
      <c r="V233" s="190">
        <f>IF(D233=År1,P233,SUM(O233,P233))*IFERROR(VLOOKUP(A233,[1]Tørstofindhold!A$2:B$24,2,FALSE),0)</f>
        <v>70957.854522434325</v>
      </c>
      <c r="W233" s="190">
        <f>J233*IFERROR(VLOOKUP(A233,[1]Tørstofindhold!A$2:B$24,2,FALSE),0)</f>
        <v>0</v>
      </c>
      <c r="X233" s="191">
        <f t="shared" si="65"/>
        <v>70957.854522434325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22535.823292320583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4723.4213980800005</v>
      </c>
      <c r="H235" s="190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13567.004856230607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2075825.4422153998</v>
      </c>
      <c r="O236" s="193">
        <f t="shared" si="59"/>
        <v>2075825.4422153998</v>
      </c>
      <c r="P236" s="203">
        <f t="shared" si="63"/>
        <v>1268228.6485488336</v>
      </c>
      <c r="Q236" s="190">
        <f>IFERROR(VLOOKUP(A236,[1]Energiindhold!$A$2:$C$11,3,FALSE),IFERROR(VLOOKUP(A236,[1]Biogasudbytte!$A$2:$B$18,2,FALSE)*[1]Energiindhold!$C$10,0))*O236</f>
        <v>1.0358576539199069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0">
        <f>IFERROR(VLOOKUP(A236,[1]Biogasudbytte!$A$2:$B$18,2,FALSE)*[1]Energiindhold!$C$10,0)*J236*IFERROR(VLOOKUP(A236,Biogasanlæg!$F$3:$G$8,2,FALSE),1)</f>
        <v>0.63285877791235357</v>
      </c>
      <c r="T236" s="191">
        <f t="shared" si="64"/>
        <v>1.0358576539199069</v>
      </c>
      <c r="U236" s="189">
        <f>O236*IFERROR(VLOOKUP(A236,[1]Tørstofindhold!A$2:B$24,2,FALSE),0)</f>
        <v>124549.52653292398</v>
      </c>
      <c r="V236" s="190">
        <f>IF(D236=År1,P236,SUM(O236,P236))*IFERROR(VLOOKUP(A236,[1]Tørstofindhold!A$2:B$24,2,FALSE),0)</f>
        <v>200643.245445854</v>
      </c>
      <c r="W236" s="190">
        <f>J236*IFERROR(VLOOKUP(A236,[1]Tørstofindhold!A$2:B$24,2,FALSE),0)</f>
        <v>76093.71891293001</v>
      </c>
      <c r="X236" s="191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1157678.9141627084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0">
        <f>IFERROR(VLOOKUP(A237,[1]Biogasudbytte!$A$2:$B$18,2,FALSE)*[1]Energiindhold!$C$10,0)*J237*IFERROR(VLOOKUP(A237,Biogasanlæg!$F$3:$G$8,2,FALSE),1)</f>
        <v>0.49872807622129489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57883.945708135427</v>
      </c>
      <c r="W237" s="190">
        <f>J237*IFERROR(VLOOKUP(A237,[1]Tørstofindhold!A$2:B$24,2,FALSE),0)</f>
        <v>57883.945708135427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94143.6721787524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450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450</v>
      </c>
      <c r="O239" s="193">
        <f t="shared" si="59"/>
        <v>450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4.0387500000000005E-4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4.0387500000000005E-4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4.0387500000000005E-4</v>
      </c>
      <c r="U239" s="189">
        <f>O239*IFERROR(VLOOKUP(A239,[1]Tørstofindhold!A$2:B$24,2,FALSE),0)</f>
        <v>67.5</v>
      </c>
      <c r="V239" s="190">
        <f>IF(D239=År1,P239,SUM(O239,P239))*IFERROR(VLOOKUP(A239,[1]Tørstofindhold!A$2:B$24,2,FALSE),0)</f>
        <v>67.5</v>
      </c>
      <c r="W239" s="190">
        <f>J239*IFERROR(VLOOKUP(A239,[1]Tørstofindhold!A$2:B$24,2,FALSE),0)</f>
        <v>0</v>
      </c>
      <c r="X239" s="191">
        <f t="shared" si="65"/>
        <v>67.5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645672.88485303381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645672.88485303381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645672.88485303381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9.3581044439798156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9.3581044439798156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319339.04763356299</v>
      </c>
      <c r="W241" s="190">
        <f>J241*IFERROR(VLOOKUP(A241,[1]Tørstofindhold!A$2:B$24,2,FALSE),0)</f>
        <v>0</v>
      </c>
      <c r="X241" s="191">
        <f t="shared" si="65"/>
        <v>319339.04763356299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177572.60690670041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177572.60690670041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hidden="1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197953.41816607979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3823.0915711153852</v>
      </c>
      <c r="H244" s="190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98440.006733673188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95690.319861291224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153356922.77785194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153356922.77785194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153356922.77785194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5073077.1915220283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3380194.5630334695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1692882.6284885588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193702.26597281999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164646.92607689698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29055.339895923011</v>
      </c>
      <c r="O248" s="193">
        <f t="shared" si="59"/>
        <v>29055.339895923011</v>
      </c>
      <c r="P248" s="203">
        <f t="shared" si="63"/>
        <v>164646.92607689698</v>
      </c>
      <c r="Q248" s="190">
        <f>IFERROR(VLOOKUP(A248,[1]Energiindhold!$A$2:$C$11,3,FALSE),IFERROR(VLOOKUP(A248,[1]Biogasudbytte!$A$2:$B$18,2,FALSE)*[1]Energiindhold!$C$10,0))*O248</f>
        <v>1.6504190735215845E-2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0.11002793823477226</v>
      </c>
      <c r="S248" s="190">
        <f>IFERROR(VLOOKUP(A248,[1]Biogasudbytte!$A$2:$B$18,2,FALSE)*[1]Energiindhold!$C$10,0)*J248*IFERROR(VLOOKUP(A248,Biogasanlæg!$F$3:$G$8,2,FALSE),1)</f>
        <v>9.3523747499556414E-2</v>
      </c>
      <c r="T248" s="191">
        <f t="shared" si="64"/>
        <v>1.6504190735215848E-2</v>
      </c>
      <c r="U248" s="189">
        <f>O248*IFERROR(VLOOKUP(A248,[1]Tørstofindhold!A$2:B$24,2,FALSE),0)</f>
        <v>1242.5047606125004</v>
      </c>
      <c r="V248" s="190">
        <f>IF(D248=År1,P248,SUM(O248,P248))*IFERROR(VLOOKUP(A248,[1]Tørstofindhold!A$2:B$24,2,FALSE),0)</f>
        <v>8283.3650707500001</v>
      </c>
      <c r="W248" s="190">
        <f>J248*IFERROR(VLOOKUP(A248,[1]Tørstofindhold!A$2:B$24,2,FALSE),0)</f>
        <v>7040.8603101374993</v>
      </c>
      <c r="X248" s="191">
        <f t="shared" si="65"/>
        <v>1242.5047606125008</v>
      </c>
      <c r="Y248" s="171">
        <f t="shared" si="60"/>
        <v>0</v>
      </c>
      <c r="Z248" s="103">
        <f t="shared" si="61"/>
        <v>1</v>
      </c>
    </row>
    <row r="249" spans="1:26" hidden="1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194332.65736576461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165182.75876089992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11035.318757555919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18114.579847308778</v>
      </c>
      <c r="O249" s="193">
        <f t="shared" si="59"/>
        <v>18114.579847308778</v>
      </c>
      <c r="P249" s="203">
        <f t="shared" si="63"/>
        <v>165182.75876089992</v>
      </c>
      <c r="Q249" s="190">
        <f>IFERROR(VLOOKUP(A249,[1]Energiindhold!$A$2:$C$11,3,FALSE),IFERROR(VLOOKUP(A249,[1]Biogasudbytte!$A$2:$B$18,2,FALSE)*[1]Energiindhold!$C$10,0))*O249</f>
        <v>3.9018804991103107E-2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0.39482246736208154</v>
      </c>
      <c r="S249" s="190">
        <f>IFERROR(VLOOKUP(A249,[1]Biogasudbytte!$A$2:$B$18,2,FALSE)*[1]Energiindhold!$C$10,0)*J249*IFERROR(VLOOKUP(A249,Biogasanlæg!$F$3:$G$8,2,FALSE),1)</f>
        <v>0.35580366237097844</v>
      </c>
      <c r="T249" s="191">
        <f t="shared" si="64"/>
        <v>3.9018804991103107E-2</v>
      </c>
      <c r="U249" s="189">
        <f>O249*IFERROR(VLOOKUP(A249,[1]Tørstofindhold!A$2:B$24,2,FALSE),0)</f>
        <v>5434.3739541926334</v>
      </c>
      <c r="V249" s="190">
        <f>IF(D249=År1,P249,SUM(O249,P249))*IFERROR(VLOOKUP(A249,[1]Tørstofindhold!A$2:B$24,2,FALSE),0)</f>
        <v>54989.201582462607</v>
      </c>
      <c r="W249" s="190">
        <f>J249*IFERROR(VLOOKUP(A249,[1]Tørstofindhold!A$2:B$24,2,FALSE),0)</f>
        <v>49554.827628269974</v>
      </c>
      <c r="X249" s="191">
        <f t="shared" si="65"/>
        <v>5434.3739541926334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136431.8952829412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133861.74968891402</v>
      </c>
      <c r="H250" s="190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2570.1455940271844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1</v>
      </c>
    </row>
    <row r="251" spans="1:26" hidden="1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614.63363776327014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108.46475960528299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614.63363776327014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2.8905605350368834E-4</v>
      </c>
      <c r="S251" s="190">
        <f>IFERROR(VLOOKUP(A251,[1]Biogasudbytte!$A$2:$B$18,2,FALSE)*[1]Energiindhold!$C$10,0)*J251*IFERROR(VLOOKUP(A251,Biogasanlæg!$F$3:$G$8,2,FALSE),1)</f>
        <v>2.8905605350368834E-4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38.721919179086022</v>
      </c>
      <c r="W251" s="190">
        <f>J251*IFERROR(VLOOKUP(A251,[1]Tørstofindhold!A$2:B$24,2,FALSE),0)</f>
        <v>38.721919179086022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hidden="1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15996.501094221892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-1421.3862014098868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287387.86171913851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287387.86171913851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42271.361313865054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-191523.65467860876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2888780.8014802146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767011.16794249229</v>
      </c>
      <c r="H256" s="190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396401.08182176121</v>
      </c>
      <c r="N256" s="202">
        <f t="shared" si="62"/>
        <v>1725368.5517159612</v>
      </c>
      <c r="O256" s="193">
        <f t="shared" si="59"/>
        <v>121540.12592519959</v>
      </c>
      <c r="P256" s="203">
        <f t="shared" si="63"/>
        <v>0</v>
      </c>
      <c r="Q256" s="190">
        <f>IFERROR(VLOOKUP(A256,[1]Energiindhold!$A$2:$C$11,3,FALSE),IFERROR(VLOOKUP(A256,[1]Biogasudbytte!$A$2:$B$18,2,FALSE)*[1]Energiindhold!$C$10,0))*O256</f>
        <v>0.22361863918662661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0.22361863918662661</v>
      </c>
      <c r="S256" s="190">
        <f>IFERROR(VLOOKUP(A256,[1]Biogasudbytte!$A$2:$B$18,2,FALSE)*[1]Energiindhold!$C$10,0)*J256*IFERROR(VLOOKUP(A256,Biogasanlæg!$F$3:$G$8,2,FALSE),1)</f>
        <v>0</v>
      </c>
      <c r="T256" s="191">
        <f t="shared" si="64"/>
        <v>0.22361863918662661</v>
      </c>
      <c r="U256" s="189">
        <f>O256*IFERROR(VLOOKUP(A256,[1]Tørstofindhold!A$2:B$24,2,FALSE),0)</f>
        <v>34031.235259055888</v>
      </c>
      <c r="V256" s="190">
        <f>IF(D256=År1,P256,SUM(O256,P256))*IFERROR(VLOOKUP(A256,[1]Tørstofindhold!A$2:B$24,2,FALSE),0)</f>
        <v>34031.235259055888</v>
      </c>
      <c r="W256" s="190">
        <f>J256*IFERROR(VLOOKUP(A256,[1]Tørstofindhold!A$2:B$24,2,FALSE),0)</f>
        <v>0</v>
      </c>
      <c r="X256" s="191">
        <f t="shared" si="65"/>
        <v>34031.235259055888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66266.920566000001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66266.920566000001</v>
      </c>
      <c r="H257" s="190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456174.53044673882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211305.01369672679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0</v>
      </c>
      <c r="Z258" s="103">
        <f t="shared" si="61"/>
        <v>1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1075127.4976520955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47947.551595505945</v>
      </c>
      <c r="H259" s="190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51992.644823495335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268382.25141989789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706805.04981319618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268382.25141989789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2.7739469755369335</v>
      </c>
      <c r="S259" s="190">
        <f>IFERROR(VLOOKUP(A259,[1]Biogasudbytte!$A$2:$B$18,2,FALSE)*[1]Energiindhold!$C$10,0)*J259*IFERROR(VLOOKUP(A259,Biogasanlæg!$F$3:$G$8,2,FALSE),1)</f>
        <v>0</v>
      </c>
      <c r="T259" s="191">
        <f t="shared" si="64"/>
        <v>2.7739469755369335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228124.91370691321</v>
      </c>
      <c r="W259" s="190">
        <f>J259*IFERROR(VLOOKUP(A259,[1]Tørstofindhold!A$2:B$24,2,FALSE),0)</f>
        <v>0</v>
      </c>
      <c r="X259" s="191">
        <f t="shared" si="65"/>
        <v>228124.91370691321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372749.55761341366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85177.467347188154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2.1535617717711055</v>
      </c>
      <c r="S260" s="190">
        <f>IFERROR(VLOOKUP(A260,[1]Biogasudbytte!$A$2:$B$18,2,FALSE)*[1]Energiindhold!$C$10,0)*J260*IFERROR(VLOOKUP(A260,Biogasanlæg!$F$3:$G$8,2,FALSE),1)</f>
        <v>0.63295484129660939</v>
      </c>
      <c r="T260" s="191">
        <f t="shared" si="64"/>
        <v>1.520606930474496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111824.86728402409</v>
      </c>
      <c r="X260" s="191">
        <f t="shared" si="65"/>
        <v>25553.240204156449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90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0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0</v>
      </c>
      <c r="Z261" s="103">
        <f t="shared" si="77"/>
        <v>0</v>
      </c>
    </row>
    <row r="262" spans="1:26" hidden="1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184821.60646832324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169627.25510324695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15194.351365076291</v>
      </c>
      <c r="O262" s="193">
        <f t="shared" si="75"/>
        <v>15194.351365076291</v>
      </c>
      <c r="P262" s="203">
        <f t="shared" si="63"/>
        <v>169627.25510324695</v>
      </c>
      <c r="Q262" s="190">
        <f>IFERROR(VLOOKUP(A262,[1]Energiindhold!$A$2:$C$11,3,FALSE),IFERROR(VLOOKUP(A262,[1]Biogasudbytte!$A$2:$B$18,2,FALSE)*[1]Energiindhold!$C$10,0))*O262</f>
        <v>6.5839099730553033E-2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0.69060350545025562</v>
      </c>
      <c r="S262" s="190">
        <f>IFERROR(VLOOKUP(A262,[1]Biogasudbytte!$A$2:$B$18,2,FALSE)*[1]Energiindhold!$C$10,0)*J262*IFERROR(VLOOKUP(A262,Biogasanlæg!$F$3:$G$8,2,FALSE),1)</f>
        <v>0.6247644057197026</v>
      </c>
      <c r="T262" s="191">
        <f t="shared" si="64"/>
        <v>6.5839099730553019E-2</v>
      </c>
      <c r="U262" s="189">
        <f>O262*IFERROR(VLOOKUP(A262,[1]Tørstofindhold!A$2:B$24,2,FALSE),0)</f>
        <v>6381.6275733320417</v>
      </c>
      <c r="V262" s="190">
        <f>IF(D262=År1,P262,SUM(O262,P262))*IFERROR(VLOOKUP(A262,[1]Tørstofindhold!A$2:B$24,2,FALSE),0)</f>
        <v>77625.074716695759</v>
      </c>
      <c r="W262" s="190">
        <f>J262*IFERROR(VLOOKUP(A262,[1]Tørstofindhold!A$2:B$24,2,FALSE),0)</f>
        <v>71243.447143363723</v>
      </c>
      <c r="X262" s="191">
        <f t="shared" si="65"/>
        <v>6381.6275733320363</v>
      </c>
      <c r="Y262" s="171">
        <f t="shared" si="76"/>
        <v>0</v>
      </c>
      <c r="Z262" s="103">
        <f t="shared" si="77"/>
        <v>1</v>
      </c>
    </row>
    <row r="263" spans="1:26" hidden="1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188875.23433835641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188875.23433835641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634382.54064061423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522407.03298106097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1422520.7615932694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368193.1930872486</v>
      </c>
      <c r="H265" s="190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786078.55015676143</v>
      </c>
      <c r="O265" s="193">
        <f t="shared" si="75"/>
        <v>786078.55015676143</v>
      </c>
      <c r="P265" s="203">
        <f t="shared" si="63"/>
        <v>0</v>
      </c>
      <c r="Q265" s="190">
        <f>IFERROR(VLOOKUP(A265,[1]Energiindhold!$A$2:$C$11,3,FALSE),IFERROR(VLOOKUP(A265,[1]Biogasudbytte!$A$2:$B$18,2,FALSE)*[1]Energiindhold!$C$10,0))*O265</f>
        <v>2.6922089832898863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2.6922089832898863</v>
      </c>
      <c r="S265" s="190">
        <f>IFERROR(VLOOKUP(A265,[1]Biogasudbytte!$A$2:$B$18,2,FALSE)*[1]Energiindhold!$C$10,0)*J265*IFERROR(VLOOKUP(A265,Biogasanlæg!$F$3:$G$8,2,FALSE),1)</f>
        <v>0</v>
      </c>
      <c r="T265" s="191">
        <f t="shared" si="64"/>
        <v>2.6922089832898863</v>
      </c>
      <c r="U265" s="189">
        <f>O265*IFERROR(VLOOKUP(A265,[1]Tørstofindhold!A$2:B$24,2,FALSE),0)</f>
        <v>243684.35054859603</v>
      </c>
      <c r="V265" s="190">
        <f>IF(D265=År1,P265,SUM(O265,P265))*IFERROR(VLOOKUP(A265,[1]Tørstofindhold!A$2:B$24,2,FALSE),0)</f>
        <v>243684.35054859603</v>
      </c>
      <c r="W265" s="190">
        <f>J265*IFERROR(VLOOKUP(A265,[1]Tørstofindhold!A$2:B$24,2,FALSE),0)</f>
        <v>0</v>
      </c>
      <c r="X265" s="191">
        <f t="shared" si="65"/>
        <v>243684.35054859603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481732.42010316846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-481732.42010316846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452578.20336624543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384691.4728613086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67886.73050493683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384691.4728613086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0.19472697664766583</v>
      </c>
      <c r="S267" s="190">
        <f>IFERROR(VLOOKUP(A267,[1]Biogasudbytte!$A$2:$B$18,2,FALSE)*[1]Energiindhold!$C$10,0)*J267*IFERROR(VLOOKUP(A267,Biogasanlæg!$F$3:$G$8,2,FALSE),1)</f>
        <v>0.19472697664766583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29236.551937459451</v>
      </c>
      <c r="W267" s="190">
        <f>J267*IFERROR(VLOOKUP(A267,[1]Tørstofindhold!A$2:B$24,2,FALSE),0)</f>
        <v>29236.551937459451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hidden="1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56535.233681691527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94582.816378404299</v>
      </c>
      <c r="H268" s="190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-38047.582696712772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1</v>
      </c>
      <c r="Z268" s="103">
        <f t="shared" si="77"/>
        <v>0</v>
      </c>
    </row>
    <row r="269" spans="1:26" hidden="1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1162586.9095964739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312668.56199513603</v>
      </c>
      <c r="H269" s="190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199670.8224928487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650247.52510848921</v>
      </c>
      <c r="O269" s="193">
        <f t="shared" si="75"/>
        <v>650247.52510848921</v>
      </c>
      <c r="P269" s="203">
        <f t="shared" si="63"/>
        <v>199670.8224928487</v>
      </c>
      <c r="Q269" s="190">
        <f>IFERROR(VLOOKUP(A269,[1]Energiindhold!$A$2:$C$11,3,FALSE),IFERROR(VLOOKUP(A269,[1]Biogasudbytte!$A$2:$B$18,2,FALSE)*[1]Energiindhold!$C$10,0))*O269</f>
        <v>2.3343886151394764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3.0512068678888031</v>
      </c>
      <c r="S269" s="190">
        <f>IFERROR(VLOOKUP(A269,[1]Biogasudbytte!$A$2:$B$18,2,FALSE)*[1]Energiindhold!$C$10,0)*J269*IFERROR(VLOOKUP(A269,Biogasanlæg!$F$3:$G$8,2,FALSE),1)</f>
        <v>0.71681825274932687</v>
      </c>
      <c r="T269" s="191">
        <f t="shared" si="64"/>
        <v>2.3343886151394764</v>
      </c>
      <c r="U269" s="189">
        <f>O269*IFERROR(VLOOKUP(A269,[1]Tørstofindhold!A$2:B$24,2,FALSE),0)</f>
        <v>195074.25753254676</v>
      </c>
      <c r="V269" s="190">
        <f>IF(D269=År1,P269,SUM(O269,P269))*IFERROR(VLOOKUP(A269,[1]Tørstofindhold!A$2:B$24,2,FALSE),0)</f>
        <v>254975.50428040136</v>
      </c>
      <c r="W269" s="190">
        <f>J269*IFERROR(VLOOKUP(A269,[1]Tørstofindhold!A$2:B$24,2,FALSE),0)</f>
        <v>59901.24674785461</v>
      </c>
      <c r="X269" s="191">
        <f t="shared" si="65"/>
        <v>195074.25753254676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109083.65982189869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-319130.36946957966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40541.689725561351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40541.689725561351</v>
      </c>
      <c r="O271" s="193">
        <f t="shared" si="75"/>
        <v>40541.689725561351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3.6386166528691317E-2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3.6386166528691317E-2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3.6386166528691317E-2</v>
      </c>
      <c r="U271" s="189">
        <f>O271*IFERROR(VLOOKUP(A271,[1]Tørstofindhold!A$2:B$24,2,FALSE),0)</f>
        <v>6081.2534588342023</v>
      </c>
      <c r="V271" s="190">
        <f>IF(D271=År1,P271,SUM(O271,P271))*IFERROR(VLOOKUP(A271,[1]Tørstofindhold!A$2:B$24,2,FALSE),0)</f>
        <v>6081.2534588342023</v>
      </c>
      <c r="W271" s="190">
        <f>J271*IFERROR(VLOOKUP(A271,[1]Tørstofindhold!A$2:B$24,2,FALSE),0)</f>
        <v>0</v>
      </c>
      <c r="X271" s="191">
        <f t="shared" si="65"/>
        <v>6081.2534588342023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3652.7817732906901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27206.356861018925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-23553.575087728233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414923.14293457061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414923.14293457061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35429.762263631419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35429.762263631419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35429.762263631419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0.65190762565081795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0.65190762565081795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14703.35133940704</v>
      </c>
      <c r="W274" s="190">
        <f>J274*IFERROR(VLOOKUP(A274,[1]Tørstofindhold!A$2:B$24,2,FALSE),0)</f>
        <v>0</v>
      </c>
      <c r="X274" s="191">
        <f t="shared" si="65"/>
        <v>14703.35133940704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395810.82789538987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395810.82789538987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395810.82789538987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3.5470304619825428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3.5470304619825428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98952.706973847467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98952.706973847467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98952.706973847467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3.2920152000099416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3.2920152000099416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169865.53179855406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169865.53179855406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224792.41017302827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224792.41017302827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hidden="1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112396.20508651414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24643.870355716808</v>
      </c>
      <c r="H279" s="190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87752.334730797331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hidden="1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71933.571255369054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71933.571255369054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71933.571255369054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2.5176749939379168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2.5176749939379168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202279.77798791436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54392.166443596157</v>
      </c>
      <c r="H281" s="190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147887.61154431821</v>
      </c>
      <c r="O281" s="193">
        <f t="shared" si="89"/>
        <v>147887.61154431821</v>
      </c>
      <c r="P281" s="203">
        <f t="shared" si="63"/>
        <v>0</v>
      </c>
      <c r="Q281" s="190">
        <f>IFERROR(VLOOKUP(A281,[1]Energiindhold!$A$2:$C$11,3,FALSE),IFERROR(VLOOKUP(A281,[1]Biogasudbytte!$A$2:$B$18,2,FALSE)*[1]Energiindhold!$C$10,0))*O281</f>
        <v>0.40137289323574138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0.40137289323574138</v>
      </c>
      <c r="S281" s="190">
        <f>IFERROR(VLOOKUP(A281,[1]Biogasudbytte!$A$2:$B$18,2,FALSE)*[1]Energiindhold!$C$10,0)*J281*IFERROR(VLOOKUP(A281,Biogasanlæg!$F$3:$G$8,2,FALSE),1)</f>
        <v>0</v>
      </c>
      <c r="T281" s="191">
        <f t="shared" si="64"/>
        <v>0.40137289323574138</v>
      </c>
      <c r="U281" s="189">
        <f>O281*IFERROR(VLOOKUP(A281,[1]Tørstofindhold!A$2:B$24,2,FALSE),0)</f>
        <v>29577.522308863641</v>
      </c>
      <c r="V281" s="190">
        <f>IF(D281=År1,P281,SUM(O281,P281))*IFERROR(VLOOKUP(A281,[1]Tørstofindhold!A$2:B$24,2,FALSE),0)</f>
        <v>29577.522308863641</v>
      </c>
      <c r="W281" s="190">
        <f>J281*IFERROR(VLOOKUP(A281,[1]Tørstofindhold!A$2:B$24,2,FALSE),0)</f>
        <v>0</v>
      </c>
      <c r="X281" s="191">
        <f t="shared" si="65"/>
        <v>29577.522308863641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10947.489741068959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10947.489741068959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8892.8868915055173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2409.7062024000002</v>
      </c>
      <c r="H283" s="190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6483.1806891055166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3496034.8535429356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2971629.6255114949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524405.22803144064</v>
      </c>
      <c r="O284" s="193">
        <f t="shared" si="89"/>
        <v>524405.22803144064</v>
      </c>
      <c r="P284" s="203">
        <f t="shared" si="94"/>
        <v>2971629.6255114949</v>
      </c>
      <c r="Q284" s="190">
        <f>IFERROR(VLOOKUP(A284,[1]Energiindhold!$A$2:$C$11,3,FALSE),IFERROR(VLOOKUP(A284,[1]Biogasudbytte!$A$2:$B$18,2,FALSE)*[1]Energiindhold!$C$10,0))*O284</f>
        <v>0.26168345283996924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1.7445563522664604</v>
      </c>
      <c r="S284" s="190">
        <f>IFERROR(VLOOKUP(A284,[1]Biogasudbytte!$A$2:$B$18,2,FALSE)*[1]Energiindhold!$C$10,0)*J284*IFERROR(VLOOKUP(A284,Biogasanlæg!$F$3:$G$8,2,FALSE),1)</f>
        <v>1.4828728994264913</v>
      </c>
      <c r="T284" s="191">
        <f t="shared" si="95"/>
        <v>0.26168345283996919</v>
      </c>
      <c r="U284" s="189">
        <f>O284*IFERROR(VLOOKUP(A284,[1]Tørstofindhold!A$2:B$24,2,FALSE),0)</f>
        <v>31464.313681886437</v>
      </c>
      <c r="V284" s="190">
        <f>IF(D284=År1,P284,SUM(O284,P284))*IFERROR(VLOOKUP(A284,[1]Tørstofindhold!A$2:B$24,2,FALSE),0)</f>
        <v>209762.09121257614</v>
      </c>
      <c r="W284" s="190">
        <f>J284*IFERROR(VLOOKUP(A284,[1]Tørstofindhold!A$2:B$24,2,FALSE),0)</f>
        <v>178297.77753068969</v>
      </c>
      <c r="X284" s="191">
        <f t="shared" si="96"/>
        <v>31464.313681886444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1045598.7208186348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888758.91269583965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156839.80812279525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888758.91269583965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0.38287733958936776</v>
      </c>
      <c r="S285" s="190">
        <f>IFERROR(VLOOKUP(A285,[1]Biogasudbytte!$A$2:$B$18,2,FALSE)*[1]Energiindhold!$C$10,0)*J285*IFERROR(VLOOKUP(A285,Biogasanlæg!$F$3:$G$8,2,FALSE),1)</f>
        <v>0.38287733958936776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44437.945634791984</v>
      </c>
      <c r="W285" s="190">
        <f>J285*IFERROR(VLOOKUP(A285,[1]Tørstofindhold!A$2:B$24,2,FALSE),0)</f>
        <v>44437.945634791984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97091.997795525866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55237.148778432362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41854.849017093504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3375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609.07096108455892</v>
      </c>
      <c r="H287" s="190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2765.9290389154412</v>
      </c>
      <c r="O287" s="193">
        <f t="shared" si="89"/>
        <v>2765.9290389154412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2.4824213124266087E-3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2.4824213124266087E-3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2.4824213124266087E-3</v>
      </c>
      <c r="U287" s="189">
        <f>O287*IFERROR(VLOOKUP(A287,[1]Tørstofindhold!A$2:B$24,2,FALSE),0)</f>
        <v>414.88935583731615</v>
      </c>
      <c r="V287" s="190">
        <f>IF(D287=År1,P287,SUM(O287,P287))*IFERROR(VLOOKUP(A287,[1]Tørstofindhold!A$2:B$24,2,FALSE),0)</f>
        <v>414.88935583731615</v>
      </c>
      <c r="W287" s="190">
        <f>J287*IFERROR(VLOOKUP(A287,[1]Tørstofindhold!A$2:B$24,2,FALSE),0)</f>
        <v>0</v>
      </c>
      <c r="X287" s="191">
        <f t="shared" si="96"/>
        <v>414.88935583731615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620759.09234547918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620759.09234547918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620759.09234547918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8.9970146756919522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8.9970146756919522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307017.10108920158</v>
      </c>
      <c r="W289" s="190">
        <f>J289*IFERROR(VLOOKUP(A289,[1]Tørstofindhold!A$2:B$24,2,FALSE),0)</f>
        <v>0</v>
      </c>
      <c r="X289" s="191">
        <f t="shared" si="96"/>
        <v>307017.10108920158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173632.27177601412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173632.27177601412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>
    <filterColumn colId="0">
      <filters>
        <filter val="Halm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R19" sqref="R19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7" t="s">
        <v>23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3" t="s">
        <v>7</v>
      </c>
      <c r="D3" s="374"/>
      <c r="E3" s="374"/>
      <c r="F3" s="374"/>
      <c r="G3" s="374"/>
      <c r="H3" s="374"/>
      <c r="I3" s="374"/>
      <c r="J3" s="374"/>
      <c r="K3" s="375"/>
      <c r="L3" s="373" t="s">
        <v>8</v>
      </c>
      <c r="M3" s="374"/>
      <c r="N3" s="374"/>
      <c r="O3" s="374"/>
      <c r="P3" s="374"/>
      <c r="Q3" s="374"/>
      <c r="R3" s="374"/>
      <c r="S3" s="374"/>
      <c r="T3" s="375"/>
      <c r="U3" s="71"/>
      <c r="W3" s="31" t="s">
        <v>281</v>
      </c>
      <c r="X3" s="35">
        <f>C24+C51</f>
        <v>11808068</v>
      </c>
      <c r="Y3" s="11">
        <f>D24+D51</f>
        <v>11613981.348523566</v>
      </c>
      <c r="Z3" s="23">
        <f>E24+E51</f>
        <v>6343027.2216558158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624279.37582031451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783048.2936403082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17988.68709801232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0.29674680641973877</v>
      </c>
      <c r="I6" s="11">
        <f>IF(Landbrug!$E$47&gt;0,SUMIF(Landbrug!$B$32:$B$45,$B6,IF($I$4=År2,Landbrug!$D$32:$D$45,Landbrug!$E$32:$E$45)),'[1]Afgrødefordeling - jordtype'!$G4)*(1-Landbrug!$E$5)*Arealanvendelse!P$26</f>
        <v>456814.61907104118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0.43582889538516162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0.28302441074714974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122209.84929646429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2807.4829574932523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4.6313085394988143E-2</v>
      </c>
      <c r="R6" s="11">
        <f>IF(Landbrug!$E$47&gt;0,SUMIF(Landbrug!$B$32:$B$45,$B6,IF($R$4=År2,Landbrug!$D$32:$D$45,Landbrug!$E$32:$E$45)),'[1]Afgrødefordeling - jordtype'!$G4)*(Landbrug!$E$5)*Arealanvendelse!P$26</f>
        <v>96900.070712039029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9.2448553566549435E-2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6.0035481067577209E-2</v>
      </c>
      <c r="U6" s="94"/>
      <c r="W6" s="31" t="s">
        <v>284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584743.27834418393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91089.291301015444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1542.0658644465243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1.7086450333499009E-2</v>
      </c>
      <c r="I7" s="11">
        <f>IF(Landbrug!$E$47&gt;0,SUMIF(Landbrug!$B$32:$B$45,$B7,IF($I$4=År2,Landbrug!$D$32:$D$45,Landbrug!$E$32:$E$45)),'[1]Afgrødefordeling - jordtype'!$G5)*(1-Landbrug!$E$5)*Arealanvendelse!P$26</f>
        <v>117629.7644107931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3.7361084700125495E-2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1.6296325462585758E-2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14216.247775302989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240.66923895986218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2.6666714393322154E-3</v>
      </c>
      <c r="R7" s="11">
        <f>IF(Landbrug!$E$47&gt;0,SUMIF(Landbrug!$B$32:$B$45,$B7,IF($R$4=År2,Landbrug!$D$32:$D$45,Landbrug!$E$32:$E$45)),'[1]Afgrødefordeling - jordtype'!$G5)*(Landbrug!$E$5)*Arealanvendelse!P$26</f>
        <v>24951.768208350051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7.9250785727538933E-3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3.4567963102454641E-3</v>
      </c>
      <c r="U7" s="94"/>
      <c r="W7" s="31" t="s">
        <v>285</v>
      </c>
      <c r="X7" s="34">
        <f t="shared" si="1"/>
        <v>224348</v>
      </c>
      <c r="Y7" s="11">
        <f t="shared" si="1"/>
        <v>258472.75425735323</v>
      </c>
      <c r="Z7" s="23">
        <f t="shared" si="1"/>
        <v>170920.62417968543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134236.85033833855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1651.2179103063932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2.2126179468366147E-2</v>
      </c>
      <c r="I8" s="11">
        <f>IF(Landbrug!$E$47&gt;0,SUMIF(Landbrug!$B$32:$B$45,$B8,IF($I$4=År2,Landbrug!$D$32:$D$45,Landbrug!$E$32:$E$45)),'[1]Afgrødefordeling - jordtype'!$G6)*(1-Landbrug!$E$5)*Arealanvendelse!P$26</f>
        <v>117629.7644107931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4.0005614304589723E-2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2.1103003539193144E-2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20950.259879393881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257.704529354177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3.4532187609588785E-3</v>
      </c>
      <c r="R8" s="11">
        <f>IF(Landbrug!$E$47&gt;0,SUMIF(Landbrug!$B$32:$B$45,$B8,IF($R$4=År2,Landbrug!$D$32:$D$45,Landbrug!$E$32:$E$45)),'[1]Afgrødefordeling - jordtype'!$G6)*(Landbrug!$E$5)*Arealanvendelse!P$26</f>
        <v>24951.768208350051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8.4860393979432746E-3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4.4763946901318786E-3</v>
      </c>
      <c r="U8" s="94"/>
      <c r="W8" s="46" t="s">
        <v>286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175786.35163353858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15238.021720870902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0.51029954485989426</v>
      </c>
      <c r="I9" s="11">
        <f>IF(Landbrug!$E$47&gt;0,SUMIF(Landbrug!$B$32:$B$45,$B9,IF($I$4=År2,Landbrug!$D$32:$D$45,Landbrug!$E$32:$E$45)),'[1]Afgrødefordeling - jordtype'!$G7)*(1-Landbrug!$E$5)*Arealanvendelse!P$26</f>
        <v>97073.106552596262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0.36918592992793164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0.48670187804556381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27434.864127777699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2378.1883610607765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7.9642125498364996E-2</v>
      </c>
      <c r="R9" s="11">
        <f>IF(Landbrug!$E$47&gt;0,SUMIF(Landbrug!$B$32:$B$45,$B9,IF($R$4=År2,Landbrug!$D$32:$D$45,Landbrug!$E$32:$E$45)),'[1]Afgrødefordeling - jordtype'!$G7)*(Landbrug!$E$5)*Arealanvendelse!P$26</f>
        <v>20591.265026308294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7.8312166954409748E-2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0.10323979231269535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31961.154842461558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71.268800751408534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5.9312754358377721E-4</v>
      </c>
      <c r="I10" s="11">
        <f>IF(Landbrug!$E$47&gt;0,SUMIF(Landbrug!$B$32:$B$45,$B10,IF($I$4=År2,Landbrug!$D$32:$D$45,Landbrug!$E$32:$E$45)),'[1]Afgrødefordeling - jordtype'!$G8)*(1-Landbrug!$E$5)*Arealanvendelse!P$26</f>
        <v>45681.461907104116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1.7266964808312041E-3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5.6569968029666602E-4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4988.1571141413997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11.122876417849888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9.2569038593999904E-5</v>
      </c>
      <c r="R10" s="11">
        <f>IF(Landbrug!$E$47&gt;0,SUMIF(Landbrug!$B$32:$B$45,$B10,IF($R$4=År2,Landbrug!$D$32:$D$45,Landbrug!$E$32:$E$45)),'[1]Afgrødefordeling - jordtype'!$G8)*(Landbrug!$E$5)*Arealanvendelse!P$26</f>
        <v>9690.0070712039033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3.6626895047934632E-4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1.1999690188111097E-4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34993.123831602948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1125.1496418632635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3.1394414813143305E-2</v>
      </c>
      <c r="I11" s="11">
        <f>IF(Landbrug!$E$47&gt;0,SUMIF(Landbrug!$B$32:$B$45,$B11,IF($I$4=År2,Landbrug!$D$32:$D$45,Landbrug!$E$32:$E$45)),'[1]Afgrødefordeling - jordtype'!$G9)*(1-Landbrug!$E$5)*Arealanvendelse!P$26</f>
        <v>34261.096430328085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2.7260061998102159E-2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2.9942649966292749E-2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5461.3545864351427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175.60138919253245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4.8997063581206323E-3</v>
      </c>
      <c r="R11" s="11">
        <f>IF(Landbrug!$E$47&gt;0,SUMIF(Landbrug!$B$32:$B$45,$B11,IF($R$4=År2,Landbrug!$D$32:$D$45,Landbrug!$E$32:$E$45)),'[1]Afgrødefordeling - jordtype'!$G9)*(Landbrug!$E$5)*Arealanvendelse!P$26</f>
        <v>7267.505303402927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5.7824373935368217E-3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6.3514712049711885E-3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15980.577421230779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29.518660249897398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3.3950117003646611E-4</v>
      </c>
      <c r="I12" s="11">
        <f>IF(Landbrug!$E$47&gt;0,SUMIF(Landbrug!$B$32:$B$45,$B12,IF($I$4=År2,Landbrug!$D$32:$D$45,Landbrug!$E$32:$E$45)),'[1]Afgrødefordeling - jordtype'!$G10)*(1-Landbrug!$E$5)*Arealanvendelse!P$26</f>
        <v>5710.1827383880145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7.1517643393687155E-4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3.2380169396541565E-4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2494.0785570706998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4.6069585361111542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5.2985731739795291E-5</v>
      </c>
      <c r="R12" s="11">
        <f>IF(Landbrug!$E$47&gt;0,SUMIF(Landbrug!$B$32:$B$45,$B12,IF($R$4=År2,Landbrug!$D$32:$D$45,Landbrug!$E$32:$E$45)),'[1]Afgrødefordeling - jordtype'!$G10)*(Landbrug!$E$5)*Arealanvendelse!P$26</f>
        <v>1211.2508839004879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1.5170409204721518E-4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6.8685207810845745E-5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87893.17581676929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3810.4154462517859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4.2220294070089238E-2</v>
      </c>
      <c r="I13" s="11">
        <f>IF(Landbrug!$E$47&gt;0,SUMIF(Landbrug!$B$32:$B$45,$B13,IF($I$4=År2,Landbrug!$D$32:$D$45,Landbrug!$E$32:$E$45)),'[1]Afgrødefordeling - jordtype'!$G11)*(1-Landbrug!$E$5)*Arealanvendelse!P$26</f>
        <v>57101.827383880147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9.2318530299077425E-2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4.0267910529275863E-2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13717.432063888849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594.6891158890071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6.5892944502451414E-3</v>
      </c>
      <c r="R13" s="11">
        <f>IF(Landbrug!$E$47&gt;0,SUMIF(Landbrug!$B$32:$B$45,$B13,IF($R$4=År2,Landbrug!$D$32:$D$45,Landbrug!$E$32:$E$45)),'[1]Afgrødefordeling - jordtype'!$G11)*(Landbrug!$E$5)*Arealanvendelse!P$26</f>
        <v>12112.508839004879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1.9582718548289149E-2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8.5416779910585158E-3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3244.3630460041513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64.91370276951497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1.2099053290264164E-3</v>
      </c>
      <c r="I14" s="11">
        <f>IF(Landbrug!$E$47&gt;0,SUMIF(Landbrug!$B$32:$B$45,$B14,IF($I$4=År2,Landbrug!$D$32:$D$45,Landbrug!$E$32:$E$45)),'[1]Afgrødefordeling - jordtype'!$G12)*(1-Landbrug!$E$5)*Arealanvendelse!P$26</f>
        <v>11420.365476776029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1.5727255257291396E-3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1.1539559496494725E-3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506.34567770006993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10.131040316629504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1.8882915539718639E-4</v>
      </c>
      <c r="R14" s="11">
        <f>IF(Landbrug!$E$47&gt;0,SUMIF(Landbrug!$B$32:$B$45,$B14,IF($R$4=År2,Landbrug!$D$32:$D$45,Landbrug!$E$32:$E$45)),'[1]Afgrødefordeling - jordtype'!$G12)*(Landbrug!$E$5)*Arealanvendelse!P$26</f>
        <v>2422.5017678009758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3.3360844485163561E-4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2.4477853477413049E-4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44695.549979761847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1148.0573462747577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2.1398266344745977E-2</v>
      </c>
      <c r="I15" s="11">
        <f>IF(Landbrug!$E$47&gt;0,SUMIF(Landbrug!$B$32:$B$45,$B15,IF($I$4=År2,Landbrug!$D$32:$D$45,Landbrug!$E$32:$E$45)),'[1]Afgrødefordeling - jordtype'!$G13)*(1-Landbrug!$E$5)*Arealanvendelse!P$26</f>
        <v>31941.243579612597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2.7815068567234969E-2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2.040875113805252E-2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6975.6060662056061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179.17658005444198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3.3396138225904128E-3</v>
      </c>
      <c r="R15" s="11">
        <f>IF(Landbrug!$E$47&gt;0,SUMIF(Landbrug!$B$32:$B$45,$B15,IF($R$4=År2,Landbrug!$D$32:$D$45,Landbrug!$E$32:$E$45)),'[1]Afgrødefordeling - jordtype'!$G13)*(Landbrug!$E$5)*Arealanvendelse!P$26</f>
        <v>6775.4153047663094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5.9001660597165087E-3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4.329129029283868E-3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64554.033593888656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2833.7440917610315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6.8082129291564208E-2</v>
      </c>
      <c r="I16" s="11">
        <f>IF(Landbrug!$E$47&gt;0,SUMIF(Landbrug!$B$32:$B$45,$B16,IF($I$4=År2,Landbrug!$D$32:$D$45,Landbrug!$E$32:$E$45)),'[1]Afgrødefordeling - jordtype'!$G14)*(1-Landbrug!$E$5)*Arealanvendelse!P$26</f>
        <v>46132.91730390468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6.8655791864482674E-2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6.4933822734728863E-2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10074.906977080887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442.26063859854253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1.0625534629319271E-2</v>
      </c>
      <c r="R16" s="11">
        <f>IF(Landbrug!$E$47&gt;0,SUMIF(Landbrug!$B$32:$B$45,$B16,IF($R$4=År2,Landbrug!$D$32:$D$45,Landbrug!$E$32:$E$45)),'[1]Afgrødefordeling - jordtype'!$G14)*(Landbrug!$E$5)*Arealanvendelse!P$26</f>
        <v>9785.7703371919033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1.4563349789435716E-2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1.3773841186154611E-2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12124.360174796873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325.57753513414758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6.0683334637179846E-3</v>
      </c>
      <c r="I17" s="11">
        <f>IF(Landbrug!$E$47&gt;0,SUMIF(Landbrug!$B$32:$B$45,$B17,IF($I$4=År2,Landbrug!$D$32:$D$45,Landbrug!$E$32:$E$45)),'[1]Afgrødefordeling - jordtype'!$G15)*(1-Landbrug!$E$5)*Arealanvendelse!P$26</f>
        <v>8664.5570255986549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7.888074139408327E-3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5.7877168873610831E-3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1892.2411833498013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50.812678893768705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9.4708094520454093E-4</v>
      </c>
      <c r="R17" s="11">
        <f>IF(Landbrug!$E$47&gt;0,SUMIF(Landbrug!$B$32:$B$45,$B17,IF($R$4=År2,Landbrug!$D$32:$D$45,Landbrug!$E$32:$E$45)),'[1]Afgrødefordeling - jordtype'!$G15)*(Landbrug!$E$5)*Arealanvendelse!P$26</f>
        <v>1837.9363387633509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1.6732278477532812E-3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1.2276975215614421E-3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4662.3486122180857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534.71836671684468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1.4324445842879414E-2</v>
      </c>
      <c r="I18" s="11">
        <f>IF(Landbrug!$E$47&gt;0,SUMIF(Landbrug!$B$32:$B$45,$B18,IF($I$4=År2,Landbrug!$D$32:$D$45,Landbrug!$E$32:$E$45)),'[1]Afgrødefordeling - jordtype'!$G16)*(1-Landbrug!$E$5)*Arealanvendelse!P$26</f>
        <v>3331.9024543463102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1.2955126399086169E-2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1.3662043722977473E-2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727.64978340975915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83.453155499160744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2.2356071546690416E-3</v>
      </c>
      <c r="R18" s="11">
        <f>IF(Landbrug!$E$47&gt;0,SUMIF(Landbrug!$B$32:$B$45,$B18,IF($R$4=År2,Landbrug!$D$32:$D$45,Landbrug!$E$32:$E$45)),'[1]Afgrødefordeling - jordtype'!$G16)*(Landbrug!$E$5)*Arealanvendelse!P$26</f>
        <v>706.76718728558092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2.7480571149576727E-3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2.8980092745709792E-3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113099.08030756452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15113.849399235503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0.52979341323357754</v>
      </c>
      <c r="I19" s="11">
        <f>IF(Landbrug!$E$47&gt;0,SUMIF(Landbrug!$B$32:$B$45,$B19,IF($I$4=År2,Landbrug!$D$32:$D$45,Landbrug!$E$32:$E$45)),'[1]Afgrødefordeling - jordtype'!$G17)*(1-Landbrug!$E$5)*Arealanvendelse!P$26</f>
        <v>108493.47202937228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0.36617748993000948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0.50529429585861441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17651.301550891574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2358.8088657766393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8.2684521140500539E-2</v>
      </c>
      <c r="R19" s="11">
        <f>IF(Landbrug!$E$47&gt;0,SUMIF(Landbrug!$B$32:$B$45,$B19,IF($R$4=År2,Landbrug!$D$32:$D$45,Landbrug!$E$32:$E$45)),'[1]Afgrødefordeling - jordtype'!$G17)*(Landbrug!$E$5)*Arealanvendelse!P$26</f>
        <v>23013.766794109266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7.7674013015456553E-2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0.10718363851546366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1597368.5545394993</v>
      </c>
      <c r="G20" s="38">
        <f t="shared" si="2"/>
        <v>61477.205584644296</v>
      </c>
      <c r="H20" s="38">
        <f t="shared" si="2"/>
        <v>1.5616828121838626</v>
      </c>
      <c r="I20" s="38">
        <f t="shared" si="2"/>
        <v>1141886.2807745344</v>
      </c>
      <c r="J20" s="38">
        <f t="shared" si="2"/>
        <v>1.489466265955707</v>
      </c>
      <c r="K20" s="39">
        <f t="shared" si="2"/>
        <v>1.489466265955707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249300.2946391126</v>
      </c>
      <c r="P20" s="38">
        <f t="shared" si="2"/>
        <v>9594.708386042752</v>
      </c>
      <c r="Q20" s="38">
        <f t="shared" si="2"/>
        <v>0.24373084352002478</v>
      </c>
      <c r="R20" s="38">
        <f t="shared" si="2"/>
        <v>242218.30198247702</v>
      </c>
      <c r="S20" s="38">
        <f t="shared" si="2"/>
        <v>0.31594738974818026</v>
      </c>
      <c r="T20" s="39">
        <f t="shared" si="2"/>
        <v>0.31594738974818021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3" t="s">
        <v>7</v>
      </c>
      <c r="D22" s="374"/>
      <c r="E22" s="375"/>
      <c r="F22" s="379" t="s">
        <v>8</v>
      </c>
      <c r="G22" s="374"/>
      <c r="H22" s="37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4825776.8190355003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545444.68096449983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548590.27160400525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147641.72839599467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0" t="s">
        <v>24</v>
      </c>
      <c r="B29" s="371"/>
      <c r="C29" s="371"/>
      <c r="D29" s="371"/>
      <c r="E29" s="371"/>
      <c r="F29" s="371"/>
      <c r="G29" s="371"/>
      <c r="H29" s="371"/>
      <c r="I29" s="371"/>
      <c r="J29" s="371"/>
      <c r="K29" s="371"/>
      <c r="L29" s="371"/>
      <c r="M29" s="371"/>
      <c r="N29" s="371"/>
      <c r="O29" s="371"/>
      <c r="P29" s="371"/>
      <c r="Q29" s="371"/>
      <c r="R29" s="371"/>
      <c r="S29" s="371"/>
      <c r="T29" s="371"/>
      <c r="U29" s="372"/>
    </row>
    <row r="30" spans="1:21" x14ac:dyDescent="0.25">
      <c r="A30" s="56"/>
      <c r="B30" s="53"/>
      <c r="C30" s="376" t="s">
        <v>7</v>
      </c>
      <c r="D30" s="377"/>
      <c r="E30" s="377"/>
      <c r="F30" s="377"/>
      <c r="G30" s="377"/>
      <c r="H30" s="377"/>
      <c r="I30" s="377"/>
      <c r="J30" s="377"/>
      <c r="K30" s="378"/>
      <c r="L30" s="376" t="s">
        <v>8</v>
      </c>
      <c r="M30" s="377"/>
      <c r="N30" s="377"/>
      <c r="O30" s="377"/>
      <c r="P30" s="377"/>
      <c r="Q30" s="377"/>
      <c r="R30" s="377"/>
      <c r="S30" s="377"/>
      <c r="T30" s="378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234037.42495969174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2543.5266161074505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4.5754933628917617E-2</v>
      </c>
      <c r="I33" s="11">
        <f>IF(Landbrug!$E$47&gt;0,SUMIF(Landbrug!$B$32:$B$45,$B33,IF($I$31=År2,Landbrug!$D$32:$D$45,Landbrug!$E$32:$E$45)),'[1]Afgrødefordeling - jordtype'!$P4)*(1-Landbrug!$E$5)*Arealanvendelse!P$36</f>
        <v>165742.2609289588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6.1624419250252083E-2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4.3639098547811596E-2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36526.072103535706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396.96658170463104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7.1409433987328075E-3</v>
      </c>
      <c r="R33" s="11">
        <f>IF(Landbrug!$E$47&gt;0,SUMIF(Landbrug!$B$32:$B$45,$B33,IF($R$31=År2,Landbrug!$D$32:$D$45,Landbrug!$E$32:$E$45)),'[1]Afgrødefordeling - jordtype'!$P4)*(Landbrug!$E$5)*Arealanvendelse!P$36</f>
        <v>35157.449287960953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1.3071846507629228E-2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9.2567784798388234E-3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27224.761678984549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68.781025480452769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8.3106047603679744E-4</v>
      </c>
      <c r="I34" s="11">
        <f>IF(Landbrug!$E$47&gt;0,SUMIF(Landbrug!$B$32:$B$45,$B34,IF($I$31=År2,Landbrug!$D$32:$D$45,Landbrug!$E$32:$E$45)),'[1]Afgrødefordeling - jordtype'!$P5)*(1-Landbrug!$E$5)*Arealanvendelse!P$36</f>
        <v>42678.632189206888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1.6664228020370887E-3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7.9262993379232123E-4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4248.9512446970111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10.734610913134247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1.2970308007510711E-4</v>
      </c>
      <c r="R34" s="11">
        <f>IF(Landbrug!$E$47&gt;0,SUMIF(Landbrug!$B$32:$B$45,$B34,IF($R$31=År2,Landbrug!$D$32:$D$45,Landbrug!$E$32:$E$45)),'[1]Afgrødefordeling - jordtype'!$P5)*(Landbrug!$E$5)*Arealanvendelse!P$36</f>
        <v>9053.0431916499456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3.5348362467453397E-4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1.6813362231958326E-4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40120.701421661441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277.81730642917057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4.0595359645178462E-3</v>
      </c>
      <c r="I35" s="11">
        <f>IF(Landbrug!$E$47&gt;0,SUMIF(Landbrug!$B$32:$B$45,$B35,IF($I$31=År2,Landbrug!$D$32:$D$45,Landbrug!$E$32:$E$45)),'[1]Afgrødefordeling - jordtype'!$P6)*(1-Landbrug!$E$5)*Arealanvendelse!P$36</f>
        <v>42678.632189206888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6.7309420148972078E-3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3.8718117580661539E-3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6261.6123606061219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43.358770367558421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6.3356919677446158E-4</v>
      </c>
      <c r="R35" s="11">
        <f>IF(Landbrug!$E$47&gt;0,SUMIF(Landbrug!$B$32:$B$45,$B35,IF($R$31=År2,Landbrug!$D$32:$D$45,Landbrug!$E$32:$E$45)),'[1]Afgrødefordeling - jordtype'!$P6)*(Landbrug!$E$5)*Arealanvendelse!P$36</f>
        <v>9053.0431916499456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1.4277755789175895E-3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8.2129340322615392E-4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52539.013766461409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816.89928733229783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2.9831848636857054E-2</v>
      </c>
      <c r="I36" s="11">
        <f>IF(Landbrug!$E$47&gt;0,SUMIF(Landbrug!$B$32:$B$45,$B36,IF($I$31=År2,Landbrug!$D$32:$D$45,Landbrug!$E$32:$E$45)),'[1]Afgrødefordeling - jordtype'!$P7)*(1-Landbrug!$E$5)*Arealanvendelse!P$36</f>
        <v>35220.230447403745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1.9791789812224642E-2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2.8452341185441699E-2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8199.7304722223016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127.4929523582199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4.6558376485268237E-3</v>
      </c>
      <c r="R36" s="11">
        <f>IF(Landbrug!$E$47&gt;0,SUMIF(Landbrug!$B$32:$B$45,$B36,IF($R$31=År2,Landbrug!$D$32:$D$45,Landbrug!$E$32:$E$45)),'[1]Afgrødefordeling - jordtype'!$P7)*(Landbrug!$E$5)*Arealanvendelse!P$36</f>
        <v>7470.957973691703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4.1982584450173483E-3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6.0353450999421779E-3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9552.5479575384379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15.471187824817051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1.4040654632499296E-4</v>
      </c>
      <c r="I37" s="11">
        <f>IF(Landbrug!$E$47&gt;0,SUMIF(Landbrug!$B$32:$B$45,$B37,IF($I$31=År2,Landbrug!$D$32:$D$45,Landbrug!$E$32:$E$45)),'[1]Afgrødefordeling - jordtype'!$P8)*(1-Landbrug!$E$5)*Arealanvendelse!P$36</f>
        <v>16574.226092895879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3.7483506513290803E-4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1.3391375805562911E-4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1490.8600858586003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2.4145784466477478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2.1913160409102947E-5</v>
      </c>
      <c r="R37" s="11">
        <f>IF(Landbrug!$E$47&gt;0,SUMIF(Landbrug!$B$32:$B$45,$B37,IF($R$31=År2,Landbrug!$D$32:$D$45,Landbrug!$E$32:$E$45)),'[1]Afgrødefordeling - jordtype'!$P8)*(Landbrug!$E$5)*Arealanvendelse!P$36</f>
        <v>3515.7449287960953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7.9510468361525957E-5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2.8405948678466784E-5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10458.742659116117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26.302435262527187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8.0030056464171814E-4</v>
      </c>
      <c r="I38" s="11">
        <f>IF(Landbrug!$E$47&gt;0,SUMIF(Landbrug!$B$32:$B$45,$B38,IF($I$31=År2,Landbrug!$D$32:$D$45,Landbrug!$E$32:$E$45)),'[1]Afgrødefordeling - jordtype'!$P9)*(1-Landbrug!$E$5)*Arealanvendelse!P$36</f>
        <v>12430.669569671909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6.37253916533074E-4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7.6329244604556935E-4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1632.289316740666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4.1050043473308326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1.2490240026200229E-4</v>
      </c>
      <c r="R38" s="11">
        <f>IF(Landbrug!$E$47&gt;0,SUMIF(Landbrug!$B$32:$B$45,$B38,IF($R$31=År2,Landbrug!$D$32:$D$45,Landbrug!$E$32:$E$45)),'[1]Afgrødefordeling - jordtype'!$P9)*(Landbrug!$E$5)*Arealanvendelse!P$36</f>
        <v>2636.8086965970715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1.351750732039854E-4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1.6191051885815108E-4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4776.273978769219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73.48347036613049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9.2161460426674424E-4</v>
      </c>
      <c r="I39" s="11">
        <f>IF(Landbrug!$E$47&gt;0,SUMIF(Landbrug!$B$32:$B$45,$B39,IF($I$31=År2,Landbrug!$D$32:$D$45,Landbrug!$E$32:$E$45)),'[1]Afgrødefordeling - jordtype'!$P10)*(1-Landbrug!$E$5)*Arealanvendelse!P$36</f>
        <v>2071.7782616119848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1.7803533712322671E-3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8.7899658788446707E-4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745.43004292930016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11.468518496448112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1.4383580529018554E-4</v>
      </c>
      <c r="R39" s="11">
        <f>IF(Landbrug!$E$47&gt;0,SUMIF(Landbrug!$B$32:$B$45,$B39,IF($R$31=År2,Landbrug!$D$32:$D$45,Landbrug!$E$32:$E$45)),'[1]Afgrødefordeling - jordtype'!$P10)*(Landbrug!$E$5)*Arealanvendelse!P$36</f>
        <v>439.46811609951192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3.7765071510987484E-4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1.8645382167246271E-4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26269.506883230704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78.344719162303662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9.466157148310761E-4</v>
      </c>
      <c r="I40" s="11">
        <f>IF(Landbrug!$E$47&gt;0,SUMIF(Landbrug!$B$32:$B$45,$B40,IF($I$31=År2,Landbrug!$D$32:$D$45,Landbrug!$E$32:$E$45)),'[1]Afgrødefordeling - jordtype'!$P11)*(1-Landbrug!$E$5)*Arealanvendelse!P$36</f>
        <v>20717.78261611985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1.8981314326050301E-3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9.0284157772906114E-4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4099.8652361111508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12.227210505099418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1.4773771271930092E-4</v>
      </c>
      <c r="R40" s="11">
        <f>IF(Landbrug!$E$47&gt;0,SUMIF(Landbrug!$B$32:$B$45,$B40,IF($R$31=År2,Landbrug!$D$32:$D$45,Landbrug!$E$32:$E$45)),'[1]Afgrødefordeling - jordtype'!$P11)*(Landbrug!$E$5)*Arealanvendelse!P$36</f>
        <v>4394.6811609951192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4.0263394024955173E-4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1.9151184982131597E-4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969.67502399025432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16.900566419398675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3.4350362462884858E-4</v>
      </c>
      <c r="I41" s="11">
        <f>IF(Landbrug!$E$47&gt;0,SUMIF(Landbrug!$B$32:$B$45,$B41,IF($I$31=År2,Landbrug!$D$32:$D$45,Landbrug!$E$32:$E$45)),'[1]Afgrødefordeling - jordtype'!$P12)*(1-Landbrug!$E$5)*Arealanvendelse!P$36</f>
        <v>4143.5565232239696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4.094659690212412E-4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3.2761906395237006E-4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151.33656443778534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2.6376606550506607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5.36103922831151E-5</v>
      </c>
      <c r="R41" s="11">
        <f>IF(Landbrug!$E$47&gt;0,SUMIF(Landbrug!$B$32:$B$45,$B41,IF($R$31=År2,Landbrug!$D$32:$D$45,Landbrug!$E$32:$E$45)),'[1]Afgrødefordeling - jordtype'!$P12)*(Landbrug!$E$5)*Arealanvendelse!P$36</f>
        <v>878.93623219902383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8.6856417671172357E-5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6.9494952959593638E-5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13358.60317859992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120.67824120695344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2.452782483126852E-3</v>
      </c>
      <c r="I42" s="11">
        <f>IF(Landbrug!$E$47&gt;0,SUMIF(Landbrug!$B$32:$B$45,$B42,IF($I$31=År2,Landbrug!$D$32:$D$45,Landbrug!$E$32:$E$45)),'[1]Afgrødefordeling - jordtype'!$P13)*(1-Landbrug!$E$5)*Arealanvendelse!P$36</f>
        <v>11588.976593028619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2.9237856145973122E-3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2.3393590156990207E-3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2084.8687041745543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18.834176373339556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3.8280420256893069E-4</v>
      </c>
      <c r="R42" s="11">
        <f>IF(Landbrug!$E$47&gt;0,SUMIF(Landbrug!$B$32:$B$45,$B42,IF($R$31=År2,Landbrug!$D$32:$D$45,Landbrug!$E$32:$E$45)),'[1]Afgrødefordeling - jordtype'!$P13)*(Landbrug!$E$5)*Arealanvendelse!P$36</f>
        <v>2458.2677621575858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6.2019694855094509E-4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4.9622766999676197E-4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19293.905517422652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876.11830838913772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2.2953573895167008E-2</v>
      </c>
      <c r="I43" s="11">
        <f>IF(Landbrug!$E$47&gt;0,SUMIF(Landbrug!$B$32:$B$45,$B43,IF($I$31=År2,Landbrug!$D$32:$D$45,Landbrug!$E$32:$E$45)),'[1]Afgrødefordeling - jordtype'!$P14)*(1-Landbrug!$E$5)*Arealanvendelse!P$36</f>
        <v>16738.023911640095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2.1226544910947009E-2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2.1892136952037899E-2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3011.1875663029573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136.73522732084808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3.5823496830607472E-3</v>
      </c>
      <c r="R43" s="11">
        <f>IF(Landbrug!$E$47&gt;0,SUMIF(Landbrug!$B$32:$B$45,$B43,IF($R$31=År2,Landbrug!$D$32:$D$45,Landbrug!$E$32:$E$45)),'[1]Afgrødefordeling - jordtype'!$P14)*(Landbrug!$E$5)*Arealanvendelse!P$36</f>
        <v>3550.4899206509294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4.5026004356554256E-3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4.6437866261898574E-3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3623.7280096758932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26.483091404220694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5.3826822503920445E-4</v>
      </c>
      <c r="I44" s="11">
        <f>IF(Landbrug!$E$47&gt;0,SUMIF(Landbrug!$B$32:$B$45,$B44,IF($I$31=År2,Landbrug!$D$32:$D$45,Landbrug!$E$32:$E$45)),'[1]Afgrødefordeling - jordtype'!$P15)*(1-Landbrug!$E$5)*Arealanvendelse!P$36</f>
        <v>3143.6893904380149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6.4163084333437122E-4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5.1337720885242047E-4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565.55292636560182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4.1331992364968713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8.4007179630396072E-5</v>
      </c>
      <c r="R44" s="11">
        <f>IF(Landbrug!$E$47&gt;0,SUMIF(Landbrug!$B$32:$B$45,$B44,IF($R$31=År2,Landbrug!$D$32:$D$45,Landbrug!$E$32:$E$45)),'[1]Afgrødefordeling - jordtype'!$P15)*(Landbrug!$E$5)*Arealanvendelse!P$36</f>
        <v>666.84320403230618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1.3610351222244238E-4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1.0889819581718008E-4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1393.4824612096497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56.207011126951372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1.6419437573988649E-3</v>
      </c>
      <c r="I45" s="11">
        <f>IF(Landbrug!$E$47&gt;0,SUMIF(Landbrug!$B$32:$B$45,$B45,IF($I$31=År2,Landbrug!$D$32:$D$45,Landbrug!$E$32:$E$45)),'[1]Afgrødefordeling - jordtype'!$P16)*(1-Landbrug!$E$5)*Arealanvendelse!P$36</f>
        <v>1208.8865437387055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1.3617802921958929E-3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1.56601572237464E-3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217.47992169167946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8.7721924880213127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2.5625711820675929E-4</v>
      </c>
      <c r="R45" s="11">
        <f>IF(Landbrug!$E$47&gt;0,SUMIF(Landbrug!$B$32:$B$45,$B45,IF($R$31=År2,Landbrug!$D$32:$D$45,Landbrug!$E$32:$E$45)),'[1]Afgrødefordeling - jordtype'!$P16)*(Landbrug!$E$5)*Arealanvendelse!P$36</f>
        <v>256.43047897487696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2.8886248622337122E-4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3.3218515323098425E-4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33803.046038754874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1628.961148843877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5.7100799688875818E-2</v>
      </c>
      <c r="I46" s="11">
        <f>IF(Landbrug!$E$47&gt;0,SUMIF(Landbrug!$B$32:$B$45,$B46,IF($I$31=År2,Landbrug!$D$32:$D$45,Landbrug!$E$32:$E$45)),'[1]Afgrødefordeling - jordtype'!$P17)*(1-Landbrug!$E$5)*Arealanvendelse!P$36</f>
        <v>39363.786970627712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3.9466378744780817E-2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5.4460300281297752E-2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5275.6199020022059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254.23093074442014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8.9116855005759964E-3</v>
      </c>
      <c r="R46" s="11">
        <f>IF(Landbrug!$E$47&gt;0,SUMIF(Landbrug!$B$32:$B$45,$B46,IF($R$31=År2,Landbrug!$D$32:$D$45,Landbrug!$E$32:$E$45)),'[1]Afgrødefordeling - jordtype'!$P17)*(Landbrug!$E$5)*Arealanvendelse!P$36</f>
        <v>8349.8942058907251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8.3716560973777481E-3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1.1552184908154068E-2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477421.41353510681</v>
      </c>
      <c r="G47" s="38">
        <f t="shared" si="3"/>
        <v>6625.9744153556876</v>
      </c>
      <c r="H47" s="38">
        <f t="shared" si="3"/>
        <v>0.16831718781063046</v>
      </c>
      <c r="I47" s="38">
        <f t="shared" si="3"/>
        <v>414301.1322277732</v>
      </c>
      <c r="J47" s="38">
        <f t="shared" si="3"/>
        <v>0.16053373403979093</v>
      </c>
      <c r="K47" s="39">
        <f t="shared" si="3"/>
        <v>0.16053373403904062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74510.856447675644</v>
      </c>
      <c r="P47" s="38">
        <f t="shared" si="3"/>
        <v>1034.1116139572466</v>
      </c>
      <c r="Q47" s="38">
        <f t="shared" si="3"/>
        <v>2.6269156479115735E-2</v>
      </c>
      <c r="R47" s="38">
        <f t="shared" si="3"/>
        <v>87882.058351345782</v>
      </c>
      <c r="S47" s="38">
        <f t="shared" si="3"/>
        <v>3.4052610250864743E-2</v>
      </c>
      <c r="T47" s="39">
        <f t="shared" si="3"/>
        <v>3.4052610250705585E-2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3" t="s">
        <v>7</v>
      </c>
      <c r="D49" s="374"/>
      <c r="E49" s="375"/>
      <c r="F49" s="379" t="s">
        <v>8</v>
      </c>
      <c r="G49" s="374"/>
      <c r="H49" s="37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Q41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5.140625" bestFit="1" customWidth="1"/>
    <col min="31" max="31" width="12" bestFit="1" customWidth="1"/>
    <col min="32" max="32" width="12.85546875" bestFit="1" customWidth="1"/>
    <col min="33" max="33" width="12.5703125" bestFit="1" customWidth="1"/>
    <col min="34" max="34" width="12.28515625" bestFit="1" customWidth="1"/>
    <col min="35" max="35" width="8.85546875" bestFit="1" customWidth="1"/>
    <col min="36" max="36" width="9.28515625" bestFit="1" customWidth="1"/>
    <col min="37" max="37" width="8.5703125" bestFit="1" customWidth="1"/>
    <col min="38" max="38" width="11" bestFit="1" customWidth="1"/>
    <col min="39" max="39" width="13.28515625" bestFit="1" customWidth="1"/>
    <col min="40" max="40" width="11.42578125" bestFit="1" customWidth="1"/>
    <col min="41" max="41" width="12" bestFit="1" customWidth="1"/>
    <col min="42" max="42" width="13.85546875" bestFit="1" customWidth="1"/>
    <col min="43" max="43" width="11.285156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3" x14ac:dyDescent="0.25">
      <c r="A3" s="77" t="s">
        <v>175</v>
      </c>
      <c r="B3" s="77" t="s">
        <v>62</v>
      </c>
    </row>
    <row r="4" spans="1:43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100</v>
      </c>
      <c r="AE4" s="171" t="s">
        <v>96</v>
      </c>
      <c r="AF4" s="171" t="s">
        <v>120</v>
      </c>
      <c r="AG4" s="171" t="s">
        <v>205</v>
      </c>
      <c r="AH4" s="171" t="s">
        <v>204</v>
      </c>
      <c r="AI4" s="171" t="s">
        <v>209</v>
      </c>
      <c r="AJ4" s="171" t="s">
        <v>239</v>
      </c>
      <c r="AK4" s="171" t="s">
        <v>232</v>
      </c>
      <c r="AL4" s="171" t="s">
        <v>111</v>
      </c>
      <c r="AM4" s="171" t="s">
        <v>116</v>
      </c>
      <c r="AN4" s="171" t="s">
        <v>316</v>
      </c>
      <c r="AO4" s="171" t="s">
        <v>317</v>
      </c>
      <c r="AP4" s="171" t="s">
        <v>119</v>
      </c>
      <c r="AQ4" s="171" t="s">
        <v>61</v>
      </c>
    </row>
    <row r="5" spans="1:43" x14ac:dyDescent="0.25">
      <c r="A5" s="78" t="s">
        <v>110</v>
      </c>
      <c r="B5" s="240"/>
      <c r="C5" s="240"/>
      <c r="D5" s="240">
        <v>1462906</v>
      </c>
      <c r="E5" s="240">
        <v>3667176.939278726</v>
      </c>
      <c r="F5" s="240"/>
      <c r="G5" s="240">
        <v>16900.799632222497</v>
      </c>
      <c r="H5" s="240"/>
      <c r="I5" s="240"/>
      <c r="J5" s="240">
        <v>428226</v>
      </c>
      <c r="K5" s="240">
        <v>85676.999999999985</v>
      </c>
      <c r="L5" s="240"/>
      <c r="M5" s="240">
        <v>75934</v>
      </c>
      <c r="N5" s="240">
        <v>1300078</v>
      </c>
      <c r="O5" s="240"/>
      <c r="P5" s="240">
        <v>2221622</v>
      </c>
      <c r="Q5" s="240"/>
      <c r="R5" s="240">
        <v>7571.9999999999982</v>
      </c>
      <c r="S5" s="240">
        <v>20719526.174953163</v>
      </c>
      <c r="T5" s="240"/>
      <c r="U5" s="240">
        <v>1080026</v>
      </c>
      <c r="V5" s="240"/>
      <c r="W5" s="240"/>
      <c r="X5" s="240"/>
      <c r="Y5" s="240">
        <v>28645.000000000004</v>
      </c>
      <c r="Z5" s="240"/>
      <c r="AA5" s="240">
        <v>11868564.038681718</v>
      </c>
      <c r="AB5" s="240">
        <v>19084692.744630162</v>
      </c>
      <c r="AC5" s="240"/>
      <c r="AD5" s="240">
        <v>0</v>
      </c>
      <c r="AE5" s="240"/>
      <c r="AF5" s="240"/>
      <c r="AG5" s="240"/>
      <c r="AH5" s="240"/>
      <c r="AI5" s="240">
        <v>1679443.2643061995</v>
      </c>
      <c r="AJ5" s="240"/>
      <c r="AK5" s="240"/>
      <c r="AL5" s="240"/>
      <c r="AM5" s="240"/>
      <c r="AN5" s="240"/>
      <c r="AO5" s="240"/>
      <c r="AP5" s="240"/>
      <c r="AQ5" s="240">
        <v>63726989.961482197</v>
      </c>
    </row>
    <row r="6" spans="1:43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>
        <v>0</v>
      </c>
      <c r="AE6" s="240"/>
      <c r="AF6" s="240"/>
      <c r="AG6" s="240"/>
      <c r="AH6" s="240"/>
      <c r="AI6" s="240">
        <v>0</v>
      </c>
      <c r="AJ6" s="240"/>
      <c r="AK6" s="240"/>
      <c r="AL6" s="240"/>
      <c r="AM6" s="240"/>
      <c r="AN6" s="240"/>
      <c r="AO6" s="240"/>
      <c r="AP6" s="240"/>
      <c r="AQ6" s="240">
        <v>13090417.500000002</v>
      </c>
    </row>
    <row r="7" spans="1:43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0</v>
      </c>
      <c r="L7" s="240"/>
      <c r="M7" s="240">
        <v>0</v>
      </c>
      <c r="N7" s="240">
        <v>500000</v>
      </c>
      <c r="O7" s="240"/>
      <c r="P7" s="240">
        <v>725967.99999999977</v>
      </c>
      <c r="Q7" s="240"/>
      <c r="R7" s="240">
        <v>3785.9999999999995</v>
      </c>
      <c r="S7" s="240">
        <v>10568777.271841513</v>
      </c>
      <c r="T7" s="240"/>
      <c r="U7" s="240">
        <v>0</v>
      </c>
      <c r="V7" s="240"/>
      <c r="W7" s="240"/>
      <c r="X7" s="240"/>
      <c r="Y7" s="240">
        <v>0</v>
      </c>
      <c r="Z7" s="240"/>
      <c r="AA7" s="240">
        <v>2775329.8009308982</v>
      </c>
      <c r="AB7" s="240">
        <v>9147340.4973796755</v>
      </c>
      <c r="AC7" s="240"/>
      <c r="AD7" s="240">
        <v>0</v>
      </c>
      <c r="AE7" s="240"/>
      <c r="AF7" s="240"/>
      <c r="AG7" s="240"/>
      <c r="AH7" s="240"/>
      <c r="AI7" s="240">
        <v>161025.35171182267</v>
      </c>
      <c r="AJ7" s="240"/>
      <c r="AK7" s="240"/>
      <c r="AL7" s="240"/>
      <c r="AM7" s="240"/>
      <c r="AN7" s="240"/>
      <c r="AO7" s="240"/>
      <c r="AP7" s="240"/>
      <c r="AQ7" s="240">
        <v>25898975.849919774</v>
      </c>
    </row>
    <row r="8" spans="1:43" x14ac:dyDescent="0.25">
      <c r="A8" s="79">
        <v>2050</v>
      </c>
      <c r="B8" s="240"/>
      <c r="C8" s="240"/>
      <c r="D8" s="240">
        <v>369777</v>
      </c>
      <c r="E8" s="240">
        <v>1404599.4752532118</v>
      </c>
      <c r="F8" s="240"/>
      <c r="G8" s="240">
        <v>7937.8356018733284</v>
      </c>
      <c r="H8" s="240"/>
      <c r="I8" s="240"/>
      <c r="J8" s="240">
        <v>142742</v>
      </c>
      <c r="K8" s="240">
        <v>0</v>
      </c>
      <c r="L8" s="240"/>
      <c r="M8" s="240">
        <v>0</v>
      </c>
      <c r="N8" s="240">
        <v>800000</v>
      </c>
      <c r="O8" s="240"/>
      <c r="P8" s="240">
        <v>500000.00000000012</v>
      </c>
      <c r="Q8" s="240"/>
      <c r="R8" s="240">
        <v>0</v>
      </c>
      <c r="S8" s="240">
        <v>5797239.2364449836</v>
      </c>
      <c r="T8" s="240"/>
      <c r="U8" s="240">
        <v>750000.00000000012</v>
      </c>
      <c r="V8" s="240"/>
      <c r="W8" s="240"/>
      <c r="X8" s="240"/>
      <c r="Y8" s="240">
        <v>0</v>
      </c>
      <c r="Z8" s="240"/>
      <c r="AA8" s="240">
        <v>6424400.237750819</v>
      </c>
      <c r="AB8" s="240">
        <v>7022482.9139171531</v>
      </c>
      <c r="AC8" s="240"/>
      <c r="AD8" s="240">
        <v>0</v>
      </c>
      <c r="AE8" s="240"/>
      <c r="AF8" s="240"/>
      <c r="AG8" s="240"/>
      <c r="AH8" s="240"/>
      <c r="AI8" s="240">
        <v>1518417.9125943768</v>
      </c>
      <c r="AJ8" s="240"/>
      <c r="AK8" s="240"/>
      <c r="AL8" s="240"/>
      <c r="AM8" s="240"/>
      <c r="AN8" s="240"/>
      <c r="AO8" s="240"/>
      <c r="AP8" s="240"/>
      <c r="AQ8" s="240">
        <v>24737596.61156242</v>
      </c>
    </row>
    <row r="9" spans="1:43" x14ac:dyDescent="0.25">
      <c r="A9" s="78" t="s">
        <v>113</v>
      </c>
      <c r="B9" s="240"/>
      <c r="C9" s="240">
        <v>176220.97543717825</v>
      </c>
      <c r="D9" s="240"/>
      <c r="E9" s="240"/>
      <c r="F9" s="240"/>
      <c r="G9" s="240"/>
      <c r="H9" s="240"/>
      <c r="I9" s="240"/>
      <c r="J9" s="240"/>
      <c r="K9" s="240">
        <v>34565906.20531635</v>
      </c>
      <c r="L9" s="240"/>
      <c r="M9" s="240">
        <v>2169863.5774357175</v>
      </c>
      <c r="N9" s="240"/>
      <c r="O9" s="240">
        <v>8138799.8022256847</v>
      </c>
      <c r="P9" s="240"/>
      <c r="Q9" s="240">
        <v>0</v>
      </c>
      <c r="R9" s="240">
        <v>16598143.672151012</v>
      </c>
      <c r="S9" s="240"/>
      <c r="T9" s="240">
        <v>4269899.4810337285</v>
      </c>
      <c r="U9" s="240">
        <v>15569892.36276103</v>
      </c>
      <c r="V9" s="240"/>
      <c r="W9" s="240"/>
      <c r="X9" s="240"/>
      <c r="Y9" s="240">
        <v>2421288.1055847947</v>
      </c>
      <c r="Z9" s="240">
        <v>109682.83022267628</v>
      </c>
      <c r="AA9" s="240"/>
      <c r="AB9" s="240"/>
      <c r="AC9" s="240"/>
      <c r="AD9" s="240">
        <v>5617.0150235294113</v>
      </c>
      <c r="AE9" s="240"/>
      <c r="AF9" s="240"/>
      <c r="AG9" s="240">
        <v>2194569.1883076918</v>
      </c>
      <c r="AH9" s="240">
        <v>1162010.39631936</v>
      </c>
      <c r="AI9" s="240"/>
      <c r="AJ9" s="240">
        <v>909516.62897089717</v>
      </c>
      <c r="AK9" s="240"/>
      <c r="AL9" s="240"/>
      <c r="AM9" s="240"/>
      <c r="AN9" s="240"/>
      <c r="AO9" s="240"/>
      <c r="AP9" s="240"/>
      <c r="AQ9" s="240">
        <v>88291410.240789652</v>
      </c>
    </row>
    <row r="10" spans="1:43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>
        <v>0</v>
      </c>
      <c r="AE10" s="240"/>
      <c r="AF10" s="240"/>
      <c r="AG10" s="240">
        <v>0</v>
      </c>
      <c r="AH10" s="240">
        <v>0</v>
      </c>
      <c r="AI10" s="240"/>
      <c r="AJ10" s="240">
        <v>240377.87559326066</v>
      </c>
      <c r="AK10" s="240"/>
      <c r="AL10" s="240"/>
      <c r="AM10" s="240"/>
      <c r="AN10" s="240"/>
      <c r="AO10" s="240"/>
      <c r="AP10" s="240"/>
      <c r="AQ10" s="240">
        <v>35984266.24676016</v>
      </c>
    </row>
    <row r="11" spans="1:43" x14ac:dyDescent="0.25">
      <c r="A11" s="79">
        <v>2030</v>
      </c>
      <c r="B11" s="240"/>
      <c r="C11" s="240">
        <v>68548.311983630774</v>
      </c>
      <c r="D11" s="240"/>
      <c r="E11" s="240"/>
      <c r="F11" s="240"/>
      <c r="G11" s="240"/>
      <c r="H11" s="240"/>
      <c r="I11" s="240"/>
      <c r="J11" s="240"/>
      <c r="K11" s="240">
        <v>13752566.439236915</v>
      </c>
      <c r="L11" s="240"/>
      <c r="M11" s="240">
        <v>859703.11316950095</v>
      </c>
      <c r="N11" s="240"/>
      <c r="O11" s="240">
        <v>2717725.5367542398</v>
      </c>
      <c r="P11" s="240"/>
      <c r="Q11" s="240">
        <v>0</v>
      </c>
      <c r="R11" s="240">
        <v>6601730.9291470749</v>
      </c>
      <c r="S11" s="240"/>
      <c r="T11" s="240">
        <v>1695876.8276391989</v>
      </c>
      <c r="U11" s="240">
        <v>6334972.3547466323</v>
      </c>
      <c r="V11" s="240"/>
      <c r="W11" s="240"/>
      <c r="X11" s="240"/>
      <c r="Y11" s="240">
        <v>975255.52958529233</v>
      </c>
      <c r="Z11" s="240">
        <v>43206.208765439995</v>
      </c>
      <c r="AA11" s="240"/>
      <c r="AB11" s="240"/>
      <c r="AC11" s="240"/>
      <c r="AD11" s="240">
        <v>0</v>
      </c>
      <c r="AE11" s="240"/>
      <c r="AF11" s="240"/>
      <c r="AG11" s="240">
        <v>960060.39192760165</v>
      </c>
      <c r="AH11" s="240">
        <v>550879.16175935988</v>
      </c>
      <c r="AI11" s="240"/>
      <c r="AJ11" s="240">
        <v>441866.40110610117</v>
      </c>
      <c r="AK11" s="240"/>
      <c r="AL11" s="240"/>
      <c r="AM11" s="240"/>
      <c r="AN11" s="240"/>
      <c r="AO11" s="240"/>
      <c r="AP11" s="240"/>
      <c r="AQ11" s="240">
        <v>35002391.205820993</v>
      </c>
    </row>
    <row r="12" spans="1:43" x14ac:dyDescent="0.25">
      <c r="A12" s="79">
        <v>2050</v>
      </c>
      <c r="B12" s="240"/>
      <c r="C12" s="240">
        <v>35257.571224615385</v>
      </c>
      <c r="D12" s="240"/>
      <c r="E12" s="240"/>
      <c r="F12" s="240"/>
      <c r="G12" s="240"/>
      <c r="H12" s="240"/>
      <c r="I12" s="240"/>
      <c r="J12" s="240"/>
      <c r="K12" s="240">
        <v>7073581.7808094211</v>
      </c>
      <c r="L12" s="240"/>
      <c r="M12" s="240">
        <v>442185.12268887804</v>
      </c>
      <c r="N12" s="240"/>
      <c r="O12" s="240">
        <v>0</v>
      </c>
      <c r="P12" s="240"/>
      <c r="Q12" s="240">
        <v>0</v>
      </c>
      <c r="R12" s="240">
        <v>3395575.9333028104</v>
      </c>
      <c r="S12" s="240"/>
      <c r="T12" s="240">
        <v>872267.98601462564</v>
      </c>
      <c r="U12" s="240">
        <v>2883512.9604351465</v>
      </c>
      <c r="V12" s="240"/>
      <c r="W12" s="240"/>
      <c r="X12" s="240"/>
      <c r="Y12" s="240">
        <v>501619.08151384618</v>
      </c>
      <c r="Z12" s="240">
        <v>22222.953984</v>
      </c>
      <c r="AA12" s="240"/>
      <c r="AB12" s="240"/>
      <c r="AC12" s="240"/>
      <c r="AD12" s="240">
        <v>5617.0150235294113</v>
      </c>
      <c r="AE12" s="240"/>
      <c r="AF12" s="240"/>
      <c r="AG12" s="240">
        <v>1234508.7963800903</v>
      </c>
      <c r="AH12" s="240">
        <v>611131.23456000001</v>
      </c>
      <c r="AI12" s="240"/>
      <c r="AJ12" s="240">
        <v>227272.35227153529</v>
      </c>
      <c r="AK12" s="240"/>
      <c r="AL12" s="240"/>
      <c r="AM12" s="240"/>
      <c r="AN12" s="240"/>
      <c r="AO12" s="240"/>
      <c r="AP12" s="240"/>
      <c r="AQ12" s="240">
        <v>17304752.788208496</v>
      </c>
    </row>
    <row r="13" spans="1:43" x14ac:dyDescent="0.25">
      <c r="A13" s="78" t="s">
        <v>128</v>
      </c>
      <c r="B13" s="240">
        <v>182574.19618217932</v>
      </c>
      <c r="C13" s="240">
        <v>211273.23635515591</v>
      </c>
      <c r="D13" s="240"/>
      <c r="E13" s="240"/>
      <c r="F13" s="240">
        <v>281468.55244752642</v>
      </c>
      <c r="G13" s="240"/>
      <c r="H13" s="240">
        <v>163456.81162298145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278002.31576800917</v>
      </c>
      <c r="X13" s="240"/>
      <c r="Y13" s="240"/>
      <c r="Z13" s="240"/>
      <c r="AA13" s="240"/>
      <c r="AB13" s="240"/>
      <c r="AC13" s="240">
        <v>564428.94413504889</v>
      </c>
      <c r="AD13" s="240">
        <v>0</v>
      </c>
      <c r="AE13" s="240"/>
      <c r="AF13" s="240"/>
      <c r="AG13" s="240"/>
      <c r="AH13" s="240"/>
      <c r="AI13" s="240"/>
      <c r="AJ13" s="240"/>
      <c r="AK13" s="240"/>
      <c r="AL13" s="240"/>
      <c r="AM13" s="240"/>
      <c r="AN13" s="240"/>
      <c r="AO13" s="240"/>
      <c r="AP13" s="240"/>
      <c r="AQ13" s="240">
        <v>9638396.1067842171</v>
      </c>
    </row>
    <row r="14" spans="1:43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>
        <v>0</v>
      </c>
      <c r="AE14" s="240"/>
      <c r="AF14" s="240"/>
      <c r="AG14" s="240"/>
      <c r="AH14" s="240"/>
      <c r="AI14" s="240"/>
      <c r="AJ14" s="240"/>
      <c r="AK14" s="240"/>
      <c r="AL14" s="240"/>
      <c r="AM14" s="240"/>
      <c r="AN14" s="240"/>
      <c r="AO14" s="240"/>
      <c r="AP14" s="240"/>
      <c r="AQ14" s="240">
        <v>3083197.0190696353</v>
      </c>
    </row>
    <row r="15" spans="1:43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>
        <v>0</v>
      </c>
      <c r="AE15" s="240"/>
      <c r="AF15" s="240"/>
      <c r="AG15" s="240"/>
      <c r="AH15" s="240"/>
      <c r="AI15" s="240"/>
      <c r="AJ15" s="240"/>
      <c r="AK15" s="240"/>
      <c r="AL15" s="240"/>
      <c r="AM15" s="240"/>
      <c r="AN15" s="240"/>
      <c r="AO15" s="240"/>
      <c r="AP15" s="240"/>
      <c r="AQ15" s="240">
        <v>3209159.2069397997</v>
      </c>
    </row>
    <row r="16" spans="1:43" x14ac:dyDescent="0.25">
      <c r="A16" s="79">
        <v>2050</v>
      </c>
      <c r="B16" s="240">
        <v>63381.970906546776</v>
      </c>
      <c r="C16" s="240">
        <v>211273.23635515591</v>
      </c>
      <c r="D16" s="240"/>
      <c r="E16" s="240"/>
      <c r="F16" s="240">
        <v>97713.871814259604</v>
      </c>
      <c r="G16" s="240"/>
      <c r="H16" s="240">
        <v>34331.900907712836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58390.640697656214</v>
      </c>
      <c r="X16" s="240"/>
      <c r="Y16" s="240"/>
      <c r="Z16" s="240"/>
      <c r="AA16" s="240"/>
      <c r="AB16" s="240"/>
      <c r="AC16" s="240">
        <v>118550.69474978685</v>
      </c>
      <c r="AD16" s="240">
        <v>0</v>
      </c>
      <c r="AE16" s="240"/>
      <c r="AF16" s="240"/>
      <c r="AG16" s="240"/>
      <c r="AH16" s="240"/>
      <c r="AI16" s="240"/>
      <c r="AJ16" s="240"/>
      <c r="AK16" s="240"/>
      <c r="AL16" s="240"/>
      <c r="AM16" s="240"/>
      <c r="AN16" s="240"/>
      <c r="AO16" s="240"/>
      <c r="AP16" s="240"/>
      <c r="AQ16" s="240">
        <v>3346039.8807747816</v>
      </c>
    </row>
    <row r="17" spans="1:43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4247017.3808991835</v>
      </c>
      <c r="N17" s="240">
        <v>1648349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/>
      <c r="AE17" s="240">
        <v>535477.60415988718</v>
      </c>
      <c r="AF17" s="240">
        <v>8753037.2042789627</v>
      </c>
      <c r="AG17" s="240"/>
      <c r="AH17" s="240"/>
      <c r="AI17" s="240"/>
      <c r="AJ17" s="240"/>
      <c r="AK17" s="240">
        <v>672637.35405305494</v>
      </c>
      <c r="AL17" s="240"/>
      <c r="AM17" s="240"/>
      <c r="AN17" s="240">
        <v>1441999.9999999998</v>
      </c>
      <c r="AO17" s="240">
        <v>360499.99999999994</v>
      </c>
      <c r="AP17" s="240"/>
      <c r="AQ17" s="240">
        <v>17659018.54339109</v>
      </c>
    </row>
    <row r="18" spans="1:43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/>
      <c r="AE18" s="240">
        <v>209782.38739500003</v>
      </c>
      <c r="AF18" s="240">
        <v>3010238.4923246857</v>
      </c>
      <c r="AG18" s="240"/>
      <c r="AH18" s="240"/>
      <c r="AI18" s="240"/>
      <c r="AJ18" s="240"/>
      <c r="AK18" s="240">
        <v>112887.06079513082</v>
      </c>
      <c r="AL18" s="240"/>
      <c r="AM18" s="240"/>
      <c r="AN18" s="240">
        <v>0</v>
      </c>
      <c r="AO18" s="240">
        <v>0</v>
      </c>
      <c r="AP18" s="240"/>
      <c r="AQ18" s="240">
        <v>6209404.1530503789</v>
      </c>
    </row>
    <row r="19" spans="1:43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1676565.1101767141</v>
      </c>
      <c r="N19" s="240">
        <v>482809.00000000006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>
        <v>192614.13457991794</v>
      </c>
      <c r="AF19" s="240">
        <v>2851556.9755475889</v>
      </c>
      <c r="AG19" s="240"/>
      <c r="AH19" s="240"/>
      <c r="AI19" s="240"/>
      <c r="AJ19" s="240"/>
      <c r="AK19" s="240">
        <v>289555.1679552882</v>
      </c>
      <c r="AL19" s="240"/>
      <c r="AM19" s="240"/>
      <c r="AN19" s="240">
        <v>41999.999999999985</v>
      </c>
      <c r="AO19" s="240">
        <v>10499.999999999996</v>
      </c>
      <c r="AP19" s="240"/>
      <c r="AQ19" s="240">
        <v>5545600.3882595096</v>
      </c>
    </row>
    <row r="20" spans="1:43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676687.05818690802</v>
      </c>
      <c r="N20" s="240">
        <v>182808.99999999994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/>
      <c r="AE20" s="240">
        <v>133081.08218496924</v>
      </c>
      <c r="AF20" s="240">
        <v>2891241.7364066876</v>
      </c>
      <c r="AG20" s="240"/>
      <c r="AH20" s="240"/>
      <c r="AI20" s="240"/>
      <c r="AJ20" s="240"/>
      <c r="AK20" s="240">
        <v>270195.12530263601</v>
      </c>
      <c r="AL20" s="240"/>
      <c r="AM20" s="240"/>
      <c r="AN20" s="240">
        <v>1399999.9999999998</v>
      </c>
      <c r="AO20" s="240">
        <v>349999.99999999994</v>
      </c>
      <c r="AP20" s="240"/>
      <c r="AQ20" s="240">
        <v>5904014.0020812005</v>
      </c>
    </row>
    <row r="21" spans="1:43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/>
      <c r="AE21" s="240">
        <v>0</v>
      </c>
      <c r="AF21" s="240"/>
      <c r="AG21" s="240"/>
      <c r="AH21" s="240"/>
      <c r="AI21" s="240"/>
      <c r="AJ21" s="240"/>
      <c r="AK21" s="240">
        <v>104203.4407339669</v>
      </c>
      <c r="AL21" s="240"/>
      <c r="AM21" s="240"/>
      <c r="AN21" s="240"/>
      <c r="AO21" s="240"/>
      <c r="AP21" s="240">
        <v>2429076.1420517629</v>
      </c>
      <c r="AQ21" s="240">
        <v>2533279.5827857298</v>
      </c>
    </row>
    <row r="22" spans="1:43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/>
      <c r="AE22" s="240">
        <v>0</v>
      </c>
      <c r="AF22" s="240"/>
      <c r="AG22" s="240"/>
      <c r="AH22" s="240"/>
      <c r="AI22" s="240"/>
      <c r="AJ22" s="240"/>
      <c r="AK22" s="240">
        <v>104203.4407339669</v>
      </c>
      <c r="AL22" s="240"/>
      <c r="AM22" s="240"/>
      <c r="AN22" s="240"/>
      <c r="AO22" s="240"/>
      <c r="AP22" s="240">
        <v>827693.20492220437</v>
      </c>
      <c r="AQ22" s="240">
        <v>931896.64565617125</v>
      </c>
    </row>
    <row r="23" spans="1:43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/>
      <c r="AE23" s="240">
        <v>0</v>
      </c>
      <c r="AF23" s="240"/>
      <c r="AG23" s="240"/>
      <c r="AH23" s="240"/>
      <c r="AI23" s="240"/>
      <c r="AJ23" s="240"/>
      <c r="AK23" s="240">
        <v>0</v>
      </c>
      <c r="AL23" s="240"/>
      <c r="AM23" s="240"/>
      <c r="AN23" s="240"/>
      <c r="AO23" s="240"/>
      <c r="AP23" s="240">
        <v>784233.65417649108</v>
      </c>
      <c r="AQ23" s="240">
        <v>784233.65417649108</v>
      </c>
    </row>
    <row r="24" spans="1:43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/>
      <c r="AE24" s="240">
        <v>0</v>
      </c>
      <c r="AF24" s="240"/>
      <c r="AG24" s="240"/>
      <c r="AH24" s="240"/>
      <c r="AI24" s="240"/>
      <c r="AJ24" s="240"/>
      <c r="AK24" s="240">
        <v>0</v>
      </c>
      <c r="AL24" s="240"/>
      <c r="AM24" s="240"/>
      <c r="AN24" s="240"/>
      <c r="AO24" s="240"/>
      <c r="AP24" s="240">
        <v>817149.28295306745</v>
      </c>
      <c r="AQ24" s="240">
        <v>817149.28295306745</v>
      </c>
    </row>
    <row r="25" spans="1:43" x14ac:dyDescent="0.25">
      <c r="A25" s="78" t="s">
        <v>115</v>
      </c>
      <c r="B25" s="240"/>
      <c r="C25" s="240"/>
      <c r="D25" s="240"/>
      <c r="E25" s="240">
        <v>1487537.3561564072</v>
      </c>
      <c r="F25" s="240"/>
      <c r="G25" s="240">
        <v>10363.758548326816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14057041.163689986</v>
      </c>
      <c r="T25" s="240"/>
      <c r="U25" s="240"/>
      <c r="V25" s="240"/>
      <c r="W25" s="240"/>
      <c r="X25" s="240"/>
      <c r="Y25" s="240"/>
      <c r="Z25" s="240"/>
      <c r="AA25" s="240"/>
      <c r="AB25" s="240">
        <v>24093184.873902164</v>
      </c>
      <c r="AC25" s="240"/>
      <c r="AD25" s="240"/>
      <c r="AE25" s="240"/>
      <c r="AF25" s="240"/>
      <c r="AG25" s="240"/>
      <c r="AH25" s="240"/>
      <c r="AI25" s="240"/>
      <c r="AJ25" s="240"/>
      <c r="AK25" s="240"/>
      <c r="AL25" s="240">
        <v>44827634.892373487</v>
      </c>
      <c r="AM25" s="240">
        <v>3874192.2144003231</v>
      </c>
      <c r="AN25" s="240"/>
      <c r="AO25" s="240"/>
      <c r="AP25" s="240"/>
      <c r="AQ25" s="240">
        <v>88349954.259070694</v>
      </c>
    </row>
    <row r="26" spans="1:43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/>
      <c r="AI26" s="240"/>
      <c r="AJ26" s="240"/>
      <c r="AK26" s="240"/>
      <c r="AL26" s="240">
        <v>8803491.7355084848</v>
      </c>
      <c r="AM26" s="240">
        <v>944815.08868008247</v>
      </c>
      <c r="AN26" s="240"/>
      <c r="AO26" s="240"/>
      <c r="AP26" s="240"/>
      <c r="AQ26" s="240">
        <v>35015134.317045711</v>
      </c>
    </row>
    <row r="27" spans="1:43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/>
      <c r="AI27" s="240"/>
      <c r="AJ27" s="240"/>
      <c r="AK27" s="240"/>
      <c r="AL27" s="240">
        <v>20871618.766112696</v>
      </c>
      <c r="AM27" s="240">
        <v>1291916.8536347323</v>
      </c>
      <c r="AN27" s="240"/>
      <c r="AO27" s="240"/>
      <c r="AP27" s="240"/>
      <c r="AQ27" s="240">
        <v>34187293.888149299</v>
      </c>
    </row>
    <row r="28" spans="1:43" x14ac:dyDescent="0.25">
      <c r="A28" s="79">
        <v>2050</v>
      </c>
      <c r="B28" s="240"/>
      <c r="C28" s="240"/>
      <c r="D28" s="240"/>
      <c r="E28" s="240">
        <v>93836.687632462461</v>
      </c>
      <c r="F28" s="240"/>
      <c r="G28" s="240">
        <v>1400.7945179776464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1023042.2181961737</v>
      </c>
      <c r="T28" s="240"/>
      <c r="U28" s="240"/>
      <c r="V28" s="240"/>
      <c r="W28" s="240"/>
      <c r="X28" s="240"/>
      <c r="Y28" s="240"/>
      <c r="Z28" s="240"/>
      <c r="AA28" s="240"/>
      <c r="AB28" s="240">
        <v>1239261.6906912625</v>
      </c>
      <c r="AC28" s="240"/>
      <c r="AD28" s="240"/>
      <c r="AE28" s="240"/>
      <c r="AF28" s="240"/>
      <c r="AG28" s="240"/>
      <c r="AH28" s="240"/>
      <c r="AI28" s="240"/>
      <c r="AJ28" s="240"/>
      <c r="AK28" s="240"/>
      <c r="AL28" s="240">
        <v>15152524.39075231</v>
      </c>
      <c r="AM28" s="240">
        <v>1637460.2720855083</v>
      </c>
      <c r="AN28" s="240"/>
      <c r="AO28" s="240"/>
      <c r="AP28" s="240"/>
      <c r="AQ28" s="240">
        <v>19147526.053875692</v>
      </c>
    </row>
    <row r="29" spans="1:43" x14ac:dyDescent="0.25">
      <c r="A29" s="78" t="s">
        <v>210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>
        <v>6951012.2736178897</v>
      </c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/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/>
      <c r="AL29" s="240"/>
      <c r="AM29" s="240"/>
      <c r="AN29" s="240"/>
      <c r="AO29" s="240"/>
      <c r="AP29" s="240"/>
      <c r="AQ29" s="240">
        <v>6951012.2736178897</v>
      </c>
    </row>
    <row r="30" spans="1:43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>
        <v>0</v>
      </c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/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/>
      <c r="AL30" s="240"/>
      <c r="AM30" s="240"/>
      <c r="AN30" s="240"/>
      <c r="AO30" s="240"/>
      <c r="AP30" s="240"/>
      <c r="AQ30" s="240">
        <v>0</v>
      </c>
    </row>
    <row r="31" spans="1:43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>
        <v>3295295.6589703867</v>
      </c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/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/>
      <c r="AL31" s="240"/>
      <c r="AM31" s="240"/>
      <c r="AN31" s="240"/>
      <c r="AO31" s="240"/>
      <c r="AP31" s="240"/>
      <c r="AQ31" s="240">
        <v>3295295.6589703867</v>
      </c>
    </row>
    <row r="32" spans="1:43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>
        <v>3655716.6146475025</v>
      </c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/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/>
      <c r="AL32" s="240"/>
      <c r="AM32" s="240"/>
      <c r="AN32" s="240"/>
      <c r="AO32" s="240"/>
      <c r="AP32" s="240"/>
      <c r="AQ32" s="240">
        <v>3655716.6146475025</v>
      </c>
    </row>
    <row r="33" spans="1:43" x14ac:dyDescent="0.25">
      <c r="A33" s="78" t="s">
        <v>238</v>
      </c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40"/>
      <c r="S33" s="240"/>
      <c r="T33" s="240"/>
      <c r="U33" s="240"/>
      <c r="V33" s="240"/>
      <c r="W33" s="240"/>
      <c r="X33" s="240">
        <v>2427627.4837094434</v>
      </c>
      <c r="Y33" s="240"/>
      <c r="Z33" s="240"/>
      <c r="AA33" s="240"/>
      <c r="AB33" s="240"/>
      <c r="AC33" s="240"/>
      <c r="AD33" s="240"/>
      <c r="AE33" s="240"/>
      <c r="AF33" s="240"/>
      <c r="AG33" s="240"/>
      <c r="AH33" s="240"/>
      <c r="AI33" s="240"/>
      <c r="AJ33" s="240"/>
      <c r="AK33" s="240"/>
      <c r="AL33" s="240"/>
      <c r="AM33" s="240"/>
      <c r="AN33" s="240"/>
      <c r="AO33" s="240"/>
      <c r="AP33" s="240"/>
      <c r="AQ33" s="240">
        <v>2427627.4837094434</v>
      </c>
    </row>
    <row r="34" spans="1:43" x14ac:dyDescent="0.25">
      <c r="A34" s="79">
        <v>2019</v>
      </c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40"/>
      <c r="S34" s="240"/>
      <c r="T34" s="240"/>
      <c r="U34" s="240"/>
      <c r="V34" s="240"/>
      <c r="W34" s="240"/>
      <c r="X34" s="240">
        <v>678407.81727843033</v>
      </c>
      <c r="Y34" s="240"/>
      <c r="Z34" s="240"/>
      <c r="AA34" s="240"/>
      <c r="AB34" s="240"/>
      <c r="AC34" s="240"/>
      <c r="AD34" s="240"/>
      <c r="AE34" s="240"/>
      <c r="AF34" s="240"/>
      <c r="AG34" s="240"/>
      <c r="AH34" s="240"/>
      <c r="AI34" s="240"/>
      <c r="AJ34" s="240"/>
      <c r="AK34" s="240"/>
      <c r="AL34" s="240"/>
      <c r="AM34" s="240"/>
      <c r="AN34" s="240"/>
      <c r="AO34" s="240"/>
      <c r="AP34" s="240"/>
      <c r="AQ34" s="240">
        <v>678407.81727843033</v>
      </c>
    </row>
    <row r="35" spans="1:43" x14ac:dyDescent="0.25">
      <c r="A35" s="79">
        <v>2030</v>
      </c>
      <c r="B35" s="240"/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240"/>
      <c r="Q35" s="240"/>
      <c r="R35" s="240"/>
      <c r="S35" s="240"/>
      <c r="T35" s="240"/>
      <c r="U35" s="240"/>
      <c r="V35" s="240"/>
      <c r="W35" s="240"/>
      <c r="X35" s="240">
        <v>904859.89986027556</v>
      </c>
      <c r="Y35" s="240"/>
      <c r="Z35" s="240"/>
      <c r="AA35" s="240"/>
      <c r="AB35" s="240"/>
      <c r="AC35" s="240"/>
      <c r="AD35" s="240"/>
      <c r="AE35" s="240"/>
      <c r="AF35" s="240"/>
      <c r="AG35" s="240"/>
      <c r="AH35" s="240"/>
      <c r="AI35" s="240"/>
      <c r="AJ35" s="240"/>
      <c r="AK35" s="240"/>
      <c r="AL35" s="240"/>
      <c r="AM35" s="240"/>
      <c r="AN35" s="240"/>
      <c r="AO35" s="240"/>
      <c r="AP35" s="240"/>
      <c r="AQ35" s="240">
        <v>904859.89986027556</v>
      </c>
    </row>
    <row r="36" spans="1:43" x14ac:dyDescent="0.25">
      <c r="A36" s="79">
        <v>2050</v>
      </c>
      <c r="B36" s="240"/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>
        <v>844359.76657073747</v>
      </c>
      <c r="Y36" s="240"/>
      <c r="Z36" s="240"/>
      <c r="AA36" s="240"/>
      <c r="AB36" s="240"/>
      <c r="AC36" s="240"/>
      <c r="AD36" s="240"/>
      <c r="AE36" s="240"/>
      <c r="AF36" s="240"/>
      <c r="AG36" s="240"/>
      <c r="AH36" s="240"/>
      <c r="AI36" s="240"/>
      <c r="AJ36" s="240"/>
      <c r="AK36" s="240"/>
      <c r="AL36" s="240"/>
      <c r="AM36" s="240"/>
      <c r="AN36" s="240"/>
      <c r="AO36" s="240"/>
      <c r="AP36" s="240"/>
      <c r="AQ36" s="240">
        <v>844359.76657073747</v>
      </c>
    </row>
    <row r="37" spans="1:43" x14ac:dyDescent="0.25">
      <c r="A37" s="78" t="s">
        <v>320</v>
      </c>
      <c r="B37" s="240"/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>
        <v>2574999.9999999995</v>
      </c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AM37" s="240"/>
      <c r="AN37" s="240"/>
      <c r="AO37" s="240"/>
      <c r="AP37" s="240"/>
      <c r="AQ37" s="240">
        <v>2574999.9999999995</v>
      </c>
    </row>
    <row r="38" spans="1:43" x14ac:dyDescent="0.25">
      <c r="A38" s="79">
        <v>2019</v>
      </c>
      <c r="B38" s="240"/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>
        <v>0</v>
      </c>
      <c r="N38" s="240"/>
      <c r="O38" s="240"/>
      <c r="P38" s="240"/>
      <c r="Q38" s="240"/>
      <c r="R38" s="240"/>
      <c r="S38" s="240"/>
      <c r="T38" s="240"/>
      <c r="U38" s="240"/>
      <c r="V38" s="240"/>
      <c r="W38" s="240"/>
      <c r="X38" s="240"/>
      <c r="Y38" s="240"/>
      <c r="Z38" s="240"/>
      <c r="AA38" s="240"/>
      <c r="AB38" s="240"/>
      <c r="AC38" s="240"/>
      <c r="AD38" s="240"/>
      <c r="AE38" s="240"/>
      <c r="AF38" s="240"/>
      <c r="AG38" s="240"/>
      <c r="AH38" s="240"/>
      <c r="AI38" s="240"/>
      <c r="AJ38" s="240"/>
      <c r="AK38" s="240"/>
      <c r="AL38" s="240"/>
      <c r="AM38" s="240"/>
      <c r="AN38" s="240"/>
      <c r="AO38" s="240"/>
      <c r="AP38" s="240"/>
      <c r="AQ38" s="240">
        <v>0</v>
      </c>
    </row>
    <row r="39" spans="1:43" x14ac:dyDescent="0.25">
      <c r="A39" s="79">
        <v>2030</v>
      </c>
      <c r="B39" s="240"/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>
        <v>74999.999999999971</v>
      </c>
      <c r="N39" s="240"/>
      <c r="O39" s="240"/>
      <c r="P39" s="240"/>
      <c r="Q39" s="240"/>
      <c r="R39" s="240"/>
      <c r="S39" s="240"/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0"/>
      <c r="AH39" s="240"/>
      <c r="AI39" s="240"/>
      <c r="AJ39" s="240"/>
      <c r="AK39" s="240"/>
      <c r="AL39" s="240"/>
      <c r="AM39" s="240"/>
      <c r="AN39" s="240"/>
      <c r="AO39" s="240"/>
      <c r="AP39" s="240"/>
      <c r="AQ39" s="240">
        <v>74999.999999999971</v>
      </c>
    </row>
    <row r="40" spans="1:43" x14ac:dyDescent="0.25">
      <c r="A40" s="79">
        <v>2050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>
        <v>2499999.9999999995</v>
      </c>
      <c r="N40" s="240"/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/>
      <c r="Z40" s="240"/>
      <c r="AA40" s="240"/>
      <c r="AB40" s="240"/>
      <c r="AC40" s="240"/>
      <c r="AD40" s="240"/>
      <c r="AE40" s="240"/>
      <c r="AF40" s="240"/>
      <c r="AG40" s="240"/>
      <c r="AH40" s="240"/>
      <c r="AI40" s="240"/>
      <c r="AJ40" s="240"/>
      <c r="AK40" s="240"/>
      <c r="AL40" s="240"/>
      <c r="AM40" s="240"/>
      <c r="AN40" s="240"/>
      <c r="AO40" s="240"/>
      <c r="AP40" s="240"/>
      <c r="AQ40" s="240">
        <v>2499999.9999999995</v>
      </c>
    </row>
    <row r="41" spans="1:43" x14ac:dyDescent="0.25">
      <c r="A41" s="78" t="s">
        <v>61</v>
      </c>
      <c r="B41" s="240">
        <v>182574.19618217932</v>
      </c>
      <c r="C41" s="240">
        <v>387494.21179233416</v>
      </c>
      <c r="D41" s="240">
        <v>1462906</v>
      </c>
      <c r="E41" s="240">
        <v>5154714.2954351325</v>
      </c>
      <c r="F41" s="240">
        <v>281468.55244752642</v>
      </c>
      <c r="G41" s="240">
        <v>27264.558180549313</v>
      </c>
      <c r="H41" s="240">
        <v>163456.81162298145</v>
      </c>
      <c r="I41" s="240">
        <v>1445379.0531089196</v>
      </c>
      <c r="J41" s="240">
        <v>428226</v>
      </c>
      <c r="K41" s="240">
        <v>41602595.478934236</v>
      </c>
      <c r="L41" s="240">
        <v>1513844.376677237</v>
      </c>
      <c r="M41" s="240">
        <v>9067814.9583349004</v>
      </c>
      <c r="N41" s="240">
        <v>2948427</v>
      </c>
      <c r="O41" s="240">
        <v>8138799.8022256847</v>
      </c>
      <c r="P41" s="240">
        <v>2221622</v>
      </c>
      <c r="Q41" s="240">
        <v>692260.49385742994</v>
      </c>
      <c r="R41" s="240">
        <v>18264097.95413914</v>
      </c>
      <c r="S41" s="240">
        <v>34776567.338643156</v>
      </c>
      <c r="T41" s="240">
        <v>4269899.4810337285</v>
      </c>
      <c r="U41" s="240">
        <v>16649918.36276103</v>
      </c>
      <c r="V41" s="240">
        <v>2647325.8446415998</v>
      </c>
      <c r="W41" s="240">
        <v>278002.31576800917</v>
      </c>
      <c r="X41" s="240">
        <v>2427627.4837094434</v>
      </c>
      <c r="Y41" s="240">
        <v>2449933.1055847947</v>
      </c>
      <c r="Z41" s="240">
        <v>109682.83022267628</v>
      </c>
      <c r="AA41" s="240">
        <v>11868564.038681718</v>
      </c>
      <c r="AB41" s="240">
        <v>43177877.61853233</v>
      </c>
      <c r="AC41" s="240">
        <v>564428.94413504889</v>
      </c>
      <c r="AD41" s="240">
        <v>5617.0150235294113</v>
      </c>
      <c r="AE41" s="240">
        <v>535477.60415988718</v>
      </c>
      <c r="AF41" s="240">
        <v>8753037.2042789627</v>
      </c>
      <c r="AG41" s="240">
        <v>2194569.1883076918</v>
      </c>
      <c r="AH41" s="240">
        <v>1162010.39631936</v>
      </c>
      <c r="AI41" s="240">
        <v>1679443.2643061995</v>
      </c>
      <c r="AJ41" s="240">
        <v>909516.62897089717</v>
      </c>
      <c r="AK41" s="240">
        <v>776840.79478702182</v>
      </c>
      <c r="AL41" s="240">
        <v>44827634.892373487</v>
      </c>
      <c r="AM41" s="240">
        <v>3874192.2144003231</v>
      </c>
      <c r="AN41" s="240">
        <v>1441999.9999999998</v>
      </c>
      <c r="AO41" s="240">
        <v>360499.99999999994</v>
      </c>
      <c r="AP41" s="240">
        <v>2429076.1420517629</v>
      </c>
      <c r="AQ41" s="240">
        <v>282152688.45163095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3" width="11.285156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287</v>
      </c>
      <c r="B2" s="78">
        <v>1</v>
      </c>
    </row>
    <row r="4" spans="1:11" x14ac:dyDescent="0.25">
      <c r="A4" s="77" t="s">
        <v>315</v>
      </c>
      <c r="B4" s="77" t="s">
        <v>62</v>
      </c>
    </row>
    <row r="5" spans="1:11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109</v>
      </c>
      <c r="G5" s="171" t="s">
        <v>14</v>
      </c>
      <c r="H5" s="171" t="s">
        <v>159</v>
      </c>
      <c r="I5" s="171" t="s">
        <v>54</v>
      </c>
      <c r="J5" s="171" t="s">
        <v>160</v>
      </c>
      <c r="K5" s="171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0</v>
      </c>
      <c r="D7" s="76">
        <v>0</v>
      </c>
      <c r="E7" s="76">
        <v>1291916.8536347323</v>
      </c>
      <c r="F7" s="76">
        <v>0</v>
      </c>
      <c r="G7" s="76">
        <v>0</v>
      </c>
      <c r="H7" s="76">
        <v>142742</v>
      </c>
      <c r="I7" s="76">
        <v>438509.17126876279</v>
      </c>
      <c r="J7" s="76">
        <v>2717725.5367542398</v>
      </c>
      <c r="K7" s="76">
        <v>4590893.5899149906</v>
      </c>
    </row>
    <row r="8" spans="1:11" x14ac:dyDescent="0.25">
      <c r="A8" s="78">
        <v>2050</v>
      </c>
      <c r="B8" s="76">
        <v>0.18489040050189942</v>
      </c>
      <c r="C8" s="76">
        <v>0</v>
      </c>
      <c r="D8" s="76">
        <v>0</v>
      </c>
      <c r="E8" s="76">
        <v>1637460.2720855083</v>
      </c>
      <c r="F8" s="76">
        <v>20291.01729390231</v>
      </c>
      <c r="G8" s="76">
        <v>3343.8010555246146</v>
      </c>
      <c r="H8" s="76">
        <v>142742</v>
      </c>
      <c r="I8" s="76">
        <v>342995.31126165221</v>
      </c>
      <c r="J8" s="76">
        <v>0</v>
      </c>
      <c r="K8" s="76">
        <v>2146832.5865869876</v>
      </c>
    </row>
    <row r="9" spans="1:11" x14ac:dyDescent="0.25">
      <c r="A9" s="78" t="s">
        <v>61</v>
      </c>
      <c r="B9" s="76">
        <v>370459.88762915425</v>
      </c>
      <c r="C9" s="76">
        <v>203649.62100550608</v>
      </c>
      <c r="D9" s="76">
        <v>282332.03034110228</v>
      </c>
      <c r="E9" s="76">
        <v>3874192.2144003231</v>
      </c>
      <c r="F9" s="76">
        <v>20291.01729390231</v>
      </c>
      <c r="G9" s="76">
        <v>3343.8010555246146</v>
      </c>
      <c r="H9" s="76">
        <v>428226</v>
      </c>
      <c r="I9" s="76">
        <v>1202134.4723718429</v>
      </c>
      <c r="J9" s="76">
        <v>8138799.8022256847</v>
      </c>
      <c r="K9" s="76">
        <v>14523428.846323039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8554687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8" width="9.85546875" style="171" bestFit="1" customWidth="1"/>
    <col min="9" max="9" width="10.85546875" style="171" bestFit="1" customWidth="1"/>
    <col min="10" max="10" width="13.140625" style="171" bestFit="1" customWidth="1"/>
    <col min="11" max="12" width="9.85546875" style="171" bestFit="1" customWidth="1"/>
    <col min="13" max="13" width="13.85546875" style="171" bestFit="1" customWidth="1"/>
    <col min="14" max="14" width="9.85546875" style="171" bestFit="1" customWidth="1"/>
    <col min="15" max="15" width="16" style="171" bestFit="1" customWidth="1"/>
    <col min="16" max="16" width="10" style="171" bestFit="1" customWidth="1"/>
    <col min="17" max="17" width="8.7109375" style="171" bestFit="1" customWidth="1"/>
    <col min="18" max="18" width="11" style="171" bestFit="1" customWidth="1"/>
    <col min="19" max="19" width="9.85546875" style="171" bestFit="1" customWidth="1"/>
    <col min="20" max="20" width="21" style="171" bestFit="1" customWidth="1"/>
    <col min="21" max="21" width="20.7109375" style="171" bestFit="1" customWidth="1"/>
    <col min="22" max="22" width="9.85546875" style="171" bestFit="1" customWidth="1"/>
    <col min="23" max="23" width="6" style="171" bestFit="1" customWidth="1"/>
    <col min="24" max="24" width="16" style="171" bestFit="1" customWidth="1"/>
    <col min="25" max="25" width="9.85546875" style="171" bestFit="1" customWidth="1"/>
    <col min="26" max="26" width="12.5703125" style="171" bestFit="1" customWidth="1"/>
    <col min="27" max="28" width="9.85546875" style="171" bestFit="1" customWidth="1"/>
    <col min="29" max="29" width="9.28515625" style="171" bestFit="1" customWidth="1"/>
    <col min="30" max="30" width="11.28515625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6</v>
      </c>
      <c r="J5" s="171" t="s">
        <v>104</v>
      </c>
      <c r="K5" s="171" t="s">
        <v>12</v>
      </c>
      <c r="L5" s="171" t="s">
        <v>48</v>
      </c>
      <c r="M5" s="171" t="s">
        <v>109</v>
      </c>
      <c r="N5" s="171" t="s">
        <v>53</v>
      </c>
      <c r="O5" s="171" t="s">
        <v>117</v>
      </c>
      <c r="P5" s="171" t="s">
        <v>107</v>
      </c>
      <c r="Q5" s="171" t="s">
        <v>14</v>
      </c>
      <c r="R5" s="171" t="s">
        <v>118</v>
      </c>
      <c r="S5" s="171" t="s">
        <v>52</v>
      </c>
      <c r="T5" s="171" t="s">
        <v>122</v>
      </c>
      <c r="U5" s="171" t="s">
        <v>108</v>
      </c>
      <c r="V5" s="171" t="s">
        <v>13</v>
      </c>
      <c r="W5" s="171" t="s">
        <v>100</v>
      </c>
      <c r="X5" s="171" t="s">
        <v>141</v>
      </c>
      <c r="Y5" s="171" t="s">
        <v>209</v>
      </c>
      <c r="Z5" s="171" t="s">
        <v>205</v>
      </c>
      <c r="AA5" s="171" t="s">
        <v>56</v>
      </c>
      <c r="AB5" s="171" t="s">
        <v>55</v>
      </c>
      <c r="AC5" s="171" t="s">
        <v>239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/>
      <c r="AA6" s="98">
        <v>911574.64248506655</v>
      </c>
      <c r="AB6" s="98">
        <v>2005102.1714007764</v>
      </c>
      <c r="AC6" s="98">
        <v>98826.033045954537</v>
      </c>
      <c r="AD6" s="98">
        <v>34625194.021511331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473288.3958262736</v>
      </c>
      <c r="D7" s="98">
        <v>2937309.7327185543</v>
      </c>
      <c r="E7" s="98">
        <v>935554.7883587121</v>
      </c>
      <c r="F7" s="98">
        <v>131018.05015567706</v>
      </c>
      <c r="G7" s="98">
        <v>1472869.7795083788</v>
      </c>
      <c r="H7" s="98">
        <v>579397.28522808431</v>
      </c>
      <c r="I7" s="98">
        <v>608713.10503797978</v>
      </c>
      <c r="J7" s="98">
        <v>0.40288562423666008</v>
      </c>
      <c r="K7" s="98">
        <v>2091474.8358088899</v>
      </c>
      <c r="L7" s="98">
        <v>1489160.4413894205</v>
      </c>
      <c r="M7" s="98">
        <v>40327.571621056952</v>
      </c>
      <c r="N7" s="98">
        <v>69397.97399061406</v>
      </c>
      <c r="O7" s="98">
        <v>2468531.1111667752</v>
      </c>
      <c r="P7" s="98">
        <v>27045.758448627814</v>
      </c>
      <c r="Q7" s="98">
        <v>1709.9716434609509</v>
      </c>
      <c r="R7" s="98">
        <v>5216592.6341052745</v>
      </c>
      <c r="S7" s="98">
        <v>1005312.7319071036</v>
      </c>
      <c r="T7" s="98">
        <v>213658.900448664</v>
      </c>
      <c r="U7" s="98">
        <v>104777.54520264688</v>
      </c>
      <c r="V7" s="98">
        <v>1350281.1539118693</v>
      </c>
      <c r="W7" s="98">
        <v>1800</v>
      </c>
      <c r="X7" s="98">
        <v>4542635.2873380352</v>
      </c>
      <c r="Y7" s="98">
        <v>1449228.1654064041</v>
      </c>
      <c r="Z7" s="98">
        <v>174102.58816519822</v>
      </c>
      <c r="AA7" s="98">
        <v>943847.5794509931</v>
      </c>
      <c r="AB7" s="98">
        <v>2072239.224726202</v>
      </c>
      <c r="AC7" s="98">
        <v>10563.548824036603</v>
      </c>
      <c r="AD7" s="98">
        <v>30581784.867887724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497017.07890655193</v>
      </c>
      <c r="D8" s="98">
        <v>7588748.1742570233</v>
      </c>
      <c r="E8" s="98">
        <v>154033.80800045721</v>
      </c>
      <c r="F8" s="98">
        <v>153901.96523502804</v>
      </c>
      <c r="G8" s="98">
        <v>1079479.3223754542</v>
      </c>
      <c r="H8" s="98">
        <v>121540.12592519959</v>
      </c>
      <c r="I8" s="98">
        <v>1187929.0646227887</v>
      </c>
      <c r="J8" s="98">
        <v>44787.470491779066</v>
      </c>
      <c r="K8" s="98">
        <v>2142531.8661417775</v>
      </c>
      <c r="L8" s="98">
        <v>1371945.625518437</v>
      </c>
      <c r="M8" s="98"/>
      <c r="N8" s="98">
        <v>733375.35760433273</v>
      </c>
      <c r="O8" s="98">
        <v>724834.80451910477</v>
      </c>
      <c r="P8" s="98">
        <v>202843.18836470862</v>
      </c>
      <c r="Q8" s="98"/>
      <c r="R8" s="98">
        <v>2559846.5142407757</v>
      </c>
      <c r="S8" s="98">
        <v>258178.31605614454</v>
      </c>
      <c r="T8" s="98">
        <v>103731.07060017808</v>
      </c>
      <c r="U8" s="98">
        <v>49720.057041236883</v>
      </c>
      <c r="V8" s="98">
        <v>648616.74048751721</v>
      </c>
      <c r="W8" s="98">
        <v>7882.9849764705887</v>
      </c>
      <c r="X8" s="98">
        <v>1133717.6890148511</v>
      </c>
      <c r="Y8" s="98">
        <v>267956.10222253727</v>
      </c>
      <c r="Z8" s="98">
        <v>23702.568890498078</v>
      </c>
      <c r="AA8" s="98">
        <v>709449.17746015533</v>
      </c>
      <c r="AB8" s="98">
        <v>1558525.3424678326</v>
      </c>
      <c r="AC8" s="98">
        <v>194907.53101383348</v>
      </c>
      <c r="AD8" s="98">
        <v>23681519.314111948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1183016.4844885725</v>
      </c>
      <c r="D9" s="98">
        <v>13756586.97921709</v>
      </c>
      <c r="E9" s="98">
        <v>2441806.6035020263</v>
      </c>
      <c r="F9" s="98">
        <v>423195.29541960428</v>
      </c>
      <c r="G9" s="98">
        <v>4054907.1374920476</v>
      </c>
      <c r="H9" s="98">
        <v>4818941.121453451</v>
      </c>
      <c r="I9" s="98">
        <v>1796642.1696607685</v>
      </c>
      <c r="J9" s="98">
        <v>44787.873377403303</v>
      </c>
      <c r="K9" s="98">
        <v>6274880.4528168021</v>
      </c>
      <c r="L9" s="98">
        <v>4835776.3962192759</v>
      </c>
      <c r="M9" s="98">
        <v>92219.704241153275</v>
      </c>
      <c r="N9" s="98">
        <v>2069035.577862439</v>
      </c>
      <c r="O9" s="98">
        <v>5730149.1570148198</v>
      </c>
      <c r="P9" s="98">
        <v>230769.04681333643</v>
      </c>
      <c r="Q9" s="98">
        <v>9774.1779835575144</v>
      </c>
      <c r="R9" s="98">
        <v>13045439.14834605</v>
      </c>
      <c r="S9" s="98">
        <v>2919855.6894641626</v>
      </c>
      <c r="T9" s="98">
        <v>534400.33848436526</v>
      </c>
      <c r="U9" s="98">
        <v>260443.91381583904</v>
      </c>
      <c r="V9" s="98">
        <v>3381549.3255782933</v>
      </c>
      <c r="W9" s="98">
        <v>9759.4849764705887</v>
      </c>
      <c r="X9" s="98">
        <v>10044676.878031544</v>
      </c>
      <c r="Y9" s="98">
        <v>1717184.2676289412</v>
      </c>
      <c r="Z9" s="98">
        <v>197805.1570556963</v>
      </c>
      <c r="AA9" s="98">
        <v>2564871.3993962151</v>
      </c>
      <c r="AB9" s="98">
        <v>5635866.7385948105</v>
      </c>
      <c r="AC9" s="98">
        <v>304297.11288382462</v>
      </c>
      <c r="AD9" s="98">
        <v>88888498.203511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11.709234307241923</v>
      </c>
      <c r="C7" s="238">
        <v>0</v>
      </c>
      <c r="D7" s="238">
        <v>4.0436162736904819</v>
      </c>
      <c r="E7" s="238">
        <v>22.428818323032957</v>
      </c>
      <c r="F7" s="238">
        <v>2.5889068207643463E-2</v>
      </c>
      <c r="G7" s="238">
        <v>2.0151850141246661</v>
      </c>
      <c r="H7" s="238">
        <v>10.134430878435086</v>
      </c>
      <c r="I7" s="238">
        <v>44.873337575855956</v>
      </c>
      <c r="J7" s="238">
        <v>0.72569999999999957</v>
      </c>
      <c r="K7" s="238">
        <v>95.956211440588717</v>
      </c>
    </row>
    <row r="8" spans="1:11" x14ac:dyDescent="0.25">
      <c r="A8" s="79">
        <v>2050</v>
      </c>
      <c r="B8" s="238">
        <v>4.1755590307085857</v>
      </c>
      <c r="C8" s="238">
        <v>0</v>
      </c>
      <c r="D8" s="238">
        <v>3.5571424498951991</v>
      </c>
      <c r="E8" s="238">
        <v>11.692828080631504</v>
      </c>
      <c r="F8" s="238">
        <v>0.18912674057370837</v>
      </c>
      <c r="G8" s="238">
        <v>0.3317888224329848</v>
      </c>
      <c r="H8" s="238">
        <v>9.4568293855922594</v>
      </c>
      <c r="I8" s="238">
        <v>44.353103227611037</v>
      </c>
      <c r="J8" s="238">
        <v>24.189999999999991</v>
      </c>
      <c r="K8" s="238">
        <v>97.94637773744526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6.2393737900971473</v>
      </c>
      <c r="C11" s="238">
        <v>2.1694819870080004</v>
      </c>
      <c r="D11" s="238">
        <v>0</v>
      </c>
      <c r="E11" s="238">
        <v>1.2966519960000001E-2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20.957258809399558</v>
      </c>
    </row>
    <row r="12" spans="1:11" x14ac:dyDescent="0.25">
      <c r="A12" s="79">
        <v>2050</v>
      </c>
      <c r="B12" s="238">
        <v>8.5281741417552137</v>
      </c>
      <c r="C12" s="238">
        <v>2.1694819870080004</v>
      </c>
      <c r="D12" s="238">
        <v>2.6925000000000003</v>
      </c>
      <c r="E12" s="238">
        <v>0</v>
      </c>
      <c r="F12" s="238">
        <v>0</v>
      </c>
      <c r="G12" s="238">
        <v>8.9890305228122198</v>
      </c>
      <c r="H12" s="238">
        <v>0</v>
      </c>
      <c r="I12" s="238">
        <v>0</v>
      </c>
      <c r="J12" s="238">
        <v>0</v>
      </c>
      <c r="K12" s="238">
        <v>22.379186651575434</v>
      </c>
    </row>
    <row r="13" spans="1:11" x14ac:dyDescent="0.25">
      <c r="A13" s="78" t="s">
        <v>295</v>
      </c>
      <c r="B13" s="238">
        <v>33.428723862452806</v>
      </c>
      <c r="C13" s="238">
        <v>0</v>
      </c>
      <c r="D13" s="238">
        <v>7.6007587235856811</v>
      </c>
      <c r="E13" s="238">
        <v>53.695236892221658</v>
      </c>
      <c r="F13" s="238">
        <v>0.21501580878135185</v>
      </c>
      <c r="G13" s="238">
        <v>2.3469738365576509</v>
      </c>
      <c r="H13" s="238">
        <v>23.542307391856923</v>
      </c>
      <c r="I13" s="238">
        <v>136.71553572780883</v>
      </c>
      <c r="J13" s="238">
        <v>24.91569999999999</v>
      </c>
      <c r="K13" s="238">
        <v>282.4602522432649</v>
      </c>
    </row>
    <row r="14" spans="1:11" x14ac:dyDescent="0.25">
      <c r="A14" s="78" t="s">
        <v>247</v>
      </c>
      <c r="B14" s="238">
        <v>22.250702636059362</v>
      </c>
      <c r="C14" s="238">
        <v>6.5084459610240017</v>
      </c>
      <c r="D14" s="238">
        <v>4.1126719861750001</v>
      </c>
      <c r="E14" s="238">
        <v>0.46373355427999996</v>
      </c>
      <c r="F14" s="238">
        <v>0</v>
      </c>
      <c r="G14" s="238">
        <v>26.616749993151636</v>
      </c>
      <c r="H14" s="238">
        <v>0</v>
      </c>
      <c r="I14" s="238">
        <v>0</v>
      </c>
      <c r="J14" s="238">
        <v>0</v>
      </c>
      <c r="K14" s="238">
        <v>59.952304130689996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1209605.829728018</v>
      </c>
      <c r="C4" s="239">
        <v>128467.8</v>
      </c>
      <c r="D4" s="239">
        <v>384113.17844246858</v>
      </c>
      <c r="E4" s="239">
        <v>1887893.7404809273</v>
      </c>
      <c r="F4" s="239">
        <v>4326.8637672941713</v>
      </c>
      <c r="G4" s="239">
        <v>1993192.5254781186</v>
      </c>
      <c r="H4" s="239">
        <v>1490267.4200069108</v>
      </c>
      <c r="I4" s="239">
        <v>7097867.3579037376</v>
      </c>
    </row>
    <row r="5" spans="1:9" x14ac:dyDescent="0.25">
      <c r="A5" s="78">
        <v>2050</v>
      </c>
      <c r="B5" s="239">
        <v>1157069.4775324874</v>
      </c>
      <c r="C5" s="239">
        <v>128467.8</v>
      </c>
      <c r="D5" s="239">
        <v>530679.50575158454</v>
      </c>
      <c r="E5" s="239">
        <v>1000487.1433695874</v>
      </c>
      <c r="F5" s="239">
        <v>31608.926001176878</v>
      </c>
      <c r="G5" s="239">
        <v>1259804.3962846952</v>
      </c>
      <c r="H5" s="239">
        <v>1485188.6245712363</v>
      </c>
      <c r="I5" s="239">
        <v>5593305.8735107668</v>
      </c>
    </row>
    <row r="6" spans="1:9" x14ac:dyDescent="0.25">
      <c r="A6" s="78" t="s">
        <v>61</v>
      </c>
      <c r="B6" s="239">
        <v>3443980.2472605053</v>
      </c>
      <c r="C6" s="239">
        <v>385403.4</v>
      </c>
      <c r="D6" s="239">
        <v>1043519.0441940532</v>
      </c>
      <c r="E6" s="239">
        <v>4563798.8745057415</v>
      </c>
      <c r="F6" s="239">
        <v>35935.789768471048</v>
      </c>
      <c r="G6" s="239">
        <v>3957013.037596147</v>
      </c>
      <c r="H6" s="239">
        <v>4551329.5230093226</v>
      </c>
      <c r="I6" s="239">
        <v>17980979.916334242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199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10850271.861906474</v>
      </c>
      <c r="C4" s="98">
        <v>-4456.0528686777052</v>
      </c>
      <c r="D4" s="98">
        <v>5507316.8818720337</v>
      </c>
      <c r="E4" s="98">
        <v>6563633.9083678732</v>
      </c>
      <c r="F4" s="98">
        <v>-739848.59491668525</v>
      </c>
      <c r="G4" s="98">
        <v>-427424.28054807242</v>
      </c>
      <c r="H4" s="98">
        <v>-48949.999999999971</v>
      </c>
      <c r="I4" s="98">
        <v>21700543.723812945</v>
      </c>
    </row>
    <row r="5" spans="1:9" x14ac:dyDescent="0.25">
      <c r="A5" s="78">
        <v>2050</v>
      </c>
      <c r="B5" s="98">
        <v>58683.78953288612</v>
      </c>
      <c r="C5" s="98">
        <v>-33420.396515082793</v>
      </c>
      <c r="D5" s="98">
        <v>2751010.6362999445</v>
      </c>
      <c r="E5" s="98">
        <v>4256145.2345297476</v>
      </c>
      <c r="F5" s="98">
        <v>-5023414.0459503941</v>
      </c>
      <c r="G5" s="98">
        <v>-259970.97216466372</v>
      </c>
      <c r="H5" s="98">
        <v>-1631666.666666666</v>
      </c>
      <c r="I5" s="98">
        <v>117367.57906577154</v>
      </c>
    </row>
    <row r="6" spans="1:9" x14ac:dyDescent="0.25">
      <c r="A6" s="78" t="s">
        <v>61</v>
      </c>
      <c r="B6" s="98">
        <v>25426418.093815204</v>
      </c>
      <c r="C6" s="98">
        <v>-38034.886583760497</v>
      </c>
      <c r="D6" s="98">
        <v>13777589.418908697</v>
      </c>
      <c r="E6" s="98">
        <v>20545245.332631804</v>
      </c>
      <c r="F6" s="98">
        <v>-6325162.6408670796</v>
      </c>
      <c r="G6" s="98">
        <v>-852602.46360779589</v>
      </c>
      <c r="H6" s="98">
        <v>-1680616.666666666</v>
      </c>
      <c r="I6" s="98">
        <v>50852836.187630393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266</v>
      </c>
      <c r="E9" s="171" t="s">
        <v>266</v>
      </c>
      <c r="G9" s="171" t="s">
        <v>266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9260091.6740381252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4168196.7478707125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1037730.0552441035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65.998469138771299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-3561.6923706055804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-572326.01664430613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-36184.429126926581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-174100.87446208787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2526380.4485877971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3122963.8436412625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26.361074410417238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65.998469138771299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-26712.692779541852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-4389127.1261936594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-237339.13643957581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-1170358.5708219202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1590180.1878683486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1245787.3182323358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111846.67809052247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7.1104610596313274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-894.3604980721251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-167522.57827237912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-12765.570873073393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232784.66399497399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224630.18771214719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1133079.0796839043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2.8411999718285972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7.1104610596313282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-6707.7037355409384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-634286.91975673439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-22631.835725087905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-461308.09584474599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541836.70780990436</v>
      </c>
      <c r="C6" s="98">
        <v>1472869.7795083788</v>
      </c>
      <c r="D6" s="98">
        <v>42738.065762462145</v>
      </c>
      <c r="E6" s="98">
        <v>17627259.383435387</v>
      </c>
      <c r="F6" s="98">
        <v>1112756.2638233153</v>
      </c>
      <c r="G6" s="98">
        <v>943847.5794509931</v>
      </c>
      <c r="H6" s="98">
        <v>2321966.9335448975</v>
      </c>
      <c r="I6" s="98">
        <v>8646845.2530249525</v>
      </c>
      <c r="J6" s="98">
        <v>6404370.3287372468</v>
      </c>
      <c r="K6" s="98">
        <v>2072239.224726202</v>
      </c>
      <c r="L6" s="98">
        <v>192614.13457991794</v>
      </c>
      <c r="M6" s="98">
        <v>904859.89986027556</v>
      </c>
      <c r="N6" s="98">
        <v>1980568.2614923958</v>
      </c>
      <c r="O6" s="98">
        <v>44264771.815756328</v>
      </c>
    </row>
    <row r="7" spans="1:15" x14ac:dyDescent="0.25">
      <c r="A7" s="78">
        <v>2050</v>
      </c>
      <c r="B7" s="98">
        <v>743547.8864863232</v>
      </c>
      <c r="C7" s="98">
        <v>1079479.3223754542</v>
      </c>
      <c r="D7" s="98">
        <v>158778.62508184306</v>
      </c>
      <c r="E7" s="98">
        <v>10850838.521382123</v>
      </c>
      <c r="F7" s="98">
        <v>1713471.2400562391</v>
      </c>
      <c r="G7" s="98">
        <v>709449.17746015533</v>
      </c>
      <c r="H7" s="98">
        <v>2382855.1724957675</v>
      </c>
      <c r="I7" s="98">
        <v>5343241.1278890474</v>
      </c>
      <c r="J7" s="98">
        <v>4366888.3180394787</v>
      </c>
      <c r="K7" s="98">
        <v>1558525.3424678326</v>
      </c>
      <c r="L7" s="98">
        <v>133081.08218496924</v>
      </c>
      <c r="M7" s="98">
        <v>844359.76657073747</v>
      </c>
      <c r="N7" s="98">
        <v>759797.39756999072</v>
      </c>
      <c r="O7" s="98">
        <v>30644312.980059966</v>
      </c>
    </row>
    <row r="8" spans="1:15" x14ac:dyDescent="0.25">
      <c r="A8" s="78" t="s">
        <v>61</v>
      </c>
      <c r="B8" s="98">
        <v>1570510.6962809064</v>
      </c>
      <c r="C8" s="98">
        <v>4054907.1374920476</v>
      </c>
      <c r="D8" s="98">
        <v>243244.58073707673</v>
      </c>
      <c r="E8" s="98">
        <v>46421536.600387692</v>
      </c>
      <c r="F8" s="98">
        <v>3106836.9253324992</v>
      </c>
      <c r="G8" s="98">
        <v>2564871.3993962151</v>
      </c>
      <c r="H8" s="98">
        <v>6967140.9466742314</v>
      </c>
      <c r="I8" s="98">
        <v>23099874.350358415</v>
      </c>
      <c r="J8" s="98">
        <v>18718953.94062347</v>
      </c>
      <c r="K8" s="98">
        <v>5635866.7385948105</v>
      </c>
      <c r="L8" s="98">
        <v>535477.60415988718</v>
      </c>
      <c r="M8" s="98">
        <v>2427627.4837094434</v>
      </c>
      <c r="N8" s="98">
        <v>5369788.7950489568</v>
      </c>
      <c r="O8" s="98">
        <v>120716637.19879566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6678880.1812345712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418789.26410326542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697666.9509630102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13822764.410718527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856846.09368548705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1801867.7489844554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1519161.3760726012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4983493.3169037867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32926.683610133667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1602553.3899505115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1133504.1967338757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730482.01569836587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151017.99543542339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3920720.3662957777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545594.46832024341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619567.35639770923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7962057.7199019091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1257296.7096095001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1748472.631855153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557517.61958207632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3204301.4084430053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116507.263767978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1143602.1995332621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792091.46065631567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520573.94312179892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97651.319921337825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1967965.071790382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123047.44370663891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207192.94889726539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3804494.9727168591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255910.1701378283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520099.18456044223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461406.88541979471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1420877.0118334598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9811.3821523284805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469685.83477569057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339365.5827745031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213365.56375262729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41596.139144494533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1422520.7615932694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197953.41816607979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224792.41017302827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2888780.8014802146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456174.53044673882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634382.54064061423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202279.77798791436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1162586.9095964739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42271.361313865054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414923.14293457061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287387.86171913851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188875.23433835641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35429.762263631419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2851556.9755475889</v>
      </c>
      <c r="C7" s="239">
        <v>784233.65417649108</v>
      </c>
      <c r="D7" s="239">
        <v>3635790.6297240797</v>
      </c>
    </row>
    <row r="8" spans="1:4" x14ac:dyDescent="0.25">
      <c r="A8" s="78">
        <v>2050</v>
      </c>
      <c r="B8" s="239">
        <v>2891241.7364066876</v>
      </c>
      <c r="C8" s="239">
        <v>817149.28295306745</v>
      </c>
      <c r="D8" s="239">
        <v>3708391.0193597553</v>
      </c>
    </row>
    <row r="9" spans="1:4" x14ac:dyDescent="0.25">
      <c r="A9" s="78" t="s">
        <v>61</v>
      </c>
      <c r="B9" s="239">
        <v>8753037.2042789627</v>
      </c>
      <c r="C9" s="239">
        <v>2429076.1420517629</v>
      </c>
      <c r="D9" s="239">
        <v>11182113.346330725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27045.758448627814</v>
      </c>
      <c r="C7" s="239">
        <v>1800</v>
      </c>
      <c r="D7" s="239">
        <v>28845.758448627814</v>
      </c>
    </row>
    <row r="8" spans="1:4" x14ac:dyDescent="0.25">
      <c r="A8" s="78">
        <v>2050</v>
      </c>
      <c r="B8" s="239">
        <v>202843.18836470862</v>
      </c>
      <c r="C8" s="239">
        <v>13500</v>
      </c>
      <c r="D8" s="239">
        <v>216343.18836470862</v>
      </c>
    </row>
    <row r="9" spans="1:4" x14ac:dyDescent="0.25">
      <c r="A9" s="78" t="s">
        <v>61</v>
      </c>
      <c r="B9" s="239">
        <v>230769.04681333643</v>
      </c>
      <c r="C9" s="239">
        <v>15376.5</v>
      </c>
      <c r="D9" s="239">
        <v>246145.54681333643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2478369.9999999995</v>
      </c>
      <c r="E6" s="239">
        <v>572920</v>
      </c>
      <c r="F6" s="239">
        <v>561900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1886540</v>
      </c>
      <c r="E7" s="239">
        <v>651650.00000000012</v>
      </c>
      <c r="F7" s="239">
        <v>1075000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6943280</v>
      </c>
      <c r="E8" s="239">
        <v>1697490</v>
      </c>
      <c r="F8" s="239">
        <v>2198800</v>
      </c>
      <c r="G8" s="239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138641.52345368531</v>
      </c>
      <c r="C7" s="239">
        <v>4966.3050781413558</v>
      </c>
      <c r="D7" s="239">
        <v>282521.18675097887</v>
      </c>
      <c r="E7" s="239">
        <v>48092.998291457014</v>
      </c>
      <c r="F7" s="239">
        <v>18612.896436546616</v>
      </c>
      <c r="G7" s="239">
        <v>53876.706083884666</v>
      </c>
      <c r="H7" s="239">
        <v>1199558.6992090864</v>
      </c>
      <c r="I7" s="239">
        <v>136475.70639575014</v>
      </c>
      <c r="J7" s="239">
        <v>68581.401846118271</v>
      </c>
      <c r="K7" s="239">
        <v>203799.55278896069</v>
      </c>
      <c r="L7" s="239">
        <v>24115.439065585892</v>
      </c>
      <c r="M7" s="239">
        <v>189185.57663423315</v>
      </c>
      <c r="N7" s="239">
        <v>7684.1299626140253</v>
      </c>
      <c r="O7" s="239">
        <v>101222.99716435223</v>
      </c>
      <c r="P7" s="239">
        <v>2477335.1191613944</v>
      </c>
    </row>
    <row r="8" spans="1:16" x14ac:dyDescent="0.25">
      <c r="A8" s="78">
        <v>2050</v>
      </c>
      <c r="B8" s="239">
        <v>194313.27601995497</v>
      </c>
      <c r="C8" s="239">
        <v>18865.364198504856</v>
      </c>
      <c r="D8" s="239">
        <v>160356.6559175018</v>
      </c>
      <c r="E8" s="239">
        <v>75461.443395327253</v>
      </c>
      <c r="F8" s="239">
        <v>14313.043935558482</v>
      </c>
      <c r="G8" s="239">
        <v>56596.151034252514</v>
      </c>
      <c r="H8" s="239">
        <v>754615.39892948361</v>
      </c>
      <c r="I8" s="239">
        <v>94326.964105956184</v>
      </c>
      <c r="J8" s="239">
        <v>52763.968072249161</v>
      </c>
      <c r="K8" s="239">
        <v>194313.29492287463</v>
      </c>
      <c r="L8" s="239">
        <v>9432.6844828219237</v>
      </c>
      <c r="M8" s="239">
        <v>179222.0901799573</v>
      </c>
      <c r="N8" s="239">
        <v>5504.0224764256391</v>
      </c>
      <c r="O8" s="239">
        <v>76207.415665262117</v>
      </c>
      <c r="P8" s="239">
        <v>1886291.7733361304</v>
      </c>
    </row>
    <row r="9" spans="1:16" x14ac:dyDescent="0.25">
      <c r="A9" s="78" t="s">
        <v>61</v>
      </c>
      <c r="B9" s="239">
        <v>409808.01234006259</v>
      </c>
      <c r="C9" s="239">
        <v>28946.450169752119</v>
      </c>
      <c r="D9" s="239">
        <v>731809.25832412858</v>
      </c>
      <c r="E9" s="239">
        <v>136306.52025561227</v>
      </c>
      <c r="F9" s="239">
        <v>51868.636838851322</v>
      </c>
      <c r="G9" s="239">
        <v>165548.37792011868</v>
      </c>
      <c r="H9" s="239">
        <v>3291995.4308215715</v>
      </c>
      <c r="I9" s="239">
        <v>410943.34638481075</v>
      </c>
      <c r="J9" s="239">
        <v>191284.00598750782</v>
      </c>
      <c r="K9" s="239">
        <v>559544.4700445286</v>
      </c>
      <c r="L9" s="239">
        <v>67514.480412126839</v>
      </c>
      <c r="M9" s="239">
        <v>589412.68189049652</v>
      </c>
      <c r="N9" s="239">
        <v>21767.779825614074</v>
      </c>
      <c r="O9" s="239">
        <v>285247.44128234324</v>
      </c>
      <c r="P9" s="239">
        <v>6941996.8924975246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1847465.5978301479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434670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71071.913970687048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75166.592141837755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1.8054136557038873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116447.37537965109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1384286.7244577005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897848.87337244744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1.8054136557038873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146236.7006988691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1.8054136557038873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116447.37537965109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552170.40216985194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127230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7660.0860293129354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8101.4078581622398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0.19458634428974619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12550.624620348905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502249.27554229938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177151.12662755256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0.19458634429065569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15761.299301130884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0.19458634428974619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12550.624620348905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4825776.8190355003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548590.27160400525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783048.2936403082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5489168.5384185603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1781235.1907168229</v>
      </c>
      <c r="J16" s="76">
        <f t="shared" si="2"/>
        <v>1781235.1907168229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91089.291301015444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351604.66442191968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103777.11868633388</v>
      </c>
      <c r="J17" s="76">
        <f t="shared" si="2"/>
        <v>103777.11868633388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545444.68096449983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134236.85033833855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590642.1414886897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313630.9771304942</v>
      </c>
      <c r="J18" s="76">
        <f t="shared" si="2"/>
        <v>313630.9771304942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147641.72839599467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175786.35163353858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8722518.7680561841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8722518.7680561841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31961.154842461558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663193.96298107738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663193.96298107738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34993.123831602948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1486189.4444247454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1486189.4444247454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15980.577421230779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1298481.5444952291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1298481.5444952291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87893.17581676929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3912125.2556044012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3912125.2556044012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3244.3630460041513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27544.642260575249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27544.642260575249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44695.549979761847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1331746.0822643016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1331746.0822643016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64554.033593888656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922403.59748675174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152347.5192815772</v>
      </c>
      <c r="J26" s="76">
        <f t="shared" si="2"/>
        <v>152347.5192815772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12124.360174796873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606218.00873984373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606218.00873984373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4662.3486122180857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113715.81981019722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113715.81981019722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113099.08030756452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1559636.3174413149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1559636.3174413149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456814.61907104118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3202270.4796879985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1743636.2761901156</v>
      </c>
      <c r="J30" s="76">
        <f t="shared" si="2"/>
        <v>1743636.2761901156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117629.7644107931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454050.89062566136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224871.64432646908</v>
      </c>
      <c r="J31" s="76">
        <f t="shared" si="2"/>
        <v>224871.64432646908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117629.7644107931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517570.9634074897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461155.72839607339</v>
      </c>
      <c r="J32" s="76">
        <f t="shared" si="2"/>
        <v>461155.72839607339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97073.106552596262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4816767.5471398262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4816767.5471398262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45681.461907104116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947890.33457241044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947890.33457241044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34261.096430328085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1455099.5822552568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1455099.5822552568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5710.1827383880145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463973.65414603503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463973.65414603503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57101.827383880147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2541602.3368565058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2541602.3368565058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11420.365476776029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96958.902897828491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96958.902897828491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31941.243579612597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951719.4892793555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951719.4892793555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46132.91730390468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659186.8317847302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182686.35252346256</v>
      </c>
      <c r="J40" s="76">
        <f t="shared" si="2"/>
        <v>182686.35252346256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8664.5570255986549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433227.85127993277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433227.85127993277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3331.9024543463102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81265.913520641712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81265.913520641712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108493.47202937228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1496124.9792850439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1496124.9792850439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122209.84929646429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573982.99919070385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186257.48323738342</v>
      </c>
      <c r="J58" s="76">
        <f t="shared" si="2"/>
        <v>186257.48323738342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14216.247775302989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31278.588355221636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9231.9644889172159</v>
      </c>
      <c r="J59" s="76">
        <f t="shared" si="2"/>
        <v>9231.9644889172159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20950.259879393881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50699.6289081332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26921.502950218728</v>
      </c>
      <c r="J60" s="76">
        <f t="shared" si="2"/>
        <v>26921.502950218728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27434.864127777699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1061828.0072558569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1061828.0072558569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4988.1571141413997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58997.428267507399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58997.428267507399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5461.3545864351427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132210.72572079091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132210.72572079091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2494.0785570706998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115512.31774440217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115512.31774440217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13717.432063888849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506767.20796586492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506767.20796586492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506.34567770006993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2450.3586380939482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2450.3586380939482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6975.6060662056061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118471.51564189364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118471.51564189364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10074.906977080887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82056.597487405248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13552.76486556921</v>
      </c>
      <c r="J68" s="76">
        <f t="shared" si="2"/>
        <v>13552.76486556921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1892.2411833498013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53928.873725469333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53928.873725469333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727.64978340975915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10116.106744964945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10116.106744964945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17651.301550891574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243411.4483867948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243411.4483867948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96900.070712039029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455110.56211323367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247807.70107065581</v>
      </c>
      <c r="J72" s="76">
        <f t="shared" ref="J72:J139" si="15">IF(I72&lt;&gt;0,I72,H72)</f>
        <v>247807.70107065581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24951.768208350051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54898.880412011786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27189.026086745809</v>
      </c>
      <c r="J73" s="76">
        <f t="shared" si="15"/>
        <v>27189.026086745809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24951.768208350051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60383.279064207134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53801.501646208555</v>
      </c>
      <c r="J74" s="76">
        <f t="shared" si="15"/>
        <v>53801.501646208555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20591.265026308294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796956.08507222577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796956.08507222577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9690.0070712039033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114608.55863466416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114608.55863466416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7267.505303402927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175934.76767268102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175934.76767268102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1211.2508839004879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56098.632728566059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56098.632728566059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12112.508839004879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447476.0477920089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447476.0477920089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2422.5017678009758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11723.212804919262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11723.212804919262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6775.4153047663094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115071.53824923116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115071.53824923116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9785.7703371919033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79701.680570335564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22088.440805109567</v>
      </c>
      <c r="J82" s="76">
        <f t="shared" si="15"/>
        <v>22088.440805109567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1837.9363387633509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52381.1856547555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52381.1856547555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706.76718728558092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9825.7877256775901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9825.7877256775901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23013.766794109266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317359.8440907668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317359.8440907668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17988.68709801232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151320.83586847963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49103.611239321639</v>
      </c>
      <c r="J100" s="76">
        <f t="shared" si="15"/>
        <v>49103.611239321639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1542.0658644465243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7142.8490841163002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2108.2322624463368</v>
      </c>
      <c r="J101" s="76">
        <f t="shared" si="15"/>
        <v>2108.2322624463368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1651.2179103063932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8718.4305664177573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4629.4866307678276</v>
      </c>
      <c r="J102" s="76">
        <f t="shared" si="15"/>
        <v>4629.4866307678276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15238.021720870902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907332.76534753689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907332.76534753689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71.268800751408534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1774.5931387100727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1774.5931387100727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1125.1496418632635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57343.340795151846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57343.340795151846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29.518660249897398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2878.2015474705927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2878.2015474705927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3810.4154462517859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203521.90981520037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203521.90981520037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64.91370276951497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661.34080381581862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661.34080381581862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1148.0573462747577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41048.942200513149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41048.942200513149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2833.7440917610315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48589.16970625348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8025.1632678672395</v>
      </c>
      <c r="J110" s="76">
        <f t="shared" si="15"/>
        <v>8025.1632678672395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325.57753513414758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19534.652108048856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19534.652108048856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534.71836671684468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15650.293660005213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15650.293660005213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15113.849399235503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250103.97985854914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250103.97985854914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0.43582889538516162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3.6661926679799794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1.9962419077150988</v>
      </c>
      <c r="J114" s="76">
        <f t="shared" si="15"/>
        <v>1.9962419077150988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3.7361084700125495E-2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0.1730565443309813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8.5707374412459486E-2</v>
      </c>
      <c r="J115" s="76">
        <f t="shared" si="15"/>
        <v>8.5707374412459486E-2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4.0005614304589723E-2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0.21122964352823376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0.1882056123836563</v>
      </c>
      <c r="J116" s="76">
        <f t="shared" si="15"/>
        <v>0.1882056123836563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0.36918592992793164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21.982807011628761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21.982807011628761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1.7266964808312041E-3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4.2994742372696987E-2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4.2994742372696987E-2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2.7260061998102159E-2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1.3893112232302602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1.3893112232302602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7.1517643393687155E-4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6.9732904591384981E-2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6.9732904591384981E-2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9.2318530299077425E-2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4.9309173403343243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4.9309173403343243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1.5727255257291396E-3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1.6022927656128474E-2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1.6022927656128474E-2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2.7815068567234969E-2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0.99453145404679411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0.99453145404679411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6.8655791864482674E-2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1.1772156603412456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0.32625232294002171</v>
      </c>
      <c r="J124" s="76">
        <f t="shared" si="15"/>
        <v>0.32625232294002171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7.888074139408327E-3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0.47328444836449962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0.47328444836449962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1.2955126399086169E-2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0.37917443119276595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0.37917443119276595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0.36617748993000948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6.059505103361797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6.059505103361797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2807.4829574932523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15823.086247750271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5134.5914873949623</v>
      </c>
      <c r="J142" s="76">
        <f t="shared" si="29"/>
        <v>5134.5914873949623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240.66923895986218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635.42455147138662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187.54736716213364</v>
      </c>
      <c r="J143" s="76">
        <f t="shared" si="29"/>
        <v>187.54736716213364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257.704529354177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748.37395324453018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397.3865691728455</v>
      </c>
      <c r="J144" s="76">
        <f t="shared" si="29"/>
        <v>397.3865691728455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2378.1883610607765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110453.34126138227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110453.34126138227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11.122876417849888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157.86698499854344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157.86698499854344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175.60138919253245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5101.237079984895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5101.237079984895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4.6069585361111542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256.04347870273068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256.04347870273068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594.6891158890071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26363.734098026827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26363.734098026827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10.131040316629504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58.832572085118187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58.832572085118187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179.17658005444198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3651.6949159878468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3651.6949159878468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442.26063859854253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4322.4700680880987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713.91481325131133</v>
      </c>
      <c r="J152" s="76">
        <f t="shared" si="29"/>
        <v>713.91481325131133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50.812678893768705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1737.7936181668899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1737.7936181668899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83.453155499160744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1392.2428868640475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1392.2428868640475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2358.8088657766393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39033.569110871831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39033.569110871831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9.2448553566549435E-2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0.52104374584321522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0.28370831961163073</v>
      </c>
      <c r="J156" s="76">
        <f t="shared" si="29"/>
        <v>0.28370831961163073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7.9250785727538933E-3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2.0924109450927736E-2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1.0362800724415557E-2</v>
      </c>
      <c r="J157" s="76">
        <f t="shared" si="29"/>
        <v>1.0362800724415557E-2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8.4860393979432746E-3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2.464345841162727E-2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2.1957321444759904E-2</v>
      </c>
      <c r="J158" s="76">
        <f t="shared" si="29"/>
        <v>2.1957321444759904E-2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7.8312166954409748E-2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3.6371553419240317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3.6371553419240317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3.6626895047934632E-4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5.1984552141533628E-3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5.1984552141533628E-3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5.7824373935368217E-3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0.16798035699056785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0.16798035699056785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1.5170409204721518E-4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8.4313421005947301E-3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8.4313421005947301E-3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1.9582718548289149E-2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0.86814029537401272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0.86814029537401272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3.3360844485163561E-4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1.9373176166046242E-3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1.9373176166046242E-3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5.9001660597165087E-3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0.1202478939892942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0.1202478939892942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1.4563349789435716E-2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0.14233607529580511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3.9446871773657161E-2</v>
      </c>
      <c r="J166" s="76">
        <f t="shared" si="29"/>
        <v>3.9446871773657161E-2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1.6732278477532812E-3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5.722439239316221E-2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5.722439239316221E-2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2.7480571149576727E-3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4.584563577148898E-2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4.584563577148898E-2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7.7674013015456553E-2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1.2853495673797752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1.2853495673797752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0.29674680641973877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2.9122731582033161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0.94503263983697616</v>
      </c>
      <c r="J184" s="76">
        <f t="shared" si="29"/>
        <v>0.94503263983697616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1.7086450333499009E-2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9.2335177602228646E-2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2.7252990800632915E-2</v>
      </c>
      <c r="J185" s="76">
        <f t="shared" si="29"/>
        <v>2.7252990800632915E-2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2.2126179468366147E-2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0.13629726552513546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7.2373847993846926E-2</v>
      </c>
      <c r="J186" s="76">
        <f t="shared" si="29"/>
        <v>7.2373847993846926E-2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0.51029954485989426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35.44948878232713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35.44948878232713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5.9312754358377721E-4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1.7230355141108728E-2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1.7230355141108728E-2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3.1394414813143305E-2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1.8666886496674167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1.8666886496674167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3.3950117003646611E-4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3.8620031605222829E-2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3.8620031605222829E-2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4.2220294070089238E-2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2.6309154046835412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2.6309154046835412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1.2099053290264164E-3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1.4380934740807986E-2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1.4380934740807986E-2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2.1398266344745977E-2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0.89261414925364546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0.89261414925364546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6.8082129291564208E-2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1.3619424919198089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0.22494335517932812</v>
      </c>
      <c r="J194" s="76">
        <f t="shared" si="29"/>
        <v>0.22494335517932812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6.0683334637179846E-3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0.42478334246025895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0.42478334246025895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1.4324445842879414E-2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0.48912741902515072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0.48912741902515072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0.52979341323357754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10.228191635887448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10.228191635887448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0.28302441074714974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2.7776015670725269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1.5124040532709913</v>
      </c>
      <c r="J198" s="76">
        <f t="shared" si="29"/>
        <v>1.5124040532709913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1.6296325462585758E-2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8.8065342799813429E-2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4.3614931392998796E-2</v>
      </c>
      <c r="J199" s="76">
        <f t="shared" si="29"/>
        <v>4.3614931392998796E-2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2.1103003539193144E-2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0.12999450180142977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0.11582510110507394</v>
      </c>
      <c r="J200" s="76">
        <f t="shared" si="29"/>
        <v>0.11582510110507394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0.48670187804556381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33.810206064069227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33.810206064069227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5.6569968029666602E-4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1.6433575712618147E-2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1.6433575712618147E-2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2.9942649966292749E-2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1.780367787255051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1.780367787255051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3.2380169396541565E-4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3.6834134189952412E-2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3.6834134189952412E-2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4.0267910529275863E-2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2.5092545767212968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2.5092545767212968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1.1539559496494725E-3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1.3715920417533629E-2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1.3715920417533629E-2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2.040875113805252E-2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0.85133719437486421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0.85133719437486421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6.4933822734728863E-2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1.2989624922934593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0.35999311324133687</v>
      </c>
      <c r="J208" s="76">
        <f t="shared" si="29"/>
        <v>0.35999311324133687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5.7877168873610831E-3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0.4051401821152758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0.4051401821152758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1.3662043722977473E-2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0.4665088100528893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0.4665088100528893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0.50529429585861441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9.7552116758464091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9.7552116758464091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4.6313085394988143E-2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0.30452613544449708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9.881873095173932E-2</v>
      </c>
      <c r="J226" s="76">
        <f t="shared" si="42"/>
        <v>9.881873095173932E-2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2.6666714393322154E-3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8.2140947011462347E-3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2.4244134590852054E-3</v>
      </c>
      <c r="J227" s="76">
        <f t="shared" si="42"/>
        <v>2.4244134590852054E-3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3.4532187609588785E-3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1.1699505162128679E-2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6.2124372410903295E-3</v>
      </c>
      <c r="J228" s="76">
        <f t="shared" si="42"/>
        <v>6.2124372410903295E-3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7.9642125498364996E-2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4.3154117558139271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4.3154117558139271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9.2569038593999904E-5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1.5328044255587476E-3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1.5328044255587476E-3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4.8997063581206323E-3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0.16605975906578929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0.16605975906578929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5.2985731739795291E-5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3.4356201526264695E-3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3.4356201526264695E-3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6.5892944502451414E-3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0.34080239432923787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0.34080239432923787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1.8882915539718639E-4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1.2793213043990458E-3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1.2793213043990458E-3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3.3396138225904128E-3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7.940654194805552E-2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7.940654194805552E-2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1.0625534629319271E-2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0.12115777428118996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2.0010856856704395E-2</v>
      </c>
      <c r="J236" s="76">
        <f t="shared" si="42"/>
        <v>2.0010856856704395E-2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9.4708094520454093E-4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3.778852971366118E-2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3.778852971366118E-2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2.2356071546690416E-3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4.3512549010387688E-2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4.3512549010387688E-2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8.2684521140500539E-2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1.5963073651385034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1.5963073651385034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6.0035481067577209E-2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0.39475610150212581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0.21494469726790755</v>
      </c>
      <c r="J240" s="76">
        <f t="shared" si="42"/>
        <v>0.21494469726790755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3.4567963102454641E-3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1.06479005385229E-2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5.2734417047898552E-3</v>
      </c>
      <c r="J241" s="76">
        <f t="shared" si="42"/>
        <v>5.2734417047898552E-3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4.4763946901318786E-3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1.5166025210166807E-2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1.3512928462258628E-2</v>
      </c>
      <c r="J242" s="76">
        <f t="shared" si="42"/>
        <v>1.3512928462258628E-2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0.10323979231269535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5.5940522760550913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5.5940522760550913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1.1999690188111097E-4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1.9869686997983755E-3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1.9869686997983755E-3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6.3514712049711885E-3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0.21526265064083791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0.21526265064083791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6.8685207810845745E-5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4.4535816793306099E-3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4.4535816793306099E-3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8.5416779910585158E-3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0.4417808815379009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0.4417808815379009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2.4477853477413049E-4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1.6583794686654296E-3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1.6583794686654296E-3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4.329129029283868E-3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0.10293440622896084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0.10293440622896084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1.3773841186154611E-2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0.15705637406820919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4.3526440055543465E-2</v>
      </c>
      <c r="J250" s="76">
        <f t="shared" si="42"/>
        <v>4.3526440055543465E-2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1.2276975215614421E-3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4.8985131110301533E-2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4.8985131110301533E-2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2.8980092745709792E-3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5.6405156124576618E-2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5.6405156124576618E-2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0.10718363851546366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2.0692873251795416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2.0692873251795416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234037.42495969174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1640602.348967439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532375.46223993402</v>
      </c>
      <c r="J268" s="76">
        <f t="shared" si="42"/>
        <v>532375.46223993402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27224.761678984549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105087.58008088038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31016.898733250302</v>
      </c>
      <c r="J269" s="76">
        <f t="shared" si="42"/>
        <v>31016.898733250302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40120.701421661441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176531.08625531034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93738.006801569791</v>
      </c>
      <c r="J270" s="76">
        <f t="shared" si="42"/>
        <v>93738.006801569791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52539.013766461409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2606985.8630918153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2606985.8630918153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9552.5479575384379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198215.37011892258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198215.37011892258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10458.742659116117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444192.20806732844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444192.20806732844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4776.273978769219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388090.08269283024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388090.08269283024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26269.506883230704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1169255.7513725988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1169255.7513725988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969.67502399025432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8232.5409536772604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8232.5409536772604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13358.60317859992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398032.18565784121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398032.18565784121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19293.905517422652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275687.92944527901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45533.617021117461</v>
      </c>
      <c r="J278" s="76">
        <f t="shared" si="55"/>
        <v>45533.617021117461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3623.7280096758932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181186.40048379466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181186.40048379466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1393.4824612096497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33987.377102674385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33987.377102674385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33803.046038754874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466144.00487442978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466144.00487442978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165742.2609289588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1161853.2491120012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632629.0941414847</v>
      </c>
      <c r="J282" s="76">
        <f t="shared" si="55"/>
        <v>632629.0941414847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42678.632189206888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164739.5202503386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81588.314369784915</v>
      </c>
      <c r="J283" s="76">
        <f t="shared" si="55"/>
        <v>81588.314369784915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42678.632189206888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187785.98163251032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167317.30963456671</v>
      </c>
      <c r="J284" s="76">
        <f t="shared" si="55"/>
        <v>167317.30963456671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35220.230447403745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1747627.8348001738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1747627.8348001738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16574.226092895879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343915.19142758951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343915.19142758951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12430.669569671909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527941.71764950489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527941.71764950489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2071.7782616119848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168339.7142718753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168339.7142718753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20717.78261611985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922148.50424349459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922148.50424349459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4143.5565232239696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35178.794882171504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35178.794882171504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11588.976593028619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345304.49188357411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345304.49188357411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16738.023911640095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239167.29306250089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66282.574690094785</v>
      </c>
      <c r="J292" s="76">
        <f t="shared" si="55"/>
        <v>66282.574690094785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3143.6893904380149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157184.46952190076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157184.46952190076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1208.8865437387055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29485.037652163552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29485.037652163552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39363.786970627712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542826.62232495623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542826.62232495623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36526.072103535706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171552.00284867617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55668.624924395408</v>
      </c>
      <c r="J310" s="76">
        <f t="shared" si="55"/>
        <v>55668.624924395408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4248.9512446970111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9348.542528582364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2759.2489682353889</v>
      </c>
      <c r="J311" s="76">
        <f t="shared" si="55"/>
        <v>2759.2489682353889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6261.6123606061219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15153.101912666818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8046.2971156260801</v>
      </c>
      <c r="J312" s="76">
        <f t="shared" si="55"/>
        <v>8046.2971156260801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8199.7304722223016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317359.08830470312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317359.08830470312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1490.8600858586003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17633.147665492597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17633.147665492597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1632.289316740666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39515.133422868123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39515.133422868123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745.43004292930016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34524.314292732124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34524.314292732124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4099.8652361111508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151462.55137722506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151462.55137722506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151.33656443778534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732.3630362837747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732.3630362837747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2084.8687041745543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35408.759174995241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35408.759174995241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3011.1875663029573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24525.070717704293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4050.649514190738</v>
      </c>
      <c r="J320" s="76">
        <f t="shared" si="55"/>
        <v>4050.649514190738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565.55292636560182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16118.258401419651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16118.258401419651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217.47992169167946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3023.5013503477389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3023.5013503477389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5275.6199020022059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72750.798448610425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72750.798448610425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35157.449287960953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165123.99207076619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89910.013682532212</v>
      </c>
      <c r="J324" s="76">
        <f t="shared" si="55"/>
        <v>89910.013682532212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9053.0431916499456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19918.50563026821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9864.7689192558119</v>
      </c>
      <c r="J325" s="76">
        <f t="shared" si="55"/>
        <v>9864.7689192558119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9053.0431916499456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21908.364523792872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19520.35279069945</v>
      </c>
      <c r="J326" s="76">
        <f t="shared" si="55"/>
        <v>19520.35279069945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7470.957973691703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289152.9690305742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289152.9690305742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3515.7449287960953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41582.473145335818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41582.473145335818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2636.8086965970715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63832.953133985575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63832.953133985575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439.46811609951192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20353.801816508556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20353.801816508556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4394.6811609951192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162354.02453499101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162354.02453499101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878.93623219902383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4253.436108480736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4253.436108480736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2458.2677621575858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41750.452200468506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41750.452200468506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3550.4899206509294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28917.499979375105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8014.1658488932781</v>
      </c>
      <c r="J334" s="76">
        <f t="shared" si="55"/>
        <v>8014.1658488932781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666.84320403230618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19005.031314920725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19005.031314920725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256.43047897487696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3565.0090979434117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3565.0090979434117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8349.8942058907251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115145.04109923312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115145.04109923312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2543.5266161074505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21396.145894695874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6943.04934282881</v>
      </c>
      <c r="J352" s="76">
        <f t="shared" si="60"/>
        <v>6943.04934282881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68.781025480452769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318.59371002545726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94.03384142355003</v>
      </c>
      <c r="J353" s="76">
        <f t="shared" si="60"/>
        <v>94.03384142355003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277.81730642917057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1466.8753779460208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778.91082568933689</v>
      </c>
      <c r="J354" s="76">
        <f t="shared" si="60"/>
        <v>778.91082568933689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816.89928733229783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48641.451164914346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48641.451164914346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15.471187824817051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385.23257683794458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385.23257683794458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26.302435262527187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1340.5057006495601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1340.5057006495601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73.48347036613049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7164.9673911620484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7164.9673911620484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78.344719162303662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4184.5481398969632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4184.5481398969632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16.900566419398675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172.18297068083373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172.18297068083373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120.67824120695344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4314.8664692035982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4314.8664692035982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876.11830838913772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15022.479020898631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2481.1670493580382</v>
      </c>
      <c r="J362" s="76">
        <f t="shared" si="60"/>
        <v>2481.1670493580382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26.483091404220694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1588.9854842532416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1588.9854842532416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56.207011126951372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1645.0832524961379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1645.0832524961379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1628.961148843877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26956.049091068475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26956.049091068475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6.1624419250252083E-2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0.51838461473312047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0.28226042272218416</v>
      </c>
      <c r="J366" s="76">
        <f t="shared" si="60"/>
        <v>0.28226042272218416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1.6664228020370887E-3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7.7188704190357948E-3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3.8228205677115386E-3</v>
      </c>
      <c r="J367" s="76">
        <f t="shared" si="60"/>
        <v>3.8228205677115386E-3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6.7309420148972078E-3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3.5539373838657261E-2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3.1665582090243616E-2</v>
      </c>
      <c r="J368" s="76">
        <f t="shared" si="60"/>
        <v>3.1665582090243616E-2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1.9791789812224642E-2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1.1784823325791041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1.1784823325791041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3.7483506513290803E-4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9.3333931218094104E-3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9.3333931218094104E-3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6.37253916533074E-4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3.2477696431815778E-2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3.2477696431815778E-2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1.7803533712322671E-3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0.17359242542665901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0.17359242542665901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1.8981314326050301E-3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0.10138299607829987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0.10138299607829987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4.094659690212412E-4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4.1716392923884056E-3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4.1716392923884056E-3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2.9237856145973122E-3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0.10454034120310714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0.10454034120310714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2.1226544910947009E-2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0.36396377356519294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0.10086854141682021</v>
      </c>
      <c r="J376" s="76">
        <f t="shared" si="60"/>
        <v>0.10086854141682021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6.4163084333437122E-4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3.8497850600062278E-2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3.8497850600062278E-2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1.3617802921958929E-3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3.9856984161831012E-2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3.9856984161831012E-2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3.9466378744780817E-2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0.65308963546863297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0.65308963546863297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396.96658170463104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2237.319533150569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726.01018850735954</v>
      </c>
      <c r="J394" s="76">
        <f t="shared" si="60"/>
        <v>726.01018850735954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10.734610913134247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28.341949117293566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8.3652070491817039</v>
      </c>
      <c r="J395" s="76">
        <f t="shared" si="60"/>
        <v>8.3652070491817039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43.358770367558421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125.91386914738968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66.860264517263914</v>
      </c>
      <c r="J396" s="76">
        <f t="shared" si="60"/>
        <v>66.860264517263914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127.4929523582199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5921.32347706992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5921.32347706992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2.4145784466477478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34.270111893271483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34.270111893271483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4.1050043473308326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119.25076724275564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119.25076724275564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11.468518496448112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637.39218583805734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637.39218583805734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12.227210505099418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542.05620702364729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542.05620702364729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2.6376606550506607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15.317317449583994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15.317317449583994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18.834176373339556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383.84852578637788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383.84852578637788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136.73522732084808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1336.3927868880339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220.72347335040578</v>
      </c>
      <c r="J404" s="76">
        <f t="shared" si="60"/>
        <v>220.72347335040578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4.1331992364968713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141.35541388819297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141.35541388819297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8.7721924880213127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146.34584540991651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146.34584540991651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254.23093074442014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4207.0134419586639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4207.0134419586639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1.3071846507629228E-2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7.3673449790858631E-2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4.0115193411122525E-2</v>
      </c>
      <c r="J408" s="76">
        <f t="shared" si="64"/>
        <v>4.0115193411122525E-2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3.5348362467453397E-4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9.3328160521069156E-4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4.6221375955057689E-4</v>
      </c>
      <c r="J409" s="76">
        <f t="shared" si="64"/>
        <v>4.6221375955057689E-4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1.4277755789175895E-3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4.1462602811766806E-3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3.6943179105284225E-3</v>
      </c>
      <c r="J410" s="76">
        <f t="shared" si="64"/>
        <v>3.6943179105284225E-3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4.1982584450173483E-3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0.19498525866308813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0.19498525866308813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7.9510468361525957E-5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1.1284920774551376E-3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1.1284920774551376E-3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1.351750732039854E-4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3.926848750392271E-3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3.926848750392271E-3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3.7765071510987484E-4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2.0988902347041496E-2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2.0988902347041496E-2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4.0263394024955173E-4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1.784955173378552E-2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1.784955173378552E-2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8.6856417671172357E-5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5.0438911444332531E-4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5.0438911444332531E-4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6.2019694855094509E-4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1.2639877618193865E-2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1.2639877618193865E-2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4.5026004356554256E-3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4.400652898560968E-2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1.2195923644033711E-2</v>
      </c>
      <c r="J418" s="76">
        <f t="shared" si="64"/>
        <v>1.2195923644033711E-2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1.3610351222244238E-4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4.6547401180075292E-3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4.6547401180075292E-3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2.8886248622337122E-4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4.8190717213850223E-3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4.8190717213850223E-3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8.3716560973777481E-3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0.13853416509940697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0.13853416509940697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4.5754933628917617E-2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0.44903891863419743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0.14571312909679709</v>
      </c>
      <c r="J436" s="76">
        <f t="shared" si="64"/>
        <v>0.14571312909679709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8.3106047603679744E-4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4.4910508125028531E-3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1.3255464456415479E-3</v>
      </c>
      <c r="J437" s="76">
        <f t="shared" si="64"/>
        <v>1.3255464456415479E-3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4.0595359645178462E-3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2.5006741541429935E-2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1.3278579758499293E-2</v>
      </c>
      <c r="J438" s="76">
        <f t="shared" si="64"/>
        <v>1.3278579758499293E-2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2.9831848636857054E-2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2.0723588611051857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2.0723588611051857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1.4040654632499296E-4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4.078810170741045E-3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4.078810170741045E-3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8.0030056464171814E-4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4.7585278758363492E-2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4.7585278758363492E-2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9.2161460426674424E-4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0.1048384756399913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0.1048384756399913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9.466157148310761E-4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5.8987411653983683E-2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5.8987411653983683E-2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3.4350362462884858E-4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4.0828840823384947E-3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4.0828840823384947E-3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2.452782483126852E-3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0.10231615562716326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0.10231615562716326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2.2953573895167008E-2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0.45917258984910614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7.5838608149631781E-2</v>
      </c>
      <c r="J446" s="76">
        <f t="shared" si="64"/>
        <v>7.5838608149631781E-2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5.3826822503920445E-4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3.7678775752744309E-2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3.7678775752744309E-2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1.6419437573988649E-3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5.6066372203863679E-2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5.6066372203863679E-2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5.7100799688875818E-2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1.1023880387934366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1.1023880387934366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4.3639098547811596E-2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0.42827411314822295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0.23319525460920743</v>
      </c>
      <c r="J450" s="76">
        <f t="shared" si="64"/>
        <v>0.23319525460920743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7.9262993379232123E-4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4.283372162213704E-3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2.1213678053840198E-3</v>
      </c>
      <c r="J451" s="76">
        <f t="shared" si="64"/>
        <v>2.1213678053840198E-3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3.8718117580661539E-3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2.3850360429687509E-2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2.1250671142851573E-2</v>
      </c>
      <c r="J452" s="76">
        <f t="shared" si="64"/>
        <v>2.1250671142851573E-2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2.8452341185441699E-2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1.9765272374702638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1.9765272374702638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1.3391375805562911E-4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3.8901946715160251E-3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3.8901946715160251E-3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7.6329244604556935E-4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4.5384803440057665E-2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4.5384803440057665E-2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8.7899658788446707E-4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9.99904536450784E-2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9.99904536450784E-2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9.0284157772906114E-4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5.625967007460872E-2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5.625967007460872E-2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3.2761906395237006E-4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3.894080194137871E-3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3.894080194137871E-3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2.3393590156990207E-3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9.7584772707988071E-2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9.7584772707988071E-2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2.1892136952037899E-2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0.43793917528960996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0.12137000726209812</v>
      </c>
      <c r="J460" s="76">
        <f t="shared" si="64"/>
        <v>0.12137000726209812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5.1337720885242047E-4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3.5936404619669425E-2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3.5936404619669425E-2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1.56601572237464E-3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5.3473707593280385E-2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5.3473707593280385E-2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5.4460300281297752E-2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1.0514105572307344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1.0514105572307344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7.1409433987328075E-3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4.6954416405159731E-2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1.523670812347433E-2</v>
      </c>
      <c r="J478" s="76">
        <f t="shared" si="68"/>
        <v>1.523670812347433E-2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1.2970308007510711E-4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3.9952180349375088E-4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1.1791999883481743E-4</v>
      </c>
      <c r="J479" s="76">
        <f t="shared" si="68"/>
        <v>1.1791999883481743E-4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6.3356919677446158E-4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2.1465324386718758E-3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1.139808724934766E-3</v>
      </c>
      <c r="J480" s="76">
        <f t="shared" si="68"/>
        <v>1.139808724934766E-3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4.6558376485268237E-3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0.25227674921893189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0.25227674921893189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2.1913160409102947E-5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3.628490666341311E-4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3.628490666341311E-4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1.2490240026200229E-4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4.2331643935908337E-3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4.2331643935908337E-3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1.4383580529018554E-4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9.3263823127136773E-3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9.3263823127136773E-3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1.4773771271930092E-4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7.6410860992241307E-3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7.6410860992241307E-3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5.36103922831151E-5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3.6321147992595049E-4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3.6321147992595049E-4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3.8280420256893069E-4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9.1019978907632502E-3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9.1019978907632502E-3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3.5823496830607472E-3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4.0847781258830901E-2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6.746567511114643E-3</v>
      </c>
      <c r="J488" s="76">
        <f t="shared" ref="J488:J505" si="70">IF(I488&lt;&gt;0,I488,H488)</f>
        <v>6.746567511114643E-3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8.4007179630396072E-5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3.351886467252803E-3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3.351886467252803E-3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2.5625711820675929E-4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4.9876385446096065E-3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4.9876385446096065E-3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8.9116855005759964E-3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0.17204900027412021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0.17204900027412021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9.2567784798388234E-3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6.0866836080762599E-2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3.3141992245975242E-2</v>
      </c>
      <c r="J492" s="76">
        <f t="shared" si="70"/>
        <v>3.3141992245975242E-2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1.6813362231958326E-4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5.1789863415856597E-4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2.5649265283279502E-4</v>
      </c>
      <c r="J493" s="76">
        <f t="shared" si="70"/>
        <v>2.5649265283279502E-4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8.2129340322615392E-4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2.7825420501302097E-3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2.4792449666660174E-3</v>
      </c>
      <c r="J494" s="76">
        <f t="shared" si="70"/>
        <v>2.4792449666660174E-3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6.0353450999421779E-3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0.32702541565417098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0.32702541565417098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2.8405948678466784E-5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4.7035990119239225E-4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4.7035990119239225E-4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1.6191051885815108E-4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5.4874353250251532E-3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5.4874353250251532E-3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1.8645382167246271E-4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1.2089754849814026E-2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1.2089754849814026E-2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1.9151184982131597E-4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9.9051116101053494E-3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9.9051116101053494E-3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6.9494952959593638E-5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4.7082969620030604E-4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4.7082969620030604E-4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4.9622766999676197E-4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1.1798886154693104E-2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1.1798886154693104E-2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4.6437866261898574E-3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5.2950827557743746E-2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1.4674737241690045E-2</v>
      </c>
      <c r="J502" s="76">
        <f t="shared" si="70"/>
        <v>1.4674737241690045E-2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1.0889819581718008E-4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4.3450380131054853E-3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4.3450380131054853E-3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3.3218515323098425E-4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6.4654573726420821E-3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6.4654573726420821E-3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1.1552184908154068E-2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0.22302648183682244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0.22302648183682244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Arealanvendelse</vt:lpstr>
      <vt:lpstr>Landbrug</vt:lpstr>
      <vt:lpstr>Fodersammensætning</vt:lpstr>
      <vt:lpstr>Skovbrug</vt:lpstr>
      <vt:lpstr>Sheet1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2021-09-21T13:37:50Z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412777125835418</vt:r8>
  </property>
</Properties>
</file>